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210" windowWidth="18195" windowHeight="11130" tabRatio="804"/>
  </bookViews>
  <sheets>
    <sheet name="Summary" sheetId="13" r:id="rId1"/>
    <sheet name="Mechanisms" sheetId="17" r:id="rId2"/>
    <sheet name="Cap Prop Tax" sheetId="19" r:id="rId3"/>
    <sheet name="KU Analysis" sheetId="3" r:id="rId4"/>
    <sheet name="CWIP and RWIP" sheetId="8" r:id="rId5"/>
    <sheet name="Fuel Inventory and M&amp;S" sheetId="7" r:id="rId6"/>
  </sheets>
  <definedNames>
    <definedName name="_xlnm.Print_Area" localSheetId="3">'KU Analysis'!$A$182:$D$245</definedName>
    <definedName name="_xlnm.Print_Area" localSheetId="0">Summary!$A$1:$H$28</definedName>
  </definedNames>
  <calcPr calcId="145621"/>
</workbook>
</file>

<file path=xl/calcChain.xml><?xml version="1.0" encoding="utf-8"?>
<calcChain xmlns="http://schemas.openxmlformats.org/spreadsheetml/2006/main">
  <c r="D12" i="13" l="1"/>
  <c r="D13" i="13"/>
  <c r="C13" i="13"/>
  <c r="C12" i="13"/>
  <c r="B13" i="13"/>
  <c r="B20" i="13" s="1"/>
  <c r="B12" i="13"/>
  <c r="H13" i="13" l="1"/>
  <c r="H12" i="13"/>
  <c r="F13" i="13"/>
  <c r="F12" i="13"/>
  <c r="B173" i="3" l="1"/>
  <c r="B187" i="3" s="1"/>
  <c r="C23" i="17" l="1"/>
  <c r="D23" i="17"/>
  <c r="B23" i="17"/>
  <c r="D194" i="3" l="1"/>
  <c r="C194" i="3"/>
  <c r="C205" i="3"/>
  <c r="D205" i="3"/>
  <c r="C193" i="3"/>
  <c r="D193" i="3"/>
  <c r="B193" i="3"/>
  <c r="C198" i="3"/>
  <c r="D198" i="3"/>
  <c r="C197" i="3"/>
  <c r="C227" i="3" s="1"/>
  <c r="D197" i="3"/>
  <c r="D227" i="3" s="1"/>
  <c r="C212" i="3"/>
  <c r="C213" i="3" s="1"/>
  <c r="C214" i="3" s="1"/>
  <c r="B220" i="3"/>
  <c r="B219" i="3"/>
  <c r="B218" i="3"/>
  <c r="B194" i="3" l="1"/>
  <c r="B192" i="3"/>
  <c r="B198" i="3"/>
  <c r="B197" i="3"/>
  <c r="B227" i="3" s="1"/>
  <c r="C25" i="17" l="1"/>
  <c r="C20" i="13" s="1"/>
  <c r="D25" i="17"/>
  <c r="D20" i="13" s="1"/>
  <c r="B25" i="17"/>
  <c r="F20" i="13" l="1"/>
  <c r="H20" i="13"/>
  <c r="D212" i="3" l="1"/>
  <c r="D213" i="3" s="1"/>
  <c r="D214" i="3" s="1"/>
  <c r="C208" i="3"/>
  <c r="C209" i="3" s="1"/>
  <c r="C210" i="3" s="1"/>
  <c r="C204" i="3" s="1"/>
  <c r="D208" i="3"/>
  <c r="C192" i="3"/>
  <c r="D192" i="3"/>
  <c r="C199" i="3"/>
  <c r="D199" i="3"/>
  <c r="C232" i="3"/>
  <c r="D232" i="3" s="1"/>
  <c r="C234" i="3"/>
  <c r="D234" i="3" s="1"/>
  <c r="C244" i="3"/>
  <c r="D244" i="3" s="1"/>
  <c r="C243" i="3"/>
  <c r="D243" i="3" s="1"/>
  <c r="B212" i="3"/>
  <c r="B213" i="3" s="1"/>
  <c r="B208" i="3"/>
  <c r="B209" i="3" s="1"/>
  <c r="B221" i="3"/>
  <c r="B199" i="3"/>
  <c r="C203" i="3" l="1"/>
  <c r="D209" i="3"/>
  <c r="D210" i="3" s="1"/>
  <c r="B214" i="3"/>
  <c r="C173" i="3"/>
  <c r="C187" i="3" s="1"/>
  <c r="D173" i="3"/>
  <c r="D187" i="3" s="1"/>
  <c r="C179" i="3"/>
  <c r="D179" i="3"/>
  <c r="B179" i="3"/>
  <c r="D177" i="3"/>
  <c r="C177" i="3"/>
  <c r="B177" i="3"/>
  <c r="C196" i="3"/>
  <c r="D196" i="3" s="1"/>
  <c r="B210" i="3"/>
  <c r="B204" i="3" s="1"/>
  <c r="B225" i="3" s="1"/>
  <c r="D204" i="3" l="1"/>
  <c r="D203" i="3"/>
  <c r="B188" i="3"/>
  <c r="D188" i="3"/>
  <c r="G172" i="3"/>
  <c r="C188" i="3"/>
  <c r="C220" i="3" s="1"/>
  <c r="C219" i="3" l="1"/>
  <c r="C225" i="3" s="1"/>
  <c r="C218" i="3"/>
  <c r="C226" i="3"/>
  <c r="B191" i="3"/>
  <c r="C191" i="3"/>
  <c r="B203" i="3"/>
  <c r="B224" i="3" s="1"/>
  <c r="D191" i="3"/>
  <c r="D189" i="3"/>
  <c r="B205" i="3"/>
  <c r="C189" i="3"/>
  <c r="B189" i="3"/>
  <c r="B200" i="3" l="1"/>
  <c r="B201" i="3" s="1"/>
  <c r="C221" i="3"/>
  <c r="C224" i="3"/>
  <c r="B226" i="3"/>
  <c r="D200" i="3"/>
  <c r="B206" i="3"/>
  <c r="C200" i="3"/>
  <c r="D206" i="3"/>
  <c r="C206" i="3"/>
  <c r="C228" i="3" l="1"/>
  <c r="C229" i="3" s="1"/>
  <c r="D219" i="3"/>
  <c r="D225" i="3" s="1"/>
  <c r="D218" i="3"/>
  <c r="D224" i="3" s="1"/>
  <c r="D220" i="3"/>
  <c r="D226" i="3" s="1"/>
  <c r="B240" i="3"/>
  <c r="C240" i="3"/>
  <c r="B238" i="3"/>
  <c r="B228" i="3"/>
  <c r="B229" i="3" s="1"/>
  <c r="D221" i="3" l="1"/>
  <c r="C238" i="3" l="1"/>
  <c r="B239" i="3" l="1"/>
  <c r="C233" i="3"/>
  <c r="D233" i="3" s="1"/>
  <c r="C239" i="3" l="1"/>
  <c r="B241" i="3" l="1"/>
  <c r="B242" i="3" s="1"/>
  <c r="C235" i="3"/>
  <c r="B245" i="3" l="1"/>
  <c r="C241" i="3"/>
  <c r="C242" i="3" s="1"/>
  <c r="C245" i="3" s="1"/>
  <c r="C10" i="13" s="1"/>
  <c r="D235" i="3"/>
  <c r="B10" i="13" l="1"/>
  <c r="D241" i="3"/>
  <c r="C19" i="13" l="1"/>
  <c r="B19" i="13"/>
  <c r="F10" i="13"/>
  <c r="C16" i="13"/>
  <c r="B14" i="13"/>
  <c r="C14" i="13"/>
  <c r="B16" i="13"/>
  <c r="F14" i="13" l="1"/>
  <c r="B21" i="13"/>
  <c r="F19" i="13"/>
  <c r="F16" i="13"/>
  <c r="C17" i="13"/>
  <c r="B17" i="13"/>
  <c r="B22" i="13" l="1"/>
  <c r="F17" i="13"/>
  <c r="F21" i="13"/>
  <c r="D240" i="3"/>
  <c r="F22" i="13" l="1"/>
  <c r="D239" i="3"/>
  <c r="D228" i="3"/>
  <c r="D229" i="3" s="1"/>
  <c r="D238" i="3"/>
  <c r="D242" i="3" l="1"/>
  <c r="D245" i="3" s="1"/>
  <c r="D10" i="13" l="1"/>
  <c r="H10" i="13" l="1"/>
  <c r="D16" i="13"/>
  <c r="D19" i="13"/>
  <c r="C21" i="13"/>
  <c r="C22" i="13" l="1"/>
  <c r="H19" i="13"/>
  <c r="H16" i="13"/>
  <c r="D21" i="13"/>
  <c r="H21" i="13" l="1"/>
  <c r="D22" i="13"/>
  <c r="H14" i="13" l="1"/>
  <c r="H22" i="13" l="1"/>
  <c r="D17" i="13"/>
  <c r="H17" i="13" l="1"/>
  <c r="D14" i="13"/>
</calcChain>
</file>

<file path=xl/sharedStrings.xml><?xml version="1.0" encoding="utf-8"?>
<sst xmlns="http://schemas.openxmlformats.org/spreadsheetml/2006/main" count="360" uniqueCount="256">
  <si>
    <t xml:space="preserve">   KU-3121 - Common Nonutility - Property </t>
  </si>
  <si>
    <t xml:space="preserve">   KU-1398 VA - Electric General - Miscellaneous Equipment </t>
  </si>
  <si>
    <t xml:space="preserve">   KU-1398 KY - Electric General - Miscellaneous Equipment </t>
  </si>
  <si>
    <t xml:space="preserve">   KU-1397 VA - Electric General - Communication Equipment </t>
  </si>
  <si>
    <t xml:space="preserve">   KU-1397 KY - Electric General - Communication Equipment </t>
  </si>
  <si>
    <t xml:space="preserve">   KU-1397 - Electric General - DSM </t>
  </si>
  <si>
    <t xml:space="preserve">   KU-1396 VA - Electric General - Power Operated Equipment </t>
  </si>
  <si>
    <t xml:space="preserve">   KU-1396 - Electric General - Power Operated Equipment </t>
  </si>
  <si>
    <t xml:space="preserve">   KU-1395 VA - Electric General - Laboratory Equipment </t>
  </si>
  <si>
    <t xml:space="preserve">   KU-1395 KY - Electric General - Laboratory Equipment </t>
  </si>
  <si>
    <t xml:space="preserve">   KU-1394 VA - Electric General - Tools, Shop, Garage Equipment </t>
  </si>
  <si>
    <t xml:space="preserve">   KU-1394 KY - Electric General - Tools, Shop, Garage Equipment </t>
  </si>
  <si>
    <t xml:space="preserve">   KU-1393 VA - Electric General - Stores Equipment </t>
  </si>
  <si>
    <t xml:space="preserve">   KU-1393 KY - Electric General - Stores Equipment </t>
  </si>
  <si>
    <t xml:space="preserve">   KU-1392 VA - Electric General - Transportation Equipment </t>
  </si>
  <si>
    <t xml:space="preserve">   KU-1392 KY - Electric General - Transportation Equipment </t>
  </si>
  <si>
    <t xml:space="preserve">   KU-1392 - Electric General - ECR 2009 </t>
  </si>
  <si>
    <t xml:space="preserve">   KU-1392 - Electric General - ECR 2005 </t>
  </si>
  <si>
    <t xml:space="preserve">   KU-1391 VA - Electric General - Office Equipment </t>
  </si>
  <si>
    <t xml:space="preserve">   KU-1391 KY - Electric General - Office Equipment </t>
  </si>
  <si>
    <t xml:space="preserve">   KU-1391 - Electric General - Office Equipment </t>
  </si>
  <si>
    <t xml:space="preserve">   KU-1390 VA - Electric General - Structures and Improvements </t>
  </si>
  <si>
    <t xml:space="preserve">   KU-1390 KY - Electric General - Structures and Improvements </t>
  </si>
  <si>
    <t xml:space="preserve">   KU-1390 - Electric General - Structures and Improvements </t>
  </si>
  <si>
    <t xml:space="preserve">   KU-1389 VA - Electric General - Land &amp; Land Rights </t>
  </si>
  <si>
    <t xml:space="preserve">   KU-1389 KY - Electric General - Land &amp; Land Rights </t>
  </si>
  <si>
    <t xml:space="preserve">   KU-1374 - Electric Distribution - ARO </t>
  </si>
  <si>
    <t xml:space="preserve">   KU-1373 VA - Electric Distribution - Street Lighting and Sign </t>
  </si>
  <si>
    <t xml:space="preserve">   KU-1373 KY - Electric Distribution - Street Lighting and Sign </t>
  </si>
  <si>
    <t xml:space="preserve">   KU-1371 VA - Electric Distribution - Install on Customers </t>
  </si>
  <si>
    <t xml:space="preserve">   KU-1371 TN - Electric Distribution - Install on Customers </t>
  </si>
  <si>
    <t xml:space="preserve">   KU-1371 KY - Electric Distribution - Install on Customers </t>
  </si>
  <si>
    <t xml:space="preserve">   KU-1370 VA - Electric Distribution - Meters </t>
  </si>
  <si>
    <t xml:space="preserve">   KU-1370 TN - Electric Distribution - Meters </t>
  </si>
  <si>
    <t xml:space="preserve">   KU-1370 KY - Electric Distribution - Meters </t>
  </si>
  <si>
    <t xml:space="preserve">   KU-1369 VA - Electric Distribution - Services </t>
  </si>
  <si>
    <t xml:space="preserve">   KU-1369 TN - Electric Distribution - Services </t>
  </si>
  <si>
    <t xml:space="preserve">   KU-1369 KY - Electric Distribution - Services </t>
  </si>
  <si>
    <t xml:space="preserve">   KU-1368 VA - Electric Distribution -  Line Transformers </t>
  </si>
  <si>
    <t xml:space="preserve">   KU-1368 TN - Electric Distribution -  Line Transformers </t>
  </si>
  <si>
    <t xml:space="preserve">   KU-1368 KY - Electric Distribution -  Line Transformers </t>
  </si>
  <si>
    <t xml:space="preserve">   KU-1367 VA - Electric Distribution - Underground Conductors </t>
  </si>
  <si>
    <t xml:space="preserve">   KU-1367 TN - Electric Distribution - Underground Conductors </t>
  </si>
  <si>
    <t xml:space="preserve">   KU-1367 KY - Electric Distribution - Underground Conductors </t>
  </si>
  <si>
    <t xml:space="preserve">   KU-1366 VA - Electric Distribution - Underground Conduit </t>
  </si>
  <si>
    <t xml:space="preserve">   KU-1366 TN - Electric Distribution - Underground Conduit </t>
  </si>
  <si>
    <t xml:space="preserve">   KU-1366 KY - Electric Distribution - Underground Conduit </t>
  </si>
  <si>
    <t xml:space="preserve">   KU-1365 VA - Electric Distribution - Overhead Conductor </t>
  </si>
  <si>
    <t xml:space="preserve">   KU-1365 TN - Electric Distribution - Overhead Conductor </t>
  </si>
  <si>
    <t xml:space="preserve">   KU-1365 KY - Electric Distribution - Overhead Conductor </t>
  </si>
  <si>
    <t xml:space="preserve">   KU-1364 VA - Electric Distribution - Poles, Towers, and Fixtures </t>
  </si>
  <si>
    <t xml:space="preserve">   KU-1364 TN - Electric Distribution - Poles, Towers, and Fixtures </t>
  </si>
  <si>
    <t xml:space="preserve">   KU-1364 KY - Electric Distribution - Poles, Towers, and Fixtures </t>
  </si>
  <si>
    <t xml:space="preserve">   KU-1362 VA - Electric Distribution - Station Equipment </t>
  </si>
  <si>
    <t xml:space="preserve">   KU-1362 TN - Electric Distribution - Station Equipment </t>
  </si>
  <si>
    <t xml:space="preserve">   KU-1362 KY - Electric Distribution - Station Equipment </t>
  </si>
  <si>
    <t xml:space="preserve">   KU-1362 - Electric Distribution - Future Use </t>
  </si>
  <si>
    <t xml:space="preserve">   KU-1361 VA - Electric Distribution - Structures and Improvements </t>
  </si>
  <si>
    <t xml:space="preserve">   KU-1361 TN - Electric Distribution - Structures and Improvements </t>
  </si>
  <si>
    <t xml:space="preserve">   KU-1361 KY - Electric Distribution - Structures and Improvements </t>
  </si>
  <si>
    <t xml:space="preserve">   KU-1360 VA - Electric Distribution - Land &amp; Land Rights </t>
  </si>
  <si>
    <t xml:space="preserve">   KU-1360 TN - Electric Distribution - Land &amp; Land Rights </t>
  </si>
  <si>
    <t xml:space="preserve">   KU-1360 KY - Electric Distribution - Land &amp; Land Rights </t>
  </si>
  <si>
    <t xml:space="preserve">   KU-1360 KY - Electric Distribution - Future Use </t>
  </si>
  <si>
    <t xml:space="preserve">   KU-1359 - Electric Transmission - ARO </t>
  </si>
  <si>
    <t xml:space="preserve">   KU-1358 VA - Electric Transmission - UG Conductors and Devices </t>
  </si>
  <si>
    <t xml:space="preserve">   KU-1358 KY - Electric Transmission - UG Conductors and Devices </t>
  </si>
  <si>
    <t xml:space="preserve">   KU-1357 VA - Electric Transmission - Underground Conduit </t>
  </si>
  <si>
    <t xml:space="preserve">   KU-1357 KY - Electric Transmission - Underground Conduit </t>
  </si>
  <si>
    <t xml:space="preserve">   KU-1356 VA - Electric Transmission - OH Conductors and Devices </t>
  </si>
  <si>
    <t xml:space="preserve">   KU-1356 TN - Electric Transmission - OH Conductors and Devices </t>
  </si>
  <si>
    <t xml:space="preserve">   KU-1356 KY - Electric Transmission - OH Conductors and Devices </t>
  </si>
  <si>
    <t xml:space="preserve">   KU-1356 - Electric Transmission - ECR 2005 </t>
  </si>
  <si>
    <t xml:space="preserve">   KU-1355 VA - Electric Transmission - Poles and Fixtures </t>
  </si>
  <si>
    <t xml:space="preserve">   KU-1355 TN - Electric Transmission - Poles and Fixtures </t>
  </si>
  <si>
    <t xml:space="preserve">   KU-1355 KY - Electric Transmission - Poles and Fixtures </t>
  </si>
  <si>
    <t xml:space="preserve">   KU-1355 - Electric Transmission - ECR 2005 </t>
  </si>
  <si>
    <t xml:space="preserve">   KU-1354 VA - Electric Transmission - Towers and Fixtures </t>
  </si>
  <si>
    <t xml:space="preserve">   KU-1354 KY - Electric Transmission - Towers and Fixtures </t>
  </si>
  <si>
    <t xml:space="preserve">   KU-1354 - Electric Transmission - ECR 2005 </t>
  </si>
  <si>
    <t xml:space="preserve">   KU-1353 VA - Electric Transmission - Station Equipment </t>
  </si>
  <si>
    <t xml:space="preserve">   KU-1353 SYSTEM - Electric Transmission - Station Equipment </t>
  </si>
  <si>
    <t xml:space="preserve">   KU-1353 KY - Electric Transmission - Station Equipment </t>
  </si>
  <si>
    <t xml:space="preserve">   KU-1353 - Electric Transmission - Station Equipment - AROP </t>
  </si>
  <si>
    <t xml:space="preserve">   KU-1352 VA - Electric Transmission - Structures and Improvements </t>
  </si>
  <si>
    <t xml:space="preserve">   KU-1352 KY - Electric Transmission - Structures and Improvements </t>
  </si>
  <si>
    <t xml:space="preserve">   KU-1352 - Electric Transmission - Structures and Improvements </t>
  </si>
  <si>
    <t xml:space="preserve">   KU-1350 VA - Electric Transmission - Land &amp; Land Rights </t>
  </si>
  <si>
    <t xml:space="preserve">   KU-1350 TN - Electric Transmission - Land &amp; Land Rights </t>
  </si>
  <si>
    <t xml:space="preserve">   KU-1350 KY - Electric Transmission - Land &amp; Land Rights </t>
  </si>
  <si>
    <t xml:space="preserve">   KU-1350 - Electric Transmission - Land &amp; Land Rights </t>
  </si>
  <si>
    <t xml:space="preserve">   KU-1347 - Other Production - ARO </t>
  </si>
  <si>
    <t xml:space="preserve">   KU-1346 - Other Production - Misc Power Plant Equipment </t>
  </si>
  <si>
    <t xml:space="preserve">   KU-1345 - Other Production - Accessory Electric Equipment - AROP </t>
  </si>
  <si>
    <t xml:space="preserve">   KU-1345 - Other Production - Accessory Electric Equipment </t>
  </si>
  <si>
    <t xml:space="preserve">   KU-1344 - Other Production - Generators </t>
  </si>
  <si>
    <t xml:space="preserve">   KU-1343 - Other Production - Prime Movers </t>
  </si>
  <si>
    <t xml:space="preserve">   KU-1342 - Other Production - Fuel Holders, Producers, Acc - AROP </t>
  </si>
  <si>
    <t xml:space="preserve">   KU-1342 - Other Production - Fuel Holders, Producers, Acc </t>
  </si>
  <si>
    <t xml:space="preserve">   KU-1341 - Other Production - Structures and Improvements </t>
  </si>
  <si>
    <t xml:space="preserve">   KU-1340 - Other Production - Land &amp; Land Rights </t>
  </si>
  <si>
    <t xml:space="preserve">   KU-1337 - Hydro Production - ARO </t>
  </si>
  <si>
    <t xml:space="preserve">   KU-1336 - Hydro Production - Roads, Railroads, and Bridges </t>
  </si>
  <si>
    <t xml:space="preserve">   KU-1335 - Hydro Production - Misc Power Plant Equipment </t>
  </si>
  <si>
    <t xml:space="preserve">   KU-1334 - Hydro Production - Accessory Electric Equipment </t>
  </si>
  <si>
    <t xml:space="preserve">   KU-1333 - Hydro Production - Water Wheels, Turbine Gen </t>
  </si>
  <si>
    <t xml:space="preserve">   KU-1332 - Hydro Production - Reservoirs, Dams, and Water </t>
  </si>
  <si>
    <t xml:space="preserve">   KU-1331 - Hydro Production - Structures and Improvements </t>
  </si>
  <si>
    <t xml:space="preserve">   KU-1330 - Hydro Production - Land &amp; Land Rights </t>
  </si>
  <si>
    <t xml:space="preserve">   KU-1317 - Steam Production - ARO </t>
  </si>
  <si>
    <t xml:space="preserve">   KU-1316 - Steam Production - Misc Power Plant Equipment </t>
  </si>
  <si>
    <t xml:space="preserve">   KU-1316 - Steam Production - Future Use </t>
  </si>
  <si>
    <t xml:space="preserve">   KU-1315 - Steam Production - Future Use </t>
  </si>
  <si>
    <t xml:space="preserve">   KU-1315 - Steam Production - ECR 2011 </t>
  </si>
  <si>
    <t xml:space="preserve">   KU-1315 - Steam Production - ECR 2006 </t>
  </si>
  <si>
    <t xml:space="preserve">   KU-1315 - Steam Production - ECR 2005 </t>
  </si>
  <si>
    <t xml:space="preserve">   KU-1315 - Steam Production - Accessory Electric Equipment - AROP </t>
  </si>
  <si>
    <t xml:space="preserve">   KU-1315 - Steam Production - Accessory Electric Equipment </t>
  </si>
  <si>
    <t xml:space="preserve">   KU-1314 - Steam Production - Turbogenerator Units - AROP </t>
  </si>
  <si>
    <t xml:space="preserve">   KU-1314 - Steam Production - Turbogenerator Units </t>
  </si>
  <si>
    <t xml:space="preserve">   KU-1314 - Steam Production - Future Use </t>
  </si>
  <si>
    <t xml:space="preserve">   KU-1312 - Steam Production - Future Use </t>
  </si>
  <si>
    <t xml:space="preserve">   KU-1312 - Steam Production - ECR Future Plan </t>
  </si>
  <si>
    <t xml:space="preserve">   KU-1312 - Steam Production - ECR 2011 </t>
  </si>
  <si>
    <t xml:space="preserve">   KU-1312 - Steam Production - ECR 2009 </t>
  </si>
  <si>
    <t xml:space="preserve">   KU-1312 - Steam Production - ECR 2006 </t>
  </si>
  <si>
    <t xml:space="preserve">   KU-1312 - Steam Production - ECR 2005 </t>
  </si>
  <si>
    <t xml:space="preserve">   KU-1312 - Steam Production - Boiler Plant Equipment - AROP </t>
  </si>
  <si>
    <t xml:space="preserve">   KU-1312 - Steam Production - Boiler Plant Equipment </t>
  </si>
  <si>
    <t xml:space="preserve">   KU-1312 - Steam Production - 102 </t>
  </si>
  <si>
    <t xml:space="preserve">   KU-1311 - Steam Production - Structures and Improvements - AROP </t>
  </si>
  <si>
    <t xml:space="preserve">   KU-1311 - Steam Production - Structures and Improvements </t>
  </si>
  <si>
    <t xml:space="preserve">   KU-1311 - Steam Production - Future Use </t>
  </si>
  <si>
    <t xml:space="preserve">   KU-1311 - Steam Production - ECR 2009 </t>
  </si>
  <si>
    <t xml:space="preserve">   KU-1311 - Steam Production - ECR 2006 </t>
  </si>
  <si>
    <t xml:space="preserve">   KU-1311 - Steam Production - ECR 2005 </t>
  </si>
  <si>
    <t xml:space="preserve">   KU-1310 - Steam Production - Land &amp; Land Rights </t>
  </si>
  <si>
    <t xml:space="preserve">   KU-1310 - Steam Production - Future Use </t>
  </si>
  <si>
    <t xml:space="preserve">   KU-1310 - Steam Production - ECR 2011 </t>
  </si>
  <si>
    <t xml:space="preserve">   KU-1310 - Steam Production - ECR 2009 </t>
  </si>
  <si>
    <t xml:space="preserve">   KU-1303 - Intangible - Software - CCS </t>
  </si>
  <si>
    <t xml:space="preserve">   KU-1303 - Intangible - Software </t>
  </si>
  <si>
    <t xml:space="preserve">   KU-1302 - Intangible - Franchises and Consents </t>
  </si>
  <si>
    <t xml:space="preserve">   KU-1301 VA - Intangible - Organization </t>
  </si>
  <si>
    <t xml:space="preserve">   KU-1301 KY - Intangible - Organization </t>
  </si>
  <si>
    <t>Year 2015</t>
  </si>
  <si>
    <t>Year 2016</t>
  </si>
  <si>
    <t>Year 2017</t>
  </si>
  <si>
    <t>Year 2018</t>
  </si>
  <si>
    <t>G:[Ending CWIP]</t>
  </si>
  <si>
    <t xml:space="preserve">   Kentucky Utilities </t>
  </si>
  <si>
    <t xml:space="preserve">   LG&amp;E </t>
  </si>
  <si>
    <t>Net Plant</t>
  </si>
  <si>
    <t>Total Plant</t>
  </si>
  <si>
    <t>Intangibles (ARO's, Org, Franch &amp; Cons)</t>
  </si>
  <si>
    <t>Virginia and Tennessee Property</t>
  </si>
  <si>
    <t>Vehicles</t>
  </si>
  <si>
    <t>Exclude:</t>
  </si>
  <si>
    <t>Add:</t>
  </si>
  <si>
    <t>Kentucky Utilities </t>
  </si>
  <si>
    <t xml:space="preserve">     AS:[Fuel Inventory-151.0]</t>
  </si>
  <si>
    <t xml:space="preserve">     AU:[M&amp;S Inventory-154.0]</t>
  </si>
  <si>
    <t xml:space="preserve">     AX:[Stores Expense-163.0]</t>
  </si>
  <si>
    <t>LG&amp;E </t>
  </si>
  <si>
    <t>Net Book Reportable for KY Property Tax</t>
  </si>
  <si>
    <t>R:[Ending RWIP]</t>
  </si>
  <si>
    <t>CWIP and RWIP</t>
  </si>
  <si>
    <t>Virginia and Tennessee CWIP</t>
  </si>
  <si>
    <t xml:space="preserve">     Assessed Franchise Value</t>
  </si>
  <si>
    <t>Real Estate Original Costs</t>
  </si>
  <si>
    <t>Manufacturing Machinery Original Costs</t>
  </si>
  <si>
    <t>Other Tangible Property Original Costs</t>
  </si>
  <si>
    <t>Exempt</t>
  </si>
  <si>
    <t>Non-KY</t>
  </si>
  <si>
    <t>Inventory</t>
  </si>
  <si>
    <t>KY Reportable Original Costs</t>
  </si>
  <si>
    <t>Kentucky Utilities Company</t>
  </si>
  <si>
    <t>Property Tax Analysis</t>
  </si>
  <si>
    <t>Summary</t>
  </si>
  <si>
    <t>Allocated CWIP and RWIP</t>
  </si>
  <si>
    <t>Net Book Value Reported on Schedule J</t>
  </si>
  <si>
    <t>Average Tax Rates per Category (per $100)</t>
  </si>
  <si>
    <t>KY Property Tax Expense</t>
  </si>
  <si>
    <t>Virginia Property Tax</t>
  </si>
  <si>
    <t>Kentucky Property Tax</t>
  </si>
  <si>
    <t>Paid and Assessed Locally</t>
  </si>
  <si>
    <t>Total Property Tax Expense</t>
  </si>
  <si>
    <t xml:space="preserve">     AW:[Gas Inventory-164.0]</t>
  </si>
  <si>
    <t>Property &amp; Other Taxes</t>
  </si>
  <si>
    <t>Income Statement impact:</t>
  </si>
  <si>
    <t>Budgeted Property Taxes</t>
  </si>
  <si>
    <t>2016</t>
  </si>
  <si>
    <t>2017</t>
  </si>
  <si>
    <t>2018</t>
  </si>
  <si>
    <t>Property Taxes (P&amp;L)</t>
  </si>
  <si>
    <t>KU</t>
  </si>
  <si>
    <t>Less Capitalization:</t>
  </si>
  <si>
    <t xml:space="preserve">   KU</t>
  </si>
  <si>
    <t>KU Electric</t>
  </si>
  <si>
    <t>KU ECR</t>
  </si>
  <si>
    <t>KU Totals</t>
  </si>
  <si>
    <t xml:space="preserve">Sheet, and CWIP-RWIP reports.  An average rate was used to calculated the tax liability for each property tax classification. </t>
  </si>
  <si>
    <t xml:space="preserve">   KU-1311 - Steam Production - ECR 2011 </t>
  </si>
  <si>
    <t xml:space="preserve">   KU-1315 - Steam Production - ECR 2009 </t>
  </si>
  <si>
    <t xml:space="preserve">   KU-1316 - Steam Production - ECR 2011 </t>
  </si>
  <si>
    <t xml:space="preserve">   KU-1341 - Other Production - Structures and Improvements CCGT </t>
  </si>
  <si>
    <t xml:space="preserve">   KU-1342 - Other Production - Fuel Holders, Producers, Acc CCGT </t>
  </si>
  <si>
    <t xml:space="preserve">   KU-1343 - Other Production - Prime Movers CCGT </t>
  </si>
  <si>
    <t xml:space="preserve">   KU-1344 - Other Production - Generators CCGT </t>
  </si>
  <si>
    <t xml:space="preserve">   KU-1345 - Other Production - Accessory Electric Equipment CCGT </t>
  </si>
  <si>
    <t xml:space="preserve">   KU-1345 - Other Production - Accessory Electric Equipment Solar </t>
  </si>
  <si>
    <t xml:space="preserve">   KU-1346 - Other Production - Misc Power Plant Equipment CCGT </t>
  </si>
  <si>
    <t xml:space="preserve">   KU-1364 - Electric Distribution - ECR 2009 </t>
  </si>
  <si>
    <t xml:space="preserve">   KU-1365 - Electric Distribution - ECR 2009 </t>
  </si>
  <si>
    <t xml:space="preserve">   KU-1366 - Electric Distribution - ECR 2009 </t>
  </si>
  <si>
    <t xml:space="preserve">   KU-1367 - Electric Distribution - ECR 2009 </t>
  </si>
  <si>
    <t>H:[Ending CWIP]</t>
  </si>
  <si>
    <t>S:[Ending RWIP]</t>
  </si>
  <si>
    <t>Real Estate allocation</t>
  </si>
  <si>
    <t>Manufacturing Machinery allocation</t>
  </si>
  <si>
    <t>Plant account 311</t>
  </si>
  <si>
    <t>Plant account 341</t>
  </si>
  <si>
    <t xml:space="preserve">   KU - Non-Mech</t>
  </si>
  <si>
    <t xml:space="preserve">   KU - Mech</t>
  </si>
  <si>
    <t xml:space="preserve">   KU_ECR </t>
  </si>
  <si>
    <t>AW:[Net Plant (excl CWIP and RWIP)]</t>
  </si>
  <si>
    <t xml:space="preserve">   KU_DSM </t>
  </si>
  <si>
    <t xml:space="preserve">   KU_ECR Net Plant Beg Bal</t>
  </si>
  <si>
    <t xml:space="preserve">      Property Tax Rate</t>
  </si>
  <si>
    <t xml:space="preserve">   Property Tax Expense</t>
  </si>
  <si>
    <t>P&amp;L Property Taxes</t>
  </si>
  <si>
    <t xml:space="preserve">   KU-1312 - Steam Production - ECR 2016 </t>
  </si>
  <si>
    <t xml:space="preserve">   KU-1312 - Steam Production - ECR 2018 </t>
  </si>
  <si>
    <t xml:space="preserve">   KU-1340 - Other Production - Future Use </t>
  </si>
  <si>
    <t xml:space="preserve">   KU-1340 - Other Production - Gas Pipe Line </t>
  </si>
  <si>
    <t xml:space="preserve">   KU-1341 - Other Production - Structures and Improvements Solar </t>
  </si>
  <si>
    <t xml:space="preserve">   KU-1342 - Other Production - Gas Pipe Line </t>
  </si>
  <si>
    <t xml:space="preserve">   KU-1344 - Other Production - Generators Solar </t>
  </si>
  <si>
    <t xml:space="preserve">   KU-1346 - Other Production - Misc Power Plant Equipment Solar </t>
  </si>
  <si>
    <t>Mechanism</t>
  </si>
  <si>
    <t>Non-Mechanism</t>
  </si>
  <si>
    <t>Tax-2017</t>
  </si>
  <si>
    <t>Tax-2018</t>
  </si>
  <si>
    <t>0110</t>
  </si>
  <si>
    <t>Grand Total</t>
  </si>
  <si>
    <t>Assumptions in MTP years (2017-2021):</t>
  </si>
  <si>
    <t>The 2017 business plan years (2017 - 2021) were calculated based on UI Planner exports from the KY Plant Account, Balance</t>
  </si>
  <si>
    <t>KY Aug 2016 Forecast (2017 BP-Prelim View)- No RC</t>
  </si>
  <si>
    <t>Base Year</t>
  </si>
  <si>
    <t>Test Year</t>
  </si>
  <si>
    <t>Ending 02/28/17</t>
  </si>
  <si>
    <t>Ending 06/30/18</t>
  </si>
  <si>
    <t>2017 BP</t>
  </si>
  <si>
    <t>(round to $1,000's)</t>
  </si>
  <si>
    <t>Provided by Budgeting Department</t>
  </si>
  <si>
    <t>The average rate for local taxing authorities were increased 2% each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</si>
</sst>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_);[Red]\(#,##0\);&quot; &quot;"/>
    <numFmt numFmtId="165" formatCode="#,##0.000_);[Red]\(#,##0.000\);&quot; &quot;"/>
    <numFmt numFmtId="166" formatCode="#,##0.00_);[Red]\(#,##0.00\);&quot; &quot;"/>
    <numFmt numFmtId="167" formatCode="_(* #,##0_);_(* \(#,##0\);_(* &quot;-&quot;??_);_(@_)"/>
    <numFmt numFmtId="168" formatCode="#,##0.0000_);[Red]\(#,##0.0000\);&quot; &quot;"/>
    <numFmt numFmtId="169" formatCode="&quot;$&quot;#,##0_);[Red]\(&quot;$&quot;#,##0\);&quot; &quot;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i/>
      <u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u/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u val="singleAccounting"/>
      <sz val="7"/>
      <color theme="1"/>
      <name val="Calibri"/>
      <family val="2"/>
      <scheme val="minor"/>
    </font>
    <font>
      <sz val="7"/>
      <color rgb="FF00B0F0"/>
      <name val="Calibri"/>
      <family val="2"/>
      <scheme val="minor"/>
    </font>
    <font>
      <u val="singleAccounting"/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7" applyNumberFormat="0" applyAlignment="0" applyProtection="0"/>
    <xf numFmtId="0" fontId="13" fillId="29" borderId="8" applyNumberFormat="0" applyAlignment="0" applyProtection="0"/>
    <xf numFmtId="43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31" borderId="7" applyNumberFormat="0" applyAlignment="0" applyProtection="0"/>
    <xf numFmtId="0" fontId="20" fillId="0" borderId="12" applyNumberFormat="0" applyFill="0" applyAlignment="0" applyProtection="0"/>
    <xf numFmtId="0" fontId="21" fillId="32" borderId="0" applyNumberFormat="0" applyBorder="0" applyAlignment="0" applyProtection="0"/>
    <xf numFmtId="0" fontId="9" fillId="33" borderId="13" applyNumberFormat="0" applyFont="0" applyAlignment="0" applyProtection="0"/>
    <xf numFmtId="0" fontId="22" fillId="28" borderId="14" applyNumberForma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9" fontId="9" fillId="0" borderId="0" applyFont="0" applyFill="0" applyBorder="0" applyAlignment="0" applyProtection="0"/>
  </cellStyleXfs>
  <cellXfs count="76">
    <xf numFmtId="0" fontId="0" fillId="0" borderId="0" xfId="0"/>
    <xf numFmtId="164" fontId="27" fillId="0" borderId="2" xfId="0" applyNumberFormat="1" applyFont="1" applyBorder="1" applyAlignment="1">
      <alignment horizontal="left"/>
    </xf>
    <xf numFmtId="164" fontId="26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164" fontId="26" fillId="0" borderId="2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right" wrapText="1"/>
    </xf>
    <xf numFmtId="49" fontId="26" fillId="0" borderId="0" xfId="0" applyNumberFormat="1" applyFont="1" applyAlignment="1">
      <alignment horizontal="left" wrapText="1"/>
    </xf>
    <xf numFmtId="49" fontId="26" fillId="0" borderId="0" xfId="0" applyNumberFormat="1" applyFont="1" applyFill="1" applyAlignment="1">
      <alignment horizontal="right" wrapText="1"/>
    </xf>
    <xf numFmtId="164" fontId="27" fillId="0" borderId="1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left"/>
    </xf>
    <xf numFmtId="164" fontId="26" fillId="0" borderId="2" xfId="0" applyNumberFormat="1" applyFont="1" applyFill="1" applyBorder="1" applyAlignment="1">
      <alignment horizontal="right"/>
    </xf>
    <xf numFmtId="169" fontId="26" fillId="0" borderId="0" xfId="0" applyNumberFormat="1" applyFont="1" applyAlignment="1">
      <alignment horizontal="left"/>
    </xf>
    <xf numFmtId="169" fontId="26" fillId="0" borderId="0" xfId="0" applyNumberFormat="1" applyFont="1" applyAlignment="1">
      <alignment horizontal="right"/>
    </xf>
    <xf numFmtId="164" fontId="31" fillId="0" borderId="0" xfId="0" applyNumberFormat="1" applyFont="1" applyFill="1" applyAlignment="1">
      <alignment horizontal="right"/>
    </xf>
    <xf numFmtId="164" fontId="29" fillId="0" borderId="0" xfId="0" applyNumberFormat="1" applyFont="1" applyFill="1" applyAlignment="1">
      <alignment horizontal="right"/>
    </xf>
    <xf numFmtId="0" fontId="2" fillId="2" borderId="0" xfId="0" applyFont="1" applyFill="1" applyAlignment="1"/>
    <xf numFmtId="0" fontId="3" fillId="2" borderId="0" xfId="0" applyFont="1" applyFill="1"/>
    <xf numFmtId="0" fontId="2" fillId="2" borderId="0" xfId="0" applyFont="1" applyFill="1"/>
    <xf numFmtId="0" fontId="4" fillId="2" borderId="5" xfId="0" applyFont="1" applyFill="1" applyBorder="1"/>
    <xf numFmtId="0" fontId="5" fillId="2" borderId="0" xfId="0" quotePrefix="1" applyFont="1" applyFill="1" applyAlignment="1">
      <alignment horizontal="center"/>
    </xf>
    <xf numFmtId="0" fontId="6" fillId="2" borderId="0" xfId="0" applyFont="1" applyFill="1"/>
    <xf numFmtId="167" fontId="3" fillId="2" borderId="0" xfId="28" applyNumberFormat="1" applyFont="1" applyFill="1"/>
    <xf numFmtId="167" fontId="3" fillId="2" borderId="4" xfId="28" applyNumberFormat="1" applyFont="1" applyFill="1" applyBorder="1"/>
    <xf numFmtId="167" fontId="3" fillId="2" borderId="0" xfId="28" applyNumberFormat="1" applyFont="1" applyFill="1" applyBorder="1"/>
    <xf numFmtId="167" fontId="3" fillId="2" borderId="3" xfId="28" applyNumberFormat="1" applyFont="1" applyFill="1" applyBorder="1"/>
    <xf numFmtId="167" fontId="2" fillId="2" borderId="6" xfId="28" applyNumberFormat="1" applyFont="1" applyFill="1" applyBorder="1"/>
    <xf numFmtId="167" fontId="7" fillId="2" borderId="0" xfId="28" applyNumberFormat="1" applyFont="1" applyFill="1" applyBorder="1"/>
    <xf numFmtId="0" fontId="8" fillId="2" borderId="0" xfId="0" applyFont="1" applyFill="1"/>
    <xf numFmtId="0" fontId="1" fillId="2" borderId="0" xfId="0" applyFont="1" applyFill="1"/>
    <xf numFmtId="169" fontId="27" fillId="0" borderId="4" xfId="0" applyNumberFormat="1" applyFont="1" applyBorder="1" applyAlignment="1">
      <alignment horizontal="right"/>
    </xf>
    <xf numFmtId="0" fontId="0" fillId="0" borderId="0" xfId="0"/>
    <xf numFmtId="164" fontId="26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left"/>
    </xf>
    <xf numFmtId="0" fontId="3" fillId="2" borderId="0" xfId="0" applyFont="1" applyFill="1"/>
    <xf numFmtId="167" fontId="3" fillId="2" borderId="0" xfId="28" applyNumberFormat="1" applyFont="1" applyFill="1"/>
    <xf numFmtId="49" fontId="33" fillId="0" borderId="0" xfId="0" applyNumberFormat="1" applyFont="1" applyAlignment="1">
      <alignment horizontal="left" wrapText="1"/>
    </xf>
    <xf numFmtId="49" fontId="33" fillId="0" borderId="0" xfId="0" applyNumberFormat="1" applyFont="1" applyAlignment="1">
      <alignment horizontal="right" wrapText="1"/>
    </xf>
    <xf numFmtId="164" fontId="33" fillId="0" borderId="0" xfId="0" applyNumberFormat="1" applyFont="1" applyAlignment="1">
      <alignment horizontal="left"/>
    </xf>
    <xf numFmtId="164" fontId="33" fillId="0" borderId="0" xfId="0" applyNumberFormat="1" applyFont="1" applyAlignment="1">
      <alignment horizontal="right"/>
    </xf>
    <xf numFmtId="167" fontId="33" fillId="0" borderId="0" xfId="28" applyNumberFormat="1" applyFont="1" applyAlignment="1">
      <alignment horizontal="right"/>
    </xf>
    <xf numFmtId="164" fontId="33" fillId="0" borderId="2" xfId="0" applyNumberFormat="1" applyFont="1" applyBorder="1" applyAlignment="1">
      <alignment horizontal="left"/>
    </xf>
    <xf numFmtId="167" fontId="33" fillId="0" borderId="2" xfId="28" applyNumberFormat="1" applyFont="1" applyBorder="1" applyAlignment="1">
      <alignment horizontal="right"/>
    </xf>
    <xf numFmtId="168" fontId="33" fillId="0" borderId="0" xfId="0" applyNumberFormat="1" applyFont="1" applyAlignment="1">
      <alignment horizontal="right"/>
    </xf>
    <xf numFmtId="164" fontId="33" fillId="0" borderId="1" xfId="0" applyNumberFormat="1" applyFont="1" applyBorder="1" applyAlignment="1">
      <alignment horizontal="right"/>
    </xf>
    <xf numFmtId="49" fontId="33" fillId="0" borderId="0" xfId="0" applyNumberFormat="1" applyFont="1" applyAlignment="1">
      <alignment horizontal="center" wrapText="1"/>
    </xf>
    <xf numFmtId="43" fontId="7" fillId="2" borderId="0" xfId="28" applyNumberFormat="1" applyFont="1" applyFill="1" applyBorder="1"/>
    <xf numFmtId="49" fontId="26" fillId="0" borderId="0" xfId="0" applyNumberFormat="1" applyFont="1" applyFill="1" applyAlignment="1">
      <alignment horizontal="left" wrapText="1"/>
    </xf>
    <xf numFmtId="164" fontId="26" fillId="0" borderId="0" xfId="0" applyNumberFormat="1" applyFont="1" applyFill="1" applyAlignment="1"/>
    <xf numFmtId="165" fontId="26" fillId="0" borderId="0" xfId="0" applyNumberFormat="1" applyFont="1" applyFill="1" applyAlignment="1">
      <alignment horizontal="right"/>
    </xf>
    <xf numFmtId="165" fontId="31" fillId="0" borderId="0" xfId="0" applyNumberFormat="1" applyFont="1" applyFill="1" applyAlignment="1">
      <alignment horizontal="right"/>
    </xf>
    <xf numFmtId="164" fontId="26" fillId="0" borderId="2" xfId="0" applyNumberFormat="1" applyFont="1" applyFill="1" applyBorder="1" applyAlignment="1">
      <alignment horizontal="left"/>
    </xf>
    <xf numFmtId="164" fontId="27" fillId="0" borderId="0" xfId="0" applyNumberFormat="1" applyFont="1" applyFill="1" applyAlignment="1">
      <alignment horizontal="left"/>
    </xf>
    <xf numFmtId="164" fontId="28" fillId="0" borderId="0" xfId="0" applyNumberFormat="1" applyFont="1" applyFill="1" applyAlignment="1">
      <alignment horizontal="left"/>
    </xf>
    <xf numFmtId="165" fontId="26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26" fillId="0" borderId="3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right"/>
    </xf>
    <xf numFmtId="43" fontId="30" fillId="0" borderId="0" xfId="28" applyFont="1" applyFill="1" applyAlignment="1">
      <alignment horizontal="center" wrapText="1"/>
    </xf>
    <xf numFmtId="164" fontId="27" fillId="0" borderId="4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7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pivotButton="1" applyAlignment="1">
      <alignment horizontal="center"/>
    </xf>
    <xf numFmtId="167" fontId="34" fillId="2" borderId="0" xfId="28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9" fontId="3" fillId="2" borderId="0" xfId="44" applyFont="1" applyFill="1" applyBorder="1"/>
    <xf numFmtId="167" fontId="2" fillId="2" borderId="0" xfId="28" applyNumberFormat="1" applyFont="1" applyFill="1" applyBorder="1"/>
    <xf numFmtId="14" fontId="32" fillId="0" borderId="0" xfId="28" applyNumberFormat="1" applyFont="1" applyFill="1" applyAlignment="1">
      <alignment horizontal="center" wrapText="1"/>
    </xf>
    <xf numFmtId="167" fontId="26" fillId="0" borderId="0" xfId="28" applyNumberFormat="1" applyFont="1" applyFill="1" applyAlignment="1">
      <alignment horizontal="right"/>
    </xf>
    <xf numFmtId="43" fontId="30" fillId="0" borderId="0" xfId="28" applyFont="1" applyFill="1" applyBorder="1" applyAlignment="1">
      <alignment horizontal="center" wrapText="1"/>
    </xf>
    <xf numFmtId="0" fontId="3" fillId="2" borderId="16" xfId="0" applyFont="1" applyFill="1" applyBorder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3"/>
    <cellStyle name="Note" xfId="38" builtinId="10" customBuiltin="1"/>
    <cellStyle name="Output" xfId="39" builtinId="21" customBuiltin="1"/>
    <cellStyle name="Percent" xfId="44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="90" zoomScaleNormal="90" workbookViewId="0">
      <selection activeCell="B4" sqref="B4"/>
    </sheetView>
  </sheetViews>
  <sheetFormatPr defaultRowHeight="15" x14ac:dyDescent="0.2"/>
  <cols>
    <col min="1" max="1" width="24.85546875" style="18" customWidth="1"/>
    <col min="2" max="4" width="15.140625" style="18" customWidth="1"/>
    <col min="5" max="5" width="4.28515625" style="35" customWidth="1"/>
    <col min="6" max="6" width="15.140625" style="35" customWidth="1"/>
    <col min="7" max="7" width="4.28515625" style="35" customWidth="1"/>
    <col min="8" max="8" width="15.42578125" style="35" customWidth="1"/>
    <col min="9" max="16384" width="9.140625" style="18"/>
  </cols>
  <sheetData>
    <row r="1" spans="1:8" ht="15.75" x14ac:dyDescent="0.25">
      <c r="A1" s="17" t="s">
        <v>176</v>
      </c>
      <c r="B1" s="17"/>
      <c r="C1" s="17"/>
      <c r="D1" s="17"/>
      <c r="F1" s="17"/>
      <c r="H1" s="17"/>
    </row>
    <row r="2" spans="1:8" ht="15.75" x14ac:dyDescent="0.25">
      <c r="A2" s="19" t="s">
        <v>252</v>
      </c>
      <c r="B2" s="23"/>
      <c r="C2" s="23"/>
      <c r="D2" s="23"/>
      <c r="F2" s="36"/>
      <c r="H2" s="36"/>
    </row>
    <row r="3" spans="1:8" ht="15.75" x14ac:dyDescent="0.25">
      <c r="A3" s="19" t="s">
        <v>188</v>
      </c>
      <c r="B3" s="23"/>
      <c r="C3" s="23"/>
      <c r="D3" s="23"/>
      <c r="F3" s="36"/>
      <c r="H3" s="36"/>
    </row>
    <row r="4" spans="1:8" ht="15.75" x14ac:dyDescent="0.25">
      <c r="A4" s="19" t="s">
        <v>189</v>
      </c>
      <c r="B4" s="23"/>
      <c r="C4" s="23"/>
      <c r="D4" s="23"/>
      <c r="F4" s="36"/>
      <c r="H4" s="36"/>
    </row>
    <row r="5" spans="1:8" s="35" customFormat="1" ht="15.75" x14ac:dyDescent="0.25">
      <c r="A5" s="19" t="s">
        <v>253</v>
      </c>
      <c r="B5" s="36"/>
      <c r="C5" s="36"/>
      <c r="D5" s="36"/>
      <c r="F5" s="68"/>
      <c r="H5" s="68"/>
    </row>
    <row r="6" spans="1:8" ht="15.75" x14ac:dyDescent="0.25">
      <c r="A6" s="19"/>
      <c r="B6" s="23"/>
      <c r="C6" s="23"/>
      <c r="D6" s="23"/>
      <c r="F6" s="68"/>
      <c r="H6" s="68"/>
    </row>
    <row r="7" spans="1:8" x14ac:dyDescent="0.2">
      <c r="A7" s="20" t="s">
        <v>190</v>
      </c>
      <c r="B7" s="75"/>
      <c r="F7" s="69" t="s">
        <v>248</v>
      </c>
      <c r="H7" s="69" t="s">
        <v>249</v>
      </c>
    </row>
    <row r="8" spans="1:8" x14ac:dyDescent="0.2">
      <c r="B8" s="21" t="s">
        <v>191</v>
      </c>
      <c r="C8" s="21" t="s">
        <v>192</v>
      </c>
      <c r="D8" s="21" t="s">
        <v>193</v>
      </c>
      <c r="F8" s="21" t="s">
        <v>250</v>
      </c>
      <c r="H8" s="21" t="s">
        <v>251</v>
      </c>
    </row>
    <row r="9" spans="1:8" ht="15.75" x14ac:dyDescent="0.25">
      <c r="A9" s="22" t="s">
        <v>194</v>
      </c>
    </row>
    <row r="10" spans="1:8" x14ac:dyDescent="0.2">
      <c r="A10" s="18" t="s">
        <v>195</v>
      </c>
      <c r="B10" s="23">
        <f>+'KU Analysis'!B245</f>
        <v>27307.365809379069</v>
      </c>
      <c r="C10" s="36">
        <f>+'KU Analysis'!C245</f>
        <v>29084.65088066852</v>
      </c>
      <c r="D10" s="36">
        <f>+'KU Analysis'!D245</f>
        <v>31882.312216634033</v>
      </c>
      <c r="F10" s="36">
        <f>(+B10/12*10+C10/12*2)</f>
        <v>27603.579987927311</v>
      </c>
      <c r="H10" s="36">
        <f>(+C10/12*6+D10/12*6)</f>
        <v>30483.481548651274</v>
      </c>
    </row>
    <row r="11" spans="1:8" x14ac:dyDescent="0.2">
      <c r="A11" s="18" t="s">
        <v>196</v>
      </c>
      <c r="B11" s="23"/>
      <c r="C11" s="23"/>
      <c r="D11" s="23"/>
      <c r="F11" s="25"/>
      <c r="H11" s="25"/>
    </row>
    <row r="12" spans="1:8" s="35" customFormat="1" x14ac:dyDescent="0.2">
      <c r="A12" s="35" t="s">
        <v>222</v>
      </c>
      <c r="B12" s="36">
        <f>-315027.74/1000</f>
        <v>-315.02773999999999</v>
      </c>
      <c r="C12" s="36">
        <f>-'Cap Prop Tax'!B9/1000</f>
        <v>-462.69331095570004</v>
      </c>
      <c r="D12" s="36">
        <f>-'Cap Prop Tax'!C9/1000</f>
        <v>-331.48438890009987</v>
      </c>
      <c r="F12" s="25">
        <f t="shared" ref="F12:F13" si="0">(+B12/12*10+C12/12*2)</f>
        <v>-339.63866849261672</v>
      </c>
      <c r="H12" s="25">
        <f t="shared" ref="H12:H13" si="1">(+C12/12*6+D12/12*6)</f>
        <v>-397.08884992789996</v>
      </c>
    </row>
    <row r="13" spans="1:8" x14ac:dyDescent="0.2">
      <c r="A13" s="35" t="s">
        <v>223</v>
      </c>
      <c r="B13" s="23">
        <f>-195832.2/1000</f>
        <v>-195.8322</v>
      </c>
      <c r="C13" s="23">
        <f>-'Cap Prop Tax'!B8/1000</f>
        <v>-83.871107430000009</v>
      </c>
      <c r="D13" s="36">
        <f>-'Cap Prop Tax'!C8/1000</f>
        <v>-268.47681631500001</v>
      </c>
      <c r="F13" s="25">
        <f t="shared" si="0"/>
        <v>-177.17201790499999</v>
      </c>
      <c r="H13" s="25">
        <f t="shared" si="1"/>
        <v>-176.1739618725</v>
      </c>
    </row>
    <row r="14" spans="1:8" x14ac:dyDescent="0.2">
      <c r="B14" s="24">
        <f>SUM(B10:B13)</f>
        <v>26796.505869379067</v>
      </c>
      <c r="C14" s="24">
        <f>SUM(C10:C13)</f>
        <v>28538.086462282819</v>
      </c>
      <c r="D14" s="24">
        <f>SUM(D10:D13)</f>
        <v>31282.351011418934</v>
      </c>
      <c r="F14" s="24">
        <f>SUM(F10:F13)</f>
        <v>27086.769301529694</v>
      </c>
      <c r="H14" s="24">
        <f>SUM(H10:H13)</f>
        <v>29910.218736850875</v>
      </c>
    </row>
    <row r="15" spans="1:8" ht="15.75" x14ac:dyDescent="0.25">
      <c r="A15" s="22" t="s">
        <v>230</v>
      </c>
      <c r="B15" s="25"/>
      <c r="C15" s="25"/>
      <c r="D15" s="25"/>
      <c r="F15" s="25"/>
      <c r="H15" s="25"/>
    </row>
    <row r="16" spans="1:8" x14ac:dyDescent="0.2">
      <c r="A16" s="18" t="s">
        <v>197</v>
      </c>
      <c r="B16" s="26">
        <f>SUM(B10,B12:B13)</f>
        <v>26796.505869379067</v>
      </c>
      <c r="C16" s="26">
        <f>SUM(C10,C12:C13)</f>
        <v>28538.086462282819</v>
      </c>
      <c r="D16" s="26">
        <f>SUM(D10,D12:D13)</f>
        <v>31282.351011418934</v>
      </c>
      <c r="F16" s="26">
        <f t="shared" ref="F16" si="2">(+B16/12*10+C16/12*2)</f>
        <v>27086.769301529694</v>
      </c>
      <c r="H16" s="26">
        <f t="shared" ref="H16" si="3">(+C16/12*6+D16/12*6)</f>
        <v>29910.218736850878</v>
      </c>
    </row>
    <row r="17" spans="1:8" ht="16.5" thickBot="1" x14ac:dyDescent="0.3">
      <c r="B17" s="27">
        <f>SUM(B16:B16)</f>
        <v>26796.505869379067</v>
      </c>
      <c r="C17" s="27">
        <f>SUM(C16:C16)</f>
        <v>28538.086462282819</v>
      </c>
      <c r="D17" s="27">
        <f>SUM(D16:D16)</f>
        <v>31282.351011418934</v>
      </c>
      <c r="F17" s="27">
        <f>SUM(F16:F16)</f>
        <v>27086.769301529694</v>
      </c>
      <c r="H17" s="27">
        <f>SUM(H16:H16)</f>
        <v>29910.218736850878</v>
      </c>
    </row>
    <row r="18" spans="1:8" ht="15.75" thickTop="1" x14ac:dyDescent="0.2">
      <c r="B18" s="25"/>
      <c r="C18" s="25"/>
      <c r="D18" s="25"/>
      <c r="F18" s="70"/>
      <c r="H18" s="70"/>
    </row>
    <row r="19" spans="1:8" x14ac:dyDescent="0.2">
      <c r="A19" s="18" t="s">
        <v>198</v>
      </c>
      <c r="B19" s="25">
        <f>+SUM(B10,B12:B13)-B20</f>
        <v>25082.094069379069</v>
      </c>
      <c r="C19" s="25">
        <f>+SUM(C10,C12:C13)-C20</f>
        <v>26565.043727063538</v>
      </c>
      <c r="D19" s="25">
        <f>+SUM(D10,D12:D13)-D20</f>
        <v>29316.406469755813</v>
      </c>
      <c r="F19" s="25">
        <f t="shared" ref="F19:F20" si="4">(+B19/12*10+C19/12*2)</f>
        <v>25329.252345659817</v>
      </c>
      <c r="H19" s="25">
        <f t="shared" ref="H19:H20" si="5">(+C19/12*6+D19/12*6)</f>
        <v>27940.725098409675</v>
      </c>
    </row>
    <row r="20" spans="1:8" x14ac:dyDescent="0.2">
      <c r="A20" s="18" t="s">
        <v>199</v>
      </c>
      <c r="B20" s="26">
        <f>159187*12/1000+B13</f>
        <v>1714.4117999999999</v>
      </c>
      <c r="C20" s="26">
        <f>+Mechanisms!C25+C13</f>
        <v>1973.0427352192801</v>
      </c>
      <c r="D20" s="26">
        <f>+Mechanisms!D25+D13</f>
        <v>1965.9445416631204</v>
      </c>
      <c r="F20" s="26">
        <f t="shared" si="4"/>
        <v>1757.5169558698801</v>
      </c>
      <c r="H20" s="26">
        <f t="shared" si="5"/>
        <v>1969.4936384412003</v>
      </c>
    </row>
    <row r="21" spans="1:8" x14ac:dyDescent="0.2">
      <c r="A21" s="18" t="s">
        <v>200</v>
      </c>
      <c r="B21" s="25">
        <f>SUM(B19:B20)</f>
        <v>26796.505869379071</v>
      </c>
      <c r="C21" s="25">
        <f t="shared" ref="C21:D21" si="6">SUM(C19:C20)</f>
        <v>28538.086462282816</v>
      </c>
      <c r="D21" s="25">
        <f t="shared" si="6"/>
        <v>31282.351011418934</v>
      </c>
      <c r="F21" s="25">
        <f>SUM(F16)</f>
        <v>27086.769301529694</v>
      </c>
      <c r="H21" s="25">
        <f>SUM(H16)</f>
        <v>29910.218736850878</v>
      </c>
    </row>
    <row r="22" spans="1:8" x14ac:dyDescent="0.2">
      <c r="B22" s="47">
        <f>+B21-B16</f>
        <v>0</v>
      </c>
      <c r="C22" s="47">
        <f>+C21-C16</f>
        <v>0</v>
      </c>
      <c r="D22" s="47">
        <f>+D21-D16</f>
        <v>0</v>
      </c>
      <c r="F22" s="28">
        <f t="shared" ref="F22:H22" si="7">+SUM(F19:F20)-F21</f>
        <v>0</v>
      </c>
      <c r="H22" s="28">
        <f t="shared" si="7"/>
        <v>0</v>
      </c>
    </row>
    <row r="23" spans="1:8" x14ac:dyDescent="0.2">
      <c r="B23" s="25"/>
      <c r="C23" s="25"/>
      <c r="D23" s="25"/>
      <c r="F23" s="25"/>
      <c r="H23" s="25"/>
    </row>
    <row r="24" spans="1:8" x14ac:dyDescent="0.2">
      <c r="A24" s="29" t="s">
        <v>245</v>
      </c>
      <c r="F24" s="25"/>
      <c r="H24" s="25"/>
    </row>
    <row r="25" spans="1:8" ht="15.75" x14ac:dyDescent="0.25">
      <c r="A25" s="30" t="s">
        <v>246</v>
      </c>
      <c r="F25" s="71"/>
      <c r="H25" s="71"/>
    </row>
    <row r="26" spans="1:8" ht="15.75" x14ac:dyDescent="0.25">
      <c r="A26" s="30" t="s">
        <v>201</v>
      </c>
      <c r="F26" s="71"/>
      <c r="H26" s="71"/>
    </row>
    <row r="27" spans="1:8" x14ac:dyDescent="0.2">
      <c r="A27" s="30" t="s">
        <v>255</v>
      </c>
      <c r="F27" s="25"/>
      <c r="H27" s="25"/>
    </row>
    <row r="28" spans="1:8" x14ac:dyDescent="0.2">
      <c r="A28" s="30"/>
    </row>
  </sheetData>
  <pageMargins left="1" right="0.7" top="1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B16" sqref="B16"/>
    </sheetView>
  </sheetViews>
  <sheetFormatPr defaultRowHeight="12.75" x14ac:dyDescent="0.2"/>
  <cols>
    <col min="1" max="1" width="37" style="39" customWidth="1"/>
    <col min="2" max="4" width="10.7109375" style="40" customWidth="1"/>
    <col min="5" max="16384" width="9.140625" style="40"/>
  </cols>
  <sheetData>
    <row r="1" spans="1:6" s="38" customFormat="1" x14ac:dyDescent="0.2">
      <c r="A1" s="37"/>
    </row>
    <row r="2" spans="1:6" s="38" customFormat="1" ht="25.5" x14ac:dyDescent="0.2">
      <c r="A2" s="37" t="s">
        <v>247</v>
      </c>
      <c r="B2" s="38" t="s">
        <v>145</v>
      </c>
      <c r="C2" s="38" t="s">
        <v>146</v>
      </c>
      <c r="D2" s="38" t="s">
        <v>147</v>
      </c>
    </row>
    <row r="3" spans="1:6" s="38" customFormat="1" x14ac:dyDescent="0.2">
      <c r="A3" s="37"/>
    </row>
    <row r="4" spans="1:6" x14ac:dyDescent="0.2">
      <c r="B4" s="41"/>
      <c r="C4" s="41"/>
      <c r="D4" s="41"/>
    </row>
    <row r="5" spans="1:6" x14ac:dyDescent="0.2">
      <c r="A5" s="39" t="s">
        <v>225</v>
      </c>
      <c r="B5" s="41"/>
      <c r="C5" s="41"/>
      <c r="D5" s="41"/>
    </row>
    <row r="6" spans="1:6" x14ac:dyDescent="0.2">
      <c r="A6" s="39" t="s">
        <v>226</v>
      </c>
      <c r="B6" s="41">
        <v>6072.2109599999903</v>
      </c>
      <c r="C6" s="41">
        <v>7955.2636361920004</v>
      </c>
      <c r="D6" s="41">
        <v>8935.4596424360006</v>
      </c>
      <c r="F6" s="34"/>
    </row>
    <row r="7" spans="1:6" x14ac:dyDescent="0.2">
      <c r="A7" s="39" t="s">
        <v>224</v>
      </c>
      <c r="B7" s="41">
        <v>1148955.7286799999</v>
      </c>
      <c r="C7" s="41">
        <v>1320304.34234952</v>
      </c>
      <c r="D7" s="41">
        <v>1313146.7640020801</v>
      </c>
      <c r="F7" s="34"/>
    </row>
    <row r="9" spans="1:6" x14ac:dyDescent="0.2">
      <c r="B9" s="41"/>
      <c r="C9" s="41"/>
      <c r="D9" s="41"/>
    </row>
    <row r="10" spans="1:6" s="14" customFormat="1" x14ac:dyDescent="0.2">
      <c r="A10" s="39" t="s">
        <v>216</v>
      </c>
      <c r="B10" s="41"/>
      <c r="C10" s="41"/>
      <c r="D10" s="41"/>
    </row>
    <row r="11" spans="1:6" s="14" customFormat="1" x14ac:dyDescent="0.2">
      <c r="A11" s="39" t="s">
        <v>226</v>
      </c>
      <c r="B11" s="41">
        <v>0</v>
      </c>
      <c r="C11" s="41">
        <v>0</v>
      </c>
      <c r="D11" s="41">
        <v>0</v>
      </c>
    </row>
    <row r="12" spans="1:6" s="14" customFormat="1" x14ac:dyDescent="0.2">
      <c r="A12" s="39" t="s">
        <v>224</v>
      </c>
      <c r="B12" s="41">
        <v>137227.73605000001</v>
      </c>
      <c r="C12" s="41">
        <v>50971.552750000003</v>
      </c>
      <c r="D12" s="41">
        <v>174304.27467000001</v>
      </c>
    </row>
    <row r="13" spans="1:6" s="14" customFormat="1" x14ac:dyDescent="0.2">
      <c r="A13" s="39"/>
      <c r="B13" s="41"/>
      <c r="C13" s="41"/>
      <c r="D13" s="41"/>
    </row>
    <row r="14" spans="1:6" s="14" customFormat="1" x14ac:dyDescent="0.2">
      <c r="A14" s="39" t="s">
        <v>217</v>
      </c>
      <c r="B14" s="41"/>
      <c r="C14" s="41"/>
      <c r="D14" s="41"/>
    </row>
    <row r="15" spans="1:6" s="14" customFormat="1" x14ac:dyDescent="0.2">
      <c r="A15" s="39" t="s">
        <v>226</v>
      </c>
      <c r="B15" s="41">
        <v>0</v>
      </c>
      <c r="C15" s="41">
        <v>0</v>
      </c>
      <c r="D15" s="41">
        <v>0</v>
      </c>
    </row>
    <row r="16" spans="1:6" s="14" customFormat="1" x14ac:dyDescent="0.2">
      <c r="A16" s="39" t="s">
        <v>224</v>
      </c>
      <c r="B16" s="41">
        <v>0</v>
      </c>
      <c r="C16" s="41">
        <v>2.65143462740979E-12</v>
      </c>
      <c r="D16" s="41">
        <v>2163.1999799999999</v>
      </c>
    </row>
    <row r="17" spans="1:4" s="33" customFormat="1" x14ac:dyDescent="0.2">
      <c r="A17" s="39"/>
      <c r="B17" s="41"/>
      <c r="C17" s="41"/>
      <c r="D17" s="41"/>
    </row>
    <row r="18" spans="1:4" s="4" customFormat="1" ht="13.5" thickBot="1" x14ac:dyDescent="0.25">
      <c r="A18" s="42"/>
      <c r="B18" s="43"/>
      <c r="C18" s="43"/>
      <c r="D18" s="43"/>
    </row>
    <row r="19" spans="1:4" s="33" customFormat="1" x14ac:dyDescent="0.2">
      <c r="A19" s="34"/>
      <c r="B19" s="41"/>
      <c r="C19" s="41"/>
      <c r="D19" s="41"/>
    </row>
    <row r="20" spans="1:4" s="33" customFormat="1" x14ac:dyDescent="0.2">
      <c r="A20" s="34"/>
      <c r="B20" s="41"/>
      <c r="C20" s="41"/>
      <c r="D20" s="41"/>
    </row>
    <row r="21" spans="1:4" s="33" customFormat="1" x14ac:dyDescent="0.2">
      <c r="A21" s="34"/>
      <c r="B21" s="46" t="s">
        <v>146</v>
      </c>
      <c r="C21" s="46" t="s">
        <v>147</v>
      </c>
      <c r="D21" s="46" t="s">
        <v>148</v>
      </c>
    </row>
    <row r="22" spans="1:4" s="33" customFormat="1" ht="9" x14ac:dyDescent="0.15">
      <c r="A22" s="34"/>
    </row>
    <row r="23" spans="1:4" x14ac:dyDescent="0.2">
      <c r="A23" s="39" t="s">
        <v>227</v>
      </c>
      <c r="B23" s="40">
        <f>SUM(B7,B12,B16)</f>
        <v>1286183.4647299999</v>
      </c>
      <c r="C23" s="40">
        <f>SUM(C7,C12,C16)</f>
        <v>1371275.89509952</v>
      </c>
      <c r="D23" s="40">
        <f>SUM(D7,D12,D16)</f>
        <v>1489614.2386520801</v>
      </c>
    </row>
    <row r="24" spans="1:4" x14ac:dyDescent="0.2">
      <c r="A24" s="39" t="s">
        <v>228</v>
      </c>
      <c r="B24" s="44">
        <v>1.5E-3</v>
      </c>
      <c r="C24" s="44">
        <v>1.5E-3</v>
      </c>
      <c r="D24" s="44">
        <v>1.5E-3</v>
      </c>
    </row>
    <row r="25" spans="1:4" ht="13.5" thickBot="1" x14ac:dyDescent="0.25">
      <c r="A25" s="39" t="s">
        <v>229</v>
      </c>
      <c r="B25" s="45">
        <f>+B23*B24</f>
        <v>1929.2751970949998</v>
      </c>
      <c r="C25" s="45">
        <f t="shared" ref="C25:D25" si="0">+C23*C24</f>
        <v>2056.91384264928</v>
      </c>
      <c r="D25" s="45">
        <f t="shared" si="0"/>
        <v>2234.4213579781203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0"/>
  <sheetViews>
    <sheetView workbookViewId="0">
      <selection activeCell="B13" sqref="B13"/>
    </sheetView>
  </sheetViews>
  <sheetFormatPr defaultRowHeight="15" x14ac:dyDescent="0.25"/>
  <cols>
    <col min="1" max="1" width="20.140625" style="32" customWidth="1"/>
    <col min="2" max="3" width="13.85546875" style="32" customWidth="1"/>
    <col min="4" max="16384" width="9.140625" style="32"/>
  </cols>
  <sheetData>
    <row r="2" spans="1:3" x14ac:dyDescent="0.25">
      <c r="A2" s="65" t="s">
        <v>254</v>
      </c>
    </row>
    <row r="6" spans="1:3" x14ac:dyDescent="0.25">
      <c r="A6" s="66"/>
      <c r="B6" s="67" t="s">
        <v>241</v>
      </c>
      <c r="C6" s="3" t="s">
        <v>242</v>
      </c>
    </row>
    <row r="7" spans="1:3" x14ac:dyDescent="0.25">
      <c r="A7" s="63" t="s">
        <v>243</v>
      </c>
      <c r="B7" s="64">
        <v>546564.41838570009</v>
      </c>
      <c r="C7" s="64">
        <v>599961.20521509985</v>
      </c>
    </row>
    <row r="8" spans="1:3" x14ac:dyDescent="0.25">
      <c r="A8" s="65" t="s">
        <v>239</v>
      </c>
      <c r="B8" s="64">
        <v>83871.107430000004</v>
      </c>
      <c r="C8" s="64">
        <v>268476.816315</v>
      </c>
    </row>
    <row r="9" spans="1:3" x14ac:dyDescent="0.25">
      <c r="A9" s="65" t="s">
        <v>240</v>
      </c>
      <c r="B9" s="64">
        <v>462693.31095570006</v>
      </c>
      <c r="C9" s="64">
        <v>331484.38890009985</v>
      </c>
    </row>
    <row r="10" spans="1:3" x14ac:dyDescent="0.25">
      <c r="A10" s="63" t="s">
        <v>244</v>
      </c>
      <c r="B10" s="64">
        <v>909379.16313570016</v>
      </c>
      <c r="C10" s="64">
        <v>1383443.9567554998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5"/>
  <sheetViews>
    <sheetView zoomScale="130" zoomScaleNormal="130" workbookViewId="0">
      <pane xSplit="1" ySplit="3" topLeftCell="B180" activePane="bottomRight" state="frozen"/>
      <selection pane="topRight" activeCell="B1" sqref="B1"/>
      <selection pane="bottomLeft" activeCell="A4" sqref="A4"/>
      <selection pane="bottomRight" activeCell="A184" sqref="A184"/>
    </sheetView>
  </sheetViews>
  <sheetFormatPr defaultRowHeight="9" x14ac:dyDescent="0.15"/>
  <cols>
    <col min="1" max="1" width="35" style="11" customWidth="1"/>
    <col min="2" max="2" width="10.5703125" style="11" customWidth="1"/>
    <col min="3" max="4" width="10.7109375" style="2" customWidth="1"/>
    <col min="5" max="5" width="4.140625" style="2" customWidth="1"/>
    <col min="6" max="6" width="12.28515625" style="2" bestFit="1" customWidth="1"/>
    <col min="7" max="7" width="12.5703125" style="2" bestFit="1" customWidth="1"/>
    <col min="8" max="16384" width="9.140625" style="2"/>
  </cols>
  <sheetData>
    <row r="1" spans="1:6" s="9" customFormat="1" x14ac:dyDescent="0.15">
      <c r="A1" s="48"/>
      <c r="B1" s="48"/>
    </row>
    <row r="2" spans="1:6" s="9" customFormat="1" ht="11.25" x14ac:dyDescent="0.3">
      <c r="A2" s="8" t="s">
        <v>247</v>
      </c>
      <c r="B2" s="72">
        <v>42370</v>
      </c>
      <c r="C2" s="72">
        <v>42736</v>
      </c>
      <c r="D2" s="72">
        <v>43101</v>
      </c>
    </row>
    <row r="3" spans="1:6" s="9" customFormat="1" x14ac:dyDescent="0.15">
      <c r="A3" s="48"/>
    </row>
    <row r="4" spans="1:6" x14ac:dyDescent="0.15">
      <c r="B4" s="2"/>
    </row>
    <row r="5" spans="1:6" x14ac:dyDescent="0.15">
      <c r="A5" s="11" t="s">
        <v>225</v>
      </c>
      <c r="B5" s="2"/>
    </row>
    <row r="6" spans="1:6" x14ac:dyDescent="0.15">
      <c r="A6" s="11" t="s">
        <v>144</v>
      </c>
      <c r="B6" s="2">
        <v>39.116889999999998</v>
      </c>
      <c r="C6" s="2">
        <v>39.116889999999998</v>
      </c>
      <c r="D6" s="2">
        <v>39.116889999999998</v>
      </c>
      <c r="F6" s="2" t="s">
        <v>172</v>
      </c>
    </row>
    <row r="7" spans="1:6" x14ac:dyDescent="0.15">
      <c r="A7" s="11" t="s">
        <v>143</v>
      </c>
      <c r="B7" s="2">
        <v>5.3386899999999997</v>
      </c>
      <c r="C7" s="2">
        <v>5.3386899999999997</v>
      </c>
      <c r="D7" s="2">
        <v>5.3386899999999997</v>
      </c>
      <c r="F7" s="2" t="s">
        <v>173</v>
      </c>
    </row>
    <row r="8" spans="1:6" x14ac:dyDescent="0.15">
      <c r="A8" s="11" t="s">
        <v>142</v>
      </c>
      <c r="B8" s="2">
        <v>3.34059999999999</v>
      </c>
      <c r="C8" s="2">
        <v>-7.1609587579999996</v>
      </c>
      <c r="D8" s="2">
        <v>-13.426663659800001</v>
      </c>
      <c r="F8" s="2" t="s">
        <v>172</v>
      </c>
    </row>
    <row r="9" spans="1:6" x14ac:dyDescent="0.15">
      <c r="A9" s="11" t="s">
        <v>141</v>
      </c>
      <c r="B9" s="2">
        <v>33421.361879999997</v>
      </c>
      <c r="C9" s="2">
        <v>40286.009311299902</v>
      </c>
      <c r="D9" s="2">
        <v>40462.404149199901</v>
      </c>
      <c r="F9" s="2">
        <v>300</v>
      </c>
    </row>
    <row r="10" spans="1:6" x14ac:dyDescent="0.15">
      <c r="A10" s="11" t="s">
        <v>140</v>
      </c>
      <c r="B10" s="2">
        <v>14458.61952</v>
      </c>
      <c r="C10" s="2">
        <v>10509.752254999899</v>
      </c>
      <c r="D10" s="2">
        <v>21248.194881499901</v>
      </c>
      <c r="F10" s="2">
        <v>300</v>
      </c>
    </row>
    <row r="11" spans="1:6" x14ac:dyDescent="0.15">
      <c r="A11" s="11" t="s">
        <v>139</v>
      </c>
      <c r="B11" s="2">
        <v>10406.297269999999</v>
      </c>
      <c r="C11" s="2">
        <v>10406.297269999999</v>
      </c>
      <c r="D11" s="2">
        <v>12241.5238899999</v>
      </c>
      <c r="F11" s="2">
        <v>100</v>
      </c>
    </row>
    <row r="12" spans="1:6" x14ac:dyDescent="0.15">
      <c r="A12" s="11" t="s">
        <v>138</v>
      </c>
      <c r="B12" s="2">
        <v>1672.6862900000001</v>
      </c>
      <c r="C12" s="2">
        <v>1406.9974500000001</v>
      </c>
      <c r="D12" s="2">
        <v>1406.9974500000001</v>
      </c>
      <c r="F12" s="2">
        <v>100</v>
      </c>
    </row>
    <row r="13" spans="1:6" x14ac:dyDescent="0.15">
      <c r="A13" s="11" t="s">
        <v>137</v>
      </c>
      <c r="B13" s="2">
        <v>0</v>
      </c>
      <c r="C13" s="2">
        <v>0</v>
      </c>
      <c r="D13" s="2">
        <v>0</v>
      </c>
      <c r="F13" s="2">
        <v>100</v>
      </c>
    </row>
    <row r="14" spans="1:6" x14ac:dyDescent="0.15">
      <c r="A14" s="11" t="s">
        <v>136</v>
      </c>
      <c r="B14" s="2">
        <v>10879.218860000001</v>
      </c>
      <c r="C14" s="2">
        <v>11354.218860000001</v>
      </c>
      <c r="D14" s="2">
        <v>11354.218860000001</v>
      </c>
      <c r="F14" s="2">
        <v>100</v>
      </c>
    </row>
    <row r="15" spans="1:6" x14ac:dyDescent="0.15">
      <c r="A15" s="11" t="s">
        <v>135</v>
      </c>
      <c r="B15" s="2">
        <v>0</v>
      </c>
      <c r="C15" s="2">
        <v>0</v>
      </c>
      <c r="D15" s="2">
        <v>0</v>
      </c>
      <c r="F15" s="2">
        <v>100</v>
      </c>
    </row>
    <row r="16" spans="1:6" x14ac:dyDescent="0.15">
      <c r="A16" s="11" t="s">
        <v>134</v>
      </c>
      <c r="B16" s="2">
        <v>0</v>
      </c>
      <c r="C16" s="2">
        <v>0</v>
      </c>
      <c r="D16" s="2">
        <v>0</v>
      </c>
      <c r="F16" s="2">
        <v>100</v>
      </c>
    </row>
    <row r="17" spans="1:6" x14ac:dyDescent="0.15">
      <c r="A17" s="11" t="s">
        <v>133</v>
      </c>
      <c r="B17" s="2">
        <v>2914.8301200000001</v>
      </c>
      <c r="C17" s="2">
        <v>2850.1438722252001</v>
      </c>
      <c r="D17" s="2">
        <v>2778.9811553433001</v>
      </c>
      <c r="F17" s="2">
        <v>100</v>
      </c>
    </row>
    <row r="18" spans="1:6" x14ac:dyDescent="0.15">
      <c r="A18" s="11" t="s">
        <v>202</v>
      </c>
      <c r="B18" s="2">
        <v>8904.6950899999993</v>
      </c>
      <c r="C18" s="2">
        <v>8787.6976166019995</v>
      </c>
      <c r="D18" s="2">
        <v>8638.7508499756004</v>
      </c>
      <c r="F18" s="2">
        <v>100</v>
      </c>
    </row>
    <row r="19" spans="1:6" x14ac:dyDescent="0.15">
      <c r="A19" s="11" t="s">
        <v>132</v>
      </c>
      <c r="B19" s="2">
        <v>0</v>
      </c>
      <c r="C19" s="2">
        <v>0</v>
      </c>
      <c r="D19" s="2">
        <v>0</v>
      </c>
      <c r="F19" s="2">
        <v>100</v>
      </c>
    </row>
    <row r="20" spans="1:6" x14ac:dyDescent="0.15">
      <c r="A20" s="11" t="s">
        <v>131</v>
      </c>
      <c r="B20" s="2">
        <v>153517.772969999</v>
      </c>
      <c r="C20" s="2">
        <v>147989.25051251301</v>
      </c>
      <c r="D20" s="2">
        <v>145451.13688718501</v>
      </c>
      <c r="F20" s="2">
        <v>100</v>
      </c>
    </row>
    <row r="21" spans="1:6" x14ac:dyDescent="0.15">
      <c r="A21" s="11" t="s">
        <v>130</v>
      </c>
      <c r="B21" s="2">
        <v>0</v>
      </c>
      <c r="C21" s="2">
        <v>0</v>
      </c>
      <c r="D21" s="2">
        <v>0</v>
      </c>
      <c r="F21" s="2">
        <v>100</v>
      </c>
    </row>
    <row r="22" spans="1:6" x14ac:dyDescent="0.15">
      <c r="A22" s="11" t="s">
        <v>129</v>
      </c>
      <c r="B22" s="2">
        <v>0</v>
      </c>
      <c r="C22" s="2">
        <v>0</v>
      </c>
      <c r="D22" s="2">
        <v>0</v>
      </c>
      <c r="F22" s="2">
        <v>200</v>
      </c>
    </row>
    <row r="23" spans="1:6" x14ac:dyDescent="0.15">
      <c r="A23" s="11" t="s">
        <v>128</v>
      </c>
      <c r="B23" s="2">
        <v>1649395.05136999</v>
      </c>
      <c r="C23" s="2">
        <v>1617892.6180602701</v>
      </c>
      <c r="D23" s="2">
        <v>1563361.0785462901</v>
      </c>
      <c r="F23" s="2">
        <v>200</v>
      </c>
    </row>
    <row r="24" spans="1:6" x14ac:dyDescent="0.15">
      <c r="A24" s="11" t="s">
        <v>127</v>
      </c>
      <c r="B24" s="2">
        <v>0</v>
      </c>
      <c r="C24" s="2">
        <v>0</v>
      </c>
      <c r="D24" s="2">
        <v>0</v>
      </c>
      <c r="F24" s="2">
        <v>200</v>
      </c>
    </row>
    <row r="25" spans="1:6" x14ac:dyDescent="0.15">
      <c r="A25" s="11" t="s">
        <v>126</v>
      </c>
      <c r="B25" s="2">
        <v>0</v>
      </c>
      <c r="C25" s="2">
        <v>0</v>
      </c>
      <c r="D25" s="2">
        <v>0</v>
      </c>
      <c r="F25" s="2">
        <v>200</v>
      </c>
    </row>
    <row r="26" spans="1:6" x14ac:dyDescent="0.15">
      <c r="A26" s="11" t="s">
        <v>125</v>
      </c>
      <c r="B26" s="2">
        <v>0</v>
      </c>
      <c r="C26" s="2">
        <v>0</v>
      </c>
      <c r="D26" s="2">
        <v>0</v>
      </c>
      <c r="F26" s="2">
        <v>200</v>
      </c>
    </row>
    <row r="27" spans="1:6" x14ac:dyDescent="0.15">
      <c r="A27" s="11" t="s">
        <v>124</v>
      </c>
      <c r="B27" s="2">
        <v>426413.15474999999</v>
      </c>
      <c r="C27" s="2">
        <v>450897.38631691999</v>
      </c>
      <c r="D27" s="2">
        <v>441068.35814753402</v>
      </c>
      <c r="F27" s="2">
        <v>200</v>
      </c>
    </row>
    <row r="28" spans="1:6" x14ac:dyDescent="0.15">
      <c r="A28" s="11" t="s">
        <v>123</v>
      </c>
      <c r="B28" s="2">
        <v>687061.55076999997</v>
      </c>
      <c r="C28" s="2">
        <v>831427.44745843904</v>
      </c>
      <c r="D28" s="2">
        <v>809184.16056601703</v>
      </c>
      <c r="F28" s="2">
        <v>200</v>
      </c>
    </row>
    <row r="29" spans="1:6" x14ac:dyDescent="0.15">
      <c r="A29" s="11" t="s">
        <v>231</v>
      </c>
      <c r="B29" s="2">
        <v>0</v>
      </c>
      <c r="C29" s="2">
        <v>2844.9576961483699</v>
      </c>
      <c r="D29" s="2">
        <v>25860.960116045699</v>
      </c>
      <c r="F29" s="2">
        <v>200</v>
      </c>
    </row>
    <row r="30" spans="1:6" x14ac:dyDescent="0.15">
      <c r="A30" s="49" t="s">
        <v>232</v>
      </c>
      <c r="B30" s="49">
        <v>0</v>
      </c>
      <c r="C30" s="49">
        <v>0</v>
      </c>
      <c r="D30" s="49">
        <v>0</v>
      </c>
      <c r="F30" s="2">
        <v>200</v>
      </c>
    </row>
    <row r="31" spans="1:6" x14ac:dyDescent="0.15">
      <c r="A31" s="34" t="s">
        <v>122</v>
      </c>
      <c r="B31" s="49">
        <v>0</v>
      </c>
      <c r="C31" s="49">
        <v>0</v>
      </c>
      <c r="D31" s="49">
        <v>0</v>
      </c>
      <c r="F31" s="2">
        <v>200</v>
      </c>
    </row>
    <row r="32" spans="1:6" x14ac:dyDescent="0.15">
      <c r="A32" s="11" t="s">
        <v>121</v>
      </c>
      <c r="B32" s="2">
        <v>0</v>
      </c>
      <c r="C32" s="2">
        <v>0</v>
      </c>
      <c r="D32" s="2">
        <v>0</v>
      </c>
      <c r="F32" s="2">
        <v>200</v>
      </c>
    </row>
    <row r="33" spans="1:6" x14ac:dyDescent="0.15">
      <c r="A33" s="11" t="s">
        <v>120</v>
      </c>
      <c r="B33" s="2">
        <v>0</v>
      </c>
      <c r="C33" s="2">
        <v>0</v>
      </c>
      <c r="D33" s="2">
        <v>0</v>
      </c>
      <c r="F33" s="2">
        <v>200</v>
      </c>
    </row>
    <row r="34" spans="1:6" x14ac:dyDescent="0.15">
      <c r="A34" s="11" t="s">
        <v>119</v>
      </c>
      <c r="B34" s="2">
        <v>168251.6648</v>
      </c>
      <c r="C34" s="2">
        <v>169307.509887705</v>
      </c>
      <c r="D34" s="2">
        <v>166805.064891474</v>
      </c>
      <c r="F34" s="2">
        <v>200</v>
      </c>
    </row>
    <row r="35" spans="1:6" x14ac:dyDescent="0.15">
      <c r="A35" s="11" t="s">
        <v>118</v>
      </c>
      <c r="B35" s="2">
        <v>0</v>
      </c>
      <c r="C35" s="2">
        <v>0</v>
      </c>
      <c r="D35" s="2">
        <v>0</v>
      </c>
      <c r="F35" s="2">
        <v>200</v>
      </c>
    </row>
    <row r="36" spans="1:6" x14ac:dyDescent="0.15">
      <c r="A36" s="11" t="s">
        <v>117</v>
      </c>
      <c r="B36" s="2">
        <v>112211.80086</v>
      </c>
      <c r="C36" s="2">
        <v>112313.140044043</v>
      </c>
      <c r="D36" s="2">
        <v>107269.86310509199</v>
      </c>
      <c r="F36" s="2">
        <v>200</v>
      </c>
    </row>
    <row r="37" spans="1:6" x14ac:dyDescent="0.15">
      <c r="A37" s="11" t="s">
        <v>116</v>
      </c>
      <c r="B37" s="2">
        <v>0</v>
      </c>
      <c r="C37" s="2">
        <v>0</v>
      </c>
      <c r="D37" s="2">
        <v>0</v>
      </c>
      <c r="F37" s="2">
        <v>200</v>
      </c>
    </row>
    <row r="38" spans="1:6" x14ac:dyDescent="0.15">
      <c r="A38" s="11" t="s">
        <v>115</v>
      </c>
      <c r="B38" s="2">
        <v>0</v>
      </c>
      <c r="C38" s="2">
        <v>0</v>
      </c>
      <c r="D38" s="2">
        <v>0</v>
      </c>
      <c r="F38" s="2">
        <v>200</v>
      </c>
    </row>
    <row r="39" spans="1:6" x14ac:dyDescent="0.15">
      <c r="A39" s="11" t="s">
        <v>114</v>
      </c>
      <c r="B39" s="2">
        <v>0</v>
      </c>
      <c r="C39" s="2">
        <v>0</v>
      </c>
      <c r="D39" s="2">
        <v>0</v>
      </c>
      <c r="F39" s="2">
        <v>200</v>
      </c>
    </row>
    <row r="40" spans="1:6" x14ac:dyDescent="0.15">
      <c r="A40" s="11" t="s">
        <v>203</v>
      </c>
      <c r="B40" s="2">
        <v>1282.66247</v>
      </c>
      <c r="C40" s="2">
        <v>1257.6771507093199</v>
      </c>
      <c r="D40" s="2">
        <v>1231.7834776674799</v>
      </c>
      <c r="F40" s="2">
        <v>200</v>
      </c>
    </row>
    <row r="41" spans="1:6" x14ac:dyDescent="0.15">
      <c r="A41" s="11" t="s">
        <v>113</v>
      </c>
      <c r="B41" s="2">
        <v>7976.8694699999996</v>
      </c>
      <c r="C41" s="2">
        <v>8032.24796615797</v>
      </c>
      <c r="D41" s="2">
        <v>7911.4200507219402</v>
      </c>
      <c r="F41" s="2">
        <v>200</v>
      </c>
    </row>
    <row r="42" spans="1:6" x14ac:dyDescent="0.15">
      <c r="A42" s="11" t="s">
        <v>112</v>
      </c>
      <c r="B42" s="2">
        <v>0</v>
      </c>
      <c r="C42" s="2">
        <v>0</v>
      </c>
      <c r="D42" s="2">
        <v>0</v>
      </c>
      <c r="F42" s="2">
        <v>200</v>
      </c>
    </row>
    <row r="43" spans="1:6" x14ac:dyDescent="0.15">
      <c r="A43" s="11" t="s">
        <v>204</v>
      </c>
      <c r="B43" s="2">
        <v>817.81502</v>
      </c>
      <c r="C43" s="2">
        <v>809.070770724</v>
      </c>
      <c r="D43" s="2">
        <v>796.61442768300003</v>
      </c>
      <c r="F43" s="2">
        <v>200</v>
      </c>
    </row>
    <row r="44" spans="1:6" x14ac:dyDescent="0.15">
      <c r="A44" s="11" t="s">
        <v>111</v>
      </c>
      <c r="B44" s="2">
        <v>0</v>
      </c>
      <c r="C44" s="2">
        <v>0</v>
      </c>
      <c r="D44" s="2">
        <v>0</v>
      </c>
      <c r="F44" s="2">
        <v>200</v>
      </c>
    </row>
    <row r="45" spans="1:6" x14ac:dyDescent="0.15">
      <c r="A45" s="11" t="s">
        <v>110</v>
      </c>
      <c r="B45" s="2">
        <v>19535.465759999999</v>
      </c>
      <c r="C45" s="2">
        <v>20175.143356301302</v>
      </c>
      <c r="D45" s="2">
        <v>23137.874168440401</v>
      </c>
      <c r="F45" s="2">
        <v>200</v>
      </c>
    </row>
    <row r="46" spans="1:6" x14ac:dyDescent="0.15">
      <c r="A46" s="11" t="s">
        <v>109</v>
      </c>
      <c r="B46" s="2">
        <v>274637.27947000001</v>
      </c>
      <c r="C46" s="2">
        <v>231221.05410000001</v>
      </c>
      <c r="D46" s="2">
        <v>186008.14109999899</v>
      </c>
      <c r="F46" s="2" t="s">
        <v>172</v>
      </c>
    </row>
    <row r="47" spans="1:6" x14ac:dyDescent="0.15">
      <c r="A47" s="11" t="s">
        <v>108</v>
      </c>
      <c r="B47" s="2">
        <v>-33.0211299999999</v>
      </c>
      <c r="C47" s="2">
        <v>-33.0211299999999</v>
      </c>
      <c r="D47" s="2">
        <v>-33.0211299999999</v>
      </c>
      <c r="F47" s="2">
        <v>100</v>
      </c>
    </row>
    <row r="48" spans="1:6" x14ac:dyDescent="0.15">
      <c r="A48" s="11" t="s">
        <v>107</v>
      </c>
      <c r="B48" s="2">
        <v>482.04084</v>
      </c>
      <c r="C48" s="2">
        <v>2638.8380647767999</v>
      </c>
      <c r="D48" s="2">
        <v>2578.7697042082</v>
      </c>
      <c r="F48" s="2">
        <v>100</v>
      </c>
    </row>
    <row r="49" spans="1:6" x14ac:dyDescent="0.15">
      <c r="A49" s="11" t="s">
        <v>106</v>
      </c>
      <c r="B49" s="2">
        <v>13669.02594</v>
      </c>
      <c r="C49" s="2">
        <v>13126.261956660001</v>
      </c>
      <c r="D49" s="2">
        <v>12569.272256544</v>
      </c>
      <c r="F49" s="2">
        <v>100</v>
      </c>
    </row>
    <row r="50" spans="1:6" x14ac:dyDescent="0.15">
      <c r="A50" s="11" t="s">
        <v>105</v>
      </c>
      <c r="B50" s="2">
        <v>13241.173999999901</v>
      </c>
      <c r="C50" s="2">
        <v>12727.691022725199</v>
      </c>
      <c r="D50" s="2">
        <v>12199.533539300701</v>
      </c>
      <c r="F50" s="2">
        <v>200</v>
      </c>
    </row>
    <row r="51" spans="1:6" x14ac:dyDescent="0.15">
      <c r="A51" s="11" t="s">
        <v>104</v>
      </c>
      <c r="B51" s="2">
        <v>1101.17102</v>
      </c>
      <c r="C51" s="2">
        <v>1094.403457958</v>
      </c>
      <c r="D51" s="2">
        <v>1044.5328546421999</v>
      </c>
      <c r="F51" s="2">
        <v>200</v>
      </c>
    </row>
    <row r="52" spans="1:6" x14ac:dyDescent="0.15">
      <c r="A52" s="11" t="s">
        <v>103</v>
      </c>
      <c r="B52" s="2">
        <v>200.38917999999899</v>
      </c>
      <c r="C52" s="2">
        <v>186.506877596679</v>
      </c>
      <c r="D52" s="2">
        <v>173.60714527947999</v>
      </c>
      <c r="F52" s="2">
        <v>200</v>
      </c>
    </row>
    <row r="53" spans="1:6" x14ac:dyDescent="0.15">
      <c r="A53" s="11" t="s">
        <v>102</v>
      </c>
      <c r="B53" s="2">
        <v>163.94191000000001</v>
      </c>
      <c r="C53" s="2">
        <v>154.91325616500001</v>
      </c>
      <c r="D53" s="2">
        <v>911.81656589721001</v>
      </c>
      <c r="F53" s="2">
        <v>100</v>
      </c>
    </row>
    <row r="54" spans="1:6" x14ac:dyDescent="0.15">
      <c r="A54" s="11" t="s">
        <v>101</v>
      </c>
      <c r="B54" s="2">
        <v>246.85607999999999</v>
      </c>
      <c r="C54" s="2">
        <v>241.48212000000001</v>
      </c>
      <c r="D54" s="2">
        <v>236.108159999999</v>
      </c>
      <c r="F54" s="2" t="s">
        <v>172</v>
      </c>
    </row>
    <row r="55" spans="1:6" x14ac:dyDescent="0.15">
      <c r="A55" s="49" t="s">
        <v>233</v>
      </c>
      <c r="B55" s="49">
        <v>309.54084999999998</v>
      </c>
      <c r="C55" s="49">
        <v>309.54084999999998</v>
      </c>
      <c r="D55" s="49">
        <v>309.54084999999998</v>
      </c>
      <c r="F55" s="2">
        <v>100</v>
      </c>
    </row>
    <row r="56" spans="1:6" x14ac:dyDescent="0.15">
      <c r="A56" s="49" t="s">
        <v>234</v>
      </c>
      <c r="B56" s="49">
        <v>59.876910000000002</v>
      </c>
      <c r="C56" s="49">
        <v>55.925320485199897</v>
      </c>
      <c r="D56" s="49">
        <v>53.781947368519901</v>
      </c>
      <c r="F56" s="2">
        <v>100</v>
      </c>
    </row>
    <row r="57" spans="1:6" x14ac:dyDescent="0.15">
      <c r="A57" s="11" t="s">
        <v>100</v>
      </c>
      <c r="B57" s="50">
        <v>135.09902</v>
      </c>
      <c r="C57" s="2">
        <v>297.16921000000002</v>
      </c>
      <c r="D57" s="2">
        <v>297.16921000000002</v>
      </c>
      <c r="F57" s="2">
        <v>100</v>
      </c>
    </row>
    <row r="58" spans="1:6" x14ac:dyDescent="0.15">
      <c r="A58" s="11" t="s">
        <v>99</v>
      </c>
      <c r="B58" s="50">
        <v>18352.796829999901</v>
      </c>
      <c r="C58" s="2">
        <v>17404.280542760102</v>
      </c>
      <c r="D58" s="2">
        <v>16103.323079486299</v>
      </c>
      <c r="F58" s="2">
        <v>200</v>
      </c>
    </row>
    <row r="59" spans="1:6" x14ac:dyDescent="0.15">
      <c r="A59" s="11" t="s">
        <v>205</v>
      </c>
      <c r="B59" s="50">
        <v>46232.245609999998</v>
      </c>
      <c r="C59" s="2">
        <v>45964.088731199998</v>
      </c>
      <c r="D59" s="2">
        <v>44998.90084368</v>
      </c>
      <c r="F59" s="2">
        <v>200</v>
      </c>
    </row>
    <row r="60" spans="1:6" x14ac:dyDescent="0.15">
      <c r="A60" s="49" t="s">
        <v>235</v>
      </c>
      <c r="B60" s="49">
        <v>0</v>
      </c>
      <c r="C60" s="49">
        <v>841.50530996800001</v>
      </c>
      <c r="D60" s="49">
        <v>804.98762987199996</v>
      </c>
      <c r="F60" s="2">
        <v>200</v>
      </c>
    </row>
    <row r="61" spans="1:6" x14ac:dyDescent="0.15">
      <c r="A61" s="11" t="s">
        <v>98</v>
      </c>
      <c r="B61" s="50">
        <v>7669.7244600001004</v>
      </c>
      <c r="C61" s="2">
        <v>13989.5583731151</v>
      </c>
      <c r="D61" s="2">
        <v>13254.5798610486</v>
      </c>
      <c r="F61" s="2">
        <v>200</v>
      </c>
    </row>
    <row r="62" spans="1:6" x14ac:dyDescent="0.15">
      <c r="A62" s="11" t="s">
        <v>97</v>
      </c>
      <c r="B62" s="50">
        <v>0</v>
      </c>
      <c r="C62" s="2">
        <v>0</v>
      </c>
      <c r="D62" s="2">
        <v>0</v>
      </c>
      <c r="F62" s="2">
        <v>200</v>
      </c>
    </row>
    <row r="63" spans="1:6" x14ac:dyDescent="0.15">
      <c r="A63" s="11" t="s">
        <v>206</v>
      </c>
      <c r="B63" s="50">
        <v>109891.91193</v>
      </c>
      <c r="C63" s="2">
        <v>2947.0248372767901</v>
      </c>
      <c r="D63" s="2">
        <v>2762.81438264399</v>
      </c>
      <c r="F63" s="2">
        <v>200</v>
      </c>
    </row>
    <row r="64" spans="1:6" x14ac:dyDescent="0.15">
      <c r="A64" s="49" t="s">
        <v>236</v>
      </c>
      <c r="B64" s="49">
        <v>28661.94773</v>
      </c>
      <c r="C64" s="49">
        <v>27627.631475407001</v>
      </c>
      <c r="D64" s="49">
        <v>26539.082116251699</v>
      </c>
      <c r="F64" s="2">
        <v>200</v>
      </c>
    </row>
    <row r="65" spans="1:6" x14ac:dyDescent="0.15">
      <c r="A65" s="11" t="s">
        <v>96</v>
      </c>
      <c r="B65" s="50">
        <v>225386.26873000001</v>
      </c>
      <c r="C65" s="2">
        <v>213669.921610894</v>
      </c>
      <c r="D65" s="2">
        <v>202722.60687827799</v>
      </c>
      <c r="F65" s="2">
        <v>200</v>
      </c>
    </row>
    <row r="66" spans="1:6" x14ac:dyDescent="0.15">
      <c r="A66" s="11" t="s">
        <v>207</v>
      </c>
      <c r="B66" s="50">
        <v>88519.813299999994</v>
      </c>
      <c r="C66" s="2">
        <v>253193.919627105</v>
      </c>
      <c r="D66" s="2">
        <v>252797.79539592599</v>
      </c>
      <c r="F66" s="2">
        <v>200</v>
      </c>
    </row>
    <row r="67" spans="1:6" x14ac:dyDescent="0.15">
      <c r="A67" s="11" t="s">
        <v>95</v>
      </c>
      <c r="B67" s="50">
        <v>28214.889429999999</v>
      </c>
      <c r="C67" s="2">
        <v>27630.1595817671</v>
      </c>
      <c r="D67" s="2">
        <v>25945.058042615499</v>
      </c>
      <c r="F67" s="2">
        <v>200</v>
      </c>
    </row>
    <row r="68" spans="1:6" x14ac:dyDescent="0.15">
      <c r="A68" s="11" t="s">
        <v>208</v>
      </c>
      <c r="B68" s="50">
        <v>111486.64581</v>
      </c>
      <c r="C68" s="2">
        <v>53220.031038907997</v>
      </c>
      <c r="D68" s="2">
        <v>51643.573669058002</v>
      </c>
      <c r="F68" s="2">
        <v>200</v>
      </c>
    </row>
    <row r="69" spans="1:6" x14ac:dyDescent="0.15">
      <c r="A69" s="49" t="s">
        <v>237</v>
      </c>
      <c r="B69" s="49">
        <v>0</v>
      </c>
      <c r="C69" s="49">
        <v>12584.5193874652</v>
      </c>
      <c r="D69" s="49">
        <v>11989.5304598608</v>
      </c>
      <c r="F69" s="2">
        <v>200</v>
      </c>
    </row>
    <row r="70" spans="1:6" x14ac:dyDescent="0.15">
      <c r="A70" s="11" t="s">
        <v>94</v>
      </c>
      <c r="B70" s="50">
        <v>27070.936870000001</v>
      </c>
      <c r="C70" s="2">
        <v>25511.736146832802</v>
      </c>
      <c r="D70" s="2">
        <v>27415.2917611628</v>
      </c>
      <c r="F70" s="2">
        <v>200</v>
      </c>
    </row>
    <row r="71" spans="1:6" x14ac:dyDescent="0.15">
      <c r="A71" s="11" t="s">
        <v>93</v>
      </c>
      <c r="B71" s="50">
        <v>0</v>
      </c>
      <c r="C71" s="2">
        <v>0</v>
      </c>
      <c r="D71" s="2">
        <v>0</v>
      </c>
      <c r="F71" s="2">
        <v>200</v>
      </c>
    </row>
    <row r="72" spans="1:6" x14ac:dyDescent="0.15">
      <c r="A72" s="11" t="s">
        <v>209</v>
      </c>
      <c r="B72" s="50">
        <v>25865.028659999902</v>
      </c>
      <c r="C72" s="2">
        <v>17162.745396260001</v>
      </c>
      <c r="D72" s="2">
        <v>23945.835188497</v>
      </c>
      <c r="F72" s="2">
        <v>200</v>
      </c>
    </row>
    <row r="73" spans="1:6" x14ac:dyDescent="0.15">
      <c r="A73" s="11" t="s">
        <v>210</v>
      </c>
      <c r="B73" s="50">
        <v>0</v>
      </c>
      <c r="C73" s="2">
        <v>1565.4774087706001</v>
      </c>
      <c r="D73" s="2">
        <v>2993.6096373966002</v>
      </c>
      <c r="F73" s="2">
        <v>200</v>
      </c>
    </row>
    <row r="74" spans="1:6" x14ac:dyDescent="0.15">
      <c r="A74" s="11" t="s">
        <v>92</v>
      </c>
      <c r="B74" s="50">
        <v>2701.52567</v>
      </c>
      <c r="C74" s="2">
        <v>2617.4855238988798</v>
      </c>
      <c r="D74" s="2">
        <v>5185.2676282720404</v>
      </c>
      <c r="F74" s="2">
        <v>300</v>
      </c>
    </row>
    <row r="75" spans="1:6" x14ac:dyDescent="0.15">
      <c r="A75" s="11" t="s">
        <v>211</v>
      </c>
      <c r="B75" s="50">
        <v>20.977319999999999</v>
      </c>
      <c r="C75" s="2">
        <v>3019.6986216679902</v>
      </c>
      <c r="D75" s="2">
        <v>2925.7668822199998</v>
      </c>
      <c r="F75" s="2">
        <v>300</v>
      </c>
    </row>
    <row r="76" spans="1:6" x14ac:dyDescent="0.15">
      <c r="A76" s="49" t="s">
        <v>238</v>
      </c>
      <c r="B76" s="49">
        <v>0</v>
      </c>
      <c r="C76" s="49">
        <v>286.97962530000001</v>
      </c>
      <c r="D76" s="49">
        <v>274.49589120000002</v>
      </c>
      <c r="F76" s="2">
        <v>300</v>
      </c>
    </row>
    <row r="77" spans="1:6" x14ac:dyDescent="0.15">
      <c r="A77" s="11" t="s">
        <v>91</v>
      </c>
      <c r="B77" s="2">
        <v>391.19614999999999</v>
      </c>
      <c r="C77" s="2">
        <v>370.37110999999999</v>
      </c>
      <c r="D77" s="2">
        <v>349.54606999999999</v>
      </c>
      <c r="F77" s="2" t="s">
        <v>172</v>
      </c>
    </row>
    <row r="78" spans="1:6" x14ac:dyDescent="0.15">
      <c r="A78" s="11" t="s">
        <v>90</v>
      </c>
      <c r="B78" s="2">
        <v>0</v>
      </c>
      <c r="C78" s="2">
        <v>0</v>
      </c>
      <c r="D78" s="2">
        <v>0</v>
      </c>
      <c r="F78" s="2">
        <v>100</v>
      </c>
    </row>
    <row r="79" spans="1:6" x14ac:dyDescent="0.15">
      <c r="A79" s="11" t="s">
        <v>89</v>
      </c>
      <c r="B79" s="2">
        <v>14485.928469999901</v>
      </c>
      <c r="C79" s="2">
        <v>14223.753191440001</v>
      </c>
      <c r="D79" s="2">
        <v>13975.23287806</v>
      </c>
      <c r="F79" s="2">
        <v>100</v>
      </c>
    </row>
    <row r="80" spans="1:6" x14ac:dyDescent="0.15">
      <c r="A80" s="11" t="s">
        <v>88</v>
      </c>
      <c r="B80" s="2">
        <v>7.8469999999999901E-2</v>
      </c>
      <c r="C80" s="2">
        <v>7.4263503999999897E-2</v>
      </c>
      <c r="D80" s="2">
        <v>7.0263780999999997E-2</v>
      </c>
      <c r="F80" s="2" t="s">
        <v>173</v>
      </c>
    </row>
    <row r="81" spans="1:6" x14ac:dyDescent="0.15">
      <c r="A81" s="11" t="s">
        <v>87</v>
      </c>
      <c r="B81" s="2">
        <v>259.20044999999999</v>
      </c>
      <c r="C81" s="2">
        <v>238.861630096</v>
      </c>
      <c r="D81" s="2">
        <v>219.58208599599899</v>
      </c>
      <c r="F81" s="2" t="s">
        <v>173</v>
      </c>
    </row>
    <row r="82" spans="1:6" x14ac:dyDescent="0.15">
      <c r="A82" s="11" t="s">
        <v>86</v>
      </c>
      <c r="B82" s="2">
        <v>469.22212000000002</v>
      </c>
      <c r="C82" s="2">
        <v>473.76982898879999</v>
      </c>
      <c r="D82" s="2">
        <v>449.5926101517</v>
      </c>
      <c r="F82" s="2">
        <v>100</v>
      </c>
    </row>
    <row r="83" spans="1:6" x14ac:dyDescent="0.15">
      <c r="A83" s="11" t="s">
        <v>85</v>
      </c>
      <c r="B83" s="2">
        <v>17502.31825</v>
      </c>
      <c r="C83" s="2">
        <v>20421.703378451999</v>
      </c>
      <c r="D83" s="2">
        <v>19981.919385984002</v>
      </c>
      <c r="F83" s="2">
        <v>100</v>
      </c>
    </row>
    <row r="84" spans="1:6" x14ac:dyDescent="0.15">
      <c r="A84" s="11" t="s">
        <v>84</v>
      </c>
      <c r="B84" s="2">
        <v>838.49744999999996</v>
      </c>
      <c r="C84" s="2">
        <v>810.18390239999906</v>
      </c>
      <c r="D84" s="2">
        <v>782.59836367199898</v>
      </c>
      <c r="F84" s="2" t="s">
        <v>173</v>
      </c>
    </row>
    <row r="85" spans="1:6" x14ac:dyDescent="0.15">
      <c r="A85" s="11" t="s">
        <v>83</v>
      </c>
      <c r="B85" s="2">
        <v>0</v>
      </c>
      <c r="C85" s="2">
        <v>0</v>
      </c>
      <c r="D85" s="2">
        <v>0</v>
      </c>
      <c r="F85" s="2">
        <v>200</v>
      </c>
    </row>
    <row r="86" spans="1:6" x14ac:dyDescent="0.15">
      <c r="A86" s="11" t="s">
        <v>82</v>
      </c>
      <c r="B86" s="2">
        <v>175018.50380999999</v>
      </c>
      <c r="C86" s="2">
        <v>207713.12684064</v>
      </c>
      <c r="D86" s="2">
        <v>229021.69164544001</v>
      </c>
      <c r="F86" s="2">
        <v>200</v>
      </c>
    </row>
    <row r="87" spans="1:6" x14ac:dyDescent="0.15">
      <c r="A87" s="11" t="s">
        <v>81</v>
      </c>
      <c r="B87" s="2">
        <v>-3156.2690600000001</v>
      </c>
      <c r="C87" s="2">
        <v>-3017.8282799999902</v>
      </c>
      <c r="D87" s="2">
        <v>-2737.82826999999</v>
      </c>
      <c r="F87" s="2">
        <v>200</v>
      </c>
    </row>
    <row r="88" spans="1:6" x14ac:dyDescent="0.15">
      <c r="A88" s="11" t="s">
        <v>80</v>
      </c>
      <c r="B88" s="2">
        <v>14447.127420000001</v>
      </c>
      <c r="C88" s="2">
        <v>14391.078757617701</v>
      </c>
      <c r="D88" s="2">
        <v>14195.353307732799</v>
      </c>
      <c r="F88" s="2" t="s">
        <v>173</v>
      </c>
    </row>
    <row r="89" spans="1:6" x14ac:dyDescent="0.15">
      <c r="A89" s="11" t="s">
        <v>79</v>
      </c>
      <c r="B89" s="2">
        <v>0</v>
      </c>
      <c r="C89" s="2">
        <v>0</v>
      </c>
      <c r="D89" s="2">
        <v>0</v>
      </c>
      <c r="F89" s="2">
        <v>300</v>
      </c>
    </row>
    <row r="90" spans="1:6" x14ac:dyDescent="0.15">
      <c r="A90" s="11" t="s">
        <v>78</v>
      </c>
      <c r="B90" s="2">
        <v>24905.8727799999</v>
      </c>
      <c r="C90" s="2">
        <v>23970.732657928002</v>
      </c>
      <c r="D90" s="2">
        <v>22915.5862050219</v>
      </c>
      <c r="F90" s="2">
        <v>300</v>
      </c>
    </row>
    <row r="91" spans="1:6" x14ac:dyDescent="0.15">
      <c r="A91" s="11" t="s">
        <v>77</v>
      </c>
      <c r="B91" s="2">
        <v>2353.6935100000001</v>
      </c>
      <c r="C91" s="2">
        <v>2256.0307147732001</v>
      </c>
      <c r="D91" s="2">
        <v>2146.5192249490001</v>
      </c>
      <c r="F91" s="2" t="s">
        <v>173</v>
      </c>
    </row>
    <row r="92" spans="1:6" x14ac:dyDescent="0.15">
      <c r="A92" s="11" t="s">
        <v>76</v>
      </c>
      <c r="B92" s="2">
        <v>0</v>
      </c>
      <c r="C92" s="2">
        <v>0</v>
      </c>
      <c r="D92" s="2">
        <v>0</v>
      </c>
      <c r="F92" s="2">
        <v>300</v>
      </c>
    </row>
    <row r="93" spans="1:6" x14ac:dyDescent="0.15">
      <c r="A93" s="11" t="s">
        <v>75</v>
      </c>
      <c r="B93" s="2">
        <v>149094.71672999999</v>
      </c>
      <c r="C93" s="2">
        <v>202883.84523924001</v>
      </c>
      <c r="D93" s="2">
        <v>259805.36474091999</v>
      </c>
      <c r="F93" s="2">
        <v>300</v>
      </c>
    </row>
    <row r="94" spans="1:6" x14ac:dyDescent="0.15">
      <c r="A94" s="11" t="s">
        <v>74</v>
      </c>
      <c r="B94" s="2">
        <v>42.731250000000003</v>
      </c>
      <c r="C94" s="2">
        <v>39.783413799999998</v>
      </c>
      <c r="D94" s="2">
        <v>36.463867149999899</v>
      </c>
      <c r="F94" s="2" t="s">
        <v>173</v>
      </c>
    </row>
    <row r="95" spans="1:6" x14ac:dyDescent="0.15">
      <c r="A95" s="11" t="s">
        <v>73</v>
      </c>
      <c r="B95" s="2">
        <v>6669.1779499999902</v>
      </c>
      <c r="C95" s="2">
        <v>6868.5402742531996</v>
      </c>
      <c r="D95" s="2">
        <v>8185.7163809100002</v>
      </c>
      <c r="F95" s="2" t="s">
        <v>173</v>
      </c>
    </row>
    <row r="96" spans="1:6" x14ac:dyDescent="0.15">
      <c r="A96" s="11" t="s">
        <v>72</v>
      </c>
      <c r="B96" s="2">
        <v>0</v>
      </c>
      <c r="C96" s="2">
        <v>0</v>
      </c>
      <c r="D96" s="2">
        <v>0</v>
      </c>
      <c r="F96" s="2">
        <v>300</v>
      </c>
    </row>
    <row r="97" spans="1:6" x14ac:dyDescent="0.15">
      <c r="A97" s="11" t="s">
        <v>71</v>
      </c>
      <c r="B97" s="2">
        <v>57497.454249999901</v>
      </c>
      <c r="C97" s="2">
        <v>59962.720378940001</v>
      </c>
      <c r="D97" s="2">
        <v>60325.991934680103</v>
      </c>
      <c r="F97" s="2">
        <v>300</v>
      </c>
    </row>
    <row r="98" spans="1:6" x14ac:dyDescent="0.15">
      <c r="A98" s="11" t="s">
        <v>70</v>
      </c>
      <c r="B98" s="2">
        <v>27.506539999999902</v>
      </c>
      <c r="C98" s="2">
        <v>25.9920608126519</v>
      </c>
      <c r="D98" s="2">
        <v>24.243478060649899</v>
      </c>
      <c r="F98" s="2" t="s">
        <v>173</v>
      </c>
    </row>
    <row r="99" spans="1:6" x14ac:dyDescent="0.15">
      <c r="A99" s="11" t="s">
        <v>69</v>
      </c>
      <c r="B99" s="2">
        <v>6827.4358099999899</v>
      </c>
      <c r="C99" s="2">
        <v>7186.6849004999904</v>
      </c>
      <c r="D99" s="2">
        <v>6797.8124167559599</v>
      </c>
      <c r="F99" s="2" t="s">
        <v>173</v>
      </c>
    </row>
    <row r="100" spans="1:6" x14ac:dyDescent="0.15">
      <c r="A100" s="11" t="s">
        <v>68</v>
      </c>
      <c r="B100" s="2">
        <v>219.11447000000001</v>
      </c>
      <c r="C100" s="2">
        <v>208.92765069919901</v>
      </c>
      <c r="D100" s="2">
        <v>200.01975953779899</v>
      </c>
      <c r="F100" s="2">
        <v>100</v>
      </c>
    </row>
    <row r="101" spans="1:6" x14ac:dyDescent="0.15">
      <c r="A101" s="11" t="s">
        <v>67</v>
      </c>
      <c r="B101" s="2">
        <v>0</v>
      </c>
      <c r="C101" s="2">
        <v>0</v>
      </c>
      <c r="D101" s="2">
        <v>0</v>
      </c>
      <c r="F101" s="2" t="s">
        <v>173</v>
      </c>
    </row>
    <row r="102" spans="1:6" x14ac:dyDescent="0.15">
      <c r="A102" s="11" t="s">
        <v>66</v>
      </c>
      <c r="B102" s="2">
        <v>206.680679999999</v>
      </c>
      <c r="C102" s="2">
        <v>154.95895733879999</v>
      </c>
      <c r="D102" s="2">
        <v>145.35521625120001</v>
      </c>
      <c r="F102" s="2">
        <v>300</v>
      </c>
    </row>
    <row r="103" spans="1:6" x14ac:dyDescent="0.15">
      <c r="A103" s="11" t="s">
        <v>65</v>
      </c>
      <c r="B103" s="2">
        <v>0</v>
      </c>
      <c r="C103" s="2">
        <v>0</v>
      </c>
      <c r="D103" s="2">
        <v>0</v>
      </c>
      <c r="F103" s="2" t="s">
        <v>173</v>
      </c>
    </row>
    <row r="104" spans="1:6" x14ac:dyDescent="0.15">
      <c r="A104" s="11" t="s">
        <v>64</v>
      </c>
      <c r="B104" s="2">
        <v>369.74951999999899</v>
      </c>
      <c r="C104" s="2">
        <v>361.35611999999998</v>
      </c>
      <c r="D104" s="2">
        <v>352.96271999999999</v>
      </c>
      <c r="F104" s="2" t="s">
        <v>172</v>
      </c>
    </row>
    <row r="105" spans="1:6" x14ac:dyDescent="0.15">
      <c r="A105" s="11" t="s">
        <v>63</v>
      </c>
      <c r="B105" s="2">
        <v>324.08784000000003</v>
      </c>
      <c r="C105" s="2">
        <v>437.97009000000003</v>
      </c>
      <c r="D105" s="2">
        <v>437.97009000000003</v>
      </c>
      <c r="F105" s="2" t="s">
        <v>173</v>
      </c>
    </row>
    <row r="106" spans="1:6" x14ac:dyDescent="0.15">
      <c r="A106" s="11" t="s">
        <v>62</v>
      </c>
      <c r="B106" s="2">
        <v>6256.9057999999904</v>
      </c>
      <c r="C106" s="2">
        <v>6878.057673196</v>
      </c>
      <c r="D106" s="2">
        <v>7266.1483427659996</v>
      </c>
      <c r="F106" s="2">
        <v>100</v>
      </c>
    </row>
    <row r="107" spans="1:6" x14ac:dyDescent="0.15">
      <c r="A107" s="11" t="s">
        <v>61</v>
      </c>
      <c r="B107" s="50">
        <v>2.6023399999999999</v>
      </c>
      <c r="C107" s="2">
        <v>2.5871003406679902</v>
      </c>
      <c r="D107" s="2">
        <v>2.5710731396719901</v>
      </c>
      <c r="F107" s="2" t="s">
        <v>173</v>
      </c>
    </row>
    <row r="108" spans="1:6" x14ac:dyDescent="0.15">
      <c r="A108" s="11" t="s">
        <v>60</v>
      </c>
      <c r="B108" s="50">
        <v>125.24413999999901</v>
      </c>
      <c r="C108" s="2">
        <v>274.71636312867997</v>
      </c>
      <c r="D108" s="2">
        <v>274.16125196572</v>
      </c>
      <c r="F108" s="2" t="s">
        <v>173</v>
      </c>
    </row>
    <row r="109" spans="1:6" x14ac:dyDescent="0.15">
      <c r="A109" s="11" t="s">
        <v>59</v>
      </c>
      <c r="B109" s="2">
        <v>8095.8722799999996</v>
      </c>
      <c r="C109" s="2">
        <v>9699.8365850419996</v>
      </c>
      <c r="D109" s="2">
        <v>11145.334325546</v>
      </c>
      <c r="F109" s="2">
        <v>100</v>
      </c>
    </row>
    <row r="110" spans="1:6" x14ac:dyDescent="0.15">
      <c r="A110" s="11" t="s">
        <v>58</v>
      </c>
      <c r="B110" s="50">
        <v>1.20699999999995E-2</v>
      </c>
      <c r="C110" s="2">
        <v>-3.9422600000000398E-2</v>
      </c>
      <c r="D110" s="2">
        <v>-9.2872317500000801E-2</v>
      </c>
      <c r="F110" s="2" t="s">
        <v>173</v>
      </c>
    </row>
    <row r="111" spans="1:6" x14ac:dyDescent="0.15">
      <c r="A111" s="11" t="s">
        <v>57</v>
      </c>
      <c r="B111" s="50">
        <v>366.11810000000003</v>
      </c>
      <c r="C111" s="2">
        <v>364.7447865332</v>
      </c>
      <c r="D111" s="2">
        <v>354.50110249340003</v>
      </c>
      <c r="F111" s="2" t="s">
        <v>173</v>
      </c>
    </row>
    <row r="112" spans="1:6" x14ac:dyDescent="0.15">
      <c r="A112" s="11" t="s">
        <v>56</v>
      </c>
      <c r="B112" s="2">
        <v>0</v>
      </c>
      <c r="C112" s="2">
        <v>0</v>
      </c>
      <c r="D112" s="2">
        <v>0</v>
      </c>
      <c r="F112" s="2">
        <v>200</v>
      </c>
    </row>
    <row r="113" spans="1:6" x14ac:dyDescent="0.15">
      <c r="A113" s="11" t="s">
        <v>55</v>
      </c>
      <c r="B113" s="2">
        <v>120206.22155</v>
      </c>
      <c r="C113" s="2">
        <v>136445.06821534</v>
      </c>
      <c r="D113" s="2">
        <v>151540.73013965</v>
      </c>
      <c r="F113" s="2">
        <v>200</v>
      </c>
    </row>
    <row r="114" spans="1:6" x14ac:dyDescent="0.15">
      <c r="A114" s="11" t="s">
        <v>54</v>
      </c>
      <c r="B114" s="50">
        <v>35.434599999999897</v>
      </c>
      <c r="C114" s="2">
        <v>33.916326474999998</v>
      </c>
      <c r="D114" s="2">
        <v>32.3912971747</v>
      </c>
      <c r="F114" s="2" t="s">
        <v>173</v>
      </c>
    </row>
    <row r="115" spans="1:6" x14ac:dyDescent="0.15">
      <c r="A115" s="11" t="s">
        <v>53</v>
      </c>
      <c r="B115" s="50">
        <v>5144.07</v>
      </c>
      <c r="C115" s="2">
        <v>5220.9243822042999</v>
      </c>
      <c r="D115" s="2">
        <v>5033.2076499822997</v>
      </c>
      <c r="F115" s="2" t="s">
        <v>173</v>
      </c>
    </row>
    <row r="116" spans="1:6" x14ac:dyDescent="0.15">
      <c r="A116" s="11" t="s">
        <v>212</v>
      </c>
      <c r="B116" s="2">
        <v>25.73264</v>
      </c>
      <c r="C116" s="2">
        <v>25.114421013308</v>
      </c>
      <c r="D116" s="2">
        <v>24.45114101327</v>
      </c>
      <c r="F116" s="2">
        <v>300</v>
      </c>
    </row>
    <row r="117" spans="1:6" x14ac:dyDescent="0.15">
      <c r="A117" s="11" t="s">
        <v>52</v>
      </c>
      <c r="B117" s="2">
        <v>187675.83762999999</v>
      </c>
      <c r="C117" s="2">
        <v>203217.69409924001</v>
      </c>
      <c r="D117" s="2">
        <v>208996.294260369</v>
      </c>
      <c r="F117" s="2">
        <v>300</v>
      </c>
    </row>
    <row r="118" spans="1:6" x14ac:dyDescent="0.15">
      <c r="A118" s="11" t="s">
        <v>51</v>
      </c>
      <c r="B118" s="50">
        <v>2.4500299999999902</v>
      </c>
      <c r="C118" s="2">
        <v>1.33665548400001</v>
      </c>
      <c r="D118" s="2">
        <v>0.14201648400005901</v>
      </c>
      <c r="F118" s="2" t="s">
        <v>173</v>
      </c>
    </row>
    <row r="119" spans="1:6" x14ac:dyDescent="0.15">
      <c r="A119" s="11" t="s">
        <v>50</v>
      </c>
      <c r="B119" s="50">
        <v>14952.109189999999</v>
      </c>
      <c r="C119" s="2">
        <v>16614.78240887</v>
      </c>
      <c r="D119" s="2">
        <v>16166.649485447</v>
      </c>
      <c r="F119" s="2" t="s">
        <v>173</v>
      </c>
    </row>
    <row r="120" spans="1:6" x14ac:dyDescent="0.15">
      <c r="A120" s="11" t="s">
        <v>213</v>
      </c>
      <c r="B120" s="2">
        <v>22.614699999999999</v>
      </c>
      <c r="C120" s="2">
        <v>21.852373018999899</v>
      </c>
      <c r="D120" s="2">
        <v>21.179789833999902</v>
      </c>
      <c r="F120" s="2">
        <v>300</v>
      </c>
    </row>
    <row r="121" spans="1:6" x14ac:dyDescent="0.15">
      <c r="A121" s="11" t="s">
        <v>49</v>
      </c>
      <c r="B121" s="2">
        <v>203597.72899999999</v>
      </c>
      <c r="C121" s="2">
        <v>233551.08460953899</v>
      </c>
      <c r="D121" s="2">
        <v>247437.72369262</v>
      </c>
      <c r="F121" s="2">
        <v>300</v>
      </c>
    </row>
    <row r="122" spans="1:6" x14ac:dyDescent="0.15">
      <c r="A122" s="11" t="s">
        <v>48</v>
      </c>
      <c r="B122" s="50">
        <v>-3.05683999999999</v>
      </c>
      <c r="C122" s="2">
        <v>-4.5672840019999796</v>
      </c>
      <c r="D122" s="2">
        <v>-5.9000357719999696</v>
      </c>
      <c r="F122" s="2" t="s">
        <v>173</v>
      </c>
    </row>
    <row r="123" spans="1:6" x14ac:dyDescent="0.15">
      <c r="A123" s="11" t="s">
        <v>47</v>
      </c>
      <c r="B123" s="50">
        <v>14917.13336</v>
      </c>
      <c r="C123" s="2">
        <v>16671.445097401</v>
      </c>
      <c r="D123" s="2">
        <v>17767.504993144899</v>
      </c>
      <c r="F123" s="2" t="s">
        <v>173</v>
      </c>
    </row>
    <row r="124" spans="1:6" x14ac:dyDescent="0.15">
      <c r="A124" s="11" t="s">
        <v>214</v>
      </c>
      <c r="B124" s="2">
        <v>165.03873999999999</v>
      </c>
      <c r="C124" s="2">
        <v>160.42163732</v>
      </c>
      <c r="D124" s="2">
        <v>156.12947406800001</v>
      </c>
      <c r="F124" s="2">
        <v>100</v>
      </c>
    </row>
    <row r="125" spans="1:6" x14ac:dyDescent="0.15">
      <c r="A125" s="11" t="s">
        <v>46</v>
      </c>
      <c r="B125" s="2">
        <v>1052.91893</v>
      </c>
      <c r="C125" s="2">
        <v>1329.75945364839</v>
      </c>
      <c r="D125" s="2">
        <v>1274.282802379</v>
      </c>
      <c r="F125" s="2">
        <v>100</v>
      </c>
    </row>
    <row r="126" spans="1:6" x14ac:dyDescent="0.15">
      <c r="A126" s="11" t="s">
        <v>45</v>
      </c>
      <c r="B126" s="2">
        <v>0</v>
      </c>
      <c r="C126" s="2">
        <v>0</v>
      </c>
      <c r="D126" s="2">
        <v>0</v>
      </c>
      <c r="F126" s="2" t="s">
        <v>173</v>
      </c>
    </row>
    <row r="127" spans="1:6" x14ac:dyDescent="0.15">
      <c r="A127" s="11" t="s">
        <v>44</v>
      </c>
      <c r="B127" s="2">
        <v>0</v>
      </c>
      <c r="C127" s="2">
        <v>0</v>
      </c>
      <c r="D127" s="2">
        <v>0</v>
      </c>
      <c r="F127" s="2" t="s">
        <v>173</v>
      </c>
    </row>
    <row r="128" spans="1:6" x14ac:dyDescent="0.15">
      <c r="A128" s="11" t="s">
        <v>215</v>
      </c>
      <c r="B128" s="2">
        <v>1285.51963</v>
      </c>
      <c r="C128" s="2">
        <v>1254.0906785751999</v>
      </c>
      <c r="D128" s="2">
        <v>1222.2639096933999</v>
      </c>
      <c r="F128" s="2">
        <v>300</v>
      </c>
    </row>
    <row r="129" spans="1:6" x14ac:dyDescent="0.15">
      <c r="A129" s="11" t="s">
        <v>43</v>
      </c>
      <c r="B129" s="2">
        <v>136046.09761999999</v>
      </c>
      <c r="C129" s="2">
        <v>140967.14697865001</v>
      </c>
      <c r="D129" s="2">
        <v>151132.6928244</v>
      </c>
      <c r="F129" s="2">
        <v>300</v>
      </c>
    </row>
    <row r="130" spans="1:6" x14ac:dyDescent="0.15">
      <c r="A130" s="11" t="s">
        <v>42</v>
      </c>
      <c r="B130" s="50">
        <v>0</v>
      </c>
      <c r="C130" s="2">
        <v>0</v>
      </c>
      <c r="D130" s="2">
        <v>0</v>
      </c>
      <c r="F130" s="2" t="s">
        <v>173</v>
      </c>
    </row>
    <row r="131" spans="1:6" x14ac:dyDescent="0.15">
      <c r="A131" s="11" t="s">
        <v>41</v>
      </c>
      <c r="B131" s="50">
        <v>3475.9818700000001</v>
      </c>
      <c r="C131" s="2">
        <v>4603.9784720990001</v>
      </c>
      <c r="D131" s="2">
        <v>4924.8459044010997</v>
      </c>
      <c r="F131" s="2" t="s">
        <v>173</v>
      </c>
    </row>
    <row r="132" spans="1:6" x14ac:dyDescent="0.15">
      <c r="A132" s="11" t="s">
        <v>40</v>
      </c>
      <c r="B132" s="2">
        <v>160844.11804999999</v>
      </c>
      <c r="C132" s="2">
        <v>161959.46702379</v>
      </c>
      <c r="D132" s="2">
        <v>164900.242317189</v>
      </c>
      <c r="F132" s="2">
        <v>200</v>
      </c>
    </row>
    <row r="133" spans="1:6" x14ac:dyDescent="0.15">
      <c r="A133" s="11" t="s">
        <v>39</v>
      </c>
      <c r="B133" s="50">
        <v>-1.93844999999999</v>
      </c>
      <c r="C133" s="2">
        <v>-2.0147959533319999</v>
      </c>
      <c r="D133" s="2">
        <v>-2.0809034893280001</v>
      </c>
      <c r="F133" s="2" t="s">
        <v>173</v>
      </c>
    </row>
    <row r="134" spans="1:6" x14ac:dyDescent="0.15">
      <c r="A134" s="11" t="s">
        <v>38</v>
      </c>
      <c r="B134" s="50">
        <v>6035.1260300000004</v>
      </c>
      <c r="C134" s="2">
        <v>5763.7846058579898</v>
      </c>
      <c r="D134" s="2">
        <v>5494.0538540225898</v>
      </c>
      <c r="F134" s="2" t="s">
        <v>173</v>
      </c>
    </row>
    <row r="135" spans="1:6" x14ac:dyDescent="0.15">
      <c r="A135" s="11" t="s">
        <v>37</v>
      </c>
      <c r="B135" s="2">
        <v>31927.174859999999</v>
      </c>
      <c r="C135" s="2">
        <v>38211.597062089902</v>
      </c>
      <c r="D135" s="2">
        <v>36431.6919086899</v>
      </c>
      <c r="F135" s="2">
        <v>300</v>
      </c>
    </row>
    <row r="136" spans="1:6" x14ac:dyDescent="0.15">
      <c r="A136" s="11" t="s">
        <v>36</v>
      </c>
      <c r="B136" s="50">
        <v>-0.88468999999999998</v>
      </c>
      <c r="C136" s="2">
        <v>-0.88985292866799903</v>
      </c>
      <c r="D136" s="2">
        <v>-0.89451247466799699</v>
      </c>
      <c r="F136" s="2" t="s">
        <v>173</v>
      </c>
    </row>
    <row r="137" spans="1:6" x14ac:dyDescent="0.15">
      <c r="A137" s="11" t="s">
        <v>35</v>
      </c>
      <c r="B137" s="50">
        <v>1111.5631800000001</v>
      </c>
      <c r="C137" s="2">
        <v>1309.5947451919999</v>
      </c>
      <c r="D137" s="2">
        <v>1208.96327558601</v>
      </c>
      <c r="F137" s="2" t="s">
        <v>173</v>
      </c>
    </row>
    <row r="138" spans="1:6" x14ac:dyDescent="0.15">
      <c r="A138" s="11" t="s">
        <v>34</v>
      </c>
      <c r="B138" s="2">
        <v>37316.836009999999</v>
      </c>
      <c r="C138" s="2">
        <v>37398.010941699999</v>
      </c>
      <c r="D138" s="2">
        <v>45929.084578510003</v>
      </c>
      <c r="F138" s="2">
        <v>300</v>
      </c>
    </row>
    <row r="139" spans="1:6" x14ac:dyDescent="0.15">
      <c r="A139" s="11" t="s">
        <v>33</v>
      </c>
      <c r="B139" s="50">
        <v>4.00204</v>
      </c>
      <c r="C139" s="2">
        <v>3.9059060303319999</v>
      </c>
      <c r="D139" s="2">
        <v>3.7689243613299999</v>
      </c>
      <c r="F139" s="2" t="s">
        <v>173</v>
      </c>
    </row>
    <row r="140" spans="1:6" x14ac:dyDescent="0.15">
      <c r="A140" s="11" t="s">
        <v>32</v>
      </c>
      <c r="B140" s="50">
        <v>1373.4339600000001</v>
      </c>
      <c r="C140" s="2">
        <v>1186.6781299920001</v>
      </c>
      <c r="D140" s="2">
        <v>1068.9553251960001</v>
      </c>
      <c r="F140" s="2" t="s">
        <v>173</v>
      </c>
    </row>
    <row r="141" spans="1:6" x14ac:dyDescent="0.15">
      <c r="A141" s="11" t="s">
        <v>31</v>
      </c>
      <c r="B141" s="2">
        <v>149.19332</v>
      </c>
      <c r="C141" s="2">
        <v>193.278992282996</v>
      </c>
      <c r="D141" s="2">
        <v>286.72409935591998</v>
      </c>
      <c r="F141" s="2">
        <v>300</v>
      </c>
    </row>
    <row r="142" spans="1:6" x14ac:dyDescent="0.15">
      <c r="A142" s="11" t="s">
        <v>30</v>
      </c>
      <c r="B142" s="50">
        <v>0</v>
      </c>
      <c r="C142" s="2">
        <v>0</v>
      </c>
      <c r="D142" s="2">
        <v>0</v>
      </c>
      <c r="F142" s="2" t="s">
        <v>173</v>
      </c>
    </row>
    <row r="143" spans="1:6" x14ac:dyDescent="0.15">
      <c r="A143" s="11" t="s">
        <v>29</v>
      </c>
      <c r="B143" s="50">
        <v>-107.81182999999901</v>
      </c>
      <c r="C143" s="2">
        <v>0</v>
      </c>
      <c r="D143" s="2">
        <v>0</v>
      </c>
      <c r="F143" s="2" t="s">
        <v>173</v>
      </c>
    </row>
    <row r="144" spans="1:6" x14ac:dyDescent="0.15">
      <c r="A144" s="11" t="s">
        <v>28</v>
      </c>
      <c r="B144" s="2">
        <v>73079.078850000005</v>
      </c>
      <c r="C144" s="2">
        <v>75861.856837040003</v>
      </c>
      <c r="D144" s="2">
        <v>78177.022303210004</v>
      </c>
      <c r="F144" s="2">
        <v>300</v>
      </c>
    </row>
    <row r="145" spans="1:6" x14ac:dyDescent="0.15">
      <c r="A145" s="11" t="s">
        <v>27</v>
      </c>
      <c r="B145" s="50">
        <v>1971.72172999999</v>
      </c>
      <c r="C145" s="2">
        <v>2075.359973482</v>
      </c>
      <c r="D145" s="2">
        <v>2154.1598460974901</v>
      </c>
      <c r="F145" s="2" t="s">
        <v>173</v>
      </c>
    </row>
    <row r="146" spans="1:6" x14ac:dyDescent="0.15">
      <c r="A146" s="11" t="s">
        <v>26</v>
      </c>
      <c r="B146" s="2">
        <v>804.16388999999901</v>
      </c>
      <c r="C146" s="2">
        <v>778.959059999999</v>
      </c>
      <c r="D146" s="2">
        <v>756.34469999999897</v>
      </c>
      <c r="F146" s="2" t="s">
        <v>172</v>
      </c>
    </row>
    <row r="147" spans="1:6" x14ac:dyDescent="0.15">
      <c r="A147" s="11" t="s">
        <v>25</v>
      </c>
      <c r="B147" s="2">
        <v>2729.4798999999998</v>
      </c>
      <c r="C147" s="2">
        <v>3049.4870700000001</v>
      </c>
      <c r="D147" s="2">
        <v>4049.4870700000001</v>
      </c>
      <c r="F147" s="2">
        <v>100</v>
      </c>
    </row>
    <row r="148" spans="1:6" x14ac:dyDescent="0.15">
      <c r="A148" s="11" t="s">
        <v>24</v>
      </c>
      <c r="B148" s="2">
        <v>80.601699999999994</v>
      </c>
      <c r="C148" s="2">
        <v>378.354999999999</v>
      </c>
      <c r="D148" s="2">
        <v>378.354999999999</v>
      </c>
      <c r="F148" s="2" t="s">
        <v>173</v>
      </c>
    </row>
    <row r="149" spans="1:6" x14ac:dyDescent="0.15">
      <c r="A149" s="11" t="s">
        <v>23</v>
      </c>
      <c r="B149" s="2">
        <v>1840.4737500000001</v>
      </c>
      <c r="C149" s="2">
        <v>1797.2003280413201</v>
      </c>
      <c r="D149" s="2">
        <v>1743.3734635337801</v>
      </c>
      <c r="F149" s="2">
        <v>100</v>
      </c>
    </row>
    <row r="150" spans="1:6" x14ac:dyDescent="0.15">
      <c r="A150" s="11" t="s">
        <v>22</v>
      </c>
      <c r="B150" s="2">
        <v>43003.181360000002</v>
      </c>
      <c r="C150" s="2">
        <v>46754.272740908898</v>
      </c>
      <c r="D150" s="2">
        <v>54048.416465966897</v>
      </c>
      <c r="F150" s="2">
        <v>100</v>
      </c>
    </row>
    <row r="151" spans="1:6" x14ac:dyDescent="0.15">
      <c r="A151" s="11" t="s">
        <v>21</v>
      </c>
      <c r="B151" s="2">
        <v>758.35418999999899</v>
      </c>
      <c r="C151" s="2">
        <v>746.92271795933198</v>
      </c>
      <c r="D151" s="2">
        <v>6450.5658583476998</v>
      </c>
      <c r="F151" s="2" t="s">
        <v>173</v>
      </c>
    </row>
    <row r="152" spans="1:6" x14ac:dyDescent="0.15">
      <c r="A152" s="11" t="s">
        <v>20</v>
      </c>
      <c r="B152" s="2">
        <v>4136.2686000000003</v>
      </c>
      <c r="C152" s="2">
        <v>4735.1374875499996</v>
      </c>
      <c r="D152" s="2">
        <v>5639.2726876199904</v>
      </c>
      <c r="F152" s="2">
        <v>300</v>
      </c>
    </row>
    <row r="153" spans="1:6" x14ac:dyDescent="0.15">
      <c r="A153" s="11" t="s">
        <v>19</v>
      </c>
      <c r="B153" s="2">
        <v>17001.127830000001</v>
      </c>
      <c r="C153" s="2">
        <v>19491.03884003</v>
      </c>
      <c r="D153" s="2">
        <v>18864.215957429999</v>
      </c>
      <c r="F153" s="2">
        <v>300</v>
      </c>
    </row>
    <row r="154" spans="1:6" x14ac:dyDescent="0.15">
      <c r="A154" s="11" t="s">
        <v>18</v>
      </c>
      <c r="B154" s="2">
        <v>-0.68134999999999901</v>
      </c>
      <c r="C154" s="2">
        <v>-0.83260000000000001</v>
      </c>
      <c r="D154" s="2">
        <v>-0.83260000000000001</v>
      </c>
      <c r="F154" s="2" t="s">
        <v>173</v>
      </c>
    </row>
    <row r="155" spans="1:6" x14ac:dyDescent="0.15">
      <c r="A155" s="11" t="s">
        <v>17</v>
      </c>
      <c r="B155" s="2">
        <v>0</v>
      </c>
      <c r="C155" s="2">
        <v>0</v>
      </c>
      <c r="D155" s="2">
        <v>0</v>
      </c>
      <c r="F155" s="2" t="s">
        <v>172</v>
      </c>
    </row>
    <row r="156" spans="1:6" x14ac:dyDescent="0.15">
      <c r="A156" s="11" t="s">
        <v>16</v>
      </c>
      <c r="B156" s="2">
        <v>6.2617200000000004</v>
      </c>
      <c r="C156" s="2">
        <v>122.939671667</v>
      </c>
      <c r="D156" s="2">
        <v>603.18955648479903</v>
      </c>
      <c r="F156" s="2" t="s">
        <v>172</v>
      </c>
    </row>
    <row r="157" spans="1:6" x14ac:dyDescent="0.15">
      <c r="A157" s="11" t="s">
        <v>15</v>
      </c>
      <c r="B157" s="2">
        <v>2213.3754600000002</v>
      </c>
      <c r="C157" s="2">
        <v>3529.8440895899998</v>
      </c>
      <c r="D157" s="2">
        <v>3293.2960498860002</v>
      </c>
      <c r="F157" s="2" t="s">
        <v>172</v>
      </c>
    </row>
    <row r="158" spans="1:6" x14ac:dyDescent="0.15">
      <c r="A158" s="11" t="s">
        <v>14</v>
      </c>
      <c r="B158" s="2">
        <v>0</v>
      </c>
      <c r="C158" s="2">
        <v>0</v>
      </c>
      <c r="D158" s="2">
        <v>0</v>
      </c>
      <c r="F158" s="2" t="s">
        <v>173</v>
      </c>
    </row>
    <row r="159" spans="1:6" x14ac:dyDescent="0.15">
      <c r="A159" s="11" t="s">
        <v>13</v>
      </c>
      <c r="B159" s="2">
        <v>1191.4241500000001</v>
      </c>
      <c r="C159" s="2">
        <v>1124.2439385560001</v>
      </c>
      <c r="D159" s="2">
        <v>1052.7873210499999</v>
      </c>
      <c r="F159" s="2">
        <v>300</v>
      </c>
    </row>
    <row r="160" spans="1:6" x14ac:dyDescent="0.15">
      <c r="A160" s="11" t="s">
        <v>12</v>
      </c>
      <c r="B160" s="2">
        <v>1.2634099999999999</v>
      </c>
      <c r="C160" s="2">
        <v>1.033956882</v>
      </c>
      <c r="D160" s="2">
        <v>0.81964036500000004</v>
      </c>
      <c r="F160" s="2" t="s">
        <v>173</v>
      </c>
    </row>
    <row r="161" spans="1:7" x14ac:dyDescent="0.15">
      <c r="A161" s="11" t="s">
        <v>11</v>
      </c>
      <c r="B161" s="2">
        <v>8266.6175500000008</v>
      </c>
      <c r="C161" s="2">
        <v>8952.0782961299992</v>
      </c>
      <c r="D161" s="2">
        <v>9131.0593087799898</v>
      </c>
      <c r="F161" s="2">
        <v>300</v>
      </c>
    </row>
    <row r="162" spans="1:7" x14ac:dyDescent="0.15">
      <c r="A162" s="11" t="s">
        <v>10</v>
      </c>
      <c r="B162" s="2">
        <v>296.0496</v>
      </c>
      <c r="C162" s="2">
        <v>307.22265991500001</v>
      </c>
      <c r="D162" s="2">
        <v>312.636101824999</v>
      </c>
      <c r="F162" s="2" t="s">
        <v>173</v>
      </c>
    </row>
    <row r="163" spans="1:7" x14ac:dyDescent="0.15">
      <c r="A163" s="11" t="s">
        <v>9</v>
      </c>
      <c r="B163" s="2">
        <v>0</v>
      </c>
      <c r="C163" s="2">
        <v>0</v>
      </c>
      <c r="D163" s="2">
        <v>0</v>
      </c>
      <c r="F163" s="2">
        <v>300</v>
      </c>
    </row>
    <row r="164" spans="1:7" x14ac:dyDescent="0.15">
      <c r="A164" s="11" t="s">
        <v>8</v>
      </c>
      <c r="B164" s="2">
        <v>0</v>
      </c>
      <c r="C164" s="2">
        <v>0</v>
      </c>
      <c r="D164" s="2">
        <v>0</v>
      </c>
      <c r="F164" s="2" t="s">
        <v>173</v>
      </c>
    </row>
    <row r="165" spans="1:7" x14ac:dyDescent="0.15">
      <c r="A165" s="11" t="s">
        <v>7</v>
      </c>
      <c r="B165" s="2">
        <v>1345.6540199999999</v>
      </c>
      <c r="C165" s="2">
        <v>1241.3629848</v>
      </c>
      <c r="D165" s="2">
        <v>1089.5218011239999</v>
      </c>
      <c r="F165" s="2">
        <v>300</v>
      </c>
    </row>
    <row r="166" spans="1:7" x14ac:dyDescent="0.15">
      <c r="A166" s="11" t="s">
        <v>6</v>
      </c>
      <c r="B166" s="2">
        <v>213.62412</v>
      </c>
      <c r="C166" s="2">
        <v>188.52970385999899</v>
      </c>
      <c r="D166" s="2">
        <v>168.008147052</v>
      </c>
      <c r="F166" s="2" t="s">
        <v>173</v>
      </c>
    </row>
    <row r="167" spans="1:7" x14ac:dyDescent="0.15">
      <c r="A167" s="11" t="s">
        <v>5</v>
      </c>
      <c r="B167" s="2">
        <v>6072.2109599999903</v>
      </c>
      <c r="C167" s="2">
        <v>7955.2636361920004</v>
      </c>
      <c r="D167" s="2">
        <v>8935.4596424360006</v>
      </c>
      <c r="F167" s="2">
        <v>300</v>
      </c>
    </row>
    <row r="168" spans="1:7" x14ac:dyDescent="0.15">
      <c r="A168" s="11" t="s">
        <v>4</v>
      </c>
      <c r="B168" s="2">
        <v>28738.295310000001</v>
      </c>
      <c r="C168" s="2">
        <v>27431.490451519901</v>
      </c>
      <c r="D168" s="2">
        <v>29454.902343799899</v>
      </c>
      <c r="F168" s="2">
        <v>300</v>
      </c>
    </row>
    <row r="169" spans="1:7" x14ac:dyDescent="0.15">
      <c r="A169" s="11" t="s">
        <v>3</v>
      </c>
      <c r="B169" s="2">
        <v>394.98937999999998</v>
      </c>
      <c r="C169" s="2">
        <v>349.70879538799898</v>
      </c>
      <c r="D169" s="2">
        <v>293.04014458999899</v>
      </c>
      <c r="F169" s="2" t="s">
        <v>173</v>
      </c>
    </row>
    <row r="170" spans="1:7" x14ac:dyDescent="0.15">
      <c r="A170" s="11" t="s">
        <v>2</v>
      </c>
      <c r="B170" s="2">
        <v>0</v>
      </c>
      <c r="C170" s="2">
        <v>0</v>
      </c>
      <c r="D170" s="2">
        <v>239.43600000000001</v>
      </c>
      <c r="F170" s="2">
        <v>300</v>
      </c>
    </row>
    <row r="171" spans="1:7" x14ac:dyDescent="0.15">
      <c r="A171" s="11" t="s">
        <v>1</v>
      </c>
      <c r="B171" s="2">
        <v>0</v>
      </c>
      <c r="C171" s="2">
        <v>0</v>
      </c>
      <c r="D171" s="2">
        <v>0</v>
      </c>
      <c r="F171" s="2" t="s">
        <v>173</v>
      </c>
    </row>
    <row r="172" spans="1:7" x14ac:dyDescent="0.15">
      <c r="A172" s="11" t="s">
        <v>0</v>
      </c>
      <c r="B172" s="2">
        <v>971.31309999999996</v>
      </c>
      <c r="C172" s="2">
        <v>971.31309999999996</v>
      </c>
      <c r="D172" s="2">
        <v>971.31309999999996</v>
      </c>
      <c r="F172" s="2">
        <v>100</v>
      </c>
      <c r="G172" s="2">
        <f>IF(F172=300,B172,0)</f>
        <v>0</v>
      </c>
    </row>
    <row r="173" spans="1:7" ht="9.75" thickBot="1" x14ac:dyDescent="0.2">
      <c r="B173" s="10">
        <f>SUM(B6:B172)</f>
        <v>5939465.6738399873</v>
      </c>
      <c r="C173" s="10">
        <f t="shared" ref="C173:D173" si="0">SUM(C6:C172)</f>
        <v>6221025.1790107684</v>
      </c>
      <c r="D173" s="10">
        <f t="shared" si="0"/>
        <v>6264397.5218072999</v>
      </c>
    </row>
    <row r="174" spans="1:7" s="16" customFormat="1" x14ac:dyDescent="0.15">
      <c r="B174" s="2"/>
      <c r="C174" s="2"/>
      <c r="D174" s="2"/>
    </row>
    <row r="175" spans="1:7" x14ac:dyDescent="0.15">
      <c r="C175" s="11"/>
      <c r="D175" s="11"/>
    </row>
    <row r="176" spans="1:7" x14ac:dyDescent="0.15">
      <c r="A176" s="11" t="s">
        <v>149</v>
      </c>
    </row>
    <row r="177" spans="1:6" x14ac:dyDescent="0.15">
      <c r="A177" s="11" t="s">
        <v>150</v>
      </c>
      <c r="B177" s="51">
        <f>+'CWIP and RWIP'!B6</f>
        <v>267026.96755</v>
      </c>
      <c r="C177" s="15">
        <f>+'CWIP and RWIP'!C6</f>
        <v>110641.48729</v>
      </c>
      <c r="D177" s="15">
        <f>+'CWIP and RWIP'!D6</f>
        <v>267321.39000999997</v>
      </c>
    </row>
    <row r="178" spans="1:6" x14ac:dyDescent="0.15">
      <c r="A178" s="11" t="s">
        <v>165</v>
      </c>
      <c r="B178" s="2"/>
    </row>
    <row r="179" spans="1:6" x14ac:dyDescent="0.15">
      <c r="A179" s="11" t="s">
        <v>150</v>
      </c>
      <c r="B179" s="15">
        <f>+'CWIP and RWIP'!B10</f>
        <v>26635.584069999899</v>
      </c>
      <c r="C179" s="15">
        <f>+'CWIP and RWIP'!C10</f>
        <v>2569.79036</v>
      </c>
      <c r="D179" s="15">
        <f>+'CWIP and RWIP'!D10</f>
        <v>8222.3908099999899</v>
      </c>
    </row>
    <row r="180" spans="1:6" s="12" customFormat="1" ht="9.75" thickBot="1" x14ac:dyDescent="0.2">
      <c r="A180" s="52"/>
      <c r="B180" s="52"/>
    </row>
    <row r="182" spans="1:6" x14ac:dyDescent="0.15">
      <c r="A182" s="53" t="s">
        <v>176</v>
      </c>
    </row>
    <row r="183" spans="1:6" x14ac:dyDescent="0.15">
      <c r="A183" s="11" t="s">
        <v>177</v>
      </c>
    </row>
    <row r="184" spans="1:6" x14ac:dyDescent="0.15">
      <c r="A184" s="11" t="s">
        <v>252</v>
      </c>
    </row>
    <row r="185" spans="1:6" ht="11.25" x14ac:dyDescent="0.3">
      <c r="B185" s="72">
        <v>42370</v>
      </c>
      <c r="C185" s="72">
        <v>42736</v>
      </c>
      <c r="D185" s="72">
        <v>43101</v>
      </c>
    </row>
    <row r="186" spans="1:6" x14ac:dyDescent="0.15">
      <c r="A186" s="54" t="s">
        <v>178</v>
      </c>
    </row>
    <row r="187" spans="1:6" x14ac:dyDescent="0.15">
      <c r="A187" s="11" t="s">
        <v>152</v>
      </c>
      <c r="B187" s="55">
        <f>+B173</f>
        <v>5939465.6738399873</v>
      </c>
      <c r="C187" s="56">
        <f t="shared" ref="C187:D187" si="1">+C173</f>
        <v>6221025.1790107684</v>
      </c>
      <c r="D187" s="56">
        <f t="shared" si="1"/>
        <v>6264397.5218072999</v>
      </c>
    </row>
    <row r="188" spans="1:6" x14ac:dyDescent="0.15">
      <c r="A188" s="11" t="s">
        <v>166</v>
      </c>
      <c r="B188" s="57">
        <f t="shared" ref="B188:D188" si="2">+B177+B179</f>
        <v>293662.55161999993</v>
      </c>
      <c r="C188" s="57">
        <f t="shared" si="2"/>
        <v>113211.27765</v>
      </c>
      <c r="D188" s="57">
        <f t="shared" si="2"/>
        <v>275543.78081999999</v>
      </c>
    </row>
    <row r="189" spans="1:6" x14ac:dyDescent="0.15">
      <c r="A189" s="11" t="s">
        <v>153</v>
      </c>
      <c r="B189" s="58">
        <f t="shared" ref="B189:D189" si="3">SUM(B187:B188)</f>
        <v>6233128.2254599873</v>
      </c>
      <c r="C189" s="58">
        <f t="shared" si="3"/>
        <v>6334236.456660768</v>
      </c>
      <c r="D189" s="58">
        <f t="shared" si="3"/>
        <v>6539941.3026272999</v>
      </c>
    </row>
    <row r="190" spans="1:6" x14ac:dyDescent="0.15">
      <c r="A190" s="11" t="s">
        <v>157</v>
      </c>
    </row>
    <row r="191" spans="1:6" x14ac:dyDescent="0.15">
      <c r="A191" s="11" t="s">
        <v>155</v>
      </c>
      <c r="B191" s="2">
        <f>-SUMIF($F$3:$F$173,$F$191,B$3:B$173)</f>
        <v>-82942.387259999945</v>
      </c>
      <c r="C191" s="2">
        <f>-SUMIF($F$3:$F$173,$F$191,C$3:C$173)</f>
        <v>-88351.722529367224</v>
      </c>
      <c r="D191" s="2">
        <f>-SUMIF($F$3:$F$173,$F$191,D$3:D$173)</f>
        <v>-94911.168136629814</v>
      </c>
      <c r="E191" s="50"/>
      <c r="F191" s="2" t="s">
        <v>173</v>
      </c>
    </row>
    <row r="192" spans="1:6" x14ac:dyDescent="0.15">
      <c r="A192" s="11" t="s">
        <v>167</v>
      </c>
      <c r="B192" s="2">
        <f>-2648.83589+0.23908</f>
        <v>-2648.59681</v>
      </c>
      <c r="C192" s="2">
        <f t="shared" ref="C192:D192" si="4">-2330.08549-10.15157</f>
        <v>-2340.2370599999999</v>
      </c>
      <c r="D192" s="2">
        <f t="shared" si="4"/>
        <v>-2340.2370599999999</v>
      </c>
    </row>
    <row r="193" spans="1:6" x14ac:dyDescent="0.15">
      <c r="A193" s="11" t="s">
        <v>154</v>
      </c>
      <c r="B193" s="2">
        <f>-SUM(B6,B8,B46,B104,B54,B146,B77)</f>
        <v>-276491.70260000002</v>
      </c>
      <c r="C193" s="2">
        <f>-SUM(C6,C8,C46,C104,C54,C146,C77)</f>
        <v>-233005.17844124202</v>
      </c>
      <c r="D193" s="2">
        <f t="shared" ref="D193" si="5">-SUM(D6,D8,D46,D104,D54,D146,D77)</f>
        <v>-187728.7929763392</v>
      </c>
    </row>
    <row r="194" spans="1:6" x14ac:dyDescent="0.15">
      <c r="A194" s="11" t="s">
        <v>156</v>
      </c>
      <c r="B194" s="2">
        <f>-SUM(B155:B157)-1745.19333</f>
        <v>-3964.8305100000002</v>
      </c>
      <c r="C194" s="2">
        <f>-SUM(C155:C157)</f>
        <v>-3652.7837612569997</v>
      </c>
      <c r="D194" s="2">
        <f t="shared" ref="D194" si="6">-SUM(D155:D157)</f>
        <v>-3896.4856063707994</v>
      </c>
    </row>
    <row r="195" spans="1:6" x14ac:dyDescent="0.15">
      <c r="A195" s="11" t="s">
        <v>158</v>
      </c>
    </row>
    <row r="196" spans="1:6" collapsed="1" x14ac:dyDescent="0.15">
      <c r="A196" s="11" t="s">
        <v>168</v>
      </c>
      <c r="B196" s="2"/>
      <c r="C196" s="2">
        <f>+B196</f>
        <v>0</v>
      </c>
      <c r="D196" s="2">
        <f t="shared" ref="D196" si="7">+C196</f>
        <v>0</v>
      </c>
    </row>
    <row r="197" spans="1:6" collapsed="1" x14ac:dyDescent="0.15">
      <c r="A197" s="11" t="s">
        <v>160</v>
      </c>
      <c r="B197" s="15">
        <f>+'Fuel Inventory and M&amp;S'!B5+1463.21043</f>
        <v>98514.261110000007</v>
      </c>
      <c r="C197" s="15">
        <f>+'Fuel Inventory and M&amp;S'!C5+1463.21043</f>
        <v>104112.94042954101</v>
      </c>
      <c r="D197" s="15">
        <f>+'Fuel Inventory and M&amp;S'!D5+1463.21043</f>
        <v>83241.3179725191</v>
      </c>
    </row>
    <row r="198" spans="1:6" x14ac:dyDescent="0.15">
      <c r="A198" s="11" t="s">
        <v>161</v>
      </c>
      <c r="B198" s="15">
        <f>+'Fuel Inventory and M&amp;S'!B6-581.21738-1463.21043</f>
        <v>39138.794239999996</v>
      </c>
      <c r="C198" s="15">
        <f>+'Fuel Inventory and M&amp;S'!C6-581.21738-1463.21043</f>
        <v>42309.871090000001</v>
      </c>
      <c r="D198" s="15">
        <f>+'Fuel Inventory and M&amp;S'!D6-581.21738-1463.21043</f>
        <v>42004.86146</v>
      </c>
    </row>
    <row r="199" spans="1:6" x14ac:dyDescent="0.15">
      <c r="A199" s="11" t="s">
        <v>162</v>
      </c>
      <c r="B199" s="15">
        <f>+'Fuel Inventory and M&amp;S'!B7</f>
        <v>9371.6296899999998</v>
      </c>
      <c r="C199" s="15">
        <f>+'Fuel Inventory and M&amp;S'!C7</f>
        <v>10515.0708399999</v>
      </c>
      <c r="D199" s="15">
        <f>+'Fuel Inventory and M&amp;S'!D7</f>
        <v>10515.0708399999</v>
      </c>
    </row>
    <row r="200" spans="1:6" ht="9.75" thickBot="1" x14ac:dyDescent="0.2">
      <c r="A200" s="11" t="s">
        <v>164</v>
      </c>
      <c r="B200" s="10">
        <f>SUM(B189:B199)</f>
        <v>6014105.3933199868</v>
      </c>
      <c r="C200" s="10">
        <f t="shared" ref="C200:D200" si="8">SUM(C189:C199)</f>
        <v>6163824.4172284417</v>
      </c>
      <c r="D200" s="10">
        <f t="shared" si="8"/>
        <v>6386825.8691204796</v>
      </c>
    </row>
    <row r="201" spans="1:6" x14ac:dyDescent="0.15">
      <c r="B201" s="50">
        <f>6014157.198-B200</f>
        <v>51.804680013097823</v>
      </c>
    </row>
    <row r="202" spans="1:6" x14ac:dyDescent="0.15">
      <c r="A202" s="54" t="s">
        <v>175</v>
      </c>
    </row>
    <row r="203" spans="1:6" x14ac:dyDescent="0.15">
      <c r="A203" s="11" t="s">
        <v>169</v>
      </c>
      <c r="B203" s="2">
        <f>SUMIF($F$3:$F$173,$F203,B$3:B$173)-B210+B213</f>
        <v>248543.03008099084</v>
      </c>
      <c r="C203" s="2">
        <f>SUMIF($F$3:$F$173,$F203,C$3:C$173)-C210+C213</f>
        <v>255828.49305737807</v>
      </c>
      <c r="D203" s="2">
        <f>SUMIF($F$3:$F$173,$F203,D$3:D$173)-D210+D213</f>
        <v>265105.85174802889</v>
      </c>
      <c r="F203" s="2">
        <v>100</v>
      </c>
    </row>
    <row r="204" spans="1:6" x14ac:dyDescent="0.15">
      <c r="A204" s="11" t="s">
        <v>170</v>
      </c>
      <c r="B204" s="2">
        <f>SUMIF($F$3:$F$173,$F204,B$3:B$173)+B210-B213</f>
        <v>4309084.2952089971</v>
      </c>
      <c r="C204" s="2">
        <f>SUMIF($F$3:$F$173,$F204,C$3:C$173)+C210-C213</f>
        <v>4494862.476022982</v>
      </c>
      <c r="D204" s="2">
        <f>SUMIF($F$3:$F$173,$F204,D$3:D$173)+D210-D213</f>
        <v>4455401.0122407284</v>
      </c>
      <c r="F204" s="2">
        <v>200</v>
      </c>
    </row>
    <row r="205" spans="1:6" x14ac:dyDescent="0.15">
      <c r="A205" s="11" t="s">
        <v>171</v>
      </c>
      <c r="B205" s="2">
        <f>SUMIF($F$3:$F$173,$F205,B$3:B$173)</f>
        <v>1020184.6215099996</v>
      </c>
      <c r="C205" s="2">
        <f>SUMIF($F$3:$F$173,$F205,C$3:C$173)</f>
        <v>1145324.5251985411</v>
      </c>
      <c r="D205" s="2">
        <f>SUMIF($F$3:$F$173,$F205,D$3:D$173)</f>
        <v>1257354.2110992002</v>
      </c>
      <c r="F205" s="2">
        <v>300</v>
      </c>
    </row>
    <row r="206" spans="1:6" ht="9.75" thickBot="1" x14ac:dyDescent="0.2">
      <c r="B206" s="10">
        <f>SUM(B203:B205)</f>
        <v>5577811.9467999879</v>
      </c>
      <c r="C206" s="10">
        <f t="shared" ref="C206:D206" si="9">SUM(C203:C205)</f>
        <v>5896015.4942789003</v>
      </c>
      <c r="D206" s="10">
        <f t="shared" si="9"/>
        <v>5977861.0750879571</v>
      </c>
    </row>
    <row r="208" spans="1:6" x14ac:dyDescent="0.15">
      <c r="A208" s="11" t="s">
        <v>220</v>
      </c>
      <c r="B208" s="2">
        <f t="shared" ref="B208:D208" si="10">SUM(B15:B21)</f>
        <v>165337.29817999899</v>
      </c>
      <c r="C208" s="2">
        <f t="shared" si="10"/>
        <v>159627.09200134021</v>
      </c>
      <c r="D208" s="2">
        <f t="shared" si="10"/>
        <v>156868.8688925039</v>
      </c>
    </row>
    <row r="209" spans="1:7" x14ac:dyDescent="0.15">
      <c r="A209" s="11" t="s">
        <v>218</v>
      </c>
      <c r="B209" s="2">
        <f>+(109311527)/(165337298)*B208</f>
        <v>109311.527119005</v>
      </c>
      <c r="C209" s="2">
        <f t="shared" ref="C209:D209" si="11">+(109311527)/(165337298)*C208</f>
        <v>105536.26670030608</v>
      </c>
      <c r="D209" s="2">
        <f t="shared" si="11"/>
        <v>103712.68797075903</v>
      </c>
    </row>
    <row r="210" spans="1:7" x14ac:dyDescent="0.15">
      <c r="A210" s="11" t="s">
        <v>219</v>
      </c>
      <c r="B210" s="2">
        <f>+B208-B209</f>
        <v>56025.771060993997</v>
      </c>
      <c r="C210" s="2">
        <f t="shared" ref="C210:D210" si="12">+C208-C209</f>
        <v>54090.825301034129</v>
      </c>
      <c r="D210" s="2">
        <f t="shared" si="12"/>
        <v>53156.180921744875</v>
      </c>
    </row>
    <row r="211" spans="1:7" x14ac:dyDescent="0.15">
      <c r="B211" s="2"/>
    </row>
    <row r="212" spans="1:7" x14ac:dyDescent="0.15">
      <c r="A212" s="11" t="s">
        <v>221</v>
      </c>
      <c r="B212" s="2">
        <f t="shared" ref="B212:D212" si="13">+SUM(B58:B59)</f>
        <v>64585.042439999903</v>
      </c>
      <c r="C212" s="2">
        <f>+SUM(C58:C59)</f>
        <v>63368.369273960096</v>
      </c>
      <c r="D212" s="2">
        <f t="shared" si="13"/>
        <v>61102.223923166297</v>
      </c>
    </row>
    <row r="213" spans="1:7" x14ac:dyDescent="0.15">
      <c r="A213" s="11" t="s">
        <v>218</v>
      </c>
      <c r="B213" s="2">
        <f>+(4695029)/(64585042)*B212</f>
        <v>4695.029031985925</v>
      </c>
      <c r="C213" s="2">
        <f t="shared" ref="C213:D213" si="14">+(4695029)/(64585042)*C212</f>
        <v>4606.5826112484619</v>
      </c>
      <c r="D213" s="2">
        <f t="shared" si="14"/>
        <v>4441.844495258817</v>
      </c>
    </row>
    <row r="214" spans="1:7" x14ac:dyDescent="0.15">
      <c r="A214" s="11" t="s">
        <v>219</v>
      </c>
      <c r="B214" s="2">
        <f>+B212-B213</f>
        <v>59890.013408013976</v>
      </c>
      <c r="C214" s="2">
        <f t="shared" ref="C214:D214" si="15">+C212-C213</f>
        <v>58761.786662711631</v>
      </c>
      <c r="D214" s="2">
        <f t="shared" si="15"/>
        <v>56660.379427907479</v>
      </c>
    </row>
    <row r="217" spans="1:7" x14ac:dyDescent="0.15">
      <c r="A217" s="54" t="s">
        <v>179</v>
      </c>
    </row>
    <row r="218" spans="1:7" x14ac:dyDescent="0.15">
      <c r="A218" s="11" t="s">
        <v>169</v>
      </c>
      <c r="B218" s="2">
        <f>7115.073+1598.126</f>
        <v>8713.1990000000005</v>
      </c>
      <c r="C218" s="2">
        <f>(C$188+C$192)*B218/B$221</f>
        <v>3339.5982338284562</v>
      </c>
      <c r="D218" s="2">
        <f t="shared" ref="D218" si="16">(D$188+D$192)*C218/C$221</f>
        <v>8229.2911418643616</v>
      </c>
    </row>
    <row r="219" spans="1:7" x14ac:dyDescent="0.15">
      <c r="A219" s="11" t="s">
        <v>170</v>
      </c>
      <c r="B219" s="2">
        <f>62996.471+142895.621+15318.277</f>
        <v>221210.36900000001</v>
      </c>
      <c r="C219" s="2">
        <f t="shared" ref="C219:D220" si="17">(C$188+C$192)*B219/B$221</f>
        <v>84785.594546496766</v>
      </c>
      <c r="D219" s="2">
        <f t="shared" si="17"/>
        <v>208924.93447013514</v>
      </c>
    </row>
    <row r="220" spans="1:7" x14ac:dyDescent="0.15">
      <c r="A220" s="11" t="s">
        <v>171</v>
      </c>
      <c r="B220" s="2">
        <f>49626.013+9719.179</f>
        <v>59345.191999999995</v>
      </c>
      <c r="C220" s="2">
        <f>(C$188+C$192)*B220/B$221</f>
        <v>22745.847809674789</v>
      </c>
      <c r="D220" s="2">
        <f t="shared" si="17"/>
        <v>56049.318148000493</v>
      </c>
    </row>
    <row r="221" spans="1:7" ht="9.75" thickBot="1" x14ac:dyDescent="0.2">
      <c r="B221" s="10">
        <f>SUM(B218:B220)</f>
        <v>289268.76</v>
      </c>
      <c r="C221" s="10">
        <f>SUM(C218:C220)</f>
        <v>110871.04059</v>
      </c>
      <c r="D221" s="10">
        <f t="shared" ref="D221" si="18">SUM(D218:D220)</f>
        <v>273203.54375999997</v>
      </c>
      <c r="F221" s="56"/>
      <c r="G221" s="56"/>
    </row>
    <row r="222" spans="1:7" x14ac:dyDescent="0.15">
      <c r="C222" s="59"/>
      <c r="D222" s="59"/>
      <c r="F222" s="56"/>
      <c r="G222" s="56"/>
    </row>
    <row r="223" spans="1:7" ht="11.25" x14ac:dyDescent="0.3">
      <c r="A223" s="54" t="s">
        <v>180</v>
      </c>
      <c r="F223" s="74"/>
      <c r="G223" s="74"/>
    </row>
    <row r="224" spans="1:7" x14ac:dyDescent="0.15">
      <c r="A224" s="11" t="s">
        <v>169</v>
      </c>
      <c r="B224" s="2">
        <f>+B203+B218</f>
        <v>257256.22908099083</v>
      </c>
      <c r="C224" s="2">
        <f t="shared" ref="C224:D224" si="19">+C203+C218</f>
        <v>259168.09129120654</v>
      </c>
      <c r="D224" s="2">
        <f t="shared" si="19"/>
        <v>273335.14288989326</v>
      </c>
      <c r="F224" s="55"/>
      <c r="G224" s="55"/>
    </row>
    <row r="225" spans="1:7" x14ac:dyDescent="0.15">
      <c r="A225" s="11" t="s">
        <v>170</v>
      </c>
      <c r="B225" s="2">
        <f>+B204+B219</f>
        <v>4530294.664208997</v>
      </c>
      <c r="C225" s="2">
        <f t="shared" ref="C225:D225" si="20">+C204+C219</f>
        <v>4579648.0705694789</v>
      </c>
      <c r="D225" s="2">
        <f t="shared" si="20"/>
        <v>4664325.9467108632</v>
      </c>
      <c r="F225" s="55"/>
      <c r="G225" s="55"/>
    </row>
    <row r="226" spans="1:7" x14ac:dyDescent="0.15">
      <c r="A226" s="11" t="s">
        <v>171</v>
      </c>
      <c r="B226" s="2">
        <f>+B205+B220+B198+B199+B196</f>
        <v>1128040.2374399996</v>
      </c>
      <c r="C226" s="2">
        <f t="shared" ref="C226:D226" si="21">+C205+C220+C198+C199+C196</f>
        <v>1220895.3149382158</v>
      </c>
      <c r="D226" s="2">
        <f t="shared" si="21"/>
        <v>1365923.4615472006</v>
      </c>
      <c r="F226" s="55"/>
      <c r="G226" s="55"/>
    </row>
    <row r="227" spans="1:7" x14ac:dyDescent="0.15">
      <c r="A227" s="11" t="s">
        <v>174</v>
      </c>
      <c r="B227" s="2">
        <f>+B197</f>
        <v>98514.261110000007</v>
      </c>
      <c r="C227" s="2">
        <f t="shared" ref="C227:D227" si="22">+C197</f>
        <v>104112.94042954101</v>
      </c>
      <c r="D227" s="2">
        <f t="shared" si="22"/>
        <v>83241.3179725191</v>
      </c>
      <c r="F227" s="55"/>
      <c r="G227" s="55"/>
    </row>
    <row r="228" spans="1:7" ht="9.75" thickBot="1" x14ac:dyDescent="0.2">
      <c r="B228" s="10">
        <f>SUM(B224:B227)</f>
        <v>6014105.3918399876</v>
      </c>
      <c r="C228" s="10">
        <f>SUM(C224:C227)</f>
        <v>6163824.4172284426</v>
      </c>
      <c r="D228" s="10">
        <f t="shared" ref="D228" si="23">SUM(D224:D227)</f>
        <v>6386825.8691204768</v>
      </c>
      <c r="F228" s="58"/>
      <c r="G228" s="58"/>
    </row>
    <row r="229" spans="1:7" x14ac:dyDescent="0.15">
      <c r="B229" s="73">
        <f>+B228-B200</f>
        <v>-1.4799991622567177E-3</v>
      </c>
      <c r="C229" s="73">
        <f>+C228-C200</f>
        <v>0</v>
      </c>
      <c r="D229" s="73">
        <f t="shared" ref="D229" si="24">+D228-D200</f>
        <v>0</v>
      </c>
      <c r="F229" s="55"/>
      <c r="G229" s="56"/>
    </row>
    <row r="230" spans="1:7" x14ac:dyDescent="0.15">
      <c r="F230" s="56"/>
      <c r="G230" s="56"/>
    </row>
    <row r="231" spans="1:7" x14ac:dyDescent="0.15">
      <c r="A231" s="54" t="s">
        <v>181</v>
      </c>
    </row>
    <row r="232" spans="1:7" x14ac:dyDescent="0.15">
      <c r="A232" s="11" t="s">
        <v>169</v>
      </c>
      <c r="B232" s="60">
        <v>1.101942</v>
      </c>
      <c r="C232" s="60">
        <f>+(B232-0.122)*1.02+0.122</f>
        <v>1.12154084</v>
      </c>
      <c r="D232" s="60">
        <f t="shared" ref="D232" si="25">+(C232-0.122)*1.02+0.122</f>
        <v>1.1415316567999998</v>
      </c>
    </row>
    <row r="233" spans="1:7" x14ac:dyDescent="0.15">
      <c r="A233" s="11" t="s">
        <v>170</v>
      </c>
      <c r="B233" s="60">
        <v>0.15</v>
      </c>
      <c r="C233" s="60">
        <f t="shared" ref="C233" si="26">+B233</f>
        <v>0.15</v>
      </c>
      <c r="D233" s="60">
        <f t="shared" ref="D233" si="27">+C233</f>
        <v>0.15</v>
      </c>
    </row>
    <row r="234" spans="1:7" x14ac:dyDescent="0.15">
      <c r="A234" s="11" t="s">
        <v>171</v>
      </c>
      <c r="B234" s="60">
        <v>1.4824170000000001</v>
      </c>
      <c r="C234" s="60">
        <f t="shared" ref="C234" si="28">+(B234-0.45)*1.02+0.45</f>
        <v>1.50306534</v>
      </c>
      <c r="D234" s="60">
        <f>+(C234-0.45)*1.02+0.45</f>
        <v>1.5241266468000001</v>
      </c>
    </row>
    <row r="235" spans="1:7" x14ac:dyDescent="0.15">
      <c r="A235" s="11" t="s">
        <v>174</v>
      </c>
      <c r="B235" s="60">
        <v>0.05</v>
      </c>
      <c r="C235" s="60">
        <f t="shared" ref="C235" si="29">+B235</f>
        <v>0.05</v>
      </c>
      <c r="D235" s="60">
        <f t="shared" ref="D235" si="30">+C235</f>
        <v>0.05</v>
      </c>
    </row>
    <row r="237" spans="1:7" ht="11.25" x14ac:dyDescent="0.3">
      <c r="A237" s="54" t="s">
        <v>182</v>
      </c>
      <c r="B237" s="61" t="s">
        <v>146</v>
      </c>
      <c r="C237" s="61" t="s">
        <v>147</v>
      </c>
      <c r="D237" s="61" t="s">
        <v>148</v>
      </c>
    </row>
    <row r="238" spans="1:7" x14ac:dyDescent="0.15">
      <c r="A238" s="11" t="s">
        <v>169</v>
      </c>
      <c r="B238" s="2">
        <f t="shared" ref="B238:D238" si="31">+B224*B232/100</f>
        <v>2834.8144358596519</v>
      </c>
      <c r="C238" s="2">
        <f t="shared" si="31"/>
        <v>2906.6759880793647</v>
      </c>
      <c r="D238" s="2">
        <f t="shared" si="31"/>
        <v>3120.2071852476452</v>
      </c>
    </row>
    <row r="239" spans="1:7" x14ac:dyDescent="0.15">
      <c r="A239" s="11" t="s">
        <v>170</v>
      </c>
      <c r="B239" s="2">
        <f>+B225*B233/100</f>
        <v>6795.4419963134951</v>
      </c>
      <c r="C239" s="2">
        <f t="shared" ref="C239:D241" si="32">+C225*C233/100</f>
        <v>6869.4721058542173</v>
      </c>
      <c r="D239" s="2">
        <f t="shared" si="32"/>
        <v>6996.4889200662947</v>
      </c>
    </row>
    <row r="240" spans="1:7" x14ac:dyDescent="0.15">
      <c r="A240" s="11" t="s">
        <v>171</v>
      </c>
      <c r="B240" s="2">
        <f>+B226*B234/100</f>
        <v>16722.26024665092</v>
      </c>
      <c r="C240" s="2">
        <f t="shared" si="32"/>
        <v>18350.854316520166</v>
      </c>
      <c r="D240" s="2">
        <f t="shared" si="32"/>
        <v>20818.403452333834</v>
      </c>
    </row>
    <row r="241" spans="1:4" x14ac:dyDescent="0.15">
      <c r="A241" s="11" t="s">
        <v>174</v>
      </c>
      <c r="B241" s="2">
        <f>+B227*B235/100</f>
        <v>49.257130555000003</v>
      </c>
      <c r="C241" s="2">
        <f t="shared" si="32"/>
        <v>52.056470214770506</v>
      </c>
      <c r="D241" s="2">
        <f t="shared" si="32"/>
        <v>41.620658986259549</v>
      </c>
    </row>
    <row r="242" spans="1:4" x14ac:dyDescent="0.15">
      <c r="A242" s="11" t="s">
        <v>184</v>
      </c>
      <c r="B242" s="62">
        <f t="shared" ref="B242:D242" si="33">SUM(B238:B241)</f>
        <v>26401.773809379069</v>
      </c>
      <c r="C242" s="62">
        <f t="shared" si="33"/>
        <v>28179.058880668519</v>
      </c>
      <c r="D242" s="62">
        <f t="shared" si="33"/>
        <v>30976.720216634032</v>
      </c>
    </row>
    <row r="243" spans="1:4" x14ac:dyDescent="0.15">
      <c r="A243" s="11" t="s">
        <v>183</v>
      </c>
      <c r="B243" s="56">
        <v>662.64</v>
      </c>
      <c r="C243" s="56">
        <f>+B243</f>
        <v>662.64</v>
      </c>
      <c r="D243" s="56">
        <f t="shared" ref="D243" si="34">+C243</f>
        <v>662.64</v>
      </c>
    </row>
    <row r="244" spans="1:4" x14ac:dyDescent="0.15">
      <c r="A244" s="11" t="s">
        <v>185</v>
      </c>
      <c r="B244" s="56">
        <v>242.952</v>
      </c>
      <c r="C244" s="56">
        <f>+B244</f>
        <v>242.952</v>
      </c>
      <c r="D244" s="56">
        <f t="shared" ref="D244" si="35">+C244</f>
        <v>242.952</v>
      </c>
    </row>
    <row r="245" spans="1:4" ht="9.75" thickBot="1" x14ac:dyDescent="0.2">
      <c r="A245" s="53" t="s">
        <v>186</v>
      </c>
      <c r="B245" s="10">
        <f>SUM(B242:B244)</f>
        <v>27307.365809379069</v>
      </c>
      <c r="C245" s="10">
        <f t="shared" ref="C245:D245" si="36">SUM(C242:C244)</f>
        <v>29084.65088066852</v>
      </c>
      <c r="D245" s="10">
        <f t="shared" si="36"/>
        <v>31882.312216634033</v>
      </c>
    </row>
  </sheetData>
  <sortState ref="A272:J298">
    <sortCondition ref="A272:A298"/>
  </sortState>
  <pageMargins left="1" right="0.75" top="1" bottom="0.75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36" sqref="B36"/>
    </sheetView>
  </sheetViews>
  <sheetFormatPr defaultRowHeight="9" x14ac:dyDescent="0.15"/>
  <cols>
    <col min="1" max="1" width="30.7109375" style="6" customWidth="1"/>
    <col min="2" max="4" width="10.7109375" style="5" customWidth="1"/>
    <col min="5" max="16384" width="9.140625" style="5"/>
  </cols>
  <sheetData>
    <row r="1" spans="1:4" s="7" customFormat="1" x14ac:dyDescent="0.15">
      <c r="A1" s="8"/>
    </row>
    <row r="2" spans="1:4" s="7" customFormat="1" ht="18" x14ac:dyDescent="0.15">
      <c r="A2" s="8" t="s">
        <v>247</v>
      </c>
      <c r="B2" s="7" t="s">
        <v>145</v>
      </c>
      <c r="C2" s="7" t="s">
        <v>146</v>
      </c>
      <c r="D2" s="7" t="s">
        <v>147</v>
      </c>
    </row>
    <row r="3" spans="1:4" s="7" customFormat="1" x14ac:dyDescent="0.15">
      <c r="A3" s="8"/>
    </row>
    <row r="4" spans="1:4" s="14" customFormat="1" x14ac:dyDescent="0.15">
      <c r="A4" s="13"/>
      <c r="B4" s="31"/>
      <c r="C4" s="31"/>
      <c r="D4" s="31"/>
    </row>
    <row r="5" spans="1:4" s="14" customFormat="1" x14ac:dyDescent="0.15">
      <c r="A5" s="13" t="s">
        <v>216</v>
      </c>
      <c r="B5" s="31"/>
      <c r="C5" s="31"/>
      <c r="D5" s="31"/>
    </row>
    <row r="6" spans="1:4" s="14" customFormat="1" x14ac:dyDescent="0.15">
      <c r="A6" s="13" t="s">
        <v>150</v>
      </c>
      <c r="B6" s="31">
        <v>267026.96755</v>
      </c>
      <c r="C6" s="31">
        <v>110641.48729</v>
      </c>
      <c r="D6" s="31">
        <v>267321.39000999997</v>
      </c>
    </row>
    <row r="7" spans="1:4" s="14" customFormat="1" x14ac:dyDescent="0.15">
      <c r="A7" s="13" t="s">
        <v>151</v>
      </c>
      <c r="B7" s="31">
        <v>389846.49624000001</v>
      </c>
      <c r="C7" s="31">
        <v>104694.77453</v>
      </c>
      <c r="D7" s="31">
        <v>290027.67862000002</v>
      </c>
    </row>
    <row r="8" spans="1:4" s="14" customFormat="1" x14ac:dyDescent="0.15">
      <c r="A8" s="13"/>
      <c r="B8" s="31"/>
      <c r="C8" s="31"/>
      <c r="D8" s="31"/>
    </row>
    <row r="9" spans="1:4" s="14" customFormat="1" x14ac:dyDescent="0.15">
      <c r="A9" s="13" t="s">
        <v>217</v>
      </c>
      <c r="B9" s="31"/>
      <c r="C9" s="31"/>
      <c r="D9" s="31"/>
    </row>
    <row r="10" spans="1:4" s="14" customFormat="1" x14ac:dyDescent="0.15">
      <c r="A10" s="13" t="s">
        <v>150</v>
      </c>
      <c r="B10" s="31">
        <v>26635.584069999899</v>
      </c>
      <c r="C10" s="31">
        <v>2569.79036</v>
      </c>
      <c r="D10" s="31">
        <v>8222.3908099999899</v>
      </c>
    </row>
    <row r="11" spans="1:4" s="14" customFormat="1" x14ac:dyDescent="0.15">
      <c r="A11" s="13" t="s">
        <v>151</v>
      </c>
      <c r="B11" s="31">
        <v>43746.457459999903</v>
      </c>
      <c r="C11" s="31">
        <v>29571.644619999999</v>
      </c>
      <c r="D11" s="31">
        <v>15418.4784599999</v>
      </c>
    </row>
    <row r="15" spans="1:4" s="7" customFormat="1" x14ac:dyDescent="0.15">
      <c r="A15" s="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16" sqref="C16"/>
    </sheetView>
  </sheetViews>
  <sheetFormatPr defaultRowHeight="9" x14ac:dyDescent="0.15"/>
  <cols>
    <col min="1" max="1" width="30.7109375" style="34" customWidth="1"/>
    <col min="2" max="4" width="10.7109375" style="33" customWidth="1"/>
    <col min="5" max="16384" width="9.140625" style="33"/>
  </cols>
  <sheetData>
    <row r="1" spans="1:4" s="7" customFormat="1" x14ac:dyDescent="0.15">
      <c r="A1" s="8"/>
    </row>
    <row r="2" spans="1:4" s="7" customFormat="1" ht="18" x14ac:dyDescent="0.15">
      <c r="A2" s="8" t="s">
        <v>247</v>
      </c>
      <c r="B2" s="7" t="s">
        <v>145</v>
      </c>
      <c r="C2" s="7" t="s">
        <v>146</v>
      </c>
      <c r="D2" s="7" t="s">
        <v>147</v>
      </c>
    </row>
    <row r="3" spans="1:4" s="7" customFormat="1" x14ac:dyDescent="0.15">
      <c r="A3" s="8"/>
    </row>
    <row r="4" spans="1:4" ht="9.75" thickBot="1" x14ac:dyDescent="0.2">
      <c r="A4" s="1" t="s">
        <v>159</v>
      </c>
    </row>
    <row r="5" spans="1:4" s="14" customFormat="1" x14ac:dyDescent="0.15">
      <c r="A5" s="13" t="s">
        <v>160</v>
      </c>
      <c r="B5" s="14">
        <v>97051.05068</v>
      </c>
      <c r="C5" s="14">
        <v>102649.729999541</v>
      </c>
      <c r="D5" s="14">
        <v>81778.107542519094</v>
      </c>
    </row>
    <row r="6" spans="1:4" x14ac:dyDescent="0.15">
      <c r="A6" s="34" t="s">
        <v>161</v>
      </c>
      <c r="B6" s="33">
        <v>41183.222049999997</v>
      </c>
      <c r="C6" s="33">
        <v>44354.298900000002</v>
      </c>
      <c r="D6" s="33">
        <v>44049.289270000001</v>
      </c>
    </row>
    <row r="7" spans="1:4" ht="9.75" thickBot="1" x14ac:dyDescent="0.2">
      <c r="A7" s="34" t="s">
        <v>162</v>
      </c>
      <c r="B7" s="4">
        <v>9371.6296899999998</v>
      </c>
      <c r="C7" s="4">
        <v>10515.0708399999</v>
      </c>
      <c r="D7" s="4">
        <v>10515.0708399999</v>
      </c>
    </row>
    <row r="8" spans="1:4" ht="9.75" thickBot="1" x14ac:dyDescent="0.2">
      <c r="A8" s="1" t="s">
        <v>163</v>
      </c>
    </row>
    <row r="9" spans="1:4" s="14" customFormat="1" x14ac:dyDescent="0.15">
      <c r="A9" s="13" t="s">
        <v>160</v>
      </c>
      <c r="B9" s="14">
        <v>71040.238379999995</v>
      </c>
      <c r="C9" s="14">
        <v>62038.884490619101</v>
      </c>
      <c r="D9" s="14">
        <v>34880.400254440399</v>
      </c>
    </row>
    <row r="10" spans="1:4" x14ac:dyDescent="0.15">
      <c r="A10" s="34" t="s">
        <v>161</v>
      </c>
      <c r="B10" s="33">
        <v>32048.293290000001</v>
      </c>
      <c r="C10" s="33">
        <v>34540.652860000002</v>
      </c>
      <c r="D10" s="33">
        <v>34001.174529999997</v>
      </c>
    </row>
    <row r="11" spans="1:4" x14ac:dyDescent="0.15">
      <c r="A11" s="34" t="s">
        <v>187</v>
      </c>
      <c r="B11" s="33">
        <v>42068.559829999998</v>
      </c>
      <c r="C11" s="33">
        <v>42329.483014632999</v>
      </c>
      <c r="D11" s="33">
        <v>43206.384956250797</v>
      </c>
    </row>
    <row r="12" spans="1:4" ht="9.75" thickBot="1" x14ac:dyDescent="0.2">
      <c r="A12" s="34" t="s">
        <v>162</v>
      </c>
      <c r="B12" s="4">
        <v>5546.7275799999998</v>
      </c>
      <c r="C12" s="4">
        <v>6421.8645299999898</v>
      </c>
      <c r="D12" s="4">
        <v>6421.8645299999898</v>
      </c>
    </row>
    <row r="17" spans="1:1" x14ac:dyDescent="0.15">
      <c r="A17" s="33"/>
    </row>
    <row r="18" spans="1:1" x14ac:dyDescent="0.15">
      <c r="A18" s="33"/>
    </row>
    <row r="19" spans="1:1" x14ac:dyDescent="0.15">
      <c r="A19" s="33"/>
    </row>
    <row r="20" spans="1:1" x14ac:dyDescent="0.15">
      <c r="A20" s="33"/>
    </row>
    <row r="21" spans="1:1" x14ac:dyDescent="0.15">
      <c r="A21" s="33"/>
    </row>
    <row r="22" spans="1:1" x14ac:dyDescent="0.15">
      <c r="A22" s="33"/>
    </row>
    <row r="23" spans="1:1" x14ac:dyDescent="0.15">
      <c r="A23" s="33"/>
    </row>
    <row r="24" spans="1:1" x14ac:dyDescent="0.15">
      <c r="A24" s="33"/>
    </row>
    <row r="25" spans="1:1" x14ac:dyDescent="0.15">
      <c r="A25" s="33"/>
    </row>
    <row r="26" spans="1:1" x14ac:dyDescent="0.15">
      <c r="A26" s="33"/>
    </row>
    <row r="27" spans="1:1" x14ac:dyDescent="0.15">
      <c r="A27" s="33"/>
    </row>
    <row r="28" spans="1:1" x14ac:dyDescent="0.15">
      <c r="A28" s="33"/>
    </row>
    <row r="29" spans="1:1" x14ac:dyDescent="0.15">
      <c r="A29" s="33"/>
    </row>
    <row r="30" spans="1:1" x14ac:dyDescent="0.15">
      <c r="A30" s="33"/>
    </row>
    <row r="31" spans="1:1" x14ac:dyDescent="0.15">
      <c r="A31" s="33"/>
    </row>
    <row r="32" spans="1:1" x14ac:dyDescent="0.15">
      <c r="A32" s="33"/>
    </row>
    <row r="33" spans="1:1" x14ac:dyDescent="0.15">
      <c r="A33" s="33"/>
    </row>
    <row r="34" spans="1:1" x14ac:dyDescent="0.15">
      <c r="A34" s="33"/>
    </row>
    <row r="35" spans="1:1" x14ac:dyDescent="0.15">
      <c r="A35" s="33"/>
    </row>
    <row r="36" spans="1:1" x14ac:dyDescent="0.15">
      <c r="A36" s="33"/>
    </row>
    <row r="37" spans="1:1" x14ac:dyDescent="0.15">
      <c r="A37" s="33"/>
    </row>
    <row r="38" spans="1:1" x14ac:dyDescent="0.15">
      <c r="A38" s="33"/>
    </row>
    <row r="39" spans="1:1" x14ac:dyDescent="0.15">
      <c r="A39" s="33"/>
    </row>
    <row r="40" spans="1:1" x14ac:dyDescent="0.15">
      <c r="A40" s="33"/>
    </row>
    <row r="41" spans="1:1" x14ac:dyDescent="0.15">
      <c r="A41" s="33"/>
    </row>
    <row r="42" spans="1:1" x14ac:dyDescent="0.15">
      <c r="A42" s="33"/>
    </row>
    <row r="43" spans="1:1" x14ac:dyDescent="0.15">
      <c r="A43" s="3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025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Garrett, Christopher M.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7879DD64-88F6-433D-891F-D1B08E56A2CF}"/>
</file>

<file path=customXml/itemProps2.xml><?xml version="1.0" encoding="utf-8"?>
<ds:datastoreItem xmlns:ds="http://schemas.openxmlformats.org/officeDocument/2006/customXml" ds:itemID="{5313BBA5-FA39-444D-BD27-95DE171E304A}"/>
</file>

<file path=customXml/itemProps3.xml><?xml version="1.0" encoding="utf-8"?>
<ds:datastoreItem xmlns:ds="http://schemas.openxmlformats.org/officeDocument/2006/customXml" ds:itemID="{0775F2E8-2D82-4C8C-BE0B-EC24BCD36F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Summary</vt:lpstr>
      <vt:lpstr>Mechanisms</vt:lpstr>
      <vt:lpstr>Cap Prop Tax</vt:lpstr>
      <vt:lpstr>KU Analysis</vt:lpstr>
      <vt:lpstr>CWIP and RWIP</vt:lpstr>
      <vt:lpstr>Fuel Inventory and M&amp;S</vt:lpstr>
      <vt:lpstr>'KU Analysis'!Print_Area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2017-01-18T15:09:02Z</dcterms:created>
  <dcterms:modified xsi:type="dcterms:W3CDTF">2017-01-18T15:22:43Z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