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72" yWindow="660" windowWidth="6456" windowHeight="6864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<sst xmlns="http://schemas.openxmlformats.org/spreadsheetml/2006/main" count="51" uniqueCount="36">
  <si>
    <t>Non-Residential Environmental Costs</t>
  </si>
  <si>
    <t>Non-Residential, Non-Fuel Revenue Amount Filed</t>
  </si>
  <si>
    <t>Non-Residential ES Factor as Billed</t>
  </si>
  <si>
    <t>Non-Residential Revenue Amount Revised</t>
  </si>
  <si>
    <t>Non-Residential ES Factor as Revised</t>
  </si>
  <si>
    <t>Difference in Recovery</t>
  </si>
  <si>
    <t>Residential Allocation of Under/(Over)-Recovery</t>
  </si>
  <si>
    <t xml:space="preserve">Amount that Should be Credited to Residential Customers and Charged to Non-Residential Customers </t>
  </si>
  <si>
    <t>Current Review Period</t>
  </si>
  <si>
    <t xml:space="preserve"> </t>
  </si>
  <si>
    <t>November 2015</t>
  </si>
  <si>
    <t>December 2015</t>
  </si>
  <si>
    <t>January 2016</t>
  </si>
  <si>
    <t>February 2016</t>
  </si>
  <si>
    <t>March 2016</t>
  </si>
  <si>
    <t>April 2016</t>
  </si>
  <si>
    <t>Expense Month</t>
  </si>
  <si>
    <t>Residential Rider Amounts That Should Have Been Deducted from Total Retail</t>
  </si>
  <si>
    <t>Change in Factor</t>
  </si>
  <si>
    <t>Non-Residential Revenues Subject to ES Factor (Two Month Lag)</t>
  </si>
  <si>
    <t>May 2016</t>
  </si>
  <si>
    <t>June 2016</t>
  </si>
  <si>
    <t>July 2016</t>
  </si>
  <si>
    <t>August 2016</t>
  </si>
  <si>
    <t>Open Period</t>
  </si>
  <si>
    <t>Subtotal</t>
  </si>
  <si>
    <t>/</t>
  </si>
  <si>
    <t>=</t>
  </si>
  <si>
    <t>*</t>
  </si>
  <si>
    <t>Previous Review Period</t>
  </si>
  <si>
    <t>August 2015</t>
  </si>
  <si>
    <t>September 2015</t>
  </si>
  <si>
    <t>October 2015</t>
  </si>
  <si>
    <t>July 2015*</t>
  </si>
  <si>
    <t>* Used Average Pro-Rated Factor and allocated total pro-rated revenue requirement</t>
  </si>
  <si>
    <t xml:space="preserve">**First of four offsetting adjustments is reflected in expense month of November 2016 calculation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</si>
</sst>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&quot;$&quot;* #,##0_);_(&quot;$&quot;* \(#,##0\);_(&quot;$&quot;* &quot;-&quot;??_);_(@_)"/>
    <numFmt numFmtId="166" formatCode="0.000000"/>
    <numFmt numFmtId="167" formatCode="_(&quot;$&quot;* #,##0.000000_);_(&quot;$&quot;* \(#,##0.000000\);_(&quot;$&quot;* &quot;-&quot;??????_);_(@_)"/>
    <numFmt numFmtId="168" formatCode="_(&quot;$&quot;* #,##0.0_);_(&quot;$&quot;* \(#,##0.0\);_(&quot;$&quot;* &quot;-&quot;??_);_(@_)"/>
    <numFmt numFmtId="169" formatCode="_(&quot;$&quot;* #,##0.000_);_(&quot;$&quot;* \(#,##0.000\);_(&quot;$&quot;* &quot;-&quot;??_);_(@_)"/>
    <numFmt numFmtId="170" formatCode="0.00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wrapText="1"/>
    </xf>
    <xf numFmtId="0" fontId="33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 wrapText="1"/>
    </xf>
    <xf numFmtId="0" fontId="35" fillId="0" borderId="0" xfId="0" applyFont="1" applyAlignment="1">
      <alignment horizontal="left"/>
    </xf>
    <xf numFmtId="165" fontId="0" fillId="0" borderId="0" xfId="44" applyNumberFormat="1" applyFont="1" applyFill="1" applyAlignment="1">
      <alignment/>
    </xf>
    <xf numFmtId="165" fontId="0" fillId="0" borderId="0" xfId="44" applyNumberFormat="1" applyFont="1" applyAlignment="1">
      <alignment/>
    </xf>
    <xf numFmtId="10" fontId="0" fillId="0" borderId="0" xfId="58" applyNumberFormat="1" applyFont="1" applyAlignment="1">
      <alignment/>
    </xf>
    <xf numFmtId="164" fontId="0" fillId="0" borderId="0" xfId="0" applyNumberFormat="1" applyFont="1" applyAlignment="1" quotePrefix="1">
      <alignment horizontal="left" wrapText="1"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 horizontal="center" wrapText="1"/>
    </xf>
    <xf numFmtId="0" fontId="0" fillId="0" borderId="0" xfId="0" applyAlignment="1" quotePrefix="1">
      <alignment/>
    </xf>
    <xf numFmtId="17" fontId="0" fillId="0" borderId="0" xfId="0" applyNumberFormat="1" applyAlignment="1" quotePrefix="1">
      <alignment/>
    </xf>
    <xf numFmtId="165" fontId="33" fillId="0" borderId="0" xfId="44" applyNumberFormat="1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/>
    </xf>
    <xf numFmtId="165" fontId="0" fillId="0" borderId="0" xfId="44" applyNumberFormat="1" applyFont="1" applyFill="1" applyAlignment="1">
      <alignment/>
    </xf>
    <xf numFmtId="165" fontId="0" fillId="0" borderId="0" xfId="44" applyNumberFormat="1" applyFont="1" applyAlignment="1">
      <alignment/>
    </xf>
    <xf numFmtId="10" fontId="0" fillId="0" borderId="0" xfId="58" applyNumberFormat="1" applyFont="1" applyAlignment="1">
      <alignment/>
    </xf>
    <xf numFmtId="166" fontId="0" fillId="0" borderId="0" xfId="0" applyNumberFormat="1" applyAlignment="1">
      <alignment/>
    </xf>
    <xf numFmtId="0" fontId="0" fillId="0" borderId="0" xfId="0" applyAlignment="1" quotePrefix="1">
      <alignment/>
    </xf>
    <xf numFmtId="165" fontId="0" fillId="0" borderId="0" xfId="0" applyNumberFormat="1" applyAlignment="1">
      <alignment/>
    </xf>
    <xf numFmtId="0" fontId="33" fillId="0" borderId="0" xfId="0" applyFont="1" applyAlignment="1">
      <alignment/>
    </xf>
    <xf numFmtId="165" fontId="33" fillId="0" borderId="0" xfId="0" applyNumberFormat="1" applyFont="1" applyAlignment="1">
      <alignment/>
    </xf>
    <xf numFmtId="164" fontId="0" fillId="0" borderId="0" xfId="0" applyNumberFormat="1" applyFont="1" applyFill="1" applyAlignment="1" quotePrefix="1">
      <alignment horizontal="left" wrapText="1"/>
    </xf>
    <xf numFmtId="10" fontId="0" fillId="0" borderId="0" xfId="58" applyNumberFormat="1" applyFont="1" applyFill="1" applyAlignment="1">
      <alignment/>
    </xf>
    <xf numFmtId="0" fontId="0" fillId="0" borderId="0" xfId="0" applyFill="1" applyBorder="1" applyAlignment="1">
      <alignment/>
    </xf>
    <xf numFmtId="170" fontId="0" fillId="0" borderId="0" xfId="0" applyNumberFormat="1" applyFill="1" applyBorder="1" applyAlignment="1">
      <alignment/>
    </xf>
    <xf numFmtId="164" fontId="33" fillId="0" borderId="0" xfId="0" applyNumberFormat="1" applyFont="1" applyAlignment="1">
      <alignment horizontal="left" wrapText="1"/>
    </xf>
    <xf numFmtId="165" fontId="33" fillId="0" borderId="0" xfId="0" applyNumberFormat="1" applyFont="1" applyAlignment="1">
      <alignment horizontal="center"/>
    </xf>
    <xf numFmtId="7" fontId="0" fillId="0" borderId="0" xfId="0" applyNumberForma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5"/>
  <sheetViews>
    <sheetView tabSelected="1" zoomScalePageLayoutView="0" workbookViewId="0" topLeftCell="A3">
      <selection activeCell="A25" sqref="A25"/>
    </sheetView>
  </sheetViews>
  <sheetFormatPr defaultColWidth="9.140625" defaultRowHeight="15"/>
  <cols>
    <col min="2" max="2" width="15.7109375" style="0" customWidth="1"/>
    <col min="3" max="3" width="25.8515625" style="0" customWidth="1"/>
    <col min="4" max="5" width="26.28125" style="0" customWidth="1"/>
    <col min="6" max="8" width="21.7109375" style="0" customWidth="1"/>
    <col min="9" max="9" width="16.8515625" style="0" customWidth="1"/>
    <col min="10" max="10" width="18.7109375" style="12" customWidth="1"/>
    <col min="11" max="11" width="15.57421875" style="0" customWidth="1"/>
    <col min="12" max="12" width="16.00390625" style="0" customWidth="1"/>
    <col min="13" max="13" width="23.28125" style="0" customWidth="1"/>
    <col min="14" max="14" width="15.8515625" style="0" customWidth="1"/>
    <col min="15" max="15" width="1.8515625" style="0" customWidth="1"/>
    <col min="16" max="16" width="2.00390625" style="0" customWidth="1"/>
    <col min="17" max="17" width="2.140625" style="0" customWidth="1"/>
    <col min="18" max="18" width="9.57421875" style="0" bestFit="1" customWidth="1"/>
  </cols>
  <sheetData>
    <row r="2" spans="2:13" s="1" customFormat="1" ht="72">
      <c r="B2" s="1" t="s">
        <v>16</v>
      </c>
      <c r="C2" s="2" t="s">
        <v>0</v>
      </c>
      <c r="D2" s="2" t="s">
        <v>1</v>
      </c>
      <c r="E2" s="2" t="s">
        <v>2</v>
      </c>
      <c r="F2" s="2" t="s">
        <v>17</v>
      </c>
      <c r="G2" s="2" t="s">
        <v>3</v>
      </c>
      <c r="H2" s="2" t="s">
        <v>4</v>
      </c>
      <c r="I2" s="2" t="s">
        <v>18</v>
      </c>
      <c r="J2" s="3" t="s">
        <v>19</v>
      </c>
      <c r="K2" s="2" t="s">
        <v>5</v>
      </c>
      <c r="L2" s="2" t="s">
        <v>6</v>
      </c>
      <c r="M2" s="2" t="s">
        <v>7</v>
      </c>
    </row>
    <row r="3" spans="2:13" s="4" customFormat="1" ht="14.25">
      <c r="B3" s="5">
        <v>-1</v>
      </c>
      <c r="C3" s="5">
        <f aca="true" t="shared" si="0" ref="C3:M3">B3-1</f>
        <v>-2</v>
      </c>
      <c r="D3" s="5">
        <f t="shared" si="0"/>
        <v>-3</v>
      </c>
      <c r="E3" s="5">
        <f t="shared" si="0"/>
        <v>-4</v>
      </c>
      <c r="F3" s="5">
        <f t="shared" si="0"/>
        <v>-5</v>
      </c>
      <c r="G3" s="5">
        <f t="shared" si="0"/>
        <v>-6</v>
      </c>
      <c r="H3" s="5">
        <f t="shared" si="0"/>
        <v>-7</v>
      </c>
      <c r="I3" s="5">
        <f t="shared" si="0"/>
        <v>-8</v>
      </c>
      <c r="J3" s="5">
        <f t="shared" si="0"/>
        <v>-9</v>
      </c>
      <c r="K3" s="5">
        <f t="shared" si="0"/>
        <v>-10</v>
      </c>
      <c r="L3" s="5">
        <f t="shared" si="0"/>
        <v>-11</v>
      </c>
      <c r="M3" s="5">
        <f t="shared" si="0"/>
        <v>-12</v>
      </c>
    </row>
    <row r="4" spans="1:13" s="4" customFormat="1" ht="14.25">
      <c r="A4" s="6" t="s">
        <v>29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2:13" s="4" customFormat="1" ht="14.25">
      <c r="B5" s="10" t="s">
        <v>33</v>
      </c>
      <c r="C5" s="20">
        <f>1300529*0.589</f>
        <v>766011.581</v>
      </c>
      <c r="D5" s="20">
        <v>17521296</v>
      </c>
      <c r="E5" s="18">
        <v>0.062455</v>
      </c>
      <c r="F5" s="20">
        <f>230730.28-889348.44+655978.63</f>
        <v>-2639.5299999999115</v>
      </c>
      <c r="G5" s="20">
        <f>D5-F5</f>
        <v>17523935.53</v>
      </c>
      <c r="H5" s="22">
        <v>0.0624462</v>
      </c>
      <c r="I5" s="22">
        <f>H5-E5</f>
        <v>-8.79999999999631E-06</v>
      </c>
      <c r="J5" s="20">
        <f>G7</f>
        <v>20854069.91</v>
      </c>
      <c r="K5" s="20">
        <f>ROUND(I5*J5,0)</f>
        <v>-184</v>
      </c>
      <c r="L5" s="21">
        <v>0.411</v>
      </c>
      <c r="M5" s="20">
        <f>K5*L5</f>
        <v>-75.624</v>
      </c>
    </row>
    <row r="6" spans="1:13" s="4" customFormat="1" ht="14.25">
      <c r="A6" s="6"/>
      <c r="B6" s="27" t="s">
        <v>30</v>
      </c>
      <c r="C6" s="19">
        <v>2640280</v>
      </c>
      <c r="D6" s="19">
        <v>16346706</v>
      </c>
      <c r="E6" s="12">
        <f>ROUND(C6/D6,6)</f>
        <v>0.161518</v>
      </c>
      <c r="F6" s="19">
        <f>554793.6-924259.59+434905.73</f>
        <v>65439.73999999999</v>
      </c>
      <c r="G6" s="20">
        <f>D6-F6</f>
        <v>16281266.26</v>
      </c>
      <c r="H6" s="22">
        <f>ROUND(C6/G6,6)</f>
        <v>0.162167</v>
      </c>
      <c r="I6" s="22">
        <f>H6-E6</f>
        <v>0.0006490000000000107</v>
      </c>
      <c r="J6" s="19">
        <f>G8</f>
        <v>15598884.58</v>
      </c>
      <c r="K6" s="20">
        <f>ROUND(I6*J6,0)</f>
        <v>10124</v>
      </c>
      <c r="L6" s="28">
        <v>0.411</v>
      </c>
      <c r="M6" s="19">
        <f>K6*L6</f>
        <v>4160.964</v>
      </c>
    </row>
    <row r="7" spans="1:13" s="4" customFormat="1" ht="14.25">
      <c r="A7" s="6"/>
      <c r="B7" s="10" t="s">
        <v>31</v>
      </c>
      <c r="C7" s="20">
        <v>2019806</v>
      </c>
      <c r="D7" s="20">
        <v>22034374</v>
      </c>
      <c r="E7" s="18">
        <f>ROUND(C7/D7,6)</f>
        <v>0.091666</v>
      </c>
      <c r="F7" s="20">
        <f>452806.21+694918.66+524.76+32054.46</f>
        <v>1180304.09</v>
      </c>
      <c r="G7" s="20">
        <f>D7-F7</f>
        <v>20854069.91</v>
      </c>
      <c r="H7" s="22">
        <f>ROUND(C7/G7,6)</f>
        <v>0.096854</v>
      </c>
      <c r="I7" s="22">
        <f>H7-E7</f>
        <v>0.005187999999999998</v>
      </c>
      <c r="J7" s="20">
        <f>G10</f>
        <v>16654883</v>
      </c>
      <c r="K7" s="20">
        <f>ROUND(I7*J7,0)</f>
        <v>86406</v>
      </c>
      <c r="L7" s="21">
        <v>0.411</v>
      </c>
      <c r="M7" s="20">
        <f>ROUND(K7*L7,0)</f>
        <v>35513</v>
      </c>
    </row>
    <row r="8" spans="1:13" s="4" customFormat="1" ht="14.25">
      <c r="A8" s="6"/>
      <c r="B8" s="10" t="s">
        <v>32</v>
      </c>
      <c r="C8" s="20">
        <v>3143827</v>
      </c>
      <c r="D8" s="20">
        <v>17180660</v>
      </c>
      <c r="E8" s="18">
        <f>ROUND(C8/D8,6)</f>
        <v>0.182986</v>
      </c>
      <c r="F8" s="20">
        <f>377949.56+1193878.04+499.69+9448.13</f>
        <v>1581775.42</v>
      </c>
      <c r="G8" s="20">
        <f>D8-F8</f>
        <v>15598884.58</v>
      </c>
      <c r="H8" s="22">
        <f>ROUND(C8/G8,6)</f>
        <v>0.201542</v>
      </c>
      <c r="I8" s="22">
        <f>H8-E8</f>
        <v>0.01855599999999999</v>
      </c>
      <c r="J8" s="20">
        <f>G11</f>
        <v>17581745</v>
      </c>
      <c r="K8" s="20">
        <f>ROUND(I8*J8,0)</f>
        <v>326247</v>
      </c>
      <c r="L8" s="21">
        <v>0.411</v>
      </c>
      <c r="M8" s="20">
        <f>ROUND(K8*L8,0)</f>
        <v>134088</v>
      </c>
    </row>
    <row r="9" spans="1:14" s="4" customFormat="1" ht="14.25">
      <c r="A9" s="6" t="s">
        <v>8</v>
      </c>
      <c r="B9" s="10"/>
      <c r="C9" s="5"/>
      <c r="D9" s="5"/>
      <c r="E9" s="5"/>
      <c r="F9" s="5"/>
      <c r="G9" s="20"/>
      <c r="H9" s="22"/>
      <c r="I9" s="22"/>
      <c r="J9" s="13"/>
      <c r="K9" s="5"/>
      <c r="L9" s="5"/>
      <c r="M9" s="31" t="s">
        <v>25</v>
      </c>
      <c r="N9" s="32">
        <f>SUM(M5:M8)</f>
        <v>173686.34</v>
      </c>
    </row>
    <row r="10" spans="2:13" ht="14.25">
      <c r="B10" s="23" t="s">
        <v>10</v>
      </c>
      <c r="C10" s="20">
        <v>2878111</v>
      </c>
      <c r="D10" s="20">
        <v>18146194</v>
      </c>
      <c r="E10" s="18">
        <v>0.158607</v>
      </c>
      <c r="F10" s="20">
        <v>1491311</v>
      </c>
      <c r="G10" s="20">
        <f aca="true" t="shared" si="1" ref="G10:G15">D10-F10</f>
        <v>16654883</v>
      </c>
      <c r="H10" s="22">
        <f>ROUND(C10/G10,6)</f>
        <v>0.172809</v>
      </c>
      <c r="I10" s="22">
        <f aca="true" t="shared" si="2" ref="I10:I15">H10-E10</f>
        <v>0.014201999999999992</v>
      </c>
      <c r="J10" s="19">
        <f>G12</f>
        <v>14403731</v>
      </c>
      <c r="K10" s="20">
        <f aca="true" t="shared" si="3" ref="K10:K15">ROUND(I10*J10,0)</f>
        <v>204562</v>
      </c>
      <c r="L10" s="21">
        <v>0.411</v>
      </c>
      <c r="M10" s="20">
        <f aca="true" t="shared" si="4" ref="M10:M15">ROUND(K10*L10,0)</f>
        <v>84075</v>
      </c>
    </row>
    <row r="11" spans="2:13" ht="14.25">
      <c r="B11" s="23" t="s">
        <v>11</v>
      </c>
      <c r="C11" s="20">
        <v>2266496</v>
      </c>
      <c r="D11" s="20">
        <v>20952747</v>
      </c>
      <c r="E11" s="18">
        <v>0.108172</v>
      </c>
      <c r="F11" s="20">
        <v>3371002</v>
      </c>
      <c r="G11" s="20">
        <f t="shared" si="1"/>
        <v>17581745</v>
      </c>
      <c r="H11" s="22">
        <f>ROUND(C11/G11,6)</f>
        <v>0.128912</v>
      </c>
      <c r="I11" s="22">
        <f t="shared" si="2"/>
        <v>0.020739999999999995</v>
      </c>
      <c r="J11" s="19">
        <f>G13</f>
        <v>16123027</v>
      </c>
      <c r="K11" s="20">
        <f t="shared" si="3"/>
        <v>334392</v>
      </c>
      <c r="L11" s="21">
        <v>0.411</v>
      </c>
      <c r="M11" s="20">
        <f t="shared" si="4"/>
        <v>137435</v>
      </c>
    </row>
    <row r="12" spans="2:13" ht="14.25">
      <c r="B12" s="23" t="s">
        <v>12</v>
      </c>
      <c r="C12" s="20">
        <v>1966282</v>
      </c>
      <c r="D12" s="20">
        <v>18736463</v>
      </c>
      <c r="E12" s="18">
        <v>0.104944</v>
      </c>
      <c r="F12" s="20">
        <v>4332732</v>
      </c>
      <c r="G12" s="20">
        <f t="shared" si="1"/>
        <v>14403731</v>
      </c>
      <c r="H12" s="22">
        <f>ROUND(C12/G12,6)</f>
        <v>0.136512</v>
      </c>
      <c r="I12" s="22">
        <f t="shared" si="2"/>
        <v>0.031568</v>
      </c>
      <c r="J12" s="19">
        <f>G14</f>
        <v>15711503</v>
      </c>
      <c r="K12" s="20">
        <f t="shared" si="3"/>
        <v>495981</v>
      </c>
      <c r="L12" s="21">
        <v>0.4254</v>
      </c>
      <c r="M12" s="20">
        <f t="shared" si="4"/>
        <v>210990</v>
      </c>
    </row>
    <row r="13" spans="2:13" ht="14.25">
      <c r="B13" s="23" t="s">
        <v>13</v>
      </c>
      <c r="C13" s="20">
        <v>2469056</v>
      </c>
      <c r="D13" s="20">
        <v>19454511</v>
      </c>
      <c r="E13" s="18">
        <v>0.126914</v>
      </c>
      <c r="F13" s="20">
        <v>3331484</v>
      </c>
      <c r="G13" s="20">
        <f t="shared" si="1"/>
        <v>16123027</v>
      </c>
      <c r="H13" s="22">
        <f>ROUND(C13/G13,6)</f>
        <v>0.153138</v>
      </c>
      <c r="I13" s="22">
        <f t="shared" si="2"/>
        <v>0.026223999999999997</v>
      </c>
      <c r="J13" s="19">
        <f>G15</f>
        <v>12274739</v>
      </c>
      <c r="K13" s="20">
        <f t="shared" si="3"/>
        <v>321893</v>
      </c>
      <c r="L13" s="21">
        <v>0.4254</v>
      </c>
      <c r="M13" s="20">
        <f t="shared" si="4"/>
        <v>136933</v>
      </c>
    </row>
    <row r="14" spans="2:13" ht="14.25">
      <c r="B14" s="23" t="s">
        <v>14</v>
      </c>
      <c r="C14" s="20">
        <v>2552737</v>
      </c>
      <c r="D14" s="20">
        <v>17723966</v>
      </c>
      <c r="E14" s="18">
        <v>0.144027</v>
      </c>
      <c r="F14" s="20">
        <v>2012463</v>
      </c>
      <c r="G14" s="20">
        <f t="shared" si="1"/>
        <v>15711503</v>
      </c>
      <c r="H14" s="22">
        <f>ROUND(C14/G14,6)</f>
        <v>0.162476</v>
      </c>
      <c r="I14" s="22">
        <f t="shared" si="2"/>
        <v>0.01844900000000002</v>
      </c>
      <c r="J14" s="19">
        <f>G17</f>
        <v>13971342</v>
      </c>
      <c r="K14" s="20">
        <f t="shared" si="3"/>
        <v>257757</v>
      </c>
      <c r="L14" s="21">
        <v>0.4254</v>
      </c>
      <c r="M14" s="20">
        <f t="shared" si="4"/>
        <v>109650</v>
      </c>
    </row>
    <row r="15" spans="2:13" ht="12.75" customHeight="1">
      <c r="B15" s="23" t="s">
        <v>15</v>
      </c>
      <c r="C15" s="20">
        <v>3375247</v>
      </c>
      <c r="D15" s="20">
        <v>13821106</v>
      </c>
      <c r="E15" s="22">
        <v>0.24421</v>
      </c>
      <c r="F15" s="20">
        <v>1546367</v>
      </c>
      <c r="G15" s="20">
        <f t="shared" si="1"/>
        <v>12274739</v>
      </c>
      <c r="H15" s="22">
        <f>ROUND(C15/G15,6)</f>
        <v>0.274975</v>
      </c>
      <c r="I15" s="22">
        <f t="shared" si="2"/>
        <v>0.030765000000000015</v>
      </c>
      <c r="J15" s="19">
        <f>G18</f>
        <v>15152626</v>
      </c>
      <c r="K15" s="20">
        <f t="shared" si="3"/>
        <v>466171</v>
      </c>
      <c r="L15" s="21">
        <v>0.4254</v>
      </c>
      <c r="M15" s="20">
        <f t="shared" si="4"/>
        <v>198309</v>
      </c>
    </row>
    <row r="16" spans="1:18" s="18" customFormat="1" ht="12.75" customHeight="1">
      <c r="A16" s="17" t="s">
        <v>24</v>
      </c>
      <c r="B16" s="23"/>
      <c r="C16" s="20"/>
      <c r="D16" s="20"/>
      <c r="E16" s="22"/>
      <c r="F16" s="20"/>
      <c r="G16" s="20"/>
      <c r="H16" s="22"/>
      <c r="I16" s="22"/>
      <c r="J16" s="19"/>
      <c r="K16" s="20"/>
      <c r="L16" s="21"/>
      <c r="M16" s="16" t="s">
        <v>25</v>
      </c>
      <c r="N16" s="26">
        <f>SUM(M10:M15)</f>
        <v>877392</v>
      </c>
      <c r="O16" s="23" t="s">
        <v>9</v>
      </c>
      <c r="P16" s="18" t="s">
        <v>9</v>
      </c>
      <c r="R16" s="24" t="s">
        <v>9</v>
      </c>
    </row>
    <row r="17" spans="2:13" ht="14.25">
      <c r="B17" s="15" t="s">
        <v>20</v>
      </c>
      <c r="C17" s="8">
        <v>3039910</v>
      </c>
      <c r="D17" s="8">
        <v>15581486</v>
      </c>
      <c r="E17">
        <f>ROUND(C17/D17,6)</f>
        <v>0.195098</v>
      </c>
      <c r="F17" s="8">
        <f>393826+1215521-30+827</f>
        <v>1610144</v>
      </c>
      <c r="G17" s="8">
        <f>D17-F17</f>
        <v>13971342</v>
      </c>
      <c r="H17" s="11">
        <f>ROUND(C17/G17,6)</f>
        <v>0.217582</v>
      </c>
      <c r="I17" s="11">
        <f>H17-E17</f>
        <v>0.022484000000000004</v>
      </c>
      <c r="J17" s="7">
        <f>G19</f>
        <v>15170630</v>
      </c>
      <c r="K17" s="8">
        <f>ROUND(I17*J17,0)</f>
        <v>341096</v>
      </c>
      <c r="L17" s="9">
        <v>0.4254</v>
      </c>
      <c r="M17" s="8">
        <f>ROUND(K17*L17,0)</f>
        <v>145102</v>
      </c>
    </row>
    <row r="18" spans="2:13" ht="14.25">
      <c r="B18" s="14" t="s">
        <v>21</v>
      </c>
      <c r="C18" s="8">
        <v>2265388</v>
      </c>
      <c r="D18" s="8">
        <v>18098377</v>
      </c>
      <c r="E18">
        <f>ROUND(C18/D18,6)</f>
        <v>0.125171</v>
      </c>
      <c r="F18" s="8">
        <f>453972+2489541+159+2079</f>
        <v>2945751</v>
      </c>
      <c r="G18" s="8">
        <f>D18-F18</f>
        <v>15152626</v>
      </c>
      <c r="H18" s="11">
        <f>ROUND(C18/G18,6)</f>
        <v>0.149505</v>
      </c>
      <c r="I18" s="11">
        <f>H18-E18</f>
        <v>0.024333999999999995</v>
      </c>
      <c r="J18" s="7">
        <f>G20</f>
        <v>17035683</v>
      </c>
      <c r="K18" s="8">
        <f>ROUND(I18*J18,0)</f>
        <v>414546</v>
      </c>
      <c r="L18" s="9">
        <v>0.4254</v>
      </c>
      <c r="M18" s="8">
        <f>ROUND(K18*L18,0)</f>
        <v>176348</v>
      </c>
    </row>
    <row r="19" spans="2:13" ht="14.25">
      <c r="B19" s="14" t="s">
        <v>22</v>
      </c>
      <c r="C19" s="8">
        <v>1423718</v>
      </c>
      <c r="D19" s="8">
        <v>18860832</v>
      </c>
      <c r="E19">
        <f>ROUND(C19/D19,6)</f>
        <v>0.075485</v>
      </c>
      <c r="F19" s="8">
        <f>536715+3154027+46-586</f>
        <v>3690202</v>
      </c>
      <c r="G19" s="8">
        <f>D19-F19</f>
        <v>15170630</v>
      </c>
      <c r="H19" s="11">
        <f>ROUND(C19/G19,6)</f>
        <v>0.093847</v>
      </c>
      <c r="I19" s="11">
        <f>H19-E19</f>
        <v>0.018362000000000003</v>
      </c>
      <c r="J19" s="7">
        <v>15602510.530000003</v>
      </c>
      <c r="K19" s="8">
        <f>ROUND(I19*J19,0)</f>
        <v>286493</v>
      </c>
      <c r="L19" s="9">
        <v>0.4254</v>
      </c>
      <c r="M19" s="8">
        <f>ROUND(K19*L19,0)</f>
        <v>121874</v>
      </c>
    </row>
    <row r="20" spans="2:13" ht="14.25">
      <c r="B20" s="14" t="s">
        <v>23</v>
      </c>
      <c r="C20" s="8">
        <v>1712731</v>
      </c>
      <c r="D20" s="8">
        <v>20192712</v>
      </c>
      <c r="E20">
        <f>ROUND(C20/D20,6)</f>
        <v>0.084819</v>
      </c>
      <c r="F20" s="8">
        <f>599148+2554907-43+3017</f>
        <v>3157029</v>
      </c>
      <c r="G20" s="8">
        <f>D20-F20</f>
        <v>17035683</v>
      </c>
      <c r="H20" s="11">
        <f>ROUND(C20/G20,6)</f>
        <v>0.100538</v>
      </c>
      <c r="I20" s="11">
        <f>H20-E20</f>
        <v>0.015718999999999997</v>
      </c>
      <c r="J20" s="7">
        <v>14100480</v>
      </c>
      <c r="K20" s="8">
        <f>ROUND(I20*J20,0)</f>
        <v>221645</v>
      </c>
      <c r="L20" s="9">
        <v>0.4254</v>
      </c>
      <c r="M20" s="8">
        <f>ROUND(K20*L20,0)</f>
        <v>94288</v>
      </c>
    </row>
    <row r="21" spans="13:19" ht="14.25">
      <c r="M21" s="25" t="s">
        <v>25</v>
      </c>
      <c r="N21" s="26">
        <f>SUM(M17:M20)</f>
        <v>537612</v>
      </c>
      <c r="O21" s="23" t="s">
        <v>26</v>
      </c>
      <c r="P21">
        <v>4</v>
      </c>
      <c r="Q21" t="s">
        <v>27</v>
      </c>
      <c r="R21" s="24">
        <f>N21/P21</f>
        <v>134403</v>
      </c>
      <c r="S21" t="s">
        <v>28</v>
      </c>
    </row>
    <row r="23" spans="1:13" ht="14.25">
      <c r="A23" t="s">
        <v>34</v>
      </c>
      <c r="M23" t="s">
        <v>9</v>
      </c>
    </row>
    <row r="24" ht="14.25">
      <c r="A24" t="s">
        <v>35</v>
      </c>
    </row>
    <row r="26" spans="1:4" ht="14.25">
      <c r="A26" s="29"/>
      <c r="B26" s="29"/>
      <c r="C26" s="29"/>
      <c r="D26" s="29"/>
    </row>
    <row r="42" spans="1:6" ht="14.25">
      <c r="A42" s="29"/>
      <c r="B42" s="29"/>
      <c r="C42" s="29"/>
      <c r="D42" s="29"/>
      <c r="E42" s="29"/>
      <c r="F42" s="29"/>
    </row>
    <row r="43" spans="1:6" ht="14.25">
      <c r="A43" s="29"/>
      <c r="B43" s="29"/>
      <c r="C43" s="29"/>
      <c r="D43" s="30"/>
      <c r="E43" s="29"/>
      <c r="F43" s="29"/>
    </row>
    <row r="44" spans="1:6" ht="14.25">
      <c r="A44" s="29"/>
      <c r="B44" s="29"/>
      <c r="C44" s="33"/>
      <c r="D44" s="30"/>
      <c r="E44" s="29"/>
      <c r="F44" s="29"/>
    </row>
    <row r="45" spans="1:6" ht="14.25">
      <c r="A45" s="29"/>
      <c r="B45" s="29"/>
      <c r="C45" s="29"/>
      <c r="D45" s="29"/>
      <c r="E45" s="29"/>
      <c r="F45" s="29"/>
    </row>
  </sheetData>
  <sheetProtection/>
  <printOptions/>
  <pageMargins left="0.7" right="0.7" top="0.75" bottom="0.75" header="0.3" footer="0.3"/>
  <pageSetup fitToHeight="1" fitToWidth="1" horizontalDpi="600" verticalDpi="600" orientation="landscape" paperSize="5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6"/>
  <sheetViews>
    <sheetView zoomScalePageLayoutView="0" workbookViewId="0" topLeftCell="A1">
      <selection activeCell="D7" sqref="D7"/>
    </sheetView>
  </sheetViews>
  <sheetFormatPr defaultColWidth="9.140625" defaultRowHeight="15"/>
  <sheetData>
    <row r="7" ht="14.25">
      <c r="B7" s="14" t="s">
        <v>10</v>
      </c>
    </row>
    <row r="8" ht="14.25">
      <c r="B8" s="14" t="s">
        <v>11</v>
      </c>
    </row>
    <row r="9" ht="14.25">
      <c r="B9" s="14" t="s">
        <v>12</v>
      </c>
    </row>
    <row r="10" ht="14.25">
      <c r="B10" s="14" t="s">
        <v>13</v>
      </c>
    </row>
    <row r="11" ht="14.25">
      <c r="B11" s="14" t="s">
        <v>14</v>
      </c>
    </row>
    <row r="12" ht="14.25">
      <c r="B12" s="14" t="s">
        <v>15</v>
      </c>
    </row>
    <row r="13" ht="14.25">
      <c r="B13" s="15" t="s">
        <v>20</v>
      </c>
    </row>
    <row r="14" ht="14.25">
      <c r="B14" s="14" t="s">
        <v>21</v>
      </c>
    </row>
    <row r="15" ht="14.25">
      <c r="B15" s="14" t="s">
        <v>22</v>
      </c>
    </row>
    <row r="16" ht="14.25">
      <c r="B16" s="14" t="s">
        <v>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cp:lastPrinted>2017-01-12T18:05:19Z</cp:lastPrinted>
  <dcterms:created xsi:type="dcterms:W3CDTF">2016-10-27T13:54:51Z</dcterms:created>
  <dcterms:modified xsi:type="dcterms:W3CDTF">2017-01-12T18:57:42Z</dcterms:modified>
  <cp:category/>
  <cp:version/>
  <cp:contentType/>
  <cp:contentStatus/>
</cp:coreProperties>
</file>