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260" windowHeight="5310" activeTab="2"/>
  </bookViews>
  <sheets>
    <sheet name="Page1" sheetId="1" r:id="rId1"/>
    <sheet name="Page2" sheetId="2" r:id="rId2"/>
    <sheet name="Page3" sheetId="3" r:id="rId3"/>
  </sheets>
  <definedNames>
    <definedName name="_xlnm.Print_Area" localSheetId="0">Page1!$A$1:$E$37</definedName>
    <definedName name="_xlnm.Print_Area" localSheetId="1">Page2!$A$1:$G$55</definedName>
    <definedName name="_xlnm.Print_Area" localSheetId="2">Page3!$A$1:$F$16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1" i="1" l="1"/>
  <c r="C31" i="1"/>
  <c r="F11" i="2" l="1"/>
  <c r="D16" i="1" l="1"/>
  <c r="C16" i="1"/>
  <c r="D17" i="1" l="1"/>
  <c r="D30" i="1" s="1"/>
  <c r="C17" i="1"/>
  <c r="D25" i="3"/>
  <c r="D24" i="3"/>
  <c r="D23" i="3"/>
  <c r="D26" i="3" s="1"/>
  <c r="D25" i="1" s="1"/>
  <c r="C30" i="1" l="1"/>
  <c r="F42" i="2"/>
  <c r="D36" i="1" l="1"/>
  <c r="F32" i="2"/>
  <c r="F10" i="2"/>
  <c r="F9" i="2"/>
  <c r="D14" i="3"/>
  <c r="D15" i="3"/>
  <c r="D13" i="3"/>
  <c r="F12" i="2"/>
  <c r="E32" i="2"/>
  <c r="D29" i="1" l="1"/>
  <c r="D16" i="3"/>
  <c r="C25" i="1" s="1"/>
  <c r="C29" i="1"/>
  <c r="E14" i="2" l="1"/>
  <c r="F14" i="2"/>
  <c r="C18" i="1" l="1"/>
  <c r="D18" i="1"/>
  <c r="E16" i="2"/>
  <c r="F16" i="2"/>
  <c r="F41" i="2" s="1"/>
  <c r="F43" i="2" l="1"/>
  <c r="D28" i="1"/>
  <c r="F18" i="2"/>
  <c r="F47" i="2" s="1"/>
  <c r="F48" i="2" s="1"/>
  <c r="E27" i="2"/>
  <c r="E34" i="2" s="1"/>
  <c r="F27" i="2"/>
  <c r="F34" i="2" s="1"/>
  <c r="E18" i="2"/>
  <c r="E49" i="2"/>
  <c r="E38" i="2"/>
  <c r="E40" i="2" s="1"/>
  <c r="E43" i="2" s="1"/>
  <c r="E54" i="2" s="1"/>
  <c r="F19" i="2" l="1"/>
  <c r="F22" i="2" s="1"/>
  <c r="F23" i="2" s="1"/>
  <c r="F25" i="2" s="1"/>
  <c r="F26" i="2" s="1"/>
  <c r="F54" i="2"/>
  <c r="E19" i="2"/>
  <c r="E47" i="2"/>
  <c r="E48" i="2" s="1"/>
  <c r="E50" i="2" s="1"/>
  <c r="C20" i="1" s="1"/>
  <c r="F31" i="2" l="1"/>
  <c r="F33" i="2" s="1"/>
  <c r="F35" i="2" s="1"/>
  <c r="F28" i="2" s="1"/>
  <c r="E22" i="2"/>
  <c r="E23" i="2" s="1"/>
  <c r="E25" i="2" s="1"/>
  <c r="E26" i="2" s="1"/>
  <c r="E31" i="2"/>
  <c r="E33" i="2" s="1"/>
  <c r="E35" i="2" s="1"/>
  <c r="E28" i="2" l="1"/>
  <c r="E44" i="2" s="1"/>
  <c r="F44" i="2"/>
  <c r="D19" i="1" s="1"/>
  <c r="D22" i="1" l="1"/>
  <c r="F53" i="2" s="1"/>
  <c r="C19" i="1"/>
  <c r="D26" i="1" l="1"/>
  <c r="F55" i="2"/>
  <c r="D27" i="1" s="1"/>
  <c r="D33" i="1" s="1"/>
  <c r="C22" i="1"/>
  <c r="E53" i="2" s="1"/>
  <c r="C26" i="1" l="1"/>
  <c r="E55" i="2"/>
  <c r="C27" i="1" s="1"/>
  <c r="C33" i="1" l="1"/>
  <c r="D35" i="1" s="1"/>
  <c r="D37" i="1" l="1"/>
</calcChain>
</file>

<file path=xl/sharedStrings.xml><?xml version="1.0" encoding="utf-8"?>
<sst xmlns="http://schemas.openxmlformats.org/spreadsheetml/2006/main" count="100" uniqueCount="74">
  <si>
    <t>Rate Base</t>
  </si>
  <si>
    <t>Accumulated Depreciation</t>
  </si>
  <si>
    <t>Income Taxes</t>
  </si>
  <si>
    <t>Operation &amp; Maintenance Expenses</t>
  </si>
  <si>
    <t>Quarter-kW Shares (500 kW x 4 Qtr-kW/kW)</t>
  </si>
  <si>
    <t>LG&amp;E</t>
  </si>
  <si>
    <t>KU</t>
  </si>
  <si>
    <t>Total for LG&amp;E and KU</t>
  </si>
  <si>
    <t>Monthly Fixed Charge</t>
  </si>
  <si>
    <t>Company Percentage</t>
  </si>
  <si>
    <t>Accummulated Deferred Income Taxes (See Page 2)</t>
  </si>
  <si>
    <t>Investment</t>
  </si>
  <si>
    <t>Investment Tax Credit (%)</t>
  </si>
  <si>
    <t>Investment Tax Credit ($)</t>
  </si>
  <si>
    <t>Deferred Tax Basis Reduction (%)</t>
  </si>
  <si>
    <t>Deferred Tax Basis Reduction ($)</t>
  </si>
  <si>
    <t>Deferred Tax Basis</t>
  </si>
  <si>
    <t>MACRS Depreciation</t>
  </si>
  <si>
    <t>MACRS Depreciation Rate</t>
  </si>
  <si>
    <t>Bonus Depreciation</t>
  </si>
  <si>
    <t>Basis for MACRS Depreciation</t>
  </si>
  <si>
    <t>Total Tax Depreciation</t>
  </si>
  <si>
    <t>Book Depreciation</t>
  </si>
  <si>
    <t>Federal Income Tax Rate</t>
  </si>
  <si>
    <t>State Income Tax Rate</t>
  </si>
  <si>
    <t>Federal Deferred Income Tax</t>
  </si>
  <si>
    <t>Federal Deferred Income Taxes</t>
  </si>
  <si>
    <t>State Deferred Income Taxes</t>
  </si>
  <si>
    <t>Total Accumulated Deferred Income Taxes</t>
  </si>
  <si>
    <t>ITC Deferred Income Tax Effect</t>
  </si>
  <si>
    <t>Investment Tax Credit Basis</t>
  </si>
  <si>
    <t>Life of Investment</t>
  </si>
  <si>
    <t>Amortiziation of ITC</t>
  </si>
  <si>
    <t>Composite</t>
  </si>
  <si>
    <t>Weighted Average Cost of Capital (See Page 3)</t>
  </si>
  <si>
    <t>Weighted</t>
  </si>
  <si>
    <t>Percent</t>
  </si>
  <si>
    <t>Rate</t>
  </si>
  <si>
    <t>Debt</t>
  </si>
  <si>
    <t>Preferred Equity</t>
  </si>
  <si>
    <t>Common Equity</t>
  </si>
  <si>
    <t>Cost of</t>
  </si>
  <si>
    <t>Capital</t>
  </si>
  <si>
    <t>Income Taxes (See Page 3)</t>
  </si>
  <si>
    <t>Return on Equity</t>
  </si>
  <si>
    <t>Unamortized ITC (for KU)</t>
  </si>
  <si>
    <t>ITC Effect of Basis Reduction</t>
  </si>
  <si>
    <t>Investment Tax Credit Net</t>
  </si>
  <si>
    <t>Amortization of Net ITC</t>
  </si>
  <si>
    <t>Rate Base Adjustment For ITC Amortization (KU Only)</t>
  </si>
  <si>
    <t>Assumptions</t>
  </si>
  <si>
    <t>Unamortized Investment Tax Credit (KU Only)</t>
  </si>
  <si>
    <t>Carrying Charges</t>
  </si>
  <si>
    <t>Kentucky Utilities Company and Louisvillle Gas &amp; Electric Company</t>
  </si>
  <si>
    <t>Component of Capital</t>
  </si>
  <si>
    <t>Weighted Cost of Capital</t>
  </si>
  <si>
    <t>Page 2 of 3</t>
  </si>
  <si>
    <t>Page 1 of 3</t>
  </si>
  <si>
    <r>
      <t xml:space="preserve">Depreciation Expenses (Line 5 </t>
    </r>
    <r>
      <rPr>
        <sz val="11"/>
        <color theme="1"/>
        <rFont val="Calibri"/>
        <family val="2"/>
      </rPr>
      <t>÷ 25 Years)</t>
    </r>
  </si>
  <si>
    <t>Total Revenue Requirements (Carrying Costs) (Sum of Lines 11 thru 16)</t>
  </si>
  <si>
    <t>Louisville Gas &amp; Electric Company</t>
  </si>
  <si>
    <t>Kentucky Utilities Company</t>
  </si>
  <si>
    <t>Deferred Income Tax Effect</t>
  </si>
  <si>
    <t>Amortization of ITC</t>
  </si>
  <si>
    <t>Land Cost</t>
  </si>
  <si>
    <t>Cost of Solar Facilities</t>
  </si>
  <si>
    <t>Net Cost Rate Base (Line 4+ 5 less Sum of Lines 6 thru 8)</t>
  </si>
  <si>
    <t>Return (Line 9 x Line 10)</t>
  </si>
  <si>
    <t xml:space="preserve">Original Cost Investment in Solar </t>
  </si>
  <si>
    <t>199 Deduction (KY Only)</t>
  </si>
  <si>
    <t>Depreciation</t>
  </si>
  <si>
    <t>Property Taxes  (0.15% x [Line 4 + 5 - Line 6])</t>
  </si>
  <si>
    <t>Exhibit WSS-2</t>
  </si>
  <si>
    <t>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</si>
</sst>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_);_(@_)"/>
    <numFmt numFmtId="167" formatCode="_(&quot;$&quot;* #,##0_);_(&quot;$&quot;* \(#,##0\);_(&quot;$&quot;* &quot;-&quot;?_);_(@_)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2" applyNumberFormat="1" applyFont="1"/>
    <xf numFmtId="164" fontId="0" fillId="0" borderId="0" xfId="0" applyNumberFormat="1"/>
    <xf numFmtId="9" fontId="0" fillId="0" borderId="0" xfId="3" applyFont="1"/>
    <xf numFmtId="165" fontId="0" fillId="0" borderId="0" xfId="1" applyNumberFormat="1" applyFont="1"/>
    <xf numFmtId="0" fontId="3" fillId="0" borderId="0" xfId="0" quotePrefix="1" applyFont="1"/>
    <xf numFmtId="10" fontId="0" fillId="0" borderId="0" xfId="4" applyNumberFormat="1" applyFont="1"/>
    <xf numFmtId="164" fontId="0" fillId="0" borderId="0" xfId="4" applyNumberFormat="1" applyFont="1"/>
    <xf numFmtId="0" fontId="3" fillId="0" borderId="0" xfId="0" applyFont="1"/>
    <xf numFmtId="166" fontId="0" fillId="0" borderId="0" xfId="0" applyNumberFormat="1"/>
    <xf numFmtId="167" fontId="0" fillId="0" borderId="0" xfId="0" applyNumberFormat="1"/>
    <xf numFmtId="0" fontId="4" fillId="0" borderId="0" xfId="0" applyFont="1"/>
    <xf numFmtId="9" fontId="0" fillId="0" borderId="0" xfId="0" applyNumberFormat="1"/>
    <xf numFmtId="168" fontId="0" fillId="0" borderId="0" xfId="3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/>
    <xf numFmtId="165" fontId="0" fillId="0" borderId="0" xfId="1" applyNumberFormat="1" applyFont="1" applyFill="1"/>
    <xf numFmtId="164" fontId="0" fillId="0" borderId="2" xfId="2" applyNumberFormat="1" applyFont="1" applyFill="1" applyBorder="1"/>
    <xf numFmtId="44" fontId="2" fillId="0" borderId="3" xfId="0" applyNumberFormat="1" applyFont="1" applyBorder="1"/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0" fontId="0" fillId="0" borderId="1" xfId="4" applyNumberFormat="1" applyFont="1" applyBorder="1"/>
    <xf numFmtId="165" fontId="0" fillId="0" borderId="0" xfId="0" applyNumberFormat="1"/>
    <xf numFmtId="0" fontId="0" fillId="0" borderId="0" xfId="0" applyFill="1"/>
    <xf numFmtId="0" fontId="8" fillId="2" borderId="0" xfId="0" applyFont="1" applyFill="1"/>
    <xf numFmtId="10" fontId="0" fillId="2" borderId="0" xfId="4" applyNumberFormat="1" applyFont="1" applyFill="1"/>
    <xf numFmtId="10" fontId="0" fillId="2" borderId="1" xfId="4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workbookViewId="0">
      <selection activeCell="F31" sqref="F31"/>
    </sheetView>
  </sheetViews>
  <sheetFormatPr defaultRowHeight="15" x14ac:dyDescent="0.25"/>
  <cols>
    <col min="1" max="1" width="5.28515625" customWidth="1"/>
    <col min="2" max="2" width="58.42578125" customWidth="1"/>
    <col min="3" max="3" width="14.5703125" customWidth="1"/>
    <col min="4" max="4" width="15.28515625" customWidth="1"/>
  </cols>
  <sheetData>
    <row r="1" spans="1:5" x14ac:dyDescent="0.25">
      <c r="E1" s="2" t="s">
        <v>72</v>
      </c>
    </row>
    <row r="2" spans="1:5" x14ac:dyDescent="0.25">
      <c r="E2" s="2" t="s">
        <v>57</v>
      </c>
    </row>
    <row r="4" spans="1:5" ht="15.75" x14ac:dyDescent="0.25">
      <c r="B4" s="36" t="s">
        <v>53</v>
      </c>
      <c r="C4" s="36"/>
      <c r="D4" s="36"/>
    </row>
    <row r="5" spans="1:5" ht="15.75" x14ac:dyDescent="0.25">
      <c r="B5" s="37" t="s">
        <v>8</v>
      </c>
      <c r="C5" s="37"/>
      <c r="D5" s="37"/>
    </row>
    <row r="9" spans="1:5" ht="15.75" thickBot="1" x14ac:dyDescent="0.3">
      <c r="C9" s="25" t="s">
        <v>6</v>
      </c>
      <c r="D9" s="25" t="s">
        <v>5</v>
      </c>
    </row>
    <row r="11" spans="1:5" x14ac:dyDescent="0.25">
      <c r="A11" s="20">
        <v>1</v>
      </c>
      <c r="B11" t="s">
        <v>65</v>
      </c>
      <c r="C11" s="3">
        <v>987292.23254624987</v>
      </c>
    </row>
    <row r="12" spans="1:5" x14ac:dyDescent="0.25">
      <c r="A12" s="20">
        <v>2</v>
      </c>
      <c r="B12" t="s">
        <v>64</v>
      </c>
      <c r="C12" s="3">
        <v>68125</v>
      </c>
    </row>
    <row r="13" spans="1:5" x14ac:dyDescent="0.25">
      <c r="A13" s="20">
        <v>3</v>
      </c>
      <c r="B13" t="s">
        <v>9</v>
      </c>
      <c r="C13" s="5">
        <v>0.56000000000000005</v>
      </c>
      <c r="D13" s="5">
        <v>0.44</v>
      </c>
    </row>
    <row r="14" spans="1:5" x14ac:dyDescent="0.25">
      <c r="A14" s="20"/>
      <c r="C14" s="5"/>
      <c r="D14" s="5"/>
    </row>
    <row r="15" spans="1:5" x14ac:dyDescent="0.25">
      <c r="A15" s="20"/>
      <c r="B15" s="1" t="s">
        <v>0</v>
      </c>
    </row>
    <row r="16" spans="1:5" x14ac:dyDescent="0.25">
      <c r="A16" s="20">
        <v>4</v>
      </c>
      <c r="B16" t="s">
        <v>64</v>
      </c>
      <c r="C16" s="4">
        <f>C12*C13</f>
        <v>38150</v>
      </c>
      <c r="D16" s="4">
        <f>C12*D13</f>
        <v>29975</v>
      </c>
    </row>
    <row r="17" spans="1:9" x14ac:dyDescent="0.25">
      <c r="A17" s="20">
        <v>5</v>
      </c>
      <c r="B17" t="s">
        <v>68</v>
      </c>
      <c r="C17" s="3">
        <f>C11*C13</f>
        <v>552883.6502259</v>
      </c>
      <c r="D17" s="3">
        <f>C11*D13</f>
        <v>434408.58232034993</v>
      </c>
    </row>
    <row r="18" spans="1:9" x14ac:dyDescent="0.25">
      <c r="A18" s="20">
        <v>6</v>
      </c>
      <c r="B18" t="s">
        <v>1</v>
      </c>
      <c r="C18" s="6">
        <f>C17/25</f>
        <v>22115.346009035999</v>
      </c>
      <c r="D18" s="6">
        <f>D17/25</f>
        <v>17376.343292813996</v>
      </c>
      <c r="F18" s="31"/>
    </row>
    <row r="19" spans="1:9" x14ac:dyDescent="0.25">
      <c r="A19" s="20">
        <v>7</v>
      </c>
      <c r="B19" t="s">
        <v>10</v>
      </c>
      <c r="C19" s="6">
        <f>Page2!E44</f>
        <v>95035.181695002946</v>
      </c>
      <c r="D19" s="6">
        <f>Page2!F44</f>
        <v>74670.499903216594</v>
      </c>
    </row>
    <row r="20" spans="1:9" x14ac:dyDescent="0.25">
      <c r="A20" s="20">
        <v>8</v>
      </c>
      <c r="B20" t="s">
        <v>51</v>
      </c>
      <c r="C20" s="6">
        <f>Page2!E50</f>
        <v>127162.96311013188</v>
      </c>
    </row>
    <row r="21" spans="1:9" x14ac:dyDescent="0.25">
      <c r="A21" s="20"/>
    </row>
    <row r="22" spans="1:9" ht="15.75" thickBot="1" x14ac:dyDescent="0.3">
      <c r="A22" s="20">
        <v>9</v>
      </c>
      <c r="B22" t="s">
        <v>66</v>
      </c>
      <c r="C22" s="23">
        <f>C16+C17-C18-C19-C20</f>
        <v>346720.1594117292</v>
      </c>
      <c r="D22" s="23">
        <f>D16+D17-D18-D19-D20</f>
        <v>372336.73912431934</v>
      </c>
    </row>
    <row r="23" spans="1:9" x14ac:dyDescent="0.25">
      <c r="A23" s="20"/>
      <c r="C23" s="22"/>
      <c r="D23" s="22"/>
    </row>
    <row r="24" spans="1:9" x14ac:dyDescent="0.25">
      <c r="A24" s="20"/>
      <c r="B24" s="1" t="s">
        <v>52</v>
      </c>
      <c r="C24" s="22"/>
      <c r="D24" s="22"/>
    </row>
    <row r="25" spans="1:9" x14ac:dyDescent="0.25">
      <c r="A25" s="20">
        <v>10</v>
      </c>
      <c r="B25" t="s">
        <v>34</v>
      </c>
      <c r="C25" s="19">
        <f>Page3!D16</f>
        <v>7.1543043340000001E-2</v>
      </c>
      <c r="D25" s="19">
        <f>Page3!D26</f>
        <v>7.0787409359999998E-2</v>
      </c>
    </row>
    <row r="26" spans="1:9" x14ac:dyDescent="0.25">
      <c r="A26" s="20">
        <v>11</v>
      </c>
      <c r="B26" t="s">
        <v>67</v>
      </c>
      <c r="C26" s="3">
        <f>C22*C25</f>
        <v>24805.415391645052</v>
      </c>
      <c r="D26" s="3">
        <f>D22*D25</f>
        <v>26356.753172160719</v>
      </c>
    </row>
    <row r="27" spans="1:9" x14ac:dyDescent="0.25">
      <c r="A27" s="20">
        <v>12</v>
      </c>
      <c r="B27" t="s">
        <v>43</v>
      </c>
      <c r="C27" s="6">
        <f>Page2!E55</f>
        <v>13645.908239507928</v>
      </c>
      <c r="D27" s="6">
        <f>Page2!F55</f>
        <v>13830.782976694296</v>
      </c>
      <c r="E27" s="3"/>
    </row>
    <row r="28" spans="1:9" x14ac:dyDescent="0.25">
      <c r="A28" s="20">
        <v>13</v>
      </c>
      <c r="B28" t="s">
        <v>63</v>
      </c>
      <c r="C28" s="6">
        <v>0</v>
      </c>
      <c r="D28" s="6">
        <f>-Page2!F41*Page2!F42</f>
        <v>-5212.9029878441988</v>
      </c>
    </row>
    <row r="29" spans="1:9" x14ac:dyDescent="0.25">
      <c r="A29" s="20">
        <v>14</v>
      </c>
      <c r="B29" t="s">
        <v>58</v>
      </c>
      <c r="C29" s="6">
        <f>C17/25</f>
        <v>22115.346009035999</v>
      </c>
      <c r="D29" s="6">
        <f>D17/25</f>
        <v>17376.343292813996</v>
      </c>
    </row>
    <row r="30" spans="1:9" x14ac:dyDescent="0.25">
      <c r="A30" s="20">
        <v>15</v>
      </c>
      <c r="B30" t="s">
        <v>3</v>
      </c>
      <c r="C30" s="6">
        <f>(36634.95/C11)*C17</f>
        <v>20515.572000000004</v>
      </c>
      <c r="D30" s="6">
        <f>(36634.95/C11)*D17</f>
        <v>16119.377999999999</v>
      </c>
      <c r="E30" s="31"/>
      <c r="F30" s="31">
        <f>SUM(C30:E30)</f>
        <v>36634.950000000004</v>
      </c>
    </row>
    <row r="31" spans="1:9" x14ac:dyDescent="0.25">
      <c r="A31" s="20">
        <v>16</v>
      </c>
      <c r="B31" t="s">
        <v>71</v>
      </c>
      <c r="C31" s="6">
        <f>0.0015*(C16+C17-C18)</f>
        <v>853.37745632529607</v>
      </c>
      <c r="D31" s="6">
        <f>0.0015*(D16+D17-D18)</f>
        <v>670.51085854130395</v>
      </c>
      <c r="F31" s="33"/>
      <c r="G31" s="33"/>
      <c r="H31" s="33"/>
      <c r="I31" s="33"/>
    </row>
    <row r="32" spans="1:9" x14ac:dyDescent="0.25">
      <c r="A32" s="20"/>
    </row>
    <row r="33" spans="1:4" ht="15.75" thickBot="1" x14ac:dyDescent="0.3">
      <c r="A33" s="20">
        <v>17</v>
      </c>
      <c r="B33" t="s">
        <v>59</v>
      </c>
      <c r="C33" s="23">
        <f>C26+C27+C28++C29+C30+C31</f>
        <v>81935.619096514274</v>
      </c>
      <c r="D33" s="23">
        <f>D26+D27+D28++D29+D30+D31</f>
        <v>69140.865312366121</v>
      </c>
    </row>
    <row r="34" spans="1:4" x14ac:dyDescent="0.25">
      <c r="A34" s="20"/>
    </row>
    <row r="35" spans="1:4" x14ac:dyDescent="0.25">
      <c r="A35" s="20">
        <v>18</v>
      </c>
      <c r="B35" t="s">
        <v>7</v>
      </c>
      <c r="D35" s="3">
        <f>C33+D33</f>
        <v>151076.48440888041</v>
      </c>
    </row>
    <row r="36" spans="1:4" ht="15.75" thickBot="1" x14ac:dyDescent="0.3">
      <c r="A36" s="20">
        <v>19</v>
      </c>
      <c r="B36" t="s">
        <v>4</v>
      </c>
      <c r="C36" s="6"/>
      <c r="D36" s="6">
        <f>500*4</f>
        <v>2000</v>
      </c>
    </row>
    <row r="37" spans="1:4" ht="15.75" thickBot="1" x14ac:dyDescent="0.3">
      <c r="A37" s="20">
        <v>20</v>
      </c>
      <c r="B37" t="s">
        <v>8</v>
      </c>
      <c r="C37" s="21"/>
      <c r="D37" s="24">
        <f>D35/D36/12</f>
        <v>6.2948535170366844</v>
      </c>
    </row>
    <row r="41" spans="1:4" x14ac:dyDescent="0.25">
      <c r="D41" s="4"/>
    </row>
    <row r="42" spans="1:4" x14ac:dyDescent="0.25">
      <c r="D42" s="31"/>
    </row>
    <row r="43" spans="1:4" x14ac:dyDescent="0.25">
      <c r="D43" s="31"/>
    </row>
    <row r="44" spans="1:4" x14ac:dyDescent="0.25">
      <c r="D44" s="31"/>
    </row>
    <row r="45" spans="1:4" x14ac:dyDescent="0.25">
      <c r="D45" s="31"/>
    </row>
    <row r="46" spans="1:4" x14ac:dyDescent="0.25">
      <c r="D46" s="31"/>
    </row>
    <row r="47" spans="1:4" x14ac:dyDescent="0.25">
      <c r="D47" s="31"/>
    </row>
    <row r="48" spans="1:4" x14ac:dyDescent="0.25">
      <c r="D48" s="4"/>
    </row>
    <row r="51" spans="3:4" x14ac:dyDescent="0.25">
      <c r="C51" s="21"/>
      <c r="D51" s="21"/>
    </row>
  </sheetData>
  <mergeCells count="2">
    <mergeCell ref="B4:D4"/>
    <mergeCell ref="B5:D5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opLeftCell="A43" workbookViewId="0">
      <selection activeCell="J6" sqref="J6"/>
    </sheetView>
  </sheetViews>
  <sheetFormatPr defaultRowHeight="15" x14ac:dyDescent="0.25"/>
  <cols>
    <col min="2" max="2" width="32.28515625" customWidth="1"/>
    <col min="5" max="6" width="17.7109375" customWidth="1"/>
  </cols>
  <sheetData>
    <row r="1" spans="1:7" x14ac:dyDescent="0.25">
      <c r="G1" s="2" t="s">
        <v>72</v>
      </c>
    </row>
    <row r="2" spans="1:7" x14ac:dyDescent="0.25">
      <c r="G2" s="2" t="s">
        <v>56</v>
      </c>
    </row>
    <row r="4" spans="1:7" ht="15.75" x14ac:dyDescent="0.25">
      <c r="B4" s="36" t="s">
        <v>53</v>
      </c>
      <c r="C4" s="36"/>
      <c r="D4" s="36"/>
      <c r="E4" s="36"/>
      <c r="F4" s="36"/>
    </row>
    <row r="5" spans="1:7" ht="15.75" x14ac:dyDescent="0.25">
      <c r="B5" s="37" t="s">
        <v>2</v>
      </c>
      <c r="C5" s="37"/>
      <c r="D5" s="37"/>
      <c r="E5" s="37"/>
      <c r="F5" s="37"/>
    </row>
    <row r="7" spans="1:7" ht="15.75" thickBot="1" x14ac:dyDescent="0.3">
      <c r="E7" s="25" t="s">
        <v>6</v>
      </c>
      <c r="F7" s="25" t="s">
        <v>5</v>
      </c>
    </row>
    <row r="8" spans="1:7" x14ac:dyDescent="0.25">
      <c r="B8" s="13" t="s">
        <v>50</v>
      </c>
      <c r="E8" s="17"/>
      <c r="F8" s="17"/>
    </row>
    <row r="9" spans="1:7" x14ac:dyDescent="0.25">
      <c r="A9" s="20">
        <v>1</v>
      </c>
      <c r="B9" t="s">
        <v>23</v>
      </c>
      <c r="E9" s="15">
        <v>0.35</v>
      </c>
      <c r="F9" s="16">
        <f>E9</f>
        <v>0.35</v>
      </c>
    </row>
    <row r="10" spans="1:7" x14ac:dyDescent="0.25">
      <c r="A10" s="20">
        <v>2</v>
      </c>
      <c r="B10" t="s">
        <v>24</v>
      </c>
      <c r="E10" s="15">
        <v>0.06</v>
      </c>
      <c r="F10" s="16">
        <f t="shared" ref="F10:F12" si="0">E10</f>
        <v>0.06</v>
      </c>
    </row>
    <row r="11" spans="1:7" x14ac:dyDescent="0.25">
      <c r="A11" s="20">
        <v>3</v>
      </c>
      <c r="B11" t="s">
        <v>69</v>
      </c>
      <c r="E11" s="15">
        <v>0.06</v>
      </c>
      <c r="F11" s="16">
        <f>+E11</f>
        <v>0.06</v>
      </c>
    </row>
    <row r="12" spans="1:7" x14ac:dyDescent="0.25">
      <c r="A12" s="20">
        <v>4</v>
      </c>
      <c r="B12" t="s">
        <v>33</v>
      </c>
      <c r="E12" s="16">
        <v>0.38667000000000001</v>
      </c>
      <c r="F12" s="16">
        <f t="shared" si="0"/>
        <v>0.38667000000000001</v>
      </c>
    </row>
    <row r="13" spans="1:7" x14ac:dyDescent="0.25">
      <c r="A13" s="20"/>
      <c r="E13" s="16"/>
    </row>
    <row r="14" spans="1:7" x14ac:dyDescent="0.25">
      <c r="A14" s="20">
        <v>5</v>
      </c>
      <c r="B14" t="s">
        <v>11</v>
      </c>
      <c r="E14" s="3">
        <f>Page1!C17</f>
        <v>552883.6502259</v>
      </c>
      <c r="F14" s="3">
        <f>Page1!D17</f>
        <v>434408.58232034993</v>
      </c>
    </row>
    <row r="15" spans="1:7" x14ac:dyDescent="0.25">
      <c r="A15" s="20">
        <v>6</v>
      </c>
      <c r="B15" s="7" t="s">
        <v>12</v>
      </c>
      <c r="E15" s="8">
        <v>0.3</v>
      </c>
      <c r="F15" s="8">
        <v>0.3</v>
      </c>
    </row>
    <row r="16" spans="1:7" x14ac:dyDescent="0.25">
      <c r="A16" s="20">
        <v>7</v>
      </c>
      <c r="B16" s="7" t="s">
        <v>13</v>
      </c>
      <c r="E16" s="3">
        <f>E14*E15</f>
        <v>165865.09506776999</v>
      </c>
      <c r="F16" s="3">
        <f>F14*F15</f>
        <v>130322.57469610497</v>
      </c>
    </row>
    <row r="17" spans="1:14" ht="15.75" x14ac:dyDescent="0.25">
      <c r="A17" s="20">
        <v>8</v>
      </c>
      <c r="B17" s="7" t="s">
        <v>14</v>
      </c>
      <c r="E17" s="8">
        <v>0.5</v>
      </c>
      <c r="F17" s="8">
        <v>0.5</v>
      </c>
      <c r="H17" s="32"/>
      <c r="I17" s="32"/>
      <c r="L17" s="36"/>
      <c r="M17" s="36"/>
      <c r="N17" s="36"/>
    </row>
    <row r="18" spans="1:14" ht="15.75" x14ac:dyDescent="0.25">
      <c r="A18" s="20">
        <v>9</v>
      </c>
      <c r="B18" s="7" t="s">
        <v>15</v>
      </c>
      <c r="E18" s="3">
        <f>E16*E17</f>
        <v>82932.547533884994</v>
      </c>
      <c r="F18" s="3">
        <f>F16*F17</f>
        <v>65161.287348052487</v>
      </c>
      <c r="L18" s="37"/>
      <c r="M18" s="37"/>
      <c r="N18" s="37"/>
    </row>
    <row r="19" spans="1:14" x14ac:dyDescent="0.25">
      <c r="A19" s="20">
        <v>10</v>
      </c>
      <c r="B19" s="7" t="s">
        <v>16</v>
      </c>
      <c r="E19" s="9">
        <f>E14-E18</f>
        <v>469951.102692015</v>
      </c>
      <c r="F19" s="9">
        <f>F14-F18</f>
        <v>369247.29497229744</v>
      </c>
    </row>
    <row r="20" spans="1:14" x14ac:dyDescent="0.25">
      <c r="A20" s="20"/>
    </row>
    <row r="21" spans="1:14" x14ac:dyDescent="0.25">
      <c r="A21" s="20"/>
      <c r="B21" s="13" t="s">
        <v>26</v>
      </c>
    </row>
    <row r="22" spans="1:14" x14ac:dyDescent="0.25">
      <c r="A22" s="20">
        <v>11</v>
      </c>
      <c r="B22" s="10" t="s">
        <v>19</v>
      </c>
      <c r="E22" s="12">
        <f>E19*0.5</f>
        <v>234975.5513460075</v>
      </c>
      <c r="F22" s="12">
        <f>F19*0.5</f>
        <v>184623.64748614872</v>
      </c>
    </row>
    <row r="23" spans="1:14" x14ac:dyDescent="0.25">
      <c r="A23" s="20">
        <v>12</v>
      </c>
      <c r="B23" s="10" t="s">
        <v>20</v>
      </c>
      <c r="E23" s="12">
        <f>E19-E22</f>
        <v>234975.5513460075</v>
      </c>
      <c r="F23" s="12">
        <f>F19-F22</f>
        <v>184623.64748614872</v>
      </c>
    </row>
    <row r="24" spans="1:14" x14ac:dyDescent="0.25">
      <c r="A24" s="20">
        <v>13</v>
      </c>
      <c r="B24" s="10" t="s">
        <v>18</v>
      </c>
      <c r="E24" s="5">
        <v>0.2</v>
      </c>
      <c r="F24" s="5">
        <v>0.2</v>
      </c>
    </row>
    <row r="25" spans="1:14" x14ac:dyDescent="0.25">
      <c r="A25" s="20">
        <v>14</v>
      </c>
      <c r="B25" s="10" t="s">
        <v>17</v>
      </c>
      <c r="E25" s="4">
        <f>E24*E23</f>
        <v>46995.110269201505</v>
      </c>
      <c r="F25" s="4">
        <f>F24*F23</f>
        <v>36924.729497229746</v>
      </c>
    </row>
    <row r="26" spans="1:14" x14ac:dyDescent="0.25">
      <c r="A26" s="20">
        <v>15</v>
      </c>
      <c r="B26" s="10" t="s">
        <v>21</v>
      </c>
      <c r="E26" s="12">
        <f>E22+E25</f>
        <v>281970.66161520901</v>
      </c>
      <c r="F26" s="12">
        <f>F22+F25</f>
        <v>221548.37698337846</v>
      </c>
    </row>
    <row r="27" spans="1:14" x14ac:dyDescent="0.25">
      <c r="A27" s="20">
        <v>16</v>
      </c>
      <c r="B27" s="10" t="s">
        <v>22</v>
      </c>
      <c r="E27" s="3">
        <f>Page1!C18</f>
        <v>22115.346009035999</v>
      </c>
      <c r="F27" s="3">
        <f>Page1!D18</f>
        <v>17376.343292813996</v>
      </c>
    </row>
    <row r="28" spans="1:14" x14ac:dyDescent="0.25">
      <c r="A28" s="20">
        <v>17</v>
      </c>
      <c r="B28" s="10" t="s">
        <v>25</v>
      </c>
      <c r="E28" s="3">
        <f>(E26-E27)*$E$9-E35*$E$9</f>
        <v>89439.988097043839</v>
      </c>
      <c r="F28" s="3">
        <f>(F26-F27)*$E$9-F35*$E$9</f>
        <v>70274.276361962999</v>
      </c>
    </row>
    <row r="29" spans="1:14" x14ac:dyDescent="0.25">
      <c r="A29" s="20"/>
    </row>
    <row r="30" spans="1:14" x14ac:dyDescent="0.25">
      <c r="A30" s="20"/>
      <c r="B30" s="1" t="s">
        <v>27</v>
      </c>
    </row>
    <row r="31" spans="1:14" x14ac:dyDescent="0.25">
      <c r="A31" s="20">
        <v>18</v>
      </c>
      <c r="B31" t="s">
        <v>20</v>
      </c>
      <c r="E31" s="4">
        <f>E19</f>
        <v>469951.102692015</v>
      </c>
      <c r="F31" s="4">
        <f>F19</f>
        <v>369247.29497229744</v>
      </c>
    </row>
    <row r="32" spans="1:14" x14ac:dyDescent="0.25">
      <c r="A32" s="20">
        <v>19</v>
      </c>
      <c r="B32" s="10" t="s">
        <v>18</v>
      </c>
      <c r="E32" s="14">
        <f>E24</f>
        <v>0.2</v>
      </c>
      <c r="F32" s="14">
        <f>F24</f>
        <v>0.2</v>
      </c>
    </row>
    <row r="33" spans="1:11" x14ac:dyDescent="0.25">
      <c r="A33" s="20">
        <v>20</v>
      </c>
      <c r="B33" s="10" t="s">
        <v>21</v>
      </c>
      <c r="E33" s="4">
        <f>E32*E31</f>
        <v>93990.220538403009</v>
      </c>
      <c r="F33" s="4">
        <f>F32*F31</f>
        <v>73849.458994459492</v>
      </c>
    </row>
    <row r="34" spans="1:11" x14ac:dyDescent="0.25">
      <c r="A34" s="20">
        <v>21</v>
      </c>
      <c r="B34" s="10" t="s">
        <v>22</v>
      </c>
      <c r="E34" s="12">
        <f>E27</f>
        <v>22115.346009035999</v>
      </c>
      <c r="F34" s="12">
        <f>F27</f>
        <v>17376.343292813996</v>
      </c>
    </row>
    <row r="35" spans="1:11" x14ac:dyDescent="0.25">
      <c r="A35" s="20">
        <v>22</v>
      </c>
      <c r="B35" s="10" t="s">
        <v>27</v>
      </c>
      <c r="E35" s="4">
        <f>(E33-E34)*E10</f>
        <v>4312.4924717620206</v>
      </c>
      <c r="F35" s="4">
        <f>(F33-F34)*F10</f>
        <v>3388.3869420987298</v>
      </c>
    </row>
    <row r="36" spans="1:11" x14ac:dyDescent="0.25">
      <c r="A36" s="20"/>
    </row>
    <row r="37" spans="1:11" x14ac:dyDescent="0.25">
      <c r="A37" s="20"/>
      <c r="B37" s="1" t="s">
        <v>29</v>
      </c>
    </row>
    <row r="38" spans="1:11" x14ac:dyDescent="0.25">
      <c r="A38" s="20">
        <v>23</v>
      </c>
      <c r="B38" s="10" t="s">
        <v>30</v>
      </c>
      <c r="E38" s="4">
        <f>E16</f>
        <v>165865.09506776999</v>
      </c>
      <c r="F38" s="4"/>
    </row>
    <row r="39" spans="1:11" x14ac:dyDescent="0.25">
      <c r="A39" s="20">
        <v>24</v>
      </c>
      <c r="B39" s="10" t="s">
        <v>31</v>
      </c>
      <c r="E39" s="6">
        <v>25</v>
      </c>
      <c r="F39" s="6"/>
    </row>
    <row r="40" spans="1:11" x14ac:dyDescent="0.25">
      <c r="A40" s="20">
        <v>25</v>
      </c>
      <c r="B40" s="10" t="s">
        <v>32</v>
      </c>
      <c r="E40" s="4">
        <f>E38/E39</f>
        <v>6634.6038027107998</v>
      </c>
      <c r="F40" s="4"/>
    </row>
    <row r="41" spans="1:11" x14ac:dyDescent="0.25">
      <c r="A41" s="20">
        <v>26</v>
      </c>
      <c r="B41" s="10" t="s">
        <v>46</v>
      </c>
      <c r="E41" s="4"/>
      <c r="F41" s="12">
        <f>F16</f>
        <v>130322.57469610497</v>
      </c>
    </row>
    <row r="42" spans="1:11" x14ac:dyDescent="0.25">
      <c r="A42" s="20">
        <v>27</v>
      </c>
      <c r="B42" s="10" t="s">
        <v>70</v>
      </c>
      <c r="E42" s="4"/>
      <c r="F42" s="19">
        <f>1/25</f>
        <v>0.04</v>
      </c>
      <c r="H42" s="33"/>
      <c r="I42" s="33"/>
      <c r="J42" s="33"/>
      <c r="K42" s="33"/>
    </row>
    <row r="43" spans="1:11" x14ac:dyDescent="0.25">
      <c r="A43" s="20">
        <v>28</v>
      </c>
      <c r="B43" s="10" t="s">
        <v>62</v>
      </c>
      <c r="E43" s="4">
        <f>E40/2*E12</f>
        <v>1282.7011261970924</v>
      </c>
      <c r="F43" s="4">
        <f>F41*F42/2*F12</f>
        <v>1007.8365991548582</v>
      </c>
    </row>
    <row r="44" spans="1:11" ht="15.75" thickBot="1" x14ac:dyDescent="0.3">
      <c r="A44" s="20">
        <v>29</v>
      </c>
      <c r="B44" s="10" t="s">
        <v>28</v>
      </c>
      <c r="E44" s="27">
        <f>E28+E35+E43</f>
        <v>95035.181695002946</v>
      </c>
      <c r="F44" s="27">
        <f>F28+F35+F43</f>
        <v>74670.499903216594</v>
      </c>
    </row>
    <row r="45" spans="1:11" x14ac:dyDescent="0.25">
      <c r="A45" s="20"/>
    </row>
    <row r="46" spans="1:11" x14ac:dyDescent="0.25">
      <c r="A46" s="20"/>
      <c r="B46" s="13" t="s">
        <v>49</v>
      </c>
    </row>
    <row r="47" spans="1:11" x14ac:dyDescent="0.25">
      <c r="A47" s="20">
        <v>30</v>
      </c>
      <c r="B47" t="s">
        <v>46</v>
      </c>
      <c r="E47" s="11">
        <f>E12*E18</f>
        <v>32067.528154927313</v>
      </c>
      <c r="F47" s="11">
        <f>F12*F18</f>
        <v>25195.914978871457</v>
      </c>
    </row>
    <row r="48" spans="1:11" x14ac:dyDescent="0.25">
      <c r="A48" s="20">
        <v>31</v>
      </c>
      <c r="B48" t="s">
        <v>47</v>
      </c>
      <c r="E48" s="11">
        <f>E16-E47</f>
        <v>133797.56691284268</v>
      </c>
      <c r="F48" s="11">
        <f>F16-F47</f>
        <v>105126.65971723352</v>
      </c>
    </row>
    <row r="49" spans="1:6" x14ac:dyDescent="0.25">
      <c r="A49" s="20">
        <v>32</v>
      </c>
      <c r="B49" t="s">
        <v>48</v>
      </c>
      <c r="E49" s="11">
        <f>E16/25</f>
        <v>6634.6038027107998</v>
      </c>
      <c r="F49" s="11"/>
    </row>
    <row r="50" spans="1:6" x14ac:dyDescent="0.25">
      <c r="A50" s="20">
        <v>33</v>
      </c>
      <c r="B50" s="10" t="s">
        <v>45</v>
      </c>
      <c r="E50" s="4">
        <f>E48-E49</f>
        <v>127162.96311013188</v>
      </c>
    </row>
    <row r="51" spans="1:6" x14ac:dyDescent="0.25">
      <c r="A51" s="20"/>
    </row>
    <row r="52" spans="1:6" x14ac:dyDescent="0.25">
      <c r="A52" s="20"/>
      <c r="B52" s="13" t="s">
        <v>2</v>
      </c>
    </row>
    <row r="53" spans="1:6" x14ac:dyDescent="0.25">
      <c r="A53" s="20">
        <v>34</v>
      </c>
      <c r="B53" t="s">
        <v>44</v>
      </c>
      <c r="E53" s="3">
        <f>Page3!D15*Page1!C22</f>
        <v>18327.627626504003</v>
      </c>
      <c r="F53" s="3">
        <f>Page1!D22*Page3!D25</f>
        <v>19331.72349533466</v>
      </c>
    </row>
    <row r="54" spans="1:6" x14ac:dyDescent="0.25">
      <c r="A54" s="20">
        <v>35</v>
      </c>
      <c r="B54" t="s">
        <v>29</v>
      </c>
      <c r="E54" s="4">
        <f>E43</f>
        <v>1282.7011261970924</v>
      </c>
      <c r="F54" s="4">
        <f>F43</f>
        <v>1007.8365991548582</v>
      </c>
    </row>
    <row r="55" spans="1:6" ht="15.75" thickBot="1" x14ac:dyDescent="0.3">
      <c r="A55" s="20">
        <v>36</v>
      </c>
      <c r="B55" t="s">
        <v>2</v>
      </c>
      <c r="E55" s="27">
        <f>E12*E53/(1-E12)+E54*(E12/(1-E12)+1)</f>
        <v>13645.908239507928</v>
      </c>
      <c r="F55" s="27">
        <f>F12*F53/(1-F12)+F54*(F12/(1-F12)+1)</f>
        <v>13830.782976694296</v>
      </c>
    </row>
  </sheetData>
  <mergeCells count="4">
    <mergeCell ref="L17:N17"/>
    <mergeCell ref="L18:N18"/>
    <mergeCell ref="B4:F4"/>
    <mergeCell ref="B5:F5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F20" sqref="F20"/>
    </sheetView>
  </sheetViews>
  <sheetFormatPr defaultRowHeight="15" x14ac:dyDescent="0.25"/>
  <cols>
    <col min="1" max="1" width="22.85546875" customWidth="1"/>
    <col min="2" max="4" width="16.7109375" customWidth="1"/>
  </cols>
  <sheetData>
    <row r="1" spans="1:6" x14ac:dyDescent="0.25">
      <c r="F1" s="2" t="s">
        <v>72</v>
      </c>
    </row>
    <row r="2" spans="1:6" x14ac:dyDescent="0.25">
      <c r="F2" s="2" t="s">
        <v>73</v>
      </c>
    </row>
    <row r="3" spans="1:6" x14ac:dyDescent="0.25">
      <c r="F3" s="2"/>
    </row>
    <row r="4" spans="1:6" ht="15.75" x14ac:dyDescent="0.25">
      <c r="A4" s="36" t="s">
        <v>53</v>
      </c>
      <c r="B4" s="36"/>
      <c r="C4" s="36"/>
      <c r="D4" s="36"/>
    </row>
    <row r="5" spans="1:6" ht="15.75" x14ac:dyDescent="0.25">
      <c r="A5" s="37" t="s">
        <v>55</v>
      </c>
      <c r="B5" s="37"/>
      <c r="C5" s="37"/>
      <c r="D5" s="37"/>
    </row>
    <row r="6" spans="1:6" ht="15.75" x14ac:dyDescent="0.25">
      <c r="A6" s="26"/>
      <c r="B6" s="26"/>
      <c r="C6" s="26"/>
      <c r="D6" s="26"/>
    </row>
    <row r="7" spans="1:6" ht="15.75" x14ac:dyDescent="0.25">
      <c r="A7" s="26"/>
      <c r="B7" s="26"/>
      <c r="C7" s="26"/>
      <c r="D7" s="26"/>
    </row>
    <row r="8" spans="1:6" ht="16.5" thickBot="1" x14ac:dyDescent="0.3">
      <c r="A8" s="26"/>
      <c r="B8" s="26"/>
      <c r="C8" s="26"/>
      <c r="D8" s="26"/>
    </row>
    <row r="9" spans="1:6" ht="15.75" thickBot="1" x14ac:dyDescent="0.3">
      <c r="A9" s="38" t="s">
        <v>61</v>
      </c>
      <c r="B9" s="39"/>
      <c r="C9" s="39"/>
      <c r="D9" s="40"/>
    </row>
    <row r="10" spans="1:6" x14ac:dyDescent="0.25">
      <c r="A10" s="13"/>
      <c r="D10" s="18" t="s">
        <v>35</v>
      </c>
    </row>
    <row r="11" spans="1:6" x14ac:dyDescent="0.25">
      <c r="B11" s="13"/>
      <c r="C11" s="13"/>
      <c r="D11" s="18" t="s">
        <v>41</v>
      </c>
    </row>
    <row r="12" spans="1:6" ht="15.75" thickBot="1" x14ac:dyDescent="0.3">
      <c r="A12" s="28" t="s">
        <v>54</v>
      </c>
      <c r="B12" s="29" t="s">
        <v>36</v>
      </c>
      <c r="C12" s="29" t="s">
        <v>37</v>
      </c>
      <c r="D12" s="29" t="s">
        <v>42</v>
      </c>
    </row>
    <row r="13" spans="1:6" x14ac:dyDescent="0.25">
      <c r="A13" t="s">
        <v>38</v>
      </c>
      <c r="B13" s="34">
        <v>0.47139999999999999</v>
      </c>
      <c r="C13" s="8">
        <v>3.9633099999999997E-2</v>
      </c>
      <c r="D13" s="8">
        <f>B13*C13</f>
        <v>1.8683043339999997E-2</v>
      </c>
    </row>
    <row r="14" spans="1:6" x14ac:dyDescent="0.25">
      <c r="A14" t="s">
        <v>39</v>
      </c>
      <c r="B14" s="8">
        <v>0</v>
      </c>
      <c r="C14" s="8">
        <v>0</v>
      </c>
      <c r="D14" s="8">
        <f t="shared" ref="D14:D15" si="0">B14*C14</f>
        <v>0</v>
      </c>
    </row>
    <row r="15" spans="1:6" ht="15.75" thickBot="1" x14ac:dyDescent="0.3">
      <c r="A15" t="s">
        <v>40</v>
      </c>
      <c r="B15" s="35">
        <v>0.52859999999999996</v>
      </c>
      <c r="C15" s="30">
        <v>0.1</v>
      </c>
      <c r="D15" s="30">
        <f t="shared" si="0"/>
        <v>5.2859999999999997E-2</v>
      </c>
    </row>
    <row r="16" spans="1:6" x14ac:dyDescent="0.25">
      <c r="D16" s="19">
        <f>SUM(D13:D15)</f>
        <v>7.1543043340000001E-2</v>
      </c>
    </row>
    <row r="18" spans="1:4" ht="15.75" thickBot="1" x14ac:dyDescent="0.3"/>
    <row r="19" spans="1:4" ht="15.75" thickBot="1" x14ac:dyDescent="0.3">
      <c r="A19" s="38" t="s">
        <v>60</v>
      </c>
      <c r="B19" s="39"/>
      <c r="C19" s="39"/>
      <c r="D19" s="40"/>
    </row>
    <row r="20" spans="1:4" x14ac:dyDescent="0.25">
      <c r="A20" s="13"/>
      <c r="D20" s="18" t="s">
        <v>35</v>
      </c>
    </row>
    <row r="21" spans="1:4" x14ac:dyDescent="0.25">
      <c r="B21" s="13"/>
      <c r="C21" s="13"/>
      <c r="D21" s="18" t="s">
        <v>41</v>
      </c>
    </row>
    <row r="22" spans="1:4" ht="15.75" thickBot="1" x14ac:dyDescent="0.3">
      <c r="A22" s="28" t="s">
        <v>54</v>
      </c>
      <c r="B22" s="29" t="s">
        <v>36</v>
      </c>
      <c r="C22" s="29" t="s">
        <v>37</v>
      </c>
      <c r="D22" s="29" t="s">
        <v>42</v>
      </c>
    </row>
    <row r="23" spans="1:4" x14ac:dyDescent="0.25">
      <c r="A23" t="s">
        <v>38</v>
      </c>
      <c r="B23" s="8">
        <v>0.48080000000000001</v>
      </c>
      <c r="C23" s="34">
        <v>3.9241699999999997E-2</v>
      </c>
      <c r="D23" s="8">
        <f>B23*C23</f>
        <v>1.886740936E-2</v>
      </c>
    </row>
    <row r="24" spans="1:4" x14ac:dyDescent="0.25">
      <c r="A24" t="s">
        <v>39</v>
      </c>
      <c r="B24" s="8">
        <v>0</v>
      </c>
      <c r="C24" s="8">
        <v>0</v>
      </c>
      <c r="D24" s="8">
        <f t="shared" ref="D24:D25" si="1">B24*C24</f>
        <v>0</v>
      </c>
    </row>
    <row r="25" spans="1:4" ht="15.75" thickBot="1" x14ac:dyDescent="0.3">
      <c r="A25" t="s">
        <v>40</v>
      </c>
      <c r="B25" s="30">
        <v>0.51919999999999999</v>
      </c>
      <c r="C25" s="30">
        <v>0.1</v>
      </c>
      <c r="D25" s="30">
        <f t="shared" si="1"/>
        <v>5.1920000000000001E-2</v>
      </c>
    </row>
    <row r="26" spans="1:4" x14ac:dyDescent="0.25">
      <c r="D26" s="19">
        <f>SUM(D23:D25)</f>
        <v>7.0787409359999998E-2</v>
      </c>
    </row>
    <row r="31" spans="1:4" x14ac:dyDescent="0.25">
      <c r="A31" s="33"/>
      <c r="B31" s="33"/>
      <c r="C31" s="33"/>
      <c r="D31" s="33"/>
    </row>
  </sheetData>
  <mergeCells count="4">
    <mergeCell ref="A4:D4"/>
    <mergeCell ref="A5:D5"/>
    <mergeCell ref="A9:D9"/>
    <mergeCell ref="A19:D19"/>
  </mergeCells>
  <pageMargins left="0.7" right="0.7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1DEC61A995654288A853C5C340E70D" ma:contentTypeVersion="18" ma:contentTypeDescription="Create a new document." ma:contentTypeScope="" ma:versionID="00bb5c0667d2de4905b8ded4e3c9c7cd">
  <xsd:schema xmlns:xsd="http://www.w3.org/2001/XMLSchema" xmlns:xs="http://www.w3.org/2001/XMLSchema" xmlns:p="http://schemas.microsoft.com/office/2006/metadata/properties" xmlns:ns2="65bfb563-8fe2-4d34-a09f-38a217d8feea" xmlns:ns3="2ad705b9-adad-42ba-803b-2580de5ca47a" targetNamespace="http://schemas.microsoft.com/office/2006/metadata/properties" ma:root="true" ma:fieldsID="b1efc7a5b7207ceadfe45888744d8fa0" ns2:_="" ns3:_="">
    <xsd:import namespace="65bfb563-8fe2-4d34-a09f-38a217d8feea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16"/>
          <xsd:enumeration value="2017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– Orders"/>
          <xsd:enumeration value="01 – Application and Testimony"/>
          <xsd:enumeration value="02 – 1st Data Request"/>
          <xsd:enumeration value="03 – 2nd Data Request"/>
          <xsd:enumeration value="04 – 3rd Data Request"/>
          <xsd:enumeration value="05 – Rebuttal"/>
          <xsd:enumeration value="06 - Briefs"/>
          <xsd:enumeration value="07 – Post Hearing Data Request"/>
          <xsd:enumeration value="08 – Informal Conference/Hearing"/>
          <xsd:enumeration value="09 – Settlement"/>
          <xsd:enumeration value="98 - Witness Prep Materials"/>
          <xsd:enumeration value="99.1 - eFiled Documents - 8/2/2016"/>
          <xsd:enumeration value="99.2 - eFiled Documents - 9/6/2016"/>
          <xsd:enumeration value="99.3 - eFiled Documents - 9/26/2016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Malloy, John"/>
          <xsd:enumeration value="Huff, David"/>
          <xsd:enumeration value="Lovekamp, Rick"/>
          <xsd:enumeration value="Seelye, Stev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12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2016</Year>
    <Review_x0020_Case_x0020_Doc_x0020_Types xmlns="65bfb563-8fe2-4d34-a09f-38a217d8feea">02 – 1st Data Request</Review_x0020_Case_x0020_Doc_x0020_Types>
    <Status_x0020__x0028_Internal_x0020_Use_x0020_Only_x0029_ xmlns="2ad705b9-adad-42ba-803b-2580de5ca47a"/>
    <Company xmlns="65bfb563-8fe2-4d34-a09f-38a217d8feea">
      <Value>KU</Value>
      <Value>LGE</Value>
    </Company>
  </documentManagement>
</p:properties>
</file>

<file path=customXml/itemProps1.xml><?xml version="1.0" encoding="utf-8"?>
<ds:datastoreItem xmlns:ds="http://schemas.openxmlformats.org/officeDocument/2006/customXml" ds:itemID="{0253BD38-29FA-415F-B0FF-2C8632CD88BE}"/>
</file>

<file path=customXml/itemProps2.xml><?xml version="1.0" encoding="utf-8"?>
<ds:datastoreItem xmlns:ds="http://schemas.openxmlformats.org/officeDocument/2006/customXml" ds:itemID="{4271F09E-0E57-4189-BCA2-940A863A8E3A}"/>
</file>

<file path=customXml/itemProps3.xml><?xml version="1.0" encoding="utf-8"?>
<ds:datastoreItem xmlns:ds="http://schemas.openxmlformats.org/officeDocument/2006/customXml" ds:itemID="{4455E41C-2D1E-4EF3-90E3-E0451D3292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Page1</vt:lpstr>
      <vt:lpstr>Page2</vt:lpstr>
      <vt:lpstr>Page3</vt:lpstr>
      <vt:lpstr>Page1!Print_Area</vt:lpstr>
      <vt:lpstr>Page2!Print_Area</vt:lpstr>
      <vt:lpstr>Page3!Print_Area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 to Q36 WSS-2 -- Carrying Charge (Final Numbers)</dc:title>
  <dc:creator/>
  <cp:lastModifiedBy/>
  <dcterms:created xsi:type="dcterms:W3CDTF">2016-08-30T18:21:46Z</dcterms:created>
  <dcterms:modified xsi:type="dcterms:W3CDTF">2016-08-30T18:22:02Z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0x010100271DEC61A995654288A853C5C340E70D</vt:lpwstr>
  </property>
</Properties>
</file>