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Tab 1 - ROR Feb16" sheetId="3" r:id="rId1"/>
    <sheet name="Tab 2 - ECC Feb16" sheetId="12" r:id="rId2"/>
    <sheet name="Tab 3 - Tax Rate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Feb16'!$A$1:$U$60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M45" i="13" l="1"/>
  <c r="M49" i="13" s="1"/>
  <c r="G45" i="13"/>
  <c r="G49" i="13" s="1"/>
  <c r="I43" i="13"/>
  <c r="I45" i="13" s="1"/>
  <c r="I49" i="13" s="1"/>
  <c r="S33" i="13"/>
  <c r="Q33" i="13"/>
  <c r="O33" i="13"/>
  <c r="M33" i="13"/>
  <c r="K33" i="13"/>
  <c r="E33" i="13"/>
  <c r="M18" i="13"/>
  <c r="S15" i="13"/>
  <c r="Q15" i="13"/>
  <c r="Q20" i="13" s="1"/>
  <c r="Q43" i="13" s="1"/>
  <c r="Q45" i="13" s="1"/>
  <c r="Q49" i="13" s="1"/>
  <c r="O15" i="13"/>
  <c r="O20" i="13" s="1"/>
  <c r="O43" i="13" s="1"/>
  <c r="O45" i="13" s="1"/>
  <c r="O49" i="13" s="1"/>
  <c r="M15" i="13"/>
  <c r="K15" i="13"/>
  <c r="E15" i="13"/>
  <c r="I12" i="13"/>
  <c r="G12" i="13"/>
  <c r="G33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K20" i="13" l="1"/>
  <c r="K43" i="13" s="1"/>
  <c r="K45" i="13" s="1"/>
  <c r="K49" i="13" s="1"/>
  <c r="S20" i="13"/>
  <c r="S43" i="13" s="1"/>
  <c r="S45" i="13" s="1"/>
  <c r="S49" i="13" s="1"/>
  <c r="O22" i="13"/>
  <c r="O24" i="13" s="1"/>
  <c r="I33" i="13"/>
  <c r="G15" i="13"/>
  <c r="M20" i="13"/>
  <c r="M22" i="13" s="1"/>
  <c r="M24" i="13" s="1"/>
  <c r="Q22" i="13"/>
  <c r="Q24" i="13" s="1"/>
  <c r="I15" i="13"/>
  <c r="I22" i="13" s="1"/>
  <c r="I24" i="13" s="1"/>
  <c r="I32" i="13" s="1"/>
  <c r="I34" i="13" s="1"/>
  <c r="E20" i="13"/>
  <c r="E43" i="13" s="1"/>
  <c r="E45" i="13" s="1"/>
  <c r="E49" i="13" s="1"/>
  <c r="M32" i="13" l="1"/>
  <c r="M34" i="13" s="1"/>
  <c r="M27" i="13"/>
  <c r="M29" i="13" s="1"/>
  <c r="G20" i="13"/>
  <c r="G22" i="13" s="1"/>
  <c r="G24" i="13" s="1"/>
  <c r="Q32" i="13"/>
  <c r="Q34" i="13" s="1"/>
  <c r="Q27" i="13"/>
  <c r="Q29" i="13" s="1"/>
  <c r="O32" i="13"/>
  <c r="O34" i="13" s="1"/>
  <c r="O27" i="13"/>
  <c r="O29" i="13" s="1"/>
  <c r="S22" i="13"/>
  <c r="S24" i="13" s="1"/>
  <c r="K22" i="13"/>
  <c r="K24" i="13" s="1"/>
  <c r="I27" i="13"/>
  <c r="I29" i="13" s="1"/>
  <c r="E22" i="13"/>
  <c r="E24" i="13" s="1"/>
  <c r="G32" i="13" l="1"/>
  <c r="G34" i="13" s="1"/>
  <c r="G27" i="13"/>
  <c r="G29" i="13" s="1"/>
  <c r="E32" i="13"/>
  <c r="E34" i="13" s="1"/>
  <c r="E27" i="13"/>
  <c r="E29" i="13" s="1"/>
  <c r="K27" i="13"/>
  <c r="K29" i="13" s="1"/>
  <c r="K32" i="13"/>
  <c r="K34" i="13" s="1"/>
  <c r="S27" i="13"/>
  <c r="S29" i="13" s="1"/>
  <c r="S32" i="13"/>
  <c r="S34" i="13" s="1"/>
  <c r="H85" i="12" l="1"/>
  <c r="O70" i="12"/>
  <c r="N70" i="12"/>
  <c r="K70" i="12"/>
  <c r="S67" i="12"/>
  <c r="H67" i="12"/>
  <c r="Q67" i="12" s="1"/>
  <c r="S66" i="12"/>
  <c r="O52" i="12"/>
  <c r="N52" i="12"/>
  <c r="K52" i="12"/>
  <c r="H52" i="12"/>
  <c r="F52" i="12"/>
  <c r="Q51" i="12"/>
  <c r="Q50" i="12"/>
  <c r="O48" i="12"/>
  <c r="N48" i="12"/>
  <c r="K48" i="12"/>
  <c r="Q47" i="12"/>
  <c r="Q46" i="12"/>
  <c r="Q45" i="12"/>
  <c r="Q44" i="12"/>
  <c r="O39" i="12"/>
  <c r="Q37" i="12"/>
  <c r="S37" i="12" s="1"/>
  <c r="Q36" i="12"/>
  <c r="H35" i="12"/>
  <c r="Q34" i="12"/>
  <c r="S34" i="12" s="1"/>
  <c r="Q33" i="12"/>
  <c r="H32" i="12"/>
  <c r="Q31" i="12"/>
  <c r="S31" i="12" s="1"/>
  <c r="Q30" i="12"/>
  <c r="H29" i="12"/>
  <c r="H27" i="12"/>
  <c r="Q27" i="12" s="1"/>
  <c r="S27" i="12" s="1"/>
  <c r="Q24" i="12"/>
  <c r="H23" i="12"/>
  <c r="H22" i="12"/>
  <c r="H21" i="12"/>
  <c r="H20" i="12"/>
  <c r="H19" i="12"/>
  <c r="O18" i="12"/>
  <c r="H18" i="12"/>
  <c r="H17" i="12"/>
  <c r="H16" i="12"/>
  <c r="H15" i="12"/>
  <c r="O14" i="12"/>
  <c r="H14" i="12"/>
  <c r="O13" i="12"/>
  <c r="H13" i="12"/>
  <c r="F12" i="12"/>
  <c r="H11" i="12"/>
  <c r="Q52" i="12" l="1"/>
  <c r="Q16" i="12"/>
  <c r="S16" i="12" s="1"/>
  <c r="Q21" i="12"/>
  <c r="S21" i="12" s="1"/>
  <c r="Q15" i="12"/>
  <c r="S15" i="12" s="1"/>
  <c r="S36" i="12"/>
  <c r="Q39" i="12"/>
  <c r="H66" i="12"/>
  <c r="Q66" i="12" s="1"/>
  <c r="Q13" i="12"/>
  <c r="S13" i="12" s="1"/>
  <c r="Q22" i="12"/>
  <c r="S22" i="12" s="1"/>
  <c r="H68" i="12"/>
  <c r="Q68" i="12" s="1"/>
  <c r="S68" i="12" s="1"/>
  <c r="N41" i="12"/>
  <c r="N54" i="12" s="1"/>
  <c r="N73" i="12" s="1"/>
  <c r="Q19" i="12"/>
  <c r="S19" i="12" s="1"/>
  <c r="S30" i="12"/>
  <c r="Q35" i="12"/>
  <c r="S35" i="12" s="1"/>
  <c r="H12" i="12"/>
  <c r="H41" i="12" s="1"/>
  <c r="Q14" i="12"/>
  <c r="S14" i="12" s="1"/>
  <c r="Q17" i="12"/>
  <c r="S17" i="12" s="1"/>
  <c r="Q23" i="12"/>
  <c r="S23" i="12" s="1"/>
  <c r="Q29" i="12"/>
  <c r="S29" i="12" s="1"/>
  <c r="F70" i="12"/>
  <c r="C15" i="3" s="1"/>
  <c r="Q20" i="12"/>
  <c r="S20" i="12" s="1"/>
  <c r="Q32" i="12"/>
  <c r="S32" i="12" s="1"/>
  <c r="K41" i="12"/>
  <c r="K54" i="12" s="1"/>
  <c r="K73" i="12" s="1"/>
  <c r="Q18" i="12"/>
  <c r="S18" i="12" s="1"/>
  <c r="Q48" i="12"/>
  <c r="Q11" i="12"/>
  <c r="F41" i="12"/>
  <c r="F54" i="12" s="1"/>
  <c r="S33" i="12"/>
  <c r="O12" i="12"/>
  <c r="O41" i="12" s="1"/>
  <c r="O54" i="12" s="1"/>
  <c r="O73" i="12" s="1"/>
  <c r="H48" i="12"/>
  <c r="Q28" i="12"/>
  <c r="S28" i="12" s="1"/>
  <c r="Q70" i="12" l="1"/>
  <c r="H70" i="12"/>
  <c r="H54" i="12"/>
  <c r="H73" i="12" s="1"/>
  <c r="S70" i="12"/>
  <c r="R15" i="3" s="1"/>
  <c r="F73" i="12"/>
  <c r="C17" i="3"/>
  <c r="Q12" i="12"/>
  <c r="S12" i="12" s="1"/>
  <c r="S52" i="12"/>
  <c r="S11" i="12"/>
  <c r="S48" i="12"/>
  <c r="Q41" i="12" l="1"/>
  <c r="Q54" i="12" s="1"/>
  <c r="S41" i="12" l="1"/>
  <c r="Q73" i="12"/>
  <c r="S73" i="12" s="1"/>
  <c r="S54" i="12"/>
  <c r="R17" i="3" s="1"/>
  <c r="B47" i="3" l="1"/>
  <c r="F56" i="3" l="1"/>
  <c r="H43" i="3" s="1"/>
  <c r="F48" i="3"/>
  <c r="C47" i="3" l="1"/>
  <c r="H19" i="3" l="1"/>
  <c r="H17" i="3"/>
  <c r="J17" i="3" l="1"/>
  <c r="C39" i="3" s="1"/>
  <c r="J15" i="3"/>
  <c r="C21" i="3"/>
  <c r="F17" i="3" s="1"/>
  <c r="J19" i="3"/>
  <c r="C41" i="3" s="1"/>
  <c r="F15" i="3" l="1"/>
  <c r="F19" i="3" s="1"/>
  <c r="F21" i="3" s="1"/>
  <c r="J21" i="3"/>
  <c r="C37" i="3"/>
  <c r="C43" i="3" s="1"/>
  <c r="F39" i="3" l="1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4" i="3" s="1"/>
</calcChain>
</file>

<file path=xl/sharedStrings.xml><?xml version="1.0" encoding="utf-8"?>
<sst xmlns="http://schemas.openxmlformats.org/spreadsheetml/2006/main" count="268" uniqueCount="201">
  <si>
    <t>Environmental</t>
  </si>
  <si>
    <t>Rate Base</t>
  </si>
  <si>
    <t>Adjustments</t>
  </si>
  <si>
    <t xml:space="preserve"> 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</si>
  <si>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</si>
  <si>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</si>
  <si>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</si>
  <si>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</si>
  <si>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</si>
  <si>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</si>
  <si>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</si>
  <si>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</si>
  <si>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</si>
  <si>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</si>
  <si>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</si>
  <si>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</si>
  <si>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</si>
  <si>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</si>
  <si>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</si>
  <si>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</si>
  <si>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</si>
  <si>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</si>
  <si>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</si>
  <si>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</si>
  <si>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</si>
  <si>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</si>
  <si>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</si>
  <si>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</si>
  <si>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</si>
  <si>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</si>
  <si>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</si>
  <si>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</si>
  <si>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</si>
  <si>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</si>
  <si>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</si>
  <si>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</si>
  <si>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</si>
  <si>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</si>
  <si>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</si>
  <si>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</si>
  <si>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</si>
  <si>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</si>
  <si>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</si>
  <si>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</si>
  <si>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</si>
  <si>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</si>
  <si>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</si>
  <si>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</si>
  <si>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</si>
  <si>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</si>
  <si>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</si>
  <si>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</si>
  <si>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</si>
  <si>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</si>
  <si>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</si>
  <si>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</si>
  <si>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</si>
  <si>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</si>
  <si>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</si>
  <si>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</si>
  <si>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</si>
  <si>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</si>
  <si>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</si>
  <si>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</si>
  <si>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</si>
  <si>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</si>
  <si>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Plans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</si>
  <si>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</si>
  <si>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</si>
  <si>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</si>
  <si>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</si>
  <si>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</si>
  <si>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</si>
  <si>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</si>
  <si>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</si>
  <si>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</si>
  <si>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</si>
  <si>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</si>
  <si>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</si>
  <si>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</si>
  <si>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</si>
  <si>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2000 Series A</t>
  </si>
  <si>
    <t>Trimble Co. 2000 Series A</t>
  </si>
  <si>
    <t>Jefferson Co. 2001 Series 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</si>
  <si>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</si>
  <si>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</si>
  <si>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</si>
  <si>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</si>
  <si>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</si>
  <si>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</si>
  <si>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</si>
  <si>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</si>
  <si>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</si>
  <si>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</si>
  <si>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</si>
  <si>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</si>
  <si>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</si>
  <si>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</si>
  <si>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</si>
  <si>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</si>
  <si>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</si>
  <si>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</si>
  <si>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</si>
  <si>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</si>
  <si>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</si>
  <si>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</si>
  <si>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</si>
  <si>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</si>
  <si>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</si>
  <si>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</si>
  <si>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</si>
  <si>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</si>
  <si>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</si>
  <si>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</si>
  <si>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</si>
  <si>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</si>
  <si>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</si>
  <si>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</si>
  <si>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</si>
  <si>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</si>
  <si>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</si>
  <si>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</si>
  <si>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</si>
  <si>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</si>
  <si>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</si>
  <si>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</si>
  <si>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</si>
  <si>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</si>
  <si>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</si>
  <si>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</si>
  <si>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</si>
  <si>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</si>
  <si>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</si>
  <si>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As of February 29, 2016</t>
  </si>
  <si>
    <t>02-29-16</t>
  </si>
  <si>
    <t>ECR - Gross-up Revenue Factor &amp;</t>
  </si>
  <si>
    <t>Composite Income Tax Calculation</t>
  </si>
  <si>
    <t>Federal &amp; State</t>
  </si>
  <si>
    <t>Federal Production</t>
  </si>
  <si>
    <t>2016 State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</si>
  <si>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</si>
  <si>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</si>
  <si>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</si>
  <si>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</si>
  <si>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</si>
  <si>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</si>
  <si>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</si>
  <si>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2016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</si>
  <si>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</si>
  <si>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</si>
  <si>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</si>
  <si>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</si>
  <si>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</si>
  <si>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</si>
  <si>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</si>
  <si>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</si>
  <si>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</si>
  <si>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</si>
  <si>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</si>
  <si>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</si>
  <si>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</si>
  <si>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</si>
  <si>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</si>
  <si>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</si>
  <si>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</si>
  <si>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</si>
  <si>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</si>
  <si>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</si>
  <si>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</si>
  <si>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</si>
  <si>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</si>
  <si>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</si>
  <si>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</si>
  <si>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</si>
  <si>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</si>
  <si>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</si>
  <si>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</si>
  <si>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</si>
  <si>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</si>
  <si>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</si>
  <si>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</si>
  <si>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</si>
  <si>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</si>
  <si>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</si>
  <si>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</si>
  <si>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</si>
  <si>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</si>
  <si>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</si>
  <si>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</si>
  <si>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</si>
  <si>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</si>
  <si>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</si>
  <si>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</si>
  <si>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</si>
  <si>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</si>
  <si>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</si>
  <si>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</si>
  <si>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</si>
  <si>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1  Additional interest due to Swap Agreements:</t>
  </si>
  <si>
    <t>2  Includes setup fees for Credit Facility amended January 29, 2016 with a term ending December 31, 2020.</t>
  </si>
  <si>
    <t>*  The rate on the last day of the month is annualized for the Embedded Cost of Capital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</si>
</sst>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mmmm\ d\,\ yyyy"/>
    <numFmt numFmtId="179" formatCode="mm/dd/yy_)"/>
    <numFmt numFmtId="180" formatCode="0_);\(0\)"/>
    <numFmt numFmtId="181" formatCode="0.00000%"/>
    <numFmt numFmtId="182" formatCode="0.000_)"/>
    <numFmt numFmtId="183" formatCode="#,##0.000_);\(#,##0.000\)"/>
    <numFmt numFmtId="184" formatCode="_(&quot;$&quot;* #,##0.0000_);_(&quot;$&quot;* \(#,##0.0000\);_(&quot;$&quot;* &quot;-&quot;??_);_(@_)"/>
    <numFmt numFmtId="185" formatCode="#,##0.0000_);\(#,##0.000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6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67" fontId="48" fillId="0" borderId="0" xfId="37" applyNumberFormat="1" applyFont="1" applyFill="1"/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7" fontId="48" fillId="0" borderId="14" xfId="37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0" fontId="79" fillId="0" borderId="0" xfId="49800" applyFont="1" applyFill="1" applyAlignment="1"/>
    <xf numFmtId="0" fontId="79" fillId="0" borderId="0" xfId="49800" applyFont="1" applyFill="1"/>
    <xf numFmtId="0" fontId="80" fillId="0" borderId="0" xfId="49800" applyFont="1" applyFill="1" applyBorder="1" applyAlignment="1">
      <alignment horizontal="center"/>
    </xf>
    <xf numFmtId="0" fontId="80" fillId="0" borderId="0" xfId="49800" applyFont="1" applyFill="1" applyBorder="1"/>
    <xf numFmtId="0" fontId="80" fillId="0" borderId="0" xfId="49800" applyFont="1" applyFill="1"/>
    <xf numFmtId="0" fontId="80" fillId="0" borderId="11" xfId="49800" applyFont="1" applyFill="1" applyBorder="1" applyAlignment="1">
      <alignment horizontal="center" wrapText="1"/>
    </xf>
    <xf numFmtId="0" fontId="80" fillId="0" borderId="15" xfId="49800" applyFont="1" applyFill="1" applyBorder="1"/>
    <xf numFmtId="0" fontId="80" fillId="0" borderId="0" xfId="49800" applyFont="1" applyFill="1" applyAlignment="1">
      <alignment horizontal="center"/>
    </xf>
    <xf numFmtId="2" fontId="80" fillId="0" borderId="0" xfId="49800" applyNumberFormat="1" applyFont="1" applyFill="1"/>
    <xf numFmtId="43" fontId="80" fillId="0" borderId="0" xfId="33" applyFont="1" applyFill="1"/>
    <xf numFmtId="166" fontId="80" fillId="0" borderId="0" xfId="49800" applyNumberFormat="1" applyFont="1" applyFill="1"/>
    <xf numFmtId="4" fontId="80" fillId="0" borderId="0" xfId="49800" applyNumberFormat="1" applyFont="1" applyFill="1"/>
    <xf numFmtId="0" fontId="80" fillId="0" borderId="31" xfId="49800" applyFont="1" applyFill="1" applyBorder="1"/>
    <xf numFmtId="0" fontId="80" fillId="0" borderId="11" xfId="49800" applyFont="1" applyFill="1" applyBorder="1" applyAlignment="1">
      <alignment horizontal="center"/>
    </xf>
    <xf numFmtId="182" fontId="80" fillId="0" borderId="11" xfId="49800" applyNumberFormat="1" applyFont="1" applyFill="1" applyBorder="1"/>
    <xf numFmtId="0" fontId="80" fillId="0" borderId="11" xfId="49800" applyFont="1" applyFill="1" applyBorder="1"/>
    <xf numFmtId="37" fontId="80" fillId="0" borderId="11" xfId="49800" applyNumberFormat="1" applyFont="1" applyFill="1" applyBorder="1"/>
    <xf numFmtId="37" fontId="80" fillId="0" borderId="0" xfId="49800" applyNumberFormat="1" applyFont="1" applyFill="1" applyBorder="1"/>
    <xf numFmtId="182" fontId="80" fillId="0" borderId="0" xfId="49800" applyNumberFormat="1" applyFont="1" applyFill="1"/>
    <xf numFmtId="37" fontId="80" fillId="0" borderId="0" xfId="49800" applyNumberFormat="1" applyFont="1" applyFill="1"/>
    <xf numFmtId="37" fontId="80" fillId="0" borderId="12" xfId="49800" applyNumberFormat="1" applyFont="1" applyFill="1" applyBorder="1"/>
    <xf numFmtId="0" fontId="80" fillId="0" borderId="0" xfId="49800" applyFont="1" applyFill="1" applyAlignment="1"/>
    <xf numFmtId="0" fontId="80" fillId="0" borderId="0" xfId="49800" applyFont="1" applyFill="1" applyAlignment="1">
      <alignment horizontal="left"/>
    </xf>
    <xf numFmtId="164" fontId="80" fillId="0" borderId="0" xfId="49800" applyNumberFormat="1" applyFont="1" applyFill="1"/>
    <xf numFmtId="0" fontId="79" fillId="0" borderId="0" xfId="49800" applyFont="1" applyFill="1" applyAlignment="1">
      <alignment horizontal="center"/>
    </xf>
    <xf numFmtId="0" fontId="81" fillId="0" borderId="0" xfId="49800" applyFont="1" applyFill="1"/>
    <xf numFmtId="43" fontId="80" fillId="0" borderId="15" xfId="33" applyFont="1" applyFill="1" applyBorder="1"/>
    <xf numFmtId="0" fontId="80" fillId="0" borderId="9" xfId="49800" applyFont="1" applyFill="1" applyBorder="1"/>
    <xf numFmtId="165" fontId="80" fillId="0" borderId="9" xfId="49800" applyNumberFormat="1" applyFont="1" applyFill="1" applyBorder="1"/>
    <xf numFmtId="39" fontId="80" fillId="0" borderId="29" xfId="49800" applyNumberFormat="1" applyFont="1" applyFill="1" applyBorder="1"/>
    <xf numFmtId="39" fontId="80" fillId="0" borderId="0" xfId="49800" applyNumberFormat="1" applyFont="1" applyFill="1"/>
    <xf numFmtId="37" fontId="38" fillId="0" borderId="0" xfId="57589" applyFont="1" applyAlignment="1">
      <alignment horizontal="center"/>
    </xf>
    <xf numFmtId="37" fontId="38" fillId="0" borderId="0" xfId="57589" applyFont="1"/>
    <xf numFmtId="0" fontId="82" fillId="0" borderId="0" xfId="57590" applyFont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83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10" fontId="48" fillId="0" borderId="0" xfId="57591" applyNumberFormat="1" applyFont="1"/>
    <xf numFmtId="10" fontId="48" fillId="0" borderId="0" xfId="57591" applyNumberFormat="1" applyFont="1" applyBorder="1"/>
    <xf numFmtId="180" fontId="83" fillId="0" borderId="0" xfId="57589" applyNumberFormat="1" applyFont="1" applyAlignment="1">
      <alignment horizontal="center"/>
    </xf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166" fontId="48" fillId="0" borderId="0" xfId="57592" applyNumberFormat="1" applyFont="1" applyBorder="1" applyAlignment="1">
      <alignment horizontal="center"/>
    </xf>
    <xf numFmtId="183" fontId="48" fillId="0" borderId="0" xfId="57589" applyNumberFormat="1" applyFont="1" applyAlignment="1">
      <alignment horizontal="center"/>
    </xf>
    <xf numFmtId="183" fontId="48" fillId="0" borderId="0" xfId="57589" applyNumberFormat="1" applyFont="1" applyBorder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0" fontId="48" fillId="0" borderId="0" xfId="57591" applyNumberFormat="1" applyFont="1" applyBorder="1" applyAlignment="1">
      <alignment horizontal="center"/>
    </xf>
    <xf numFmtId="183" fontId="48" fillId="0" borderId="0" xfId="57589" quotePrefix="1" applyNumberFormat="1" applyFont="1" applyAlignment="1">
      <alignment horizontal="center"/>
    </xf>
    <xf numFmtId="183" fontId="53" fillId="0" borderId="0" xfId="57589" applyNumberFormat="1" applyFont="1" applyAlignment="1">
      <alignment horizontal="center"/>
    </xf>
    <xf numFmtId="183" fontId="53" fillId="0" borderId="0" xfId="57589" applyNumberFormat="1" applyFont="1" applyBorder="1" applyAlignment="1">
      <alignment horizontal="center"/>
    </xf>
    <xf numFmtId="167" fontId="48" fillId="0" borderId="0" xfId="57593" applyNumberFormat="1" applyFont="1" applyBorder="1"/>
    <xf numFmtId="184" fontId="48" fillId="0" borderId="0" xfId="57593" applyNumberFormat="1" applyFont="1"/>
    <xf numFmtId="184" fontId="48" fillId="0" borderId="0" xfId="57593" applyNumberFormat="1" applyFont="1" applyBorder="1"/>
    <xf numFmtId="37" fontId="48" fillId="0" borderId="0" xfId="57589" applyFont="1" applyBorder="1" applyAlignment="1">
      <alignment horizontal="left"/>
    </xf>
    <xf numFmtId="184" fontId="48" fillId="0" borderId="0" xfId="57589" applyNumberFormat="1" applyFont="1" applyProtection="1"/>
    <xf numFmtId="184" fontId="48" fillId="0" borderId="0" xfId="57589" applyNumberFormat="1" applyFont="1" applyBorder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72" fontId="48" fillId="0" borderId="11" xfId="57592" applyNumberFormat="1" applyFont="1" applyFill="1" applyBorder="1" applyProtection="1"/>
    <xf numFmtId="172" fontId="48" fillId="0" borderId="0" xfId="57592" applyNumberFormat="1" applyFont="1" applyFill="1" applyBorder="1" applyProtection="1"/>
    <xf numFmtId="37" fontId="38" fillId="0" borderId="0" xfId="57589" applyFont="1" applyFill="1"/>
    <xf numFmtId="172" fontId="48" fillId="0" borderId="11" xfId="57592" applyNumberFormat="1" applyFont="1" applyBorder="1" applyProtection="1"/>
    <xf numFmtId="172" fontId="48" fillId="0" borderId="0" xfId="57592" applyNumberFormat="1" applyFont="1" applyBorder="1" applyProtection="1"/>
    <xf numFmtId="172" fontId="48" fillId="0" borderId="0" xfId="57592" applyNumberFormat="1" applyFont="1" applyProtection="1"/>
    <xf numFmtId="167" fontId="48" fillId="0" borderId="0" xfId="57593" applyNumberFormat="1" applyFont="1" applyBorder="1" applyProtection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2" applyNumberFormat="1" applyFont="1" applyFill="1" applyBorder="1" applyProtection="1"/>
    <xf numFmtId="9" fontId="48" fillId="0" borderId="0" xfId="57591" applyFont="1" applyBorder="1" applyProtection="1"/>
    <xf numFmtId="9" fontId="48" fillId="0" borderId="0" xfId="57591" applyNumberFormat="1" applyFont="1" applyFill="1" applyBorder="1" applyProtection="1"/>
    <xf numFmtId="37" fontId="48" fillId="0" borderId="0" xfId="57589" quotePrefix="1" applyFont="1" applyFill="1" applyBorder="1" applyAlignment="1">
      <alignment horizontal="left"/>
    </xf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37" fontId="48" fillId="0" borderId="0" xfId="57589" quotePrefix="1" applyFont="1" applyBorder="1" applyAlignment="1">
      <alignment horizontal="left"/>
    </xf>
    <xf numFmtId="184" fontId="48" fillId="0" borderId="11" xfId="57589" applyNumberFormat="1" applyFont="1" applyBorder="1"/>
    <xf numFmtId="184" fontId="48" fillId="0" borderId="0" xfId="57589" applyNumberFormat="1" applyFont="1" applyBorder="1"/>
    <xf numFmtId="183" fontId="48" fillId="0" borderId="0" xfId="57589" applyNumberFormat="1" applyFont="1" applyProtection="1"/>
    <xf numFmtId="183" fontId="48" fillId="0" borderId="0" xfId="57589" applyNumberFormat="1" applyFont="1" applyBorder="1" applyProtection="1"/>
    <xf numFmtId="185" fontId="48" fillId="0" borderId="13" xfId="57589" applyNumberFormat="1" applyFont="1" applyBorder="1" applyProtection="1"/>
    <xf numFmtId="185" fontId="48" fillId="0" borderId="0" xfId="57592" applyNumberFormat="1" applyFont="1" applyBorder="1"/>
    <xf numFmtId="185" fontId="48" fillId="0" borderId="0" xfId="57589" applyNumberFormat="1" applyFont="1" applyBorder="1" applyProtection="1"/>
    <xf numFmtId="184" fontId="48" fillId="0" borderId="13" xfId="57589" applyNumberFormat="1" applyFont="1" applyBorder="1"/>
    <xf numFmtId="37" fontId="38" fillId="0" borderId="0" xfId="57589" applyFont="1" applyBorder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183" fontId="38" fillId="0" borderId="0" xfId="57589" applyNumberFormat="1" applyFont="1"/>
    <xf numFmtId="37" fontId="53" fillId="0" borderId="0" xfId="57589" applyFont="1"/>
    <xf numFmtId="43" fontId="48" fillId="0" borderId="11" xfId="57592" applyNumberFormat="1" applyFont="1" applyFill="1" applyBorder="1" applyProtection="1"/>
    <xf numFmtId="172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172" fontId="48" fillId="0" borderId="13" xfId="57592" applyNumberFormat="1" applyFont="1" applyFill="1" applyBorder="1" applyProtection="1"/>
    <xf numFmtId="172" fontId="48" fillId="0" borderId="13" xfId="57592" applyNumberFormat="1" applyFont="1" applyBorder="1" applyProtection="1"/>
    <xf numFmtId="0" fontId="80" fillId="0" borderId="0" xfId="0" applyFont="1"/>
    <xf numFmtId="0" fontId="80" fillId="0" borderId="9" xfId="49800" applyFont="1" applyFill="1" applyBorder="1" applyAlignment="1">
      <alignment horizontal="center"/>
    </xf>
    <xf numFmtId="0" fontId="85" fillId="0" borderId="0" xfId="49800" applyFont="1" applyFill="1" applyBorder="1" applyAlignment="1">
      <alignment horizontal="center"/>
    </xf>
    <xf numFmtId="0" fontId="80" fillId="0" borderId="29" xfId="49800" applyFont="1" applyFill="1" applyBorder="1" applyAlignment="1">
      <alignment horizontal="center"/>
    </xf>
    <xf numFmtId="179" fontId="80" fillId="0" borderId="0" xfId="49800" applyNumberFormat="1" applyFont="1" applyFill="1" applyBorder="1" applyAlignment="1">
      <alignment horizontal="center"/>
    </xf>
    <xf numFmtId="165" fontId="80" fillId="0" borderId="0" xfId="49800" applyNumberFormat="1" applyFont="1" applyFill="1" applyBorder="1"/>
    <xf numFmtId="166" fontId="80" fillId="0" borderId="0" xfId="49800" applyNumberFormat="1" applyFont="1" applyFill="1" applyBorder="1"/>
    <xf numFmtId="183" fontId="80" fillId="0" borderId="9" xfId="49800" applyNumberFormat="1" applyFont="1" applyFill="1" applyBorder="1"/>
    <xf numFmtId="42" fontId="80" fillId="0" borderId="0" xfId="49800" applyNumberFormat="1" applyFont="1" applyFill="1" applyBorder="1"/>
    <xf numFmtId="165" fontId="80" fillId="0" borderId="9" xfId="72" applyNumberFormat="1" applyFont="1" applyFill="1" applyBorder="1"/>
    <xf numFmtId="41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left"/>
    </xf>
    <xf numFmtId="181" fontId="80" fillId="0" borderId="0" xfId="49800" applyNumberFormat="1" applyFont="1" applyFill="1" applyBorder="1"/>
    <xf numFmtId="164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center"/>
    </xf>
    <xf numFmtId="0" fontId="79" fillId="0" borderId="15" xfId="49800" applyFont="1" applyFill="1" applyBorder="1"/>
    <xf numFmtId="43" fontId="80" fillId="0" borderId="0" xfId="33" applyFont="1" applyFill="1" applyBorder="1" applyAlignment="1">
      <alignment horizontal="center"/>
    </xf>
    <xf numFmtId="182" fontId="80" fillId="0" borderId="0" xfId="49800" applyNumberFormat="1" applyFont="1" applyFill="1" applyBorder="1"/>
    <xf numFmtId="42" fontId="80" fillId="0" borderId="26" xfId="49800" applyNumberFormat="1" applyFont="1" applyFill="1" applyBorder="1"/>
    <xf numFmtId="42" fontId="80" fillId="0" borderId="0" xfId="49800" applyNumberFormat="1" applyFont="1" applyFill="1" applyBorder="1" applyAlignment="1">
      <alignment horizontal="center"/>
    </xf>
    <xf numFmtId="165" fontId="79" fillId="0" borderId="30" xfId="49800" applyNumberFormat="1" applyFont="1" applyFill="1" applyBorder="1"/>
    <xf numFmtId="2" fontId="80" fillId="0" borderId="0" xfId="49800" applyNumberFormat="1" applyFont="1" applyFill="1" applyBorder="1"/>
    <xf numFmtId="0" fontId="80" fillId="0" borderId="15" xfId="49800" applyFont="1" applyFill="1" applyBorder="1" applyAlignment="1">
      <alignment wrapText="1"/>
    </xf>
    <xf numFmtId="39" fontId="80" fillId="0" borderId="0" xfId="49800" applyNumberFormat="1" applyFont="1" applyFill="1" applyBorder="1"/>
    <xf numFmtId="43" fontId="80" fillId="0" borderId="0" xfId="49800" applyNumberFormat="1" applyFont="1" applyFill="1" applyBorder="1"/>
    <xf numFmtId="42" fontId="80" fillId="0" borderId="13" xfId="49800" applyNumberFormat="1" applyFont="1" applyFill="1" applyBorder="1"/>
    <xf numFmtId="0" fontId="85" fillId="0" borderId="9" xfId="49800" applyFont="1" applyFill="1" applyBorder="1" applyAlignment="1">
      <alignment horizontal="center"/>
    </xf>
    <xf numFmtId="39" fontId="80" fillId="0" borderId="9" xfId="49800" applyNumberFormat="1" applyFont="1" applyFill="1" applyBorder="1"/>
    <xf numFmtId="7" fontId="80" fillId="0" borderId="0" xfId="49800" applyNumberFormat="1" applyFont="1" applyFill="1" applyBorder="1"/>
    <xf numFmtId="41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center"/>
    </xf>
    <xf numFmtId="165" fontId="80" fillId="0" borderId="29" xfId="72" applyNumberFormat="1" applyFont="1" applyFill="1" applyBorder="1"/>
    <xf numFmtId="42" fontId="80" fillId="0" borderId="13" xfId="49800" applyNumberFormat="1" applyFont="1" applyFill="1" applyBorder="1" applyAlignment="1">
      <alignment horizontal="center"/>
    </xf>
    <xf numFmtId="165" fontId="79" fillId="0" borderId="32" xfId="49800" applyNumberFormat="1" applyFont="1" applyFill="1" applyBorder="1"/>
    <xf numFmtId="166" fontId="80" fillId="0" borderId="11" xfId="49800" applyNumberFormat="1" applyFont="1" applyFill="1" applyBorder="1"/>
    <xf numFmtId="165" fontId="80" fillId="0" borderId="29" xfId="49800" applyNumberFormat="1" applyFont="1" applyFill="1" applyBorder="1"/>
    <xf numFmtId="165" fontId="80" fillId="0" borderId="0" xfId="49800" applyNumberFormat="1" applyFont="1" applyFill="1"/>
    <xf numFmtId="42" fontId="80" fillId="0" borderId="14" xfId="49800" applyNumberFormat="1" applyFont="1" applyFill="1" applyBorder="1"/>
    <xf numFmtId="42" fontId="80" fillId="0" borderId="0" xfId="49800" applyNumberFormat="1" applyFont="1" applyFill="1"/>
    <xf numFmtId="37" fontId="80" fillId="0" borderId="0" xfId="49800" applyNumberFormat="1" applyFont="1" applyFill="1" applyAlignment="1">
      <alignment horizontal="center"/>
    </xf>
    <xf numFmtId="0" fontId="85" fillId="0" borderId="0" xfId="49800" applyFont="1" applyFill="1" applyAlignment="1">
      <alignment horizontal="left"/>
    </xf>
    <xf numFmtId="0" fontId="85" fillId="0" borderId="0" xfId="49800" applyFont="1" applyFill="1"/>
    <xf numFmtId="37" fontId="85" fillId="0" borderId="0" xfId="49800" applyNumberFormat="1" applyFont="1" applyFill="1" applyAlignment="1">
      <alignment horizontal="center"/>
    </xf>
    <xf numFmtId="0" fontId="85" fillId="0" borderId="0" xfId="49800" applyFont="1" applyFill="1" applyAlignment="1">
      <alignment horizontal="center"/>
    </xf>
    <xf numFmtId="179" fontId="80" fillId="0" borderId="0" xfId="49800" applyNumberFormat="1" applyFont="1" applyFill="1" applyAlignment="1">
      <alignment horizontal="center"/>
    </xf>
    <xf numFmtId="179" fontId="80" fillId="0" borderId="0" xfId="49800" applyNumberFormat="1" applyFont="1" applyFill="1"/>
    <xf numFmtId="164" fontId="80" fillId="0" borderId="0" xfId="49800" applyNumberFormat="1" applyFont="1" applyFill="1" applyAlignment="1">
      <alignment horizontal="center"/>
    </xf>
    <xf numFmtId="37" fontId="80" fillId="0" borderId="14" xfId="49800" applyNumberFormat="1" applyFont="1" applyFill="1" applyBorder="1"/>
    <xf numFmtId="180" fontId="79" fillId="0" borderId="0" xfId="49800" applyNumberFormat="1" applyFont="1" applyFill="1" applyBorder="1"/>
    <xf numFmtId="0" fontId="79" fillId="0" borderId="0" xfId="49800" applyFont="1" applyFill="1" applyAlignment="1">
      <alignment horizontal="right"/>
    </xf>
    <xf numFmtId="37" fontId="79" fillId="0" borderId="0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11" fillId="0" borderId="0" xfId="0" applyFont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11" xfId="49800" applyFont="1" applyFill="1" applyBorder="1" applyAlignment="1">
      <alignment horizontal="center"/>
    </xf>
    <xf numFmtId="0" fontId="80" fillId="0" borderId="0" xfId="49800" applyFont="1" applyFill="1" applyAlignment="1">
      <alignment wrapText="1"/>
    </xf>
    <xf numFmtId="0" fontId="80" fillId="0" borderId="0" xfId="49800" applyFont="1" applyAlignment="1">
      <alignment wrapText="1"/>
    </xf>
    <xf numFmtId="0" fontId="79" fillId="0" borderId="0" xfId="49800" applyFont="1" applyFill="1" applyAlignment="1">
      <alignment horizontal="center"/>
    </xf>
    <xf numFmtId="0" fontId="11" fillId="0" borderId="0" xfId="49800" applyFont="1" applyFill="1" applyAlignment="1">
      <alignment horizontal="center"/>
    </xf>
    <xf numFmtId="178" fontId="79" fillId="0" borderId="0" xfId="57588" applyNumberFormat="1" applyFont="1" applyFill="1" applyAlignment="1">
      <alignment horizontal="center"/>
    </xf>
    <xf numFmtId="0" fontId="84" fillId="0" borderId="27" xfId="49800" applyFont="1" applyFill="1" applyBorder="1" applyAlignment="1">
      <alignment horizontal="center"/>
    </xf>
    <xf numFmtId="0" fontId="79" fillId="0" borderId="12" xfId="49800" applyFont="1" applyFill="1" applyBorder="1" applyAlignment="1">
      <alignment horizontal="center"/>
    </xf>
    <xf numFmtId="0" fontId="79" fillId="0" borderId="28" xfId="49800" applyFont="1" applyFill="1" applyBorder="1" applyAlignment="1">
      <alignment horizontal="center"/>
    </xf>
    <xf numFmtId="0" fontId="84" fillId="0" borderId="12" xfId="49800" applyFont="1" applyFill="1" applyBorder="1" applyAlignment="1">
      <alignment horizontal="center"/>
    </xf>
    <xf numFmtId="0" fontId="84" fillId="0" borderId="28" xfId="49800" applyFont="1" applyFill="1" applyBorder="1" applyAlignment="1">
      <alignment horizontal="center"/>
    </xf>
    <xf numFmtId="37" fontId="47" fillId="0" borderId="0" xfId="57589" applyFont="1" applyAlignment="1"/>
    <xf numFmtId="180" fontId="47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6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11" t="s">
        <v>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11" t="s">
        <v>66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5"/>
      <c r="X4" s="5"/>
      <c r="Y4" s="5"/>
      <c r="Z4" s="5"/>
      <c r="AA4" s="5"/>
    </row>
    <row r="5" spans="1:27" x14ac:dyDescent="0.25">
      <c r="A5" s="212" t="s">
        <v>133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5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8</v>
      </c>
      <c r="R8" s="7"/>
      <c r="S8" s="7"/>
      <c r="T8" s="7" t="s">
        <v>9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10</v>
      </c>
      <c r="I9" s="7"/>
      <c r="J9" s="7" t="s">
        <v>10</v>
      </c>
      <c r="K9" s="7"/>
      <c r="L9" s="7" t="s">
        <v>4</v>
      </c>
      <c r="M9" s="7"/>
      <c r="N9" s="7" t="s">
        <v>10</v>
      </c>
      <c r="P9" s="8" t="s">
        <v>8</v>
      </c>
      <c r="R9" s="7" t="s">
        <v>11</v>
      </c>
      <c r="S9" s="7"/>
      <c r="T9" s="7" t="s">
        <v>12</v>
      </c>
    </row>
    <row r="10" spans="1:27" x14ac:dyDescent="0.25">
      <c r="A10" s="1"/>
      <c r="B10" s="2"/>
      <c r="C10" s="7" t="s">
        <v>13</v>
      </c>
      <c r="D10" s="7"/>
      <c r="E10" s="7"/>
      <c r="F10" s="8" t="s">
        <v>14</v>
      </c>
      <c r="G10" s="8"/>
      <c r="H10" s="7" t="s">
        <v>1</v>
      </c>
      <c r="I10" s="7"/>
      <c r="J10" s="7" t="s">
        <v>15</v>
      </c>
      <c r="K10" s="7"/>
      <c r="L10" s="7" t="s">
        <v>15</v>
      </c>
      <c r="M10" s="7"/>
      <c r="N10" s="8" t="s">
        <v>15</v>
      </c>
      <c r="P10" s="8" t="s">
        <v>14</v>
      </c>
      <c r="R10" s="7" t="s">
        <v>9</v>
      </c>
      <c r="S10" s="7"/>
      <c r="T10" s="7" t="s">
        <v>16</v>
      </c>
    </row>
    <row r="11" spans="1:27" x14ac:dyDescent="0.25">
      <c r="A11" s="2"/>
      <c r="B11" s="2"/>
      <c r="C11" s="9" t="s">
        <v>134</v>
      </c>
      <c r="D11" s="7"/>
      <c r="E11" s="7"/>
      <c r="F11" s="8" t="s">
        <v>17</v>
      </c>
      <c r="G11" s="8"/>
      <c r="H11" s="7" t="s">
        <v>18</v>
      </c>
      <c r="I11" s="7"/>
      <c r="J11" s="47" t="s">
        <v>19</v>
      </c>
      <c r="K11" s="7"/>
      <c r="L11" s="10" t="s">
        <v>62</v>
      </c>
      <c r="M11" s="7"/>
      <c r="N11" s="47" t="s">
        <v>20</v>
      </c>
      <c r="P11" s="8" t="s">
        <v>17</v>
      </c>
      <c r="R11" s="7" t="s">
        <v>21</v>
      </c>
      <c r="S11" s="7"/>
      <c r="T11" s="47" t="s">
        <v>22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23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24</v>
      </c>
      <c r="B15" s="2" t="s">
        <v>25</v>
      </c>
      <c r="C15" s="51">
        <f>ROUND('Tab 2 - ECC Feb16'!F70,0)</f>
        <v>140979486</v>
      </c>
      <c r="D15" s="2"/>
      <c r="E15" s="2"/>
      <c r="F15" s="16">
        <f>ROUND(+C15/$C$21,4)</f>
        <v>3.7600000000000001E-2</v>
      </c>
      <c r="G15" s="16"/>
      <c r="H15" s="17">
        <v>0.83160000000000001</v>
      </c>
      <c r="I15" s="2"/>
      <c r="J15" s="15">
        <f>ROUND(+C15*H15,0)</f>
        <v>117238541</v>
      </c>
      <c r="K15" s="2"/>
      <c r="L15" s="15">
        <f>+T37</f>
        <v>-33475552</v>
      </c>
      <c r="M15" s="2"/>
      <c r="N15" s="18">
        <f>+J15+L15</f>
        <v>83762989</v>
      </c>
      <c r="P15" s="19">
        <f>ROUND(+N15/$N$21,4)</f>
        <v>3.7499999999999999E-2</v>
      </c>
      <c r="R15" s="20">
        <f>ROUND('Tab 2 - ECC Feb16'!S70,4)</f>
        <v>7.3000000000000001E-3</v>
      </c>
      <c r="S15" s="21"/>
      <c r="T15" s="20">
        <f>ROUND(+$P$15*$R$15,4)</f>
        <v>2.9999999999999997E-4</v>
      </c>
    </row>
    <row r="16" spans="1:27" x14ac:dyDescent="0.25">
      <c r="A16" s="14"/>
      <c r="B16" s="2"/>
      <c r="C16" s="2"/>
      <c r="D16" s="2"/>
      <c r="E16" s="2"/>
      <c r="F16" s="17"/>
      <c r="G16" s="16"/>
      <c r="H16" s="22"/>
      <c r="I16" s="2"/>
      <c r="J16" s="2"/>
      <c r="K16" s="2"/>
      <c r="L16" s="2"/>
      <c r="M16" s="2"/>
      <c r="P16" s="23"/>
      <c r="R16" s="20"/>
      <c r="S16" s="21"/>
      <c r="T16" s="24"/>
    </row>
    <row r="17" spans="1:26" x14ac:dyDescent="0.25">
      <c r="A17" s="14" t="s">
        <v>26</v>
      </c>
      <c r="B17" s="2" t="s">
        <v>27</v>
      </c>
      <c r="C17" s="52">
        <f>ROUND('Tab 2 - ECC Feb16'!F54,0)</f>
        <v>1654759556</v>
      </c>
      <c r="D17" s="2"/>
      <c r="E17" s="2"/>
      <c r="F17" s="16">
        <f>ROUND(+C17/$C$21,4)</f>
        <v>0.44080000000000003</v>
      </c>
      <c r="G17" s="16"/>
      <c r="H17" s="17">
        <f>+H15</f>
        <v>0.83160000000000001</v>
      </c>
      <c r="I17" s="2"/>
      <c r="J17" s="25">
        <f>ROUND(+C17*H17,0)</f>
        <v>1376098047</v>
      </c>
      <c r="K17" s="2"/>
      <c r="L17" s="2">
        <f>+T39</f>
        <v>-392447420</v>
      </c>
      <c r="M17" s="2"/>
      <c r="N17" s="4">
        <f>+J17+L17</f>
        <v>983650627</v>
      </c>
      <c r="P17" s="19">
        <f>ROUND(+N17/$N$21,4)</f>
        <v>0.44080000000000003</v>
      </c>
      <c r="R17" s="20">
        <f>ROUND('Tab 2 - ECC Feb16'!S54,4)</f>
        <v>4.1700000000000001E-2</v>
      </c>
      <c r="S17" s="21"/>
      <c r="T17" s="20">
        <f>ROUND(+$P$17*$R$17,4)</f>
        <v>1.84E-2</v>
      </c>
    </row>
    <row r="18" spans="1:26" x14ac:dyDescent="0.25">
      <c r="A18" s="2"/>
      <c r="B18" s="2"/>
      <c r="C18" s="25"/>
      <c r="D18" s="2"/>
      <c r="E18" s="2"/>
      <c r="F18" s="16"/>
      <c r="G18" s="16"/>
      <c r="H18" s="17"/>
      <c r="I18" s="2"/>
      <c r="J18" s="25"/>
      <c r="K18" s="2"/>
      <c r="L18" s="2"/>
      <c r="M18" s="2"/>
      <c r="P18" s="23"/>
      <c r="R18" s="20"/>
      <c r="S18" s="21"/>
      <c r="T18" s="21"/>
    </row>
    <row r="19" spans="1:26" x14ac:dyDescent="0.25">
      <c r="A19" s="14" t="s">
        <v>28</v>
      </c>
      <c r="B19" s="2" t="s">
        <v>29</v>
      </c>
      <c r="C19" s="52">
        <v>1958060286</v>
      </c>
      <c r="D19" s="2"/>
      <c r="E19" s="2"/>
      <c r="F19" s="19">
        <f>ROUND(1-F15-F17,4)</f>
        <v>0.52159999999999995</v>
      </c>
      <c r="G19" s="19"/>
      <c r="H19" s="17">
        <f>+H15</f>
        <v>0.83160000000000001</v>
      </c>
      <c r="I19" s="2"/>
      <c r="J19" s="25">
        <f>ROUND(+C19*H19,0)</f>
        <v>1628322934</v>
      </c>
      <c r="K19" s="2"/>
      <c r="L19" s="2">
        <f>+T41</f>
        <v>-464384242</v>
      </c>
      <c r="M19" s="2"/>
      <c r="N19" s="4">
        <f>+J19+L19</f>
        <v>1163938692</v>
      </c>
      <c r="P19" s="19">
        <f>ROUND(1-P15-P17,4)</f>
        <v>0.52170000000000005</v>
      </c>
      <c r="R19" s="20">
        <v>0.1</v>
      </c>
      <c r="S19" s="21"/>
      <c r="T19" s="20">
        <f>ROUND(+$P$19*$R$19,4)</f>
        <v>5.2200000000000003E-2</v>
      </c>
    </row>
    <row r="20" spans="1:26" x14ac:dyDescent="0.25">
      <c r="A20" s="2"/>
      <c r="B20" s="2"/>
      <c r="C20" s="2"/>
      <c r="D20" s="2"/>
      <c r="E20" s="2"/>
      <c r="F20" s="17"/>
      <c r="G20" s="2"/>
      <c r="H20" s="22"/>
      <c r="I20" s="2"/>
      <c r="J20" s="2"/>
      <c r="K20" s="2"/>
      <c r="L20" s="2"/>
      <c r="M20" s="2"/>
      <c r="P20" s="26"/>
      <c r="R20" s="16"/>
      <c r="S20" s="2"/>
      <c r="T20" s="22"/>
    </row>
    <row r="21" spans="1:26" ht="16.5" thickBot="1" x14ac:dyDescent="0.3">
      <c r="A21" s="14" t="s">
        <v>30</v>
      </c>
      <c r="B21" s="2" t="s">
        <v>31</v>
      </c>
      <c r="C21" s="50">
        <f>SUM(C15:C19)</f>
        <v>3753799328</v>
      </c>
      <c r="D21" s="2"/>
      <c r="E21" s="2"/>
      <c r="F21" s="28">
        <f>SUM(F15:F19)</f>
        <v>1</v>
      </c>
      <c r="G21" s="2"/>
      <c r="H21" s="2"/>
      <c r="I21" s="2"/>
      <c r="J21" s="27">
        <f>SUM(J15:J19)</f>
        <v>3121659522</v>
      </c>
      <c r="K21" s="2"/>
      <c r="L21" s="50">
        <f>SUM(L15:L19)</f>
        <v>-890307214</v>
      </c>
      <c r="M21" s="2"/>
      <c r="N21" s="50">
        <f>SUM(N15:N19)</f>
        <v>2231352308</v>
      </c>
      <c r="P21" s="28">
        <f>SUM(P15:P19)</f>
        <v>1</v>
      </c>
      <c r="R21" s="29"/>
      <c r="S21" s="2"/>
      <c r="T21" s="48">
        <f>SUM(T15:T19)</f>
        <v>7.0900000000000005E-2</v>
      </c>
    </row>
    <row r="22" spans="1:26" ht="18.75" thickTop="1" x14ac:dyDescent="0.4">
      <c r="A22" s="2"/>
      <c r="B22" s="2"/>
      <c r="C22" s="2"/>
      <c r="D22" s="30"/>
      <c r="E22" s="2"/>
      <c r="F22" s="2"/>
      <c r="G22" s="30"/>
      <c r="H22" s="30"/>
      <c r="I22" s="30"/>
      <c r="J22" s="30"/>
      <c r="K22" s="2"/>
      <c r="L22" s="2"/>
      <c r="M22" s="2"/>
      <c r="N22" s="2"/>
      <c r="O22" s="2"/>
      <c r="P22" s="2"/>
      <c r="Q22" s="2"/>
      <c r="T22" s="23"/>
      <c r="V22" s="19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1"/>
      <c r="U23" s="2"/>
      <c r="V23" s="16"/>
      <c r="W23" s="2"/>
      <c r="X23" s="2"/>
    </row>
    <row r="24" spans="1:26" ht="16.5" thickBot="1" x14ac:dyDescent="0.3">
      <c r="A24" s="31" t="s">
        <v>32</v>
      </c>
      <c r="B24" s="32" t="s">
        <v>33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9">
        <f>ROUND(T21+(T21-T17-T15)*('Tab 3 - Tax Rate'!M34/(1-'Tab 3 - Tax Rate'!M34)),4)</f>
        <v>0.1038</v>
      </c>
      <c r="U24" s="33"/>
      <c r="W24" s="33"/>
      <c r="X24" s="33"/>
      <c r="Y24" s="33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6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6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6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6"/>
      <c r="Y28" s="2"/>
      <c r="Z28" s="2"/>
    </row>
    <row r="29" spans="1:26" ht="24" customHeight="1" x14ac:dyDescent="0.4">
      <c r="C29" s="30"/>
      <c r="D29" s="8"/>
      <c r="E29" s="30"/>
      <c r="F29" s="30"/>
      <c r="G29" s="8"/>
      <c r="H29" s="8"/>
      <c r="I29" s="8"/>
      <c r="J29" s="8"/>
      <c r="K29" s="30"/>
      <c r="L29" s="30"/>
      <c r="M29" s="30"/>
      <c r="N29" s="7"/>
      <c r="O29" s="30"/>
      <c r="P29" s="7"/>
      <c r="Q29" s="30"/>
      <c r="R29" s="30"/>
      <c r="S29" s="30"/>
      <c r="T29" s="30"/>
      <c r="U29" s="30"/>
      <c r="V29" s="30"/>
      <c r="W29" s="30"/>
      <c r="X29" s="34"/>
      <c r="Y29" s="30"/>
      <c r="Z29" s="30"/>
    </row>
    <row r="30" spans="1:26" x14ac:dyDescent="0.25">
      <c r="A30" s="1"/>
      <c r="B30" s="1"/>
      <c r="C30" s="7"/>
      <c r="D30" s="7"/>
      <c r="E30" s="7"/>
      <c r="G30" s="8"/>
      <c r="H30" s="35"/>
      <c r="I30" s="7"/>
      <c r="J30" s="35"/>
      <c r="K30" s="7"/>
      <c r="L30" s="35"/>
      <c r="M30" s="7"/>
      <c r="N30" s="7" t="s">
        <v>0</v>
      </c>
      <c r="O30" s="7"/>
      <c r="P30" s="7"/>
      <c r="Q30" s="7"/>
      <c r="R30" s="7" t="s">
        <v>34</v>
      </c>
      <c r="T30" s="7" t="s">
        <v>5</v>
      </c>
    </row>
    <row r="31" spans="1:26" x14ac:dyDescent="0.25">
      <c r="A31" s="1"/>
      <c r="B31" s="1"/>
      <c r="C31" s="7" t="s">
        <v>10</v>
      </c>
      <c r="D31" s="7"/>
      <c r="E31" s="7"/>
      <c r="F31" s="7"/>
      <c r="G31" s="7"/>
      <c r="H31" s="7" t="s">
        <v>35</v>
      </c>
      <c r="I31" s="7"/>
      <c r="J31" s="7" t="s">
        <v>36</v>
      </c>
      <c r="K31" s="7"/>
      <c r="L31" s="7"/>
      <c r="M31" s="7"/>
      <c r="N31" s="7" t="s">
        <v>60</v>
      </c>
      <c r="O31" s="7"/>
      <c r="P31" s="7" t="s">
        <v>61</v>
      </c>
      <c r="Q31" s="7"/>
      <c r="R31" s="7" t="s">
        <v>37</v>
      </c>
      <c r="T31" s="7" t="s">
        <v>2</v>
      </c>
    </row>
    <row r="32" spans="1:26" x14ac:dyDescent="0.25">
      <c r="A32" s="1"/>
      <c r="B32" s="2"/>
      <c r="C32" s="7" t="s">
        <v>15</v>
      </c>
      <c r="D32" s="7"/>
      <c r="E32" s="7"/>
      <c r="F32" s="8" t="s">
        <v>14</v>
      </c>
      <c r="G32" s="2"/>
      <c r="H32" s="7" t="s">
        <v>38</v>
      </c>
      <c r="I32" s="7"/>
      <c r="J32" s="7" t="s">
        <v>39</v>
      </c>
      <c r="K32" s="7"/>
      <c r="L32" s="7" t="s">
        <v>40</v>
      </c>
      <c r="M32" s="7"/>
      <c r="N32" s="7" t="s">
        <v>1</v>
      </c>
      <c r="O32" s="7"/>
      <c r="P32" s="7" t="s">
        <v>1</v>
      </c>
      <c r="Q32" s="7"/>
      <c r="R32" s="36" t="s">
        <v>41</v>
      </c>
      <c r="T32" s="7" t="s">
        <v>47</v>
      </c>
    </row>
    <row r="33" spans="1:24" x14ac:dyDescent="0.25">
      <c r="A33" s="2"/>
      <c r="B33" s="2"/>
      <c r="C33" s="47" t="s">
        <v>42</v>
      </c>
      <c r="D33" s="7"/>
      <c r="E33" s="7"/>
      <c r="F33" s="8" t="s">
        <v>17</v>
      </c>
      <c r="G33" s="16"/>
      <c r="H33" s="47" t="s">
        <v>43</v>
      </c>
      <c r="I33" s="7"/>
      <c r="J33" s="47" t="s">
        <v>44</v>
      </c>
      <c r="K33" s="7"/>
      <c r="L33" s="47" t="s">
        <v>45</v>
      </c>
      <c r="M33" s="7"/>
      <c r="N33" s="47" t="s">
        <v>46</v>
      </c>
      <c r="O33" s="7"/>
      <c r="P33" s="47" t="s">
        <v>65</v>
      </c>
      <c r="Q33" s="7"/>
      <c r="R33" s="47" t="s">
        <v>63</v>
      </c>
      <c r="T33" s="10" t="s">
        <v>64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6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23</v>
      </c>
      <c r="B35" s="2"/>
      <c r="C35" s="13"/>
      <c r="D35" s="2"/>
      <c r="E35" s="13"/>
      <c r="F35" s="7"/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24</v>
      </c>
      <c r="B37" s="2" t="s">
        <v>25</v>
      </c>
      <c r="C37" s="15">
        <f>+J15</f>
        <v>117238541</v>
      </c>
      <c r="D37" s="2"/>
      <c r="E37" s="2"/>
      <c r="F37" s="16">
        <f>ROUND(+C37/$C$43,4)</f>
        <v>3.7600000000000001E-2</v>
      </c>
      <c r="G37" s="19"/>
      <c r="H37" s="15">
        <f>ROUND(+F37*$H$43,0)</f>
        <v>-208947</v>
      </c>
      <c r="I37" s="2"/>
      <c r="J37" s="15">
        <f>ROUND(+F37*$J$43,0)</f>
        <v>-43684</v>
      </c>
      <c r="K37" s="2"/>
      <c r="L37" s="15">
        <f>ROUND(+F37*$L$43,0)</f>
        <v>493657</v>
      </c>
      <c r="M37" s="2"/>
      <c r="N37" s="15">
        <f>ROUND(+F37*$N$43,0)</f>
        <v>-34352023</v>
      </c>
      <c r="O37" s="2"/>
      <c r="P37" s="51">
        <f>ROUND(+F37*$P$43,0)</f>
        <v>-160816</v>
      </c>
      <c r="Q37" s="2"/>
      <c r="R37" s="15">
        <f>ROUND(+F37*$R$43,0)</f>
        <v>796261</v>
      </c>
      <c r="T37" s="15">
        <f>SUM(H37:R37)</f>
        <v>-33475552</v>
      </c>
    </row>
    <row r="38" spans="1:24" x14ac:dyDescent="0.25">
      <c r="A38" s="14"/>
      <c r="B38" s="2"/>
      <c r="C38" s="2"/>
      <c r="D38" s="2"/>
      <c r="E38" s="2"/>
      <c r="F38" s="17"/>
      <c r="G38" s="16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26</v>
      </c>
      <c r="B39" s="2" t="s">
        <v>27</v>
      </c>
      <c r="C39" s="2">
        <f>+J17</f>
        <v>1376098047</v>
      </c>
      <c r="D39" s="2"/>
      <c r="E39" s="2"/>
      <c r="F39" s="16">
        <f>ROUND(+C39/$C$43,4)</f>
        <v>0.44080000000000003</v>
      </c>
      <c r="G39" s="19"/>
      <c r="H39" s="52">
        <f>ROUND(+F39*$H$43,0)</f>
        <v>-2449566</v>
      </c>
      <c r="I39" s="2"/>
      <c r="J39" s="52">
        <f>ROUND(+F39*$J$43,0)</f>
        <v>-512131</v>
      </c>
      <c r="K39" s="2"/>
      <c r="L39" s="2">
        <f>ROUND(+F39*$L$43,0)</f>
        <v>5787343</v>
      </c>
      <c r="M39" s="2"/>
      <c r="N39" s="2">
        <f>ROUND(+F39*$N$43,0)</f>
        <v>-402722649</v>
      </c>
      <c r="O39" s="2"/>
      <c r="P39" s="52">
        <f>ROUND(+F39*$P$43,0)</f>
        <v>-1885310</v>
      </c>
      <c r="Q39" s="2"/>
      <c r="R39" s="52">
        <f>ROUND(+F39*$R$43,0)</f>
        <v>9334893</v>
      </c>
      <c r="T39" s="2">
        <f>SUM(H39:R39)</f>
        <v>-392447420</v>
      </c>
    </row>
    <row r="40" spans="1:24" ht="18" x14ac:dyDescent="0.4">
      <c r="A40" s="2"/>
      <c r="B40" s="2"/>
      <c r="C40" s="2"/>
      <c r="D40" s="2"/>
      <c r="E40" s="2"/>
      <c r="F40" s="17"/>
      <c r="G40" s="30"/>
      <c r="H40" s="52"/>
      <c r="I40" s="2"/>
      <c r="J40" s="16"/>
      <c r="K40" s="2"/>
      <c r="L40" s="2"/>
      <c r="M40" s="2"/>
      <c r="N40" s="2"/>
      <c r="O40" s="2"/>
      <c r="P40" s="52"/>
      <c r="Q40" s="2"/>
      <c r="R40" s="52"/>
      <c r="T40" s="2"/>
    </row>
    <row r="41" spans="1:24" x14ac:dyDescent="0.25">
      <c r="A41" s="14" t="s">
        <v>28</v>
      </c>
      <c r="B41" s="2" t="s">
        <v>29</v>
      </c>
      <c r="C41" s="2">
        <f>+J19</f>
        <v>1628322934</v>
      </c>
      <c r="D41" s="2"/>
      <c r="E41" s="2"/>
      <c r="F41" s="19">
        <f>ROUND(1-F37-F39,4)</f>
        <v>0.52159999999999995</v>
      </c>
      <c r="H41" s="52">
        <f>+H43-H37-H39</f>
        <v>-2898579</v>
      </c>
      <c r="I41" s="2"/>
      <c r="J41" s="2">
        <f>+J43-J37-J39</f>
        <v>-606006</v>
      </c>
      <c r="K41" s="2"/>
      <c r="L41" s="2">
        <f>+L43-L37-L39</f>
        <v>6848182</v>
      </c>
      <c r="M41" s="2"/>
      <c r="N41" s="2">
        <f>+N43-N37-N39</f>
        <v>-476542953</v>
      </c>
      <c r="O41" s="2"/>
      <c r="P41" s="2">
        <f>+P43-P37-P39</f>
        <v>-2230893</v>
      </c>
      <c r="Q41" s="2"/>
      <c r="R41" s="2">
        <f>+R43-R37-R39</f>
        <v>11046007</v>
      </c>
      <c r="T41" s="2">
        <f>SUM(H41:R41)</f>
        <v>-464384242</v>
      </c>
    </row>
    <row r="42" spans="1:24" x14ac:dyDescent="0.25">
      <c r="A42" s="2"/>
      <c r="B42" s="2"/>
      <c r="C42" s="2"/>
      <c r="D42" s="2"/>
      <c r="E42" s="2"/>
      <c r="F42" s="17"/>
      <c r="G42" s="8"/>
      <c r="H42" s="52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30</v>
      </c>
      <c r="B43" s="2" t="s">
        <v>31</v>
      </c>
      <c r="C43" s="27">
        <f>SUM(C37:C41)</f>
        <v>3121659522</v>
      </c>
      <c r="D43" s="2"/>
      <c r="E43" s="2"/>
      <c r="F43" s="28">
        <f>SUM(F37:F41)</f>
        <v>1</v>
      </c>
      <c r="G43" s="16"/>
      <c r="H43" s="50">
        <f>-F56</f>
        <v>-5557092</v>
      </c>
      <c r="I43" s="2"/>
      <c r="J43" s="50">
        <v>-1161821</v>
      </c>
      <c r="K43" s="2"/>
      <c r="L43" s="50">
        <v>13129182</v>
      </c>
      <c r="M43" s="2"/>
      <c r="N43" s="50">
        <v>-913617625</v>
      </c>
      <c r="O43" s="2"/>
      <c r="P43" s="50">
        <v>-4277019</v>
      </c>
      <c r="Q43" s="2"/>
      <c r="R43" s="50">
        <v>21177161</v>
      </c>
      <c r="T43" s="50">
        <f>SUM(T37:T41)</f>
        <v>-890307214</v>
      </c>
    </row>
    <row r="44" spans="1:24" ht="16.5" thickTop="1" x14ac:dyDescent="0.25">
      <c r="A44" s="2"/>
      <c r="B44" s="2"/>
      <c r="C44" s="2"/>
      <c r="D44" s="2"/>
      <c r="E44" s="2"/>
      <c r="F44" s="2"/>
      <c r="G44" s="16"/>
      <c r="H44" s="16"/>
      <c r="I44" s="2"/>
      <c r="J44" s="2"/>
      <c r="K44" s="2"/>
      <c r="L44" s="37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38"/>
      <c r="T45" s="2"/>
      <c r="U45" s="2"/>
    </row>
    <row r="46" spans="1:24" x14ac:dyDescent="0.25">
      <c r="G46" s="19"/>
      <c r="H46" s="19"/>
    </row>
    <row r="47" spans="1:24" x14ac:dyDescent="0.25">
      <c r="A47" s="39" t="s">
        <v>48</v>
      </c>
      <c r="B47" s="40" t="str">
        <f>"Trimble County Inventories"</f>
        <v>Trimble County Inventories</v>
      </c>
      <c r="C47" s="4" t="str">
        <f>A5</f>
        <v>As of February 29, 2016</v>
      </c>
      <c r="F47" s="39"/>
      <c r="G47" s="18"/>
      <c r="H47" s="18"/>
      <c r="L47" s="41"/>
      <c r="T47" s="42"/>
      <c r="U47" s="42"/>
      <c r="V47" s="42"/>
      <c r="X47" s="42"/>
    </row>
    <row r="48" spans="1:24" x14ac:dyDescent="0.25">
      <c r="B48" s="4" t="s">
        <v>59</v>
      </c>
      <c r="F48" s="18">
        <f>F54-SUM(F49:F53)</f>
        <v>10590468</v>
      </c>
      <c r="T48" s="18"/>
      <c r="U48" s="43"/>
      <c r="V48" s="18"/>
      <c r="W48" s="18"/>
      <c r="X48" s="18"/>
    </row>
    <row r="49" spans="1:24" x14ac:dyDescent="0.25">
      <c r="B49" s="4" t="s">
        <v>49</v>
      </c>
      <c r="F49" s="43">
        <v>1874303</v>
      </c>
      <c r="T49" s="18"/>
      <c r="V49" s="18"/>
      <c r="W49" s="18"/>
      <c r="X49" s="18"/>
    </row>
    <row r="50" spans="1:24" x14ac:dyDescent="0.25">
      <c r="B50" s="4" t="s">
        <v>50</v>
      </c>
      <c r="F50" s="43">
        <v>9507489</v>
      </c>
    </row>
    <row r="51" spans="1:24" x14ac:dyDescent="0.25">
      <c r="B51" s="4" t="s">
        <v>51</v>
      </c>
      <c r="F51" s="43">
        <v>162419</v>
      </c>
    </row>
    <row r="52" spans="1:24" x14ac:dyDescent="0.25">
      <c r="B52" s="4" t="s">
        <v>52</v>
      </c>
      <c r="F52" s="43">
        <v>93652</v>
      </c>
      <c r="L52" s="44"/>
      <c r="M52" s="44"/>
      <c r="N52" s="44"/>
      <c r="O52" s="44"/>
      <c r="P52" s="44"/>
      <c r="Q52" s="44"/>
      <c r="R52" s="44"/>
      <c r="S52" s="44"/>
      <c r="T52" s="44"/>
    </row>
    <row r="53" spans="1:24" x14ac:dyDescent="0.25">
      <c r="B53" s="4" t="s">
        <v>53</v>
      </c>
      <c r="F53" s="43">
        <v>37</v>
      </c>
      <c r="L53" s="44"/>
      <c r="M53" s="44"/>
      <c r="N53" s="44"/>
      <c r="O53" s="44"/>
      <c r="P53" s="44"/>
      <c r="Q53" s="44"/>
      <c r="R53" s="44"/>
      <c r="S53" s="44"/>
      <c r="T53" s="44"/>
    </row>
    <row r="54" spans="1:24" x14ac:dyDescent="0.25">
      <c r="B54" s="4" t="s">
        <v>54</v>
      </c>
      <c r="F54" s="53">
        <v>22228368</v>
      </c>
      <c r="L54" s="44"/>
      <c r="M54" s="44"/>
      <c r="N54" s="44"/>
      <c r="O54" s="44"/>
      <c r="P54" s="44"/>
      <c r="Q54" s="44"/>
      <c r="R54" s="44"/>
      <c r="S54" s="44"/>
      <c r="T54" s="44"/>
    </row>
    <row r="55" spans="1:24" x14ac:dyDescent="0.25">
      <c r="B55" s="4" t="s">
        <v>55</v>
      </c>
      <c r="F55" s="19">
        <v>0.25</v>
      </c>
    </row>
    <row r="56" spans="1:24" ht="16.5" thickBot="1" x14ac:dyDescent="0.3">
      <c r="B56" s="4" t="s">
        <v>56</v>
      </c>
      <c r="F56" s="50">
        <f>ROUND(+F54*F55,0)</f>
        <v>5557092</v>
      </c>
    </row>
    <row r="57" spans="1:24" ht="16.5" thickTop="1" x14ac:dyDescent="0.25"/>
    <row r="58" spans="1:24" x14ac:dyDescent="0.25">
      <c r="A58" s="39" t="s">
        <v>57</v>
      </c>
      <c r="B58" s="40" t="s">
        <v>58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5" orientation="landscape" useFirstPageNumber="1" r:id="rId1"/>
  <headerFooter scaleWithDoc="0">
    <oddFooter>&amp;L
&amp;R&amp;"Times New Roman,Bold"&amp;12Attachment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zoomScale="70" zoomScaleNormal="70" zoomScaleSheetLayoutView="70" workbookViewId="0">
      <selection sqref="A1:S1"/>
    </sheetView>
  </sheetViews>
  <sheetFormatPr defaultColWidth="9.7109375" defaultRowHeight="12.75" x14ac:dyDescent="0.2"/>
  <cols>
    <col min="1" max="1" width="49.140625" style="210" customWidth="1"/>
    <col min="2" max="2" width="15.85546875" style="210" customWidth="1"/>
    <col min="3" max="3" width="7.28515625" style="210" customWidth="1"/>
    <col min="4" max="4" width="12.7109375" style="210" bestFit="1" customWidth="1"/>
    <col min="5" max="5" width="5.140625" style="210" customWidth="1"/>
    <col min="6" max="6" width="21.5703125" style="210" customWidth="1"/>
    <col min="7" max="7" width="5.5703125" style="210" bestFit="1" customWidth="1"/>
    <col min="8" max="8" width="19.85546875" style="210" customWidth="1"/>
    <col min="9" max="9" width="2.7109375" style="210" customWidth="1"/>
    <col min="10" max="10" width="4.28515625" style="210" bestFit="1" customWidth="1"/>
    <col min="11" max="11" width="16.85546875" style="210" customWidth="1"/>
    <col min="12" max="12" width="5" style="210" bestFit="1" customWidth="1"/>
    <col min="13" max="13" width="5" style="210" customWidth="1"/>
    <col min="14" max="14" width="16" style="210" customWidth="1"/>
    <col min="15" max="15" width="16.5703125" style="210" customWidth="1"/>
    <col min="16" max="16" width="2.42578125" style="210" customWidth="1"/>
    <col min="17" max="17" width="17.42578125" style="210" bestFit="1" customWidth="1"/>
    <col min="18" max="18" width="1" style="210" customWidth="1"/>
    <col min="19" max="19" width="13.42578125" style="210" bestFit="1" customWidth="1"/>
    <col min="20" max="20" width="18.28515625" style="210" bestFit="1" customWidth="1"/>
    <col min="21" max="16384" width="9.7109375" style="210"/>
  </cols>
  <sheetData>
    <row r="1" spans="1:19" s="54" customFormat="1" ht="15.75" x14ac:dyDescent="0.25">
      <c r="A1" s="216" t="s">
        <v>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s="54" customFormat="1" ht="15.75" x14ac:dyDescent="0.25">
      <c r="A2" s="216" t="s">
        <v>67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s="54" customFormat="1" ht="15.75" x14ac:dyDescent="0.25">
      <c r="A3" s="218">
        <v>42429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s="55" customFormat="1" ht="15.75" x14ac:dyDescent="0.25">
      <c r="B4" s="78"/>
      <c r="C4" s="78"/>
      <c r="G4" s="79"/>
      <c r="H4" s="78"/>
    </row>
    <row r="5" spans="1:19" s="54" customFormat="1" ht="15.75" x14ac:dyDescent="0.25">
      <c r="A5" s="219" t="s">
        <v>185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1"/>
    </row>
    <row r="6" spans="1:19" s="157" customFormat="1" ht="15" x14ac:dyDescent="0.2">
      <c r="A6" s="80"/>
      <c r="B6" s="56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81"/>
    </row>
    <row r="7" spans="1:19" s="157" customFormat="1" ht="15" x14ac:dyDescent="0.2">
      <c r="A7" s="80"/>
      <c r="B7" s="56"/>
      <c r="C7" s="56"/>
      <c r="D7" s="57"/>
      <c r="E7" s="57"/>
      <c r="F7" s="57"/>
      <c r="G7" s="57"/>
      <c r="H7" s="213" t="s">
        <v>68</v>
      </c>
      <c r="I7" s="213"/>
      <c r="J7" s="213"/>
      <c r="K7" s="213"/>
      <c r="L7" s="213"/>
      <c r="M7" s="213"/>
      <c r="N7" s="213"/>
      <c r="O7" s="213"/>
      <c r="P7" s="213"/>
      <c r="Q7" s="213"/>
      <c r="R7" s="56"/>
      <c r="S7" s="158"/>
    </row>
    <row r="8" spans="1:19" s="157" customFormat="1" ht="15" x14ac:dyDescent="0.2">
      <c r="A8" s="60"/>
      <c r="B8" s="56"/>
      <c r="C8" s="56"/>
      <c r="D8" s="57"/>
      <c r="E8" s="57"/>
      <c r="F8" s="57"/>
      <c r="G8" s="57"/>
      <c r="H8" s="57"/>
      <c r="I8" s="57"/>
      <c r="J8" s="57"/>
      <c r="K8" s="56" t="s">
        <v>69</v>
      </c>
      <c r="L8" s="56"/>
      <c r="M8" s="56"/>
      <c r="N8" s="56" t="s">
        <v>70</v>
      </c>
      <c r="O8" s="56" t="s">
        <v>71</v>
      </c>
      <c r="P8" s="57"/>
      <c r="Q8" s="56"/>
      <c r="R8" s="56"/>
      <c r="S8" s="158" t="s">
        <v>72</v>
      </c>
    </row>
    <row r="9" spans="1:19" s="157" customFormat="1" ht="30" x14ac:dyDescent="0.2">
      <c r="A9" s="60"/>
      <c r="B9" s="159" t="s">
        <v>73</v>
      </c>
      <c r="C9" s="56"/>
      <c r="D9" s="159" t="s">
        <v>21</v>
      </c>
      <c r="E9" s="56"/>
      <c r="F9" s="159" t="s">
        <v>74</v>
      </c>
      <c r="G9" s="57"/>
      <c r="H9" s="67" t="s">
        <v>75</v>
      </c>
      <c r="I9" s="57"/>
      <c r="J9" s="57"/>
      <c r="K9" s="59" t="s">
        <v>76</v>
      </c>
      <c r="L9" s="56"/>
      <c r="M9" s="56"/>
      <c r="N9" s="59" t="s">
        <v>77</v>
      </c>
      <c r="O9" s="67" t="s">
        <v>78</v>
      </c>
      <c r="P9" s="57"/>
      <c r="Q9" s="67" t="s">
        <v>5</v>
      </c>
      <c r="R9" s="56"/>
      <c r="S9" s="160" t="s">
        <v>79</v>
      </c>
    </row>
    <row r="10" spans="1:19" s="157" customFormat="1" ht="15" x14ac:dyDescent="0.2">
      <c r="A10" s="60" t="s">
        <v>80</v>
      </c>
      <c r="B10" s="161"/>
      <c r="C10" s="56"/>
      <c r="D10" s="162"/>
      <c r="E10" s="57"/>
      <c r="F10" s="71"/>
      <c r="G10" s="57"/>
      <c r="H10" s="71"/>
      <c r="I10" s="57"/>
      <c r="J10" s="57"/>
      <c r="K10" s="163"/>
      <c r="L10" s="163"/>
      <c r="M10" s="163"/>
      <c r="N10" s="71"/>
      <c r="O10" s="71"/>
      <c r="P10" s="71"/>
      <c r="Q10" s="71"/>
      <c r="R10" s="57"/>
      <c r="S10" s="164"/>
    </row>
    <row r="11" spans="1:19" s="157" customFormat="1" ht="17.25" customHeight="1" x14ac:dyDescent="0.25">
      <c r="A11" s="60" t="s">
        <v>81</v>
      </c>
      <c r="B11" s="161">
        <v>46508</v>
      </c>
      <c r="C11" s="56"/>
      <c r="D11" s="162">
        <v>9.7590000000000003E-3</v>
      </c>
      <c r="E11" s="57" t="s">
        <v>6</v>
      </c>
      <c r="F11" s="165">
        <v>25000000</v>
      </c>
      <c r="G11" s="205"/>
      <c r="H11" s="165">
        <f t="shared" ref="H11:H19" si="0">ROUND(D11*F11,0)</f>
        <v>243975</v>
      </c>
      <c r="I11" s="56"/>
      <c r="J11" s="206"/>
      <c r="K11" s="165">
        <v>51312</v>
      </c>
      <c r="L11" s="56"/>
      <c r="M11" s="207"/>
      <c r="N11" s="165">
        <v>117769</v>
      </c>
      <c r="O11" s="165">
        <v>0</v>
      </c>
      <c r="P11" s="165"/>
      <c r="Q11" s="165">
        <f t="shared" ref="Q11:Q24" si="1">H11+K11+N11+O11</f>
        <v>413056</v>
      </c>
      <c r="R11" s="57"/>
      <c r="S11" s="166">
        <f t="shared" ref="S11:S23" si="2">ROUND((Q11/F11),5)</f>
        <v>1.652E-2</v>
      </c>
    </row>
    <row r="12" spans="1:19" s="157" customFormat="1" ht="17.25" customHeight="1" x14ac:dyDescent="0.25">
      <c r="A12" s="60" t="s">
        <v>82</v>
      </c>
      <c r="B12" s="161">
        <v>11171</v>
      </c>
      <c r="C12" s="56"/>
      <c r="D12" s="162">
        <v>7.4000000000000003E-3</v>
      </c>
      <c r="E12" s="57" t="s">
        <v>6</v>
      </c>
      <c r="F12" s="167">
        <f>100000000-16665000</f>
        <v>83335000</v>
      </c>
      <c r="G12" s="57"/>
      <c r="H12" s="167">
        <f t="shared" si="0"/>
        <v>616679</v>
      </c>
      <c r="I12" s="56"/>
      <c r="J12" s="206"/>
      <c r="K12" s="167">
        <v>36133</v>
      </c>
      <c r="L12" s="56"/>
      <c r="M12" s="57"/>
      <c r="N12" s="167">
        <v>136951</v>
      </c>
      <c r="O12" s="167">
        <f>ROUND(F12*0.0025,0)+46659.27</f>
        <v>254997.27</v>
      </c>
      <c r="P12" s="57"/>
      <c r="Q12" s="167">
        <f t="shared" si="1"/>
        <v>1044760.27</v>
      </c>
      <c r="R12" s="57"/>
      <c r="S12" s="166">
        <f t="shared" si="2"/>
        <v>1.2540000000000001E-2</v>
      </c>
    </row>
    <row r="13" spans="1:19" s="157" customFormat="1" ht="17.25" customHeight="1" x14ac:dyDescent="0.25">
      <c r="A13" s="60" t="s">
        <v>83</v>
      </c>
      <c r="B13" s="161">
        <v>46631</v>
      </c>
      <c r="C13" s="56"/>
      <c r="D13" s="162">
        <v>6.4000000000000003E-3</v>
      </c>
      <c r="E13" s="57" t="s">
        <v>6</v>
      </c>
      <c r="F13" s="167">
        <v>10104000</v>
      </c>
      <c r="G13" s="57"/>
      <c r="H13" s="167">
        <f t="shared" si="0"/>
        <v>64666</v>
      </c>
      <c r="I13" s="56"/>
      <c r="J13" s="206"/>
      <c r="K13" s="167">
        <v>18989</v>
      </c>
      <c r="L13" s="56"/>
      <c r="M13" s="57"/>
      <c r="N13" s="167">
        <v>0</v>
      </c>
      <c r="O13" s="167">
        <f>ROUND(F13*0.0025,0)+5142.94</f>
        <v>30402.94</v>
      </c>
      <c r="P13" s="57"/>
      <c r="Q13" s="167">
        <f t="shared" si="1"/>
        <v>114057.94</v>
      </c>
      <c r="R13" s="57"/>
      <c r="S13" s="166">
        <f t="shared" si="2"/>
        <v>1.129E-2</v>
      </c>
    </row>
    <row r="14" spans="1:19" s="157" customFormat="1" ht="17.25" customHeight="1" x14ac:dyDescent="0.25">
      <c r="A14" s="60" t="s">
        <v>83</v>
      </c>
      <c r="B14" s="161">
        <v>46266</v>
      </c>
      <c r="C14" s="56"/>
      <c r="D14" s="162">
        <v>2.5000000000000001E-3</v>
      </c>
      <c r="E14" s="57" t="s">
        <v>6</v>
      </c>
      <c r="F14" s="167">
        <v>22500000</v>
      </c>
      <c r="G14" s="57"/>
      <c r="H14" s="167">
        <f t="shared" si="0"/>
        <v>56250</v>
      </c>
      <c r="I14" s="56"/>
      <c r="J14" s="206"/>
      <c r="K14" s="167">
        <v>9366</v>
      </c>
      <c r="L14" s="56"/>
      <c r="M14" s="57"/>
      <c r="N14" s="167">
        <v>73796</v>
      </c>
      <c r="O14" s="167">
        <f>ROUND(F14*0.001,0)</f>
        <v>22500</v>
      </c>
      <c r="P14" s="57"/>
      <c r="Q14" s="167">
        <f t="shared" si="1"/>
        <v>161912</v>
      </c>
      <c r="R14" s="57"/>
      <c r="S14" s="166">
        <f t="shared" si="2"/>
        <v>7.1999999999999998E-3</v>
      </c>
    </row>
    <row r="15" spans="1:19" s="157" customFormat="1" ht="17.25" customHeight="1" x14ac:dyDescent="0.25">
      <c r="A15" s="60" t="s">
        <v>84</v>
      </c>
      <c r="B15" s="161">
        <v>46266</v>
      </c>
      <c r="C15" s="56"/>
      <c r="D15" s="162">
        <v>1.0500000000000001E-2</v>
      </c>
      <c r="E15" s="57"/>
      <c r="F15" s="167">
        <v>27500000</v>
      </c>
      <c r="G15" s="57"/>
      <c r="H15" s="167">
        <f t="shared" si="0"/>
        <v>288750</v>
      </c>
      <c r="I15" s="56"/>
      <c r="J15" s="206"/>
      <c r="K15" s="167">
        <v>52888.08</v>
      </c>
      <c r="L15" s="56"/>
      <c r="M15" s="57"/>
      <c r="N15" s="167">
        <v>72611</v>
      </c>
      <c r="O15" s="167"/>
      <c r="P15" s="57"/>
      <c r="Q15" s="167">
        <f t="shared" si="1"/>
        <v>414249.08</v>
      </c>
      <c r="R15" s="57"/>
      <c r="S15" s="166">
        <f t="shared" si="2"/>
        <v>1.506E-2</v>
      </c>
    </row>
    <row r="16" spans="1:19" s="157" customFormat="1" ht="17.25" customHeight="1" x14ac:dyDescent="0.25">
      <c r="A16" s="60" t="s">
        <v>85</v>
      </c>
      <c r="B16" s="161">
        <v>46692</v>
      </c>
      <c r="C16" s="56"/>
      <c r="D16" s="162">
        <v>1.3500000000000002E-2</v>
      </c>
      <c r="E16" s="57"/>
      <c r="F16" s="167">
        <v>35000000</v>
      </c>
      <c r="G16" s="57"/>
      <c r="H16" s="167">
        <f t="shared" si="0"/>
        <v>472500</v>
      </c>
      <c r="I16" s="56"/>
      <c r="J16" s="206"/>
      <c r="K16" s="167">
        <v>56795.040000000001</v>
      </c>
      <c r="L16" s="56"/>
      <c r="M16" s="57"/>
      <c r="N16" s="167">
        <v>57230</v>
      </c>
      <c r="O16" s="167"/>
      <c r="P16" s="57"/>
      <c r="Q16" s="167">
        <f t="shared" si="1"/>
        <v>586525.04</v>
      </c>
      <c r="R16" s="57"/>
      <c r="S16" s="166">
        <f t="shared" si="2"/>
        <v>1.6760000000000001E-2</v>
      </c>
    </row>
    <row r="17" spans="1:19" s="157" customFormat="1" ht="17.25" customHeight="1" x14ac:dyDescent="0.25">
      <c r="A17" s="60" t="s">
        <v>86</v>
      </c>
      <c r="B17" s="161">
        <v>46692</v>
      </c>
      <c r="C17" s="56"/>
      <c r="D17" s="162">
        <v>1.3500000000000002E-2</v>
      </c>
      <c r="E17" s="57"/>
      <c r="F17" s="167">
        <v>35000000</v>
      </c>
      <c r="G17" s="57"/>
      <c r="H17" s="167">
        <f t="shared" si="0"/>
        <v>472500</v>
      </c>
      <c r="I17" s="56"/>
      <c r="J17" s="206"/>
      <c r="K17" s="167">
        <v>56644</v>
      </c>
      <c r="L17" s="56"/>
      <c r="M17" s="57"/>
      <c r="N17" s="167">
        <v>57056</v>
      </c>
      <c r="O17" s="167"/>
      <c r="P17" s="57"/>
      <c r="Q17" s="167">
        <f t="shared" si="1"/>
        <v>586200</v>
      </c>
      <c r="R17" s="57"/>
      <c r="S17" s="166">
        <f t="shared" si="2"/>
        <v>1.6750000000000001E-2</v>
      </c>
    </row>
    <row r="18" spans="1:19" s="157" customFormat="1" ht="17.25" customHeight="1" x14ac:dyDescent="0.25">
      <c r="A18" s="60" t="s">
        <v>87</v>
      </c>
      <c r="B18" s="161">
        <v>11963</v>
      </c>
      <c r="C18" s="56"/>
      <c r="D18" s="162">
        <v>8.2199999999999999E-3</v>
      </c>
      <c r="E18" s="57" t="s">
        <v>6</v>
      </c>
      <c r="F18" s="167">
        <v>41665000</v>
      </c>
      <c r="G18" s="57"/>
      <c r="H18" s="167">
        <f t="shared" si="0"/>
        <v>342486</v>
      </c>
      <c r="I18" s="56"/>
      <c r="J18" s="206"/>
      <c r="K18" s="167">
        <v>34868</v>
      </c>
      <c r="L18" s="56"/>
      <c r="M18" s="57"/>
      <c r="N18" s="167">
        <v>53194</v>
      </c>
      <c r="O18" s="167">
        <f>ROUND(F18*0.0025,0)+42414.97</f>
        <v>146577.97</v>
      </c>
      <c r="P18" s="57"/>
      <c r="Q18" s="167">
        <f t="shared" si="1"/>
        <v>577125.97</v>
      </c>
      <c r="R18" s="57"/>
      <c r="S18" s="166">
        <f t="shared" si="2"/>
        <v>1.3849999999999999E-2</v>
      </c>
    </row>
    <row r="19" spans="1:19" s="157" customFormat="1" ht="17.25" customHeight="1" x14ac:dyDescent="0.25">
      <c r="A19" s="60" t="s">
        <v>88</v>
      </c>
      <c r="B19" s="161">
        <v>12328</v>
      </c>
      <c r="C19" s="56"/>
      <c r="D19" s="162">
        <v>1.6500000000000001E-2</v>
      </c>
      <c r="E19" s="57"/>
      <c r="F19" s="167">
        <v>128000000</v>
      </c>
      <c r="G19" s="208"/>
      <c r="H19" s="167">
        <f t="shared" si="0"/>
        <v>2112000</v>
      </c>
      <c r="I19" s="56"/>
      <c r="J19" s="206"/>
      <c r="K19" s="167">
        <v>146616.24</v>
      </c>
      <c r="L19" s="56"/>
      <c r="M19" s="57"/>
      <c r="N19" s="167">
        <v>298967</v>
      </c>
      <c r="O19" s="167">
        <v>0</v>
      </c>
      <c r="P19" s="57"/>
      <c r="Q19" s="167">
        <f t="shared" si="1"/>
        <v>2557583.2400000002</v>
      </c>
      <c r="R19" s="57"/>
      <c r="S19" s="166">
        <f t="shared" si="2"/>
        <v>1.9980000000000001E-2</v>
      </c>
    </row>
    <row r="20" spans="1:19" s="157" customFormat="1" ht="17.25" customHeight="1" x14ac:dyDescent="0.25">
      <c r="A20" s="60" t="s">
        <v>89</v>
      </c>
      <c r="B20" s="161">
        <v>12816</v>
      </c>
      <c r="C20" s="56"/>
      <c r="D20" s="162">
        <v>2.1999999999999999E-2</v>
      </c>
      <c r="E20" s="57"/>
      <c r="F20" s="167">
        <v>40000000</v>
      </c>
      <c r="G20" s="208"/>
      <c r="H20" s="167">
        <f>ROUND(D20*F20,0)</f>
        <v>880000</v>
      </c>
      <c r="I20" s="56"/>
      <c r="J20" s="206"/>
      <c r="K20" s="167">
        <v>65734</v>
      </c>
      <c r="L20" s="56"/>
      <c r="M20" s="207"/>
      <c r="N20" s="167">
        <v>80623</v>
      </c>
      <c r="O20" s="167">
        <v>0</v>
      </c>
      <c r="P20" s="57"/>
      <c r="Q20" s="167">
        <f t="shared" si="1"/>
        <v>1026357</v>
      </c>
      <c r="R20" s="57"/>
      <c r="S20" s="166">
        <f t="shared" si="2"/>
        <v>2.5659999999999999E-2</v>
      </c>
    </row>
    <row r="21" spans="1:19" s="157" customFormat="1" ht="17.25" customHeight="1" x14ac:dyDescent="0.25">
      <c r="A21" s="60" t="s">
        <v>90</v>
      </c>
      <c r="B21" s="161">
        <v>48731</v>
      </c>
      <c r="C21" s="56"/>
      <c r="D21" s="162">
        <v>4.5999999999999999E-2</v>
      </c>
      <c r="E21" s="57"/>
      <c r="F21" s="167">
        <v>60000000</v>
      </c>
      <c r="G21" s="57"/>
      <c r="H21" s="167">
        <f>ROUND(D21*F21,0)</f>
        <v>2760000</v>
      </c>
      <c r="I21" s="56"/>
      <c r="J21" s="206"/>
      <c r="K21" s="167">
        <v>45289</v>
      </c>
      <c r="L21" s="56"/>
      <c r="M21" s="57"/>
      <c r="N21" s="167">
        <v>45373</v>
      </c>
      <c r="O21" s="167">
        <v>0</v>
      </c>
      <c r="P21" s="57"/>
      <c r="Q21" s="167">
        <f t="shared" si="1"/>
        <v>2850662</v>
      </c>
      <c r="R21" s="57"/>
      <c r="S21" s="166">
        <f t="shared" si="2"/>
        <v>4.7509999999999997E-2</v>
      </c>
    </row>
    <row r="22" spans="1:19" s="157" customFormat="1" ht="17.25" customHeight="1" x14ac:dyDescent="0.25">
      <c r="A22" s="60" t="s">
        <v>91</v>
      </c>
      <c r="B22" s="161">
        <v>48731</v>
      </c>
      <c r="C22" s="56"/>
      <c r="D22" s="162">
        <v>1.15E-2</v>
      </c>
      <c r="E22" s="57"/>
      <c r="F22" s="167">
        <v>31000000</v>
      </c>
      <c r="G22" s="208"/>
      <c r="H22" s="167">
        <f>ROUND(D22*F22,0)</f>
        <v>356500</v>
      </c>
      <c r="I22" s="56"/>
      <c r="J22" s="206"/>
      <c r="K22" s="167">
        <v>61837</v>
      </c>
      <c r="L22" s="56"/>
      <c r="M22" s="207"/>
      <c r="N22" s="168">
        <v>33702</v>
      </c>
      <c r="O22" s="167">
        <v>0</v>
      </c>
      <c r="P22" s="57"/>
      <c r="Q22" s="167">
        <f t="shared" si="1"/>
        <v>452039</v>
      </c>
      <c r="R22" s="57"/>
      <c r="S22" s="166">
        <f t="shared" si="2"/>
        <v>1.4579999999999999E-2</v>
      </c>
    </row>
    <row r="23" spans="1:19" s="157" customFormat="1" ht="17.25" customHeight="1" x14ac:dyDescent="0.25">
      <c r="A23" s="60" t="s">
        <v>92</v>
      </c>
      <c r="B23" s="161">
        <v>48731</v>
      </c>
      <c r="C23" s="56"/>
      <c r="D23" s="162">
        <v>1.6E-2</v>
      </c>
      <c r="E23" s="57"/>
      <c r="F23" s="167">
        <v>35200000</v>
      </c>
      <c r="G23" s="208"/>
      <c r="H23" s="167">
        <f>ROUND(D23*F23,0)</f>
        <v>563200</v>
      </c>
      <c r="I23" s="56"/>
      <c r="J23" s="206"/>
      <c r="K23" s="167">
        <v>52292.759999999995</v>
      </c>
      <c r="L23" s="56"/>
      <c r="M23" s="57"/>
      <c r="N23" s="167">
        <v>31293</v>
      </c>
      <c r="O23" s="167">
        <v>0</v>
      </c>
      <c r="P23" s="57"/>
      <c r="Q23" s="167">
        <f t="shared" si="1"/>
        <v>646785.76</v>
      </c>
      <c r="R23" s="57"/>
      <c r="S23" s="166">
        <f t="shared" si="2"/>
        <v>1.8370000000000001E-2</v>
      </c>
    </row>
    <row r="24" spans="1:19" s="157" customFormat="1" ht="17.25" customHeight="1" x14ac:dyDescent="0.25">
      <c r="A24" s="60" t="s">
        <v>93</v>
      </c>
      <c r="B24" s="161"/>
      <c r="C24" s="56"/>
      <c r="D24" s="169"/>
      <c r="E24" s="57"/>
      <c r="F24" s="167">
        <v>0</v>
      </c>
      <c r="G24" s="57" t="s">
        <v>3</v>
      </c>
      <c r="H24" s="167">
        <v>0</v>
      </c>
      <c r="I24" s="57"/>
      <c r="J24" s="57"/>
      <c r="K24" s="167">
        <v>0</v>
      </c>
      <c r="L24" s="56"/>
      <c r="M24" s="208"/>
      <c r="N24" s="167">
        <v>0</v>
      </c>
      <c r="O24" s="167"/>
      <c r="P24" s="57"/>
      <c r="Q24" s="167">
        <f t="shared" si="1"/>
        <v>0</v>
      </c>
      <c r="R24" s="57"/>
      <c r="S24" s="166"/>
    </row>
    <row r="25" spans="1:19" s="157" customFormat="1" ht="15" x14ac:dyDescent="0.2">
      <c r="A25" s="60"/>
      <c r="B25" s="61"/>
      <c r="C25" s="61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82"/>
    </row>
    <row r="26" spans="1:19" s="157" customFormat="1" ht="17.25" customHeight="1" x14ac:dyDescent="0.2">
      <c r="A26" s="60" t="s">
        <v>94</v>
      </c>
      <c r="B26" s="161"/>
      <c r="C26" s="56"/>
      <c r="D26" s="170"/>
      <c r="E26" s="57"/>
      <c r="F26" s="167"/>
      <c r="G26" s="57"/>
      <c r="H26" s="167"/>
      <c r="I26" s="57"/>
      <c r="J26" s="57"/>
      <c r="K26" s="167"/>
      <c r="L26" s="163"/>
      <c r="M26" s="163"/>
      <c r="N26" s="167"/>
      <c r="O26" s="167"/>
      <c r="P26" s="57"/>
      <c r="Q26" s="167"/>
      <c r="R26" s="57"/>
      <c r="S26" s="166"/>
    </row>
    <row r="27" spans="1:19" s="157" customFormat="1" ht="17.25" customHeight="1" x14ac:dyDescent="0.25">
      <c r="A27" s="60" t="s">
        <v>97</v>
      </c>
      <c r="B27" s="161">
        <v>51455</v>
      </c>
      <c r="C27" s="56"/>
      <c r="D27" s="162">
        <v>5.1249999999999997E-2</v>
      </c>
      <c r="E27" s="57"/>
      <c r="F27" s="167">
        <v>285000000</v>
      </c>
      <c r="G27" s="58"/>
      <c r="H27" s="167">
        <f t="shared" ref="H27:H29" si="3">ROUND(D27*F27,0)</f>
        <v>14606250</v>
      </c>
      <c r="I27" s="56"/>
      <c r="J27" s="206"/>
      <c r="K27" s="167">
        <v>113595</v>
      </c>
      <c r="L27" s="163" t="s">
        <v>95</v>
      </c>
      <c r="M27" s="163"/>
      <c r="N27" s="167">
        <v>0</v>
      </c>
      <c r="O27" s="167">
        <v>0</v>
      </c>
      <c r="P27" s="57"/>
      <c r="Q27" s="167">
        <f t="shared" ref="Q27:Q37" si="4">H27+K27+N27+O27:O27</f>
        <v>14719845</v>
      </c>
      <c r="R27" s="57"/>
      <c r="S27" s="166">
        <f>ROUND((Q27/F27),5)</f>
        <v>5.1650000000000001E-2</v>
      </c>
    </row>
    <row r="28" spans="1:19" s="157" customFormat="1" ht="17.25" customHeight="1" x14ac:dyDescent="0.25">
      <c r="A28" s="60" t="s">
        <v>96</v>
      </c>
      <c r="B28" s="161">
        <v>51455</v>
      </c>
      <c r="C28" s="56"/>
      <c r="D28" s="162">
        <v>5.1249999999999997E-2</v>
      </c>
      <c r="E28" s="56"/>
      <c r="F28" s="167">
        <v>-2553899.6699999962</v>
      </c>
      <c r="G28" s="58"/>
      <c r="H28" s="167"/>
      <c r="I28" s="56"/>
      <c r="J28" s="206"/>
      <c r="K28" s="167">
        <v>98482.92</v>
      </c>
      <c r="L28" s="163" t="s">
        <v>95</v>
      </c>
      <c r="M28" s="163"/>
      <c r="N28" s="167"/>
      <c r="O28" s="167"/>
      <c r="P28" s="57"/>
      <c r="Q28" s="167">
        <f t="shared" si="4"/>
        <v>98482.92</v>
      </c>
      <c r="R28" s="57"/>
      <c r="S28" s="166">
        <f>ROUND((Q28/F28),5)</f>
        <v>-3.8559999999999997E-2</v>
      </c>
    </row>
    <row r="29" spans="1:19" s="157" customFormat="1" ht="17.25" customHeight="1" x14ac:dyDescent="0.25">
      <c r="A29" s="60" t="s">
        <v>98</v>
      </c>
      <c r="B29" s="161">
        <v>16025</v>
      </c>
      <c r="C29" s="56"/>
      <c r="D29" s="162">
        <v>4.65E-2</v>
      </c>
      <c r="E29" s="56"/>
      <c r="F29" s="167">
        <v>250000000</v>
      </c>
      <c r="G29" s="58"/>
      <c r="H29" s="167">
        <f t="shared" si="3"/>
        <v>11625000</v>
      </c>
      <c r="I29" s="56"/>
      <c r="J29" s="206"/>
      <c r="K29" s="167">
        <v>86932.08</v>
      </c>
      <c r="L29" s="163" t="s">
        <v>95</v>
      </c>
      <c r="M29" s="163"/>
      <c r="N29" s="167"/>
      <c r="O29" s="167"/>
      <c r="P29" s="57"/>
      <c r="Q29" s="167">
        <f t="shared" si="4"/>
        <v>11711932.08</v>
      </c>
      <c r="R29" s="57"/>
      <c r="S29" s="166">
        <f>ROUND((Q29/F29),5)</f>
        <v>4.6850000000000003E-2</v>
      </c>
    </row>
    <row r="30" spans="1:19" s="157" customFormat="1" ht="17.25" customHeight="1" x14ac:dyDescent="0.25">
      <c r="A30" s="60" t="s">
        <v>96</v>
      </c>
      <c r="B30" s="161">
        <v>52550</v>
      </c>
      <c r="C30" s="56"/>
      <c r="D30" s="162">
        <v>4.65E-2</v>
      </c>
      <c r="E30" s="56"/>
      <c r="F30" s="167">
        <v>-1662493.8800000018</v>
      </c>
      <c r="G30" s="58"/>
      <c r="H30" s="167"/>
      <c r="I30" s="56"/>
      <c r="J30" s="206"/>
      <c r="K30" s="167">
        <v>57163.799999999996</v>
      </c>
      <c r="L30" s="163" t="s">
        <v>95</v>
      </c>
      <c r="M30" s="163"/>
      <c r="N30" s="167"/>
      <c r="O30" s="167"/>
      <c r="P30" s="57"/>
      <c r="Q30" s="167">
        <f t="shared" si="4"/>
        <v>57163.799999999996</v>
      </c>
      <c r="R30" s="57"/>
      <c r="S30" s="166">
        <f>ROUND((Q30/F30),5)</f>
        <v>-3.4380000000000001E-2</v>
      </c>
    </row>
    <row r="31" spans="1:19" s="157" customFormat="1" ht="17.25" customHeight="1" x14ac:dyDescent="0.25">
      <c r="A31" s="60" t="s">
        <v>99</v>
      </c>
      <c r="B31" s="161">
        <v>52550</v>
      </c>
      <c r="C31" s="56"/>
      <c r="D31" s="162"/>
      <c r="E31" s="57"/>
      <c r="F31" s="167"/>
      <c r="G31" s="56"/>
      <c r="H31" s="167">
        <v>-1366928.76</v>
      </c>
      <c r="I31" s="56"/>
      <c r="J31" s="206"/>
      <c r="K31" s="167"/>
      <c r="L31" s="163"/>
      <c r="M31" s="163"/>
      <c r="N31" s="167"/>
      <c r="O31" s="167"/>
      <c r="P31" s="57"/>
      <c r="Q31" s="167">
        <f t="shared" si="4"/>
        <v>-1366928.76</v>
      </c>
      <c r="R31" s="57"/>
      <c r="S31" s="166">
        <f>ROUND((Q31/43027967.76),5)</f>
        <v>-3.177E-2</v>
      </c>
    </row>
    <row r="32" spans="1:19" s="157" customFormat="1" ht="17.25" customHeight="1" x14ac:dyDescent="0.25">
      <c r="A32" s="60" t="s">
        <v>100</v>
      </c>
      <c r="B32" s="161">
        <v>45931</v>
      </c>
      <c r="C32" s="56"/>
      <c r="D32" s="162">
        <v>3.3000000000000002E-2</v>
      </c>
      <c r="E32" s="57"/>
      <c r="F32" s="167">
        <v>300000000</v>
      </c>
      <c r="G32" s="56"/>
      <c r="H32" s="167">
        <f>ROUND(D32*F32,0)</f>
        <v>9900000</v>
      </c>
      <c r="I32" s="56"/>
      <c r="J32" s="206"/>
      <c r="K32" s="167">
        <v>226314.72000000003</v>
      </c>
      <c r="L32" s="163"/>
      <c r="M32" s="163"/>
      <c r="N32" s="167"/>
      <c r="O32" s="167"/>
      <c r="P32" s="57"/>
      <c r="Q32" s="167">
        <f t="shared" si="4"/>
        <v>10126314.720000001</v>
      </c>
      <c r="R32" s="57"/>
      <c r="S32" s="166">
        <f>ROUND((Q32/F32),5)</f>
        <v>3.3750000000000002E-2</v>
      </c>
    </row>
    <row r="33" spans="1:22" s="157" customFormat="1" ht="17.25" customHeight="1" x14ac:dyDescent="0.25">
      <c r="A33" s="60" t="s">
        <v>96</v>
      </c>
      <c r="B33" s="161">
        <v>45931</v>
      </c>
      <c r="C33" s="56"/>
      <c r="D33" s="162">
        <v>3.3000000000000002E-2</v>
      </c>
      <c r="E33" s="56"/>
      <c r="F33" s="167">
        <v>-123514.15</v>
      </c>
      <c r="G33" s="56"/>
      <c r="H33" s="167"/>
      <c r="I33" s="56"/>
      <c r="J33" s="206"/>
      <c r="K33" s="167">
        <v>12279</v>
      </c>
      <c r="L33" s="163"/>
      <c r="M33" s="163"/>
      <c r="N33" s="167"/>
      <c r="O33" s="167"/>
      <c r="P33" s="57"/>
      <c r="Q33" s="167">
        <f t="shared" si="4"/>
        <v>12279</v>
      </c>
      <c r="R33" s="57"/>
      <c r="S33" s="166">
        <f>ROUND((Q33/F33),5)</f>
        <v>-9.9409999999999998E-2</v>
      </c>
      <c r="T33" s="58"/>
      <c r="U33" s="58"/>
      <c r="V33" s="58"/>
    </row>
    <row r="34" spans="1:22" s="157" customFormat="1" ht="17.25" customHeight="1" x14ac:dyDescent="0.25">
      <c r="A34" s="60" t="s">
        <v>101</v>
      </c>
      <c r="B34" s="161">
        <v>45931</v>
      </c>
      <c r="C34" s="56"/>
      <c r="D34" s="162"/>
      <c r="E34" s="57"/>
      <c r="F34" s="167"/>
      <c r="G34" s="56"/>
      <c r="H34" s="167">
        <v>1339923.6000000001</v>
      </c>
      <c r="I34" s="56"/>
      <c r="J34" s="206"/>
      <c r="K34" s="167"/>
      <c r="L34" s="163"/>
      <c r="M34" s="163"/>
      <c r="N34" s="167"/>
      <c r="O34" s="167"/>
      <c r="P34" s="57"/>
      <c r="Q34" s="167">
        <f t="shared" si="4"/>
        <v>1339923.6000000001</v>
      </c>
      <c r="R34" s="57"/>
      <c r="S34" s="166">
        <f>ROUND((Q34/14076899),5)</f>
        <v>9.5189999999999997E-2</v>
      </c>
      <c r="T34" s="58"/>
      <c r="U34" s="58"/>
      <c r="V34" s="58"/>
    </row>
    <row r="35" spans="1:22" s="157" customFormat="1" ht="17.25" customHeight="1" x14ac:dyDescent="0.25">
      <c r="A35" s="60" t="s">
        <v>102</v>
      </c>
      <c r="B35" s="161">
        <v>53236</v>
      </c>
      <c r="C35" s="56"/>
      <c r="D35" s="162">
        <v>4.3749999999999997E-2</v>
      </c>
      <c r="E35" s="57"/>
      <c r="F35" s="167">
        <v>250000000</v>
      </c>
      <c r="G35" s="56"/>
      <c r="H35" s="167">
        <f>ROUND(D35*F35,0)</f>
        <v>10937500</v>
      </c>
      <c r="I35" s="56"/>
      <c r="J35" s="206"/>
      <c r="K35" s="167">
        <v>81622.680000000008</v>
      </c>
      <c r="L35" s="163"/>
      <c r="M35" s="163"/>
      <c r="N35" s="167"/>
      <c r="O35" s="167"/>
      <c r="P35" s="57"/>
      <c r="Q35" s="167">
        <f t="shared" si="4"/>
        <v>11019122.68</v>
      </c>
      <c r="R35" s="57"/>
      <c r="S35" s="166">
        <f>ROUND((Q35/F35),5)</f>
        <v>4.4080000000000001E-2</v>
      </c>
      <c r="T35" s="58"/>
      <c r="U35" s="58"/>
      <c r="V35" s="58"/>
    </row>
    <row r="36" spans="1:22" s="157" customFormat="1" ht="17.25" customHeight="1" x14ac:dyDescent="0.25">
      <c r="A36" s="60" t="s">
        <v>96</v>
      </c>
      <c r="B36" s="161">
        <v>53236</v>
      </c>
      <c r="C36" s="56"/>
      <c r="D36" s="162">
        <v>4.3749999999999997E-2</v>
      </c>
      <c r="E36" s="56"/>
      <c r="F36" s="167">
        <v>-204536.32000000001</v>
      </c>
      <c r="G36" s="56"/>
      <c r="H36" s="167"/>
      <c r="I36" s="56"/>
      <c r="J36" s="206"/>
      <c r="K36" s="167">
        <v>6587.88</v>
      </c>
      <c r="L36" s="163"/>
      <c r="M36" s="163"/>
      <c r="N36" s="167"/>
      <c r="O36" s="167"/>
      <c r="P36" s="57"/>
      <c r="Q36" s="167">
        <f t="shared" si="4"/>
        <v>6587.88</v>
      </c>
      <c r="R36" s="57"/>
      <c r="S36" s="166">
        <f>ROUND((Q36/F36),5)</f>
        <v>-3.2210000000000003E-2</v>
      </c>
      <c r="T36" s="58"/>
      <c r="U36" s="58"/>
      <c r="V36" s="58"/>
    </row>
    <row r="37" spans="1:22" s="157" customFormat="1" ht="17.25" customHeight="1" x14ac:dyDescent="0.25">
      <c r="A37" s="60" t="s">
        <v>101</v>
      </c>
      <c r="B37" s="161">
        <v>53236</v>
      </c>
      <c r="C37" s="56"/>
      <c r="D37" s="170"/>
      <c r="E37" s="57"/>
      <c r="F37" s="167"/>
      <c r="G37" s="56"/>
      <c r="H37" s="167">
        <v>940130.28</v>
      </c>
      <c r="I37" s="56"/>
      <c r="J37" s="206"/>
      <c r="K37" s="167"/>
      <c r="L37" s="163"/>
      <c r="M37" s="163"/>
      <c r="N37" s="167"/>
      <c r="O37" s="167"/>
      <c r="P37" s="57"/>
      <c r="Q37" s="167">
        <f t="shared" si="4"/>
        <v>940130.28</v>
      </c>
      <c r="R37" s="57"/>
      <c r="S37" s="166">
        <f>ROUND((Q37/29611403),5)</f>
        <v>3.175E-2</v>
      </c>
      <c r="T37" s="58"/>
      <c r="U37" s="58"/>
      <c r="V37" s="58"/>
    </row>
    <row r="38" spans="1:22" s="157" customFormat="1" ht="17.25" customHeight="1" x14ac:dyDescent="0.2">
      <c r="A38" s="60"/>
      <c r="B38" s="161"/>
      <c r="C38" s="56"/>
      <c r="D38" s="170"/>
      <c r="E38" s="57"/>
      <c r="F38" s="167"/>
      <c r="G38" s="56"/>
      <c r="H38" s="167"/>
      <c r="I38" s="56"/>
      <c r="J38" s="56"/>
      <c r="K38" s="167"/>
      <c r="L38" s="163"/>
      <c r="M38" s="163"/>
      <c r="N38" s="167"/>
      <c r="O38" s="167"/>
      <c r="P38" s="57"/>
      <c r="Q38" s="167"/>
      <c r="R38" s="57"/>
      <c r="S38" s="166"/>
      <c r="T38" s="58"/>
      <c r="U38" s="58"/>
      <c r="V38" s="58"/>
    </row>
    <row r="39" spans="1:22" s="157" customFormat="1" ht="17.25" customHeight="1" x14ac:dyDescent="0.2">
      <c r="A39" s="60" t="s">
        <v>103</v>
      </c>
      <c r="B39" s="161">
        <v>44196</v>
      </c>
      <c r="C39" s="56"/>
      <c r="D39" s="169"/>
      <c r="E39" s="57"/>
      <c r="F39" s="167"/>
      <c r="G39" s="57"/>
      <c r="H39" s="167"/>
      <c r="I39" s="56"/>
      <c r="J39" s="56"/>
      <c r="K39" s="171">
        <v>516761.04</v>
      </c>
      <c r="L39" s="56">
        <v>2</v>
      </c>
      <c r="M39" s="56"/>
      <c r="N39" s="167">
        <v>38656.92</v>
      </c>
      <c r="O39" s="167">
        <f>500000000*0.001</f>
        <v>500000</v>
      </c>
      <c r="P39" s="57"/>
      <c r="Q39" s="167">
        <f>H39+K39+N39+O39:O39</f>
        <v>1055417.96</v>
      </c>
      <c r="R39" s="57"/>
      <c r="S39" s="166"/>
      <c r="T39" s="58"/>
      <c r="U39" s="58"/>
      <c r="V39" s="58"/>
    </row>
    <row r="40" spans="1:22" s="157" customFormat="1" ht="17.25" customHeight="1" thickBot="1" x14ac:dyDescent="0.25">
      <c r="A40" s="60"/>
      <c r="B40" s="161"/>
      <c r="C40" s="56"/>
      <c r="D40" s="170"/>
      <c r="E40" s="57"/>
      <c r="F40" s="167"/>
      <c r="G40" s="57"/>
      <c r="H40" s="167"/>
      <c r="I40" s="57"/>
      <c r="J40" s="57"/>
      <c r="K40" s="167"/>
      <c r="L40" s="163"/>
      <c r="M40" s="163"/>
      <c r="N40" s="167"/>
      <c r="O40" s="167"/>
      <c r="P40" s="57"/>
      <c r="Q40" s="167"/>
      <c r="R40" s="57"/>
      <c r="S40" s="166"/>
      <c r="T40" s="58"/>
      <c r="U40" s="58"/>
      <c r="V40" s="58"/>
    </row>
    <row r="41" spans="1:22" s="157" customFormat="1" ht="16.5" thickBot="1" x14ac:dyDescent="0.3">
      <c r="A41" s="172" t="s">
        <v>104</v>
      </c>
      <c r="B41" s="173"/>
      <c r="C41" s="56"/>
      <c r="D41" s="174"/>
      <c r="E41" s="57"/>
      <c r="F41" s="175">
        <f>SUM(F11:F39)</f>
        <v>1654759555.9799998</v>
      </c>
      <c r="G41" s="176"/>
      <c r="H41" s="175">
        <f>SUM(H11:H39)</f>
        <v>57211381.120000005</v>
      </c>
      <c r="I41" s="165"/>
      <c r="J41" s="165"/>
      <c r="K41" s="175">
        <f>SUM(K11:K39)</f>
        <v>1888503.24</v>
      </c>
      <c r="L41" s="165"/>
      <c r="M41" s="165"/>
      <c r="N41" s="175">
        <f>SUM(N11:N39)</f>
        <v>1097221.92</v>
      </c>
      <c r="O41" s="175">
        <f>SUM(O11:O39)</f>
        <v>954478.17999999993</v>
      </c>
      <c r="P41" s="165"/>
      <c r="Q41" s="175">
        <f>SUM(Q11:Q39)</f>
        <v>61151584.460000001</v>
      </c>
      <c r="R41" s="57"/>
      <c r="S41" s="177">
        <f>ROUND(+Q41/F54,5)</f>
        <v>3.6949999999999997E-2</v>
      </c>
      <c r="T41" s="58"/>
      <c r="U41" s="58"/>
      <c r="V41" s="62"/>
    </row>
    <row r="42" spans="1:22" s="157" customFormat="1" ht="15" x14ac:dyDescent="0.2">
      <c r="A42" s="60"/>
      <c r="B42" s="173"/>
      <c r="C42" s="56"/>
      <c r="D42" s="174"/>
      <c r="E42" s="57"/>
      <c r="F42" s="163"/>
      <c r="G42" s="163"/>
      <c r="H42" s="163"/>
      <c r="I42" s="57"/>
      <c r="J42" s="57"/>
      <c r="K42" s="163"/>
      <c r="L42" s="163"/>
      <c r="M42" s="163"/>
      <c r="N42" s="56"/>
      <c r="O42" s="71"/>
      <c r="P42" s="57"/>
      <c r="Q42" s="71"/>
      <c r="R42" s="57"/>
      <c r="S42" s="82"/>
      <c r="T42" s="63"/>
      <c r="U42" s="64"/>
      <c r="V42" s="58"/>
    </row>
    <row r="43" spans="1:22" s="157" customFormat="1" ht="15" x14ac:dyDescent="0.2">
      <c r="A43" s="60" t="s">
        <v>105</v>
      </c>
      <c r="B43" s="56"/>
      <c r="C43" s="56"/>
      <c r="D43" s="57"/>
      <c r="E43" s="57"/>
      <c r="F43" s="71"/>
      <c r="G43" s="57"/>
      <c r="H43" s="71"/>
      <c r="I43" s="57"/>
      <c r="J43" s="57"/>
      <c r="K43" s="178"/>
      <c r="L43" s="163"/>
      <c r="M43" s="163"/>
      <c r="N43" s="163"/>
      <c r="O43" s="163"/>
      <c r="P43" s="57"/>
      <c r="Q43" s="71"/>
      <c r="R43" s="57"/>
      <c r="S43" s="82"/>
      <c r="T43" s="63"/>
      <c r="U43" s="58"/>
      <c r="V43" s="58"/>
    </row>
    <row r="44" spans="1:22" s="157" customFormat="1" ht="30" x14ac:dyDescent="0.2">
      <c r="A44" s="179" t="s">
        <v>106</v>
      </c>
      <c r="B44" s="161">
        <v>44136</v>
      </c>
      <c r="C44" s="56">
        <v>1</v>
      </c>
      <c r="D44" s="58"/>
      <c r="E44" s="57"/>
      <c r="F44" s="71"/>
      <c r="G44" s="56"/>
      <c r="H44" s="165">
        <v>4571335</v>
      </c>
      <c r="I44" s="165"/>
      <c r="J44" s="165"/>
      <c r="K44" s="165">
        <v>0</v>
      </c>
      <c r="L44" s="165"/>
      <c r="M44" s="165"/>
      <c r="N44" s="165">
        <v>0</v>
      </c>
      <c r="O44" s="165">
        <v>0</v>
      </c>
      <c r="P44" s="165"/>
      <c r="Q44" s="165">
        <f>SUM(H44:O44)</f>
        <v>4571335</v>
      </c>
      <c r="R44" s="57"/>
      <c r="S44" s="82"/>
      <c r="T44" s="58"/>
      <c r="U44" s="58"/>
      <c r="V44" s="58"/>
    </row>
    <row r="45" spans="1:22" s="157" customFormat="1" ht="30" x14ac:dyDescent="0.2">
      <c r="A45" s="179" t="s">
        <v>107</v>
      </c>
      <c r="B45" s="161">
        <v>48853</v>
      </c>
      <c r="C45" s="56">
        <v>1</v>
      </c>
      <c r="D45" s="58"/>
      <c r="E45" s="57"/>
      <c r="F45" s="71"/>
      <c r="G45" s="56"/>
      <c r="H45" s="167">
        <v>1080590</v>
      </c>
      <c r="I45" s="57"/>
      <c r="J45" s="57"/>
      <c r="K45" s="167">
        <v>0</v>
      </c>
      <c r="L45" s="163"/>
      <c r="M45" s="163"/>
      <c r="N45" s="167">
        <v>0</v>
      </c>
      <c r="O45" s="167">
        <v>0</v>
      </c>
      <c r="P45" s="57"/>
      <c r="Q45" s="167">
        <f>SUM(H45:O45)</f>
        <v>1080590</v>
      </c>
      <c r="R45" s="57"/>
      <c r="S45" s="82"/>
      <c r="T45" s="63"/>
      <c r="U45" s="58"/>
      <c r="V45" s="58"/>
    </row>
    <row r="46" spans="1:22" s="157" customFormat="1" ht="30" x14ac:dyDescent="0.2">
      <c r="A46" s="179" t="s">
        <v>108</v>
      </c>
      <c r="B46" s="161">
        <v>48853</v>
      </c>
      <c r="C46" s="56">
        <v>1</v>
      </c>
      <c r="D46" s="58"/>
      <c r="E46" s="57"/>
      <c r="F46" s="71"/>
      <c r="G46" s="56"/>
      <c r="H46" s="167">
        <v>1076750</v>
      </c>
      <c r="I46" s="57"/>
      <c r="J46" s="57"/>
      <c r="K46" s="167">
        <v>0</v>
      </c>
      <c r="L46" s="163"/>
      <c r="M46" s="163"/>
      <c r="N46" s="167">
        <v>0</v>
      </c>
      <c r="O46" s="167">
        <v>0</v>
      </c>
      <c r="P46" s="57"/>
      <c r="Q46" s="167">
        <f>SUM(H46:O46)</f>
        <v>1076750</v>
      </c>
      <c r="R46" s="57"/>
      <c r="S46" s="82"/>
      <c r="T46" s="58"/>
      <c r="U46" s="58"/>
      <c r="V46" s="58"/>
    </row>
    <row r="47" spans="1:22" s="157" customFormat="1" ht="30.75" thickBot="1" x14ac:dyDescent="0.25">
      <c r="A47" s="179" t="s">
        <v>109</v>
      </c>
      <c r="B47" s="161">
        <v>48853</v>
      </c>
      <c r="C47" s="56">
        <v>1</v>
      </c>
      <c r="D47" s="58"/>
      <c r="E47" s="57"/>
      <c r="F47" s="71"/>
      <c r="G47" s="56"/>
      <c r="H47" s="167">
        <v>1092750</v>
      </c>
      <c r="I47" s="57"/>
      <c r="J47" s="57"/>
      <c r="K47" s="167">
        <v>0</v>
      </c>
      <c r="L47" s="163"/>
      <c r="M47" s="163"/>
      <c r="N47" s="167">
        <v>0</v>
      </c>
      <c r="O47" s="167">
        <v>0</v>
      </c>
      <c r="P47" s="57"/>
      <c r="Q47" s="167">
        <f>SUM(H47:O47)</f>
        <v>1092750</v>
      </c>
      <c r="R47" s="57"/>
      <c r="S47" s="82"/>
      <c r="T47" s="63"/>
      <c r="U47" s="58"/>
      <c r="V47" s="58"/>
    </row>
    <row r="48" spans="1:22" s="157" customFormat="1" ht="16.5" thickBot="1" x14ac:dyDescent="0.3">
      <c r="A48" s="172" t="s">
        <v>110</v>
      </c>
      <c r="B48" s="161"/>
      <c r="C48" s="56"/>
      <c r="D48" s="57"/>
      <c r="E48" s="57"/>
      <c r="F48" s="71"/>
      <c r="G48" s="57"/>
      <c r="H48" s="175">
        <f>SUM(H44:H47)</f>
        <v>7821425</v>
      </c>
      <c r="I48" s="165"/>
      <c r="J48" s="165"/>
      <c r="K48" s="175">
        <f>SUM(K44:K47)</f>
        <v>0</v>
      </c>
      <c r="L48" s="165"/>
      <c r="M48" s="165"/>
      <c r="N48" s="175">
        <f>SUM(N44:N47)</f>
        <v>0</v>
      </c>
      <c r="O48" s="175">
        <f>SUM(O44:O47)</f>
        <v>0</v>
      </c>
      <c r="P48" s="165"/>
      <c r="Q48" s="175">
        <f>SUM(Q44:Q47)</f>
        <v>7821425</v>
      </c>
      <c r="R48" s="57"/>
      <c r="S48" s="177">
        <f>ROUND(+Q48/F54,5)</f>
        <v>4.7299999999999998E-3</v>
      </c>
      <c r="T48" s="58"/>
      <c r="U48" s="58"/>
      <c r="V48" s="58"/>
    </row>
    <row r="49" spans="1:21" s="157" customFormat="1" ht="15" x14ac:dyDescent="0.2">
      <c r="A49" s="60"/>
      <c r="B49" s="161"/>
      <c r="C49" s="56"/>
      <c r="D49" s="57"/>
      <c r="E49" s="57"/>
      <c r="F49" s="180"/>
      <c r="G49" s="57"/>
      <c r="H49" s="71"/>
      <c r="I49" s="57"/>
      <c r="J49" s="57"/>
      <c r="K49" s="163"/>
      <c r="L49" s="163"/>
      <c r="M49" s="163"/>
      <c r="N49" s="163"/>
      <c r="O49" s="163"/>
      <c r="P49" s="57"/>
      <c r="Q49" s="71"/>
      <c r="R49" s="57"/>
      <c r="S49" s="82"/>
      <c r="T49" s="63"/>
      <c r="U49" s="58"/>
    </row>
    <row r="50" spans="1:21" s="157" customFormat="1" ht="15.75" x14ac:dyDescent="0.25">
      <c r="A50" s="60" t="s">
        <v>111</v>
      </c>
      <c r="B50" s="161"/>
      <c r="C50" s="209"/>
      <c r="D50" s="170"/>
      <c r="E50" s="57"/>
      <c r="F50" s="165">
        <v>0</v>
      </c>
      <c r="G50" s="165"/>
      <c r="H50" s="165">
        <v>0</v>
      </c>
      <c r="I50" s="165"/>
      <c r="J50" s="165"/>
      <c r="K50" s="165">
        <v>0</v>
      </c>
      <c r="L50" s="165"/>
      <c r="M50" s="165"/>
      <c r="N50" s="165">
        <v>0</v>
      </c>
      <c r="O50" s="165">
        <v>0</v>
      </c>
      <c r="P50" s="165"/>
      <c r="Q50" s="165">
        <f>SUM(H50,K50,O50)</f>
        <v>0</v>
      </c>
      <c r="R50" s="57"/>
      <c r="S50" s="166"/>
      <c r="T50" s="58"/>
      <c r="U50" s="58"/>
    </row>
    <row r="51" spans="1:21" s="157" customFormat="1" ht="15.75" thickBot="1" x14ac:dyDescent="0.25">
      <c r="A51" s="60"/>
      <c r="B51" s="161"/>
      <c r="C51" s="56"/>
      <c r="D51" s="170"/>
      <c r="E51" s="57"/>
      <c r="F51" s="167"/>
      <c r="G51" s="57"/>
      <c r="H51" s="71"/>
      <c r="I51" s="57"/>
      <c r="J51" s="57"/>
      <c r="K51" s="167">
        <v>0</v>
      </c>
      <c r="L51" s="181"/>
      <c r="M51" s="181"/>
      <c r="N51" s="167">
        <v>0</v>
      </c>
      <c r="O51" s="167">
        <v>0</v>
      </c>
      <c r="P51" s="57"/>
      <c r="Q51" s="167">
        <f>SUM(H51,K51,O51)</f>
        <v>0</v>
      </c>
      <c r="R51" s="57"/>
      <c r="S51" s="166"/>
      <c r="T51" s="58"/>
      <c r="U51" s="58"/>
    </row>
    <row r="52" spans="1:21" s="157" customFormat="1" ht="16.5" thickBot="1" x14ac:dyDescent="0.3">
      <c r="A52" s="172" t="s">
        <v>112</v>
      </c>
      <c r="B52" s="161"/>
      <c r="C52" s="56"/>
      <c r="D52" s="162"/>
      <c r="E52" s="57"/>
      <c r="F52" s="175">
        <f>SUM(F50:F51)</f>
        <v>0</v>
      </c>
      <c r="G52" s="165"/>
      <c r="H52" s="175">
        <f>SUM(H50:H51)</f>
        <v>0</v>
      </c>
      <c r="I52" s="165"/>
      <c r="J52" s="165"/>
      <c r="K52" s="175">
        <f>SUM(K51:K51)</f>
        <v>0</v>
      </c>
      <c r="L52" s="165"/>
      <c r="M52" s="165"/>
      <c r="N52" s="175">
        <f>SUM(N51:N51)</f>
        <v>0</v>
      </c>
      <c r="O52" s="175">
        <f>SUM(O51:O51)</f>
        <v>0</v>
      </c>
      <c r="P52" s="165"/>
      <c r="Q52" s="175">
        <f>SUM(Q50:Q51)</f>
        <v>0</v>
      </c>
      <c r="R52" s="57"/>
      <c r="S52" s="177">
        <f>ROUND(+Q52/F54,5)</f>
        <v>0</v>
      </c>
      <c r="T52" s="58"/>
      <c r="U52" s="58"/>
    </row>
    <row r="53" spans="1:21" s="157" customFormat="1" ht="15.75" thickBot="1" x14ac:dyDescent="0.25">
      <c r="A53" s="60"/>
      <c r="B53" s="56"/>
      <c r="C53" s="56"/>
      <c r="D53" s="174"/>
      <c r="E53" s="57"/>
      <c r="F53" s="71"/>
      <c r="G53" s="57"/>
      <c r="H53" s="71"/>
      <c r="I53" s="57"/>
      <c r="J53" s="57"/>
      <c r="K53" s="163"/>
      <c r="L53" s="163"/>
      <c r="M53" s="163"/>
      <c r="N53" s="71"/>
      <c r="O53" s="71"/>
      <c r="P53" s="71"/>
      <c r="Q53" s="71"/>
      <c r="R53" s="57"/>
      <c r="S53" s="82"/>
      <c r="T53" s="58"/>
      <c r="U53" s="58"/>
    </row>
    <row r="54" spans="1:21" s="157" customFormat="1" ht="16.5" thickBot="1" x14ac:dyDescent="0.3">
      <c r="A54" s="60"/>
      <c r="B54" s="56"/>
      <c r="C54" s="56"/>
      <c r="D54" s="174" t="s">
        <v>5</v>
      </c>
      <c r="E54" s="57"/>
      <c r="F54" s="182">
        <f>F41+F52</f>
        <v>1654759555.9799998</v>
      </c>
      <c r="G54" s="165"/>
      <c r="H54" s="182">
        <f>H41+H48+H52</f>
        <v>65032806.120000005</v>
      </c>
      <c r="I54" s="165"/>
      <c r="J54" s="165"/>
      <c r="K54" s="182">
        <f>K41+K48+K52</f>
        <v>1888503.24</v>
      </c>
      <c r="L54" s="165"/>
      <c r="M54" s="165"/>
      <c r="N54" s="182">
        <f>N41+N48+N52</f>
        <v>1097221.92</v>
      </c>
      <c r="O54" s="182">
        <f>O41+O48+O52</f>
        <v>954478.17999999993</v>
      </c>
      <c r="P54" s="165"/>
      <c r="Q54" s="182">
        <f>Q41+Q48+Q52</f>
        <v>68973009.460000008</v>
      </c>
      <c r="R54" s="57"/>
      <c r="S54" s="177">
        <f>ROUND(+Q54/F54,5)</f>
        <v>4.1680000000000002E-2</v>
      </c>
      <c r="T54" s="58"/>
      <c r="U54" s="65"/>
    </row>
    <row r="55" spans="1:21" s="157" customFormat="1" ht="15.75" thickTop="1" x14ac:dyDescent="0.2">
      <c r="A55" s="66"/>
      <c r="B55" s="67"/>
      <c r="C55" s="67"/>
      <c r="D55" s="68"/>
      <c r="E55" s="69"/>
      <c r="F55" s="70"/>
      <c r="G55" s="69"/>
      <c r="H55" s="70"/>
      <c r="I55" s="69"/>
      <c r="J55" s="69"/>
      <c r="K55" s="70"/>
      <c r="L55" s="70"/>
      <c r="M55" s="71"/>
      <c r="N55" s="56"/>
      <c r="O55" s="70"/>
      <c r="P55" s="70"/>
      <c r="Q55" s="70"/>
      <c r="R55" s="69"/>
      <c r="S55" s="83"/>
      <c r="T55" s="58"/>
      <c r="U55" s="58"/>
    </row>
    <row r="56" spans="1:21" s="157" customFormat="1" ht="15.75" x14ac:dyDescent="0.25">
      <c r="A56" s="58"/>
      <c r="B56" s="61"/>
      <c r="C56" s="61"/>
      <c r="D56" s="72"/>
      <c r="E56" s="58"/>
      <c r="F56" s="73"/>
      <c r="G56" s="58"/>
      <c r="H56" s="73"/>
      <c r="I56" s="206"/>
      <c r="J56" s="206"/>
      <c r="K56" s="73"/>
      <c r="L56" s="56"/>
      <c r="M56" s="56"/>
      <c r="N56" s="74"/>
      <c r="O56" s="73"/>
      <c r="P56" s="73"/>
      <c r="Q56" s="73"/>
      <c r="R56" s="58"/>
      <c r="S56" s="84"/>
      <c r="T56" s="58"/>
      <c r="U56" s="58"/>
    </row>
    <row r="57" spans="1:21" s="157" customFormat="1" ht="15.75" x14ac:dyDescent="0.25">
      <c r="A57" s="58"/>
      <c r="B57" s="61"/>
      <c r="C57" s="61"/>
      <c r="D57" s="72"/>
      <c r="E57" s="58"/>
      <c r="F57" s="73"/>
      <c r="G57" s="58"/>
      <c r="H57" s="73"/>
      <c r="I57" s="206"/>
      <c r="J57" s="206"/>
      <c r="K57" s="73"/>
      <c r="L57" s="56"/>
      <c r="M57" s="56"/>
      <c r="N57" s="73"/>
      <c r="O57" s="73"/>
      <c r="P57" s="73"/>
      <c r="Q57" s="73"/>
      <c r="R57" s="58"/>
      <c r="S57" s="84"/>
      <c r="T57" s="58"/>
      <c r="U57" s="58"/>
    </row>
    <row r="58" spans="1:21" s="157" customFormat="1" ht="15.75" x14ac:dyDescent="0.25">
      <c r="A58" s="65"/>
      <c r="B58" s="61"/>
      <c r="C58" s="61"/>
      <c r="D58" s="72"/>
      <c r="E58" s="58"/>
      <c r="F58" s="73"/>
      <c r="G58" s="58"/>
      <c r="H58" s="73"/>
      <c r="I58" s="206"/>
      <c r="J58" s="58"/>
      <c r="K58" s="73"/>
      <c r="L58" s="56"/>
      <c r="M58" s="73"/>
      <c r="N58" s="73"/>
      <c r="O58" s="73"/>
      <c r="P58" s="73"/>
      <c r="Q58" s="73"/>
      <c r="R58" s="58"/>
      <c r="S58" s="84"/>
      <c r="T58" s="58"/>
      <c r="U58" s="58"/>
    </row>
    <row r="59" spans="1:21" s="157" customFormat="1" ht="15" x14ac:dyDescent="0.2">
      <c r="A59" s="58"/>
      <c r="B59" s="61"/>
      <c r="C59" s="61"/>
      <c r="D59" s="72"/>
      <c r="E59" s="58"/>
      <c r="F59" s="73"/>
      <c r="G59" s="58"/>
      <c r="H59" s="73"/>
      <c r="I59" s="58"/>
      <c r="J59" s="58"/>
      <c r="K59" s="73"/>
      <c r="L59" s="73"/>
      <c r="M59" s="73"/>
      <c r="N59" s="73"/>
      <c r="O59" s="73"/>
      <c r="P59" s="73"/>
      <c r="Q59" s="73"/>
      <c r="R59" s="58"/>
      <c r="S59" s="84"/>
      <c r="T59" s="58"/>
      <c r="U59" s="58"/>
    </row>
    <row r="60" spans="1:21" s="75" customFormat="1" ht="15.75" x14ac:dyDescent="0.25">
      <c r="A60" s="219" t="s">
        <v>113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3"/>
    </row>
    <row r="61" spans="1:21" s="157" customFormat="1" ht="15" x14ac:dyDescent="0.2">
      <c r="A61" s="60"/>
      <c r="B61" s="56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81"/>
      <c r="T61" s="58"/>
      <c r="U61" s="58"/>
    </row>
    <row r="62" spans="1:21" s="157" customFormat="1" ht="15" x14ac:dyDescent="0.2">
      <c r="A62" s="60"/>
      <c r="B62" s="56"/>
      <c r="C62" s="56"/>
      <c r="D62" s="57"/>
      <c r="E62" s="57"/>
      <c r="F62" s="57"/>
      <c r="G62" s="57"/>
      <c r="H62" s="213" t="s">
        <v>68</v>
      </c>
      <c r="I62" s="213"/>
      <c r="J62" s="213"/>
      <c r="K62" s="213"/>
      <c r="L62" s="213"/>
      <c r="M62" s="213"/>
      <c r="N62" s="213"/>
      <c r="O62" s="213"/>
      <c r="P62" s="213"/>
      <c r="Q62" s="213"/>
      <c r="R62" s="57"/>
      <c r="S62" s="81"/>
      <c r="T62" s="58"/>
      <c r="U62" s="58"/>
    </row>
    <row r="63" spans="1:21" s="157" customFormat="1" ht="15" x14ac:dyDescent="0.2">
      <c r="A63" s="60"/>
      <c r="B63" s="56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158" t="s">
        <v>72</v>
      </c>
      <c r="T63" s="58"/>
      <c r="U63" s="58"/>
    </row>
    <row r="64" spans="1:21" s="157" customFormat="1" ht="15" x14ac:dyDescent="0.2">
      <c r="A64" s="60"/>
      <c r="B64" s="56" t="s">
        <v>114</v>
      </c>
      <c r="C64" s="56"/>
      <c r="D64" s="159" t="s">
        <v>186</v>
      </c>
      <c r="E64" s="57"/>
      <c r="F64" s="159" t="s">
        <v>187</v>
      </c>
      <c r="G64" s="57"/>
      <c r="H64" s="159" t="s">
        <v>188</v>
      </c>
      <c r="I64" s="56"/>
      <c r="J64" s="56"/>
      <c r="K64" s="159" t="s">
        <v>189</v>
      </c>
      <c r="L64" s="56"/>
      <c r="M64" s="56"/>
      <c r="N64" s="159" t="s">
        <v>190</v>
      </c>
      <c r="O64" s="159" t="s">
        <v>115</v>
      </c>
      <c r="P64" s="56"/>
      <c r="Q64" s="159" t="s">
        <v>191</v>
      </c>
      <c r="R64" s="57"/>
      <c r="S64" s="183" t="s">
        <v>192</v>
      </c>
      <c r="T64" s="58"/>
      <c r="U64" s="58"/>
    </row>
    <row r="65" spans="1:19" s="157" customFormat="1" ht="15" x14ac:dyDescent="0.2">
      <c r="A65" s="60"/>
      <c r="B65" s="56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184"/>
    </row>
    <row r="66" spans="1:19" s="157" customFormat="1" ht="15" x14ac:dyDescent="0.2">
      <c r="A66" s="60" t="s">
        <v>116</v>
      </c>
      <c r="B66" s="56" t="s">
        <v>117</v>
      </c>
      <c r="C66" s="56"/>
      <c r="D66" s="162">
        <v>0</v>
      </c>
      <c r="E66" s="57" t="s">
        <v>6</v>
      </c>
      <c r="F66" s="185">
        <v>0</v>
      </c>
      <c r="G66" s="165"/>
      <c r="H66" s="165">
        <f>ROUND(D66*F66,0)</f>
        <v>0</v>
      </c>
      <c r="I66" s="165"/>
      <c r="J66" s="165"/>
      <c r="K66" s="176">
        <v>0</v>
      </c>
      <c r="L66" s="176"/>
      <c r="M66" s="176"/>
      <c r="N66" s="176">
        <v>0</v>
      </c>
      <c r="O66" s="176">
        <v>0</v>
      </c>
      <c r="P66" s="165"/>
      <c r="Q66" s="165">
        <f>SUM(H66:O66)</f>
        <v>0</v>
      </c>
      <c r="R66" s="57"/>
      <c r="S66" s="166">
        <f>IF(F66=0,0,(ROUND((Q66/F66),5)))</f>
        <v>0</v>
      </c>
    </row>
    <row r="67" spans="1:19" s="157" customFormat="1" ht="15" x14ac:dyDescent="0.2">
      <c r="A67" s="60" t="s">
        <v>118</v>
      </c>
      <c r="B67" s="56"/>
      <c r="C67" s="56"/>
      <c r="D67" s="162"/>
      <c r="E67" s="57"/>
      <c r="F67" s="167">
        <v>0</v>
      </c>
      <c r="G67" s="165"/>
      <c r="H67" s="167">
        <f t="shared" ref="H67" si="5">ROUND(D67*F67,0)</f>
        <v>0</v>
      </c>
      <c r="I67" s="165"/>
      <c r="J67" s="165"/>
      <c r="K67" s="171">
        <v>0</v>
      </c>
      <c r="L67" s="176"/>
      <c r="M67" s="176"/>
      <c r="N67" s="171">
        <v>0</v>
      </c>
      <c r="O67" s="171">
        <v>0</v>
      </c>
      <c r="P67" s="165"/>
      <c r="Q67" s="167">
        <f>SUM(H67:O67)</f>
        <v>0</v>
      </c>
      <c r="R67" s="57"/>
      <c r="S67" s="166">
        <f>IF(F67=0,0,(ROUND((Q67/F67),5)))</f>
        <v>0</v>
      </c>
    </row>
    <row r="68" spans="1:19" s="157" customFormat="1" ht="15" x14ac:dyDescent="0.2">
      <c r="A68" s="60" t="s">
        <v>119</v>
      </c>
      <c r="B68" s="56" t="s">
        <v>120</v>
      </c>
      <c r="C68" s="56"/>
      <c r="D68" s="162">
        <v>7.2475177304964543E-3</v>
      </c>
      <c r="E68" s="57"/>
      <c r="F68" s="186">
        <v>140979486.09</v>
      </c>
      <c r="G68" s="57"/>
      <c r="H68" s="186">
        <f>F68*D68</f>
        <v>1021751.3250735532</v>
      </c>
      <c r="I68" s="57"/>
      <c r="J68" s="57"/>
      <c r="K68" s="187">
        <v>0</v>
      </c>
      <c r="L68" s="57"/>
      <c r="M68" s="57"/>
      <c r="N68" s="187">
        <v>0</v>
      </c>
      <c r="O68" s="187">
        <v>0</v>
      </c>
      <c r="P68" s="57"/>
      <c r="Q68" s="186">
        <f>SUM(H68:O68)</f>
        <v>1021751.3250735532</v>
      </c>
      <c r="R68" s="57"/>
      <c r="S68" s="188">
        <f>IF(F68=0,0,(ROUND((Q68/F68),5)))</f>
        <v>7.2500000000000004E-3</v>
      </c>
    </row>
    <row r="69" spans="1:19" s="157" customFormat="1" ht="15.75" thickBot="1" x14ac:dyDescent="0.25">
      <c r="A69" s="60"/>
      <c r="B69" s="56"/>
      <c r="C69" s="56"/>
      <c r="D69" s="57"/>
      <c r="E69" s="57"/>
      <c r="F69" s="163"/>
      <c r="G69" s="57"/>
      <c r="H69" s="163"/>
      <c r="I69" s="57"/>
      <c r="J69" s="57"/>
      <c r="K69" s="57"/>
      <c r="L69" s="57"/>
      <c r="M69" s="57"/>
      <c r="N69" s="163"/>
      <c r="O69" s="163"/>
      <c r="P69" s="57"/>
      <c r="Q69" s="163"/>
      <c r="R69" s="57"/>
      <c r="S69" s="82"/>
    </row>
    <row r="70" spans="1:19" s="157" customFormat="1" ht="16.5" thickBot="1" x14ac:dyDescent="0.3">
      <c r="A70" s="60"/>
      <c r="B70" s="56"/>
      <c r="C70" s="56"/>
      <c r="D70" s="57" t="s">
        <v>5</v>
      </c>
      <c r="E70" s="57"/>
      <c r="F70" s="182">
        <f>SUM(F66:F69)</f>
        <v>140979486.09</v>
      </c>
      <c r="G70" s="165"/>
      <c r="H70" s="182">
        <f>SUM(H66:H69)</f>
        <v>1021751.3250735532</v>
      </c>
      <c r="I70" s="165"/>
      <c r="J70" s="165"/>
      <c r="K70" s="189">
        <f>SUM(K68:K69)</f>
        <v>0</v>
      </c>
      <c r="L70" s="176"/>
      <c r="M70" s="176"/>
      <c r="N70" s="189">
        <f>SUM(N68:N69)</f>
        <v>0</v>
      </c>
      <c r="O70" s="189">
        <f>SUM(O68:O69)</f>
        <v>0</v>
      </c>
      <c r="P70" s="165"/>
      <c r="Q70" s="182">
        <f>SUM(Q66:Q69)</f>
        <v>1021751.3250735532</v>
      </c>
      <c r="R70" s="57"/>
      <c r="S70" s="190">
        <f>IF(F70=0,0,(ROUND(Q70/F70,5)))</f>
        <v>7.2500000000000004E-3</v>
      </c>
    </row>
    <row r="71" spans="1:19" s="157" customFormat="1" ht="15.75" thickTop="1" x14ac:dyDescent="0.2">
      <c r="A71" s="66"/>
      <c r="B71" s="67"/>
      <c r="C71" s="67"/>
      <c r="D71" s="69"/>
      <c r="E71" s="69"/>
      <c r="F71" s="69"/>
      <c r="G71" s="69"/>
      <c r="H71" s="191"/>
      <c r="I71" s="69"/>
      <c r="J71" s="69"/>
      <c r="K71" s="69"/>
      <c r="L71" s="69"/>
      <c r="M71" s="69"/>
      <c r="N71" s="191"/>
      <c r="O71" s="191"/>
      <c r="P71" s="69"/>
      <c r="Q71" s="69"/>
      <c r="R71" s="69"/>
      <c r="S71" s="192"/>
    </row>
    <row r="72" spans="1:19" s="157" customFormat="1" ht="15.75" thickBot="1" x14ac:dyDescent="0.25">
      <c r="A72" s="58"/>
      <c r="B72" s="61"/>
      <c r="C72" s="61"/>
      <c r="D72" s="72"/>
      <c r="E72" s="58"/>
      <c r="F72" s="73"/>
      <c r="G72" s="58"/>
      <c r="H72" s="73"/>
      <c r="I72" s="58"/>
      <c r="J72" s="58"/>
      <c r="K72" s="58"/>
      <c r="L72" s="58"/>
      <c r="M72" s="58"/>
      <c r="N72" s="58"/>
      <c r="O72" s="58"/>
      <c r="P72" s="58"/>
      <c r="Q72" s="73"/>
      <c r="R72" s="58"/>
      <c r="S72" s="193"/>
    </row>
    <row r="73" spans="1:19" s="157" customFormat="1" ht="16.5" thickBot="1" x14ac:dyDescent="0.3">
      <c r="A73" s="58" t="s">
        <v>121</v>
      </c>
      <c r="B73" s="61"/>
      <c r="C73" s="61"/>
      <c r="D73" s="72"/>
      <c r="E73" s="58"/>
      <c r="F73" s="194">
        <f>F54+F70</f>
        <v>1795739042.0699997</v>
      </c>
      <c r="G73" s="195"/>
      <c r="H73" s="194">
        <f>H54+H70</f>
        <v>66054557.44507356</v>
      </c>
      <c r="I73" s="195"/>
      <c r="J73" s="195"/>
      <c r="K73" s="194">
        <f>K54+K70</f>
        <v>1888503.24</v>
      </c>
      <c r="L73" s="195"/>
      <c r="M73" s="195"/>
      <c r="N73" s="194">
        <f>N54+N70</f>
        <v>1097221.92</v>
      </c>
      <c r="O73" s="194">
        <f>O54+O70</f>
        <v>954478.17999999993</v>
      </c>
      <c r="P73" s="195"/>
      <c r="Q73" s="194">
        <f>Q54+Q70</f>
        <v>69994760.785073563</v>
      </c>
      <c r="R73" s="58"/>
      <c r="S73" s="190">
        <f>ROUND(Q73/(F54+F70),5)</f>
        <v>3.8980000000000001E-2</v>
      </c>
    </row>
    <row r="74" spans="1:19" s="157" customFormat="1" ht="15.75" thickTop="1" x14ac:dyDescent="0.2">
      <c r="A74" s="58"/>
      <c r="B74" s="61"/>
      <c r="C74" s="61"/>
      <c r="D74" s="72"/>
      <c r="E74" s="58"/>
      <c r="F74" s="73"/>
      <c r="G74" s="58"/>
      <c r="H74" s="73"/>
      <c r="I74" s="58"/>
      <c r="J74" s="58"/>
      <c r="K74" s="58"/>
      <c r="L74" s="58"/>
      <c r="M74" s="58"/>
      <c r="N74" s="58"/>
      <c r="O74" s="58"/>
      <c r="P74" s="58"/>
      <c r="Q74" s="73"/>
      <c r="R74" s="58"/>
      <c r="S74" s="193"/>
    </row>
    <row r="75" spans="1:19" s="157" customFormat="1" ht="15" x14ac:dyDescent="0.2">
      <c r="A75" s="58" t="s">
        <v>200</v>
      </c>
      <c r="B75" s="61"/>
      <c r="C75" s="61"/>
      <c r="D75" s="72"/>
      <c r="E75" s="58"/>
      <c r="F75" s="73"/>
      <c r="G75" s="58"/>
      <c r="H75" s="73"/>
      <c r="I75" s="58"/>
      <c r="J75" s="58"/>
      <c r="K75" s="58"/>
      <c r="L75" s="58"/>
      <c r="M75" s="58"/>
      <c r="N75" s="58"/>
      <c r="O75" s="58"/>
      <c r="P75" s="58"/>
      <c r="Q75" s="196"/>
      <c r="R75" s="58"/>
      <c r="S75" s="193"/>
    </row>
    <row r="76" spans="1:19" s="157" customFormat="1" ht="15" x14ac:dyDescent="0.2">
      <c r="A76" s="58" t="s">
        <v>122</v>
      </c>
      <c r="B76" s="61"/>
      <c r="C76" s="61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s="157" customFormat="1" ht="15" x14ac:dyDescent="0.2">
      <c r="A77" s="58"/>
      <c r="B77" s="61"/>
      <c r="C77" s="61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s="157" customFormat="1" ht="15" x14ac:dyDescent="0.2">
      <c r="A78" s="58" t="s">
        <v>198</v>
      </c>
      <c r="B78" s="61"/>
      <c r="C78" s="61"/>
      <c r="D78" s="58"/>
      <c r="E78" s="58"/>
      <c r="F78" s="73"/>
      <c r="G78" s="58"/>
      <c r="H78" s="73"/>
      <c r="I78" s="58"/>
      <c r="J78" s="58"/>
      <c r="K78" s="61" t="s">
        <v>123</v>
      </c>
      <c r="L78" s="58"/>
      <c r="M78" s="58"/>
      <c r="N78" s="196" t="s">
        <v>124</v>
      </c>
      <c r="O78" s="196" t="s">
        <v>124</v>
      </c>
      <c r="P78" s="58"/>
      <c r="Q78" s="61" t="s">
        <v>125</v>
      </c>
      <c r="R78" s="58"/>
      <c r="S78" s="58"/>
    </row>
    <row r="79" spans="1:19" s="157" customFormat="1" ht="15" x14ac:dyDescent="0.2">
      <c r="A79" s="58"/>
      <c r="B79" s="61"/>
      <c r="C79" s="61"/>
      <c r="D79" s="58"/>
      <c r="E79" s="58"/>
      <c r="F79" s="73"/>
      <c r="G79" s="58"/>
      <c r="H79" s="73"/>
      <c r="I79" s="58"/>
      <c r="J79" s="58"/>
      <c r="K79" s="61" t="s">
        <v>126</v>
      </c>
      <c r="L79" s="58"/>
      <c r="M79" s="58"/>
      <c r="N79" s="196" t="s">
        <v>127</v>
      </c>
      <c r="O79" s="196" t="s">
        <v>127</v>
      </c>
      <c r="P79" s="58"/>
      <c r="Q79" s="61" t="s">
        <v>128</v>
      </c>
      <c r="R79" s="58"/>
      <c r="S79" s="58"/>
    </row>
    <row r="80" spans="1:19" s="157" customFormat="1" ht="15" x14ac:dyDescent="0.2">
      <c r="A80" s="75"/>
      <c r="B80" s="197" t="s">
        <v>193</v>
      </c>
      <c r="C80" s="61"/>
      <c r="D80" s="75"/>
      <c r="E80" s="58"/>
      <c r="F80" s="58"/>
      <c r="G80" s="58"/>
      <c r="H80" s="198" t="s">
        <v>194</v>
      </c>
      <c r="I80" s="58"/>
      <c r="J80" s="58"/>
      <c r="K80" s="199" t="s">
        <v>195</v>
      </c>
      <c r="L80" s="58"/>
      <c r="M80" s="58"/>
      <c r="N80" s="199" t="s">
        <v>196</v>
      </c>
      <c r="O80" s="199" t="s">
        <v>196</v>
      </c>
      <c r="P80" s="58"/>
      <c r="Q80" s="200" t="s">
        <v>197</v>
      </c>
      <c r="R80" s="58"/>
      <c r="S80" s="58"/>
    </row>
    <row r="81" spans="1:20" s="157" customFormat="1" ht="15" x14ac:dyDescent="0.2">
      <c r="A81" s="58"/>
      <c r="B81" s="76" t="s">
        <v>129</v>
      </c>
      <c r="C81" s="61"/>
      <c r="D81" s="58"/>
      <c r="E81" s="58"/>
      <c r="F81" s="73"/>
      <c r="G81" s="58"/>
      <c r="H81" s="73">
        <v>83335000</v>
      </c>
      <c r="I81" s="58"/>
      <c r="J81" s="58"/>
      <c r="K81" s="201">
        <v>44136</v>
      </c>
      <c r="L81" s="202"/>
      <c r="M81" s="202"/>
      <c r="N81" s="203">
        <v>5.4949999999999999E-2</v>
      </c>
      <c r="O81" s="203">
        <v>5.4949999999999999E-2</v>
      </c>
      <c r="P81" s="58"/>
      <c r="Q81" s="58" t="s">
        <v>130</v>
      </c>
      <c r="R81" s="58"/>
      <c r="S81" s="58"/>
      <c r="T81" s="58"/>
    </row>
    <row r="82" spans="1:20" s="157" customFormat="1" ht="15" x14ac:dyDescent="0.2">
      <c r="A82" s="58"/>
      <c r="B82" s="76" t="s">
        <v>131</v>
      </c>
      <c r="C82" s="61"/>
      <c r="D82" s="58"/>
      <c r="E82" s="58"/>
      <c r="F82" s="73"/>
      <c r="G82" s="58"/>
      <c r="H82" s="73">
        <v>32000000</v>
      </c>
      <c r="I82" s="58"/>
      <c r="J82" s="58"/>
      <c r="K82" s="201">
        <v>48853</v>
      </c>
      <c r="L82" s="202"/>
      <c r="M82" s="202"/>
      <c r="N82" s="203">
        <v>3.6569999999999998E-2</v>
      </c>
      <c r="O82" s="203">
        <v>3.6569999999999998E-2</v>
      </c>
      <c r="P82" s="58"/>
      <c r="Q82" s="76" t="s">
        <v>132</v>
      </c>
      <c r="R82" s="58"/>
      <c r="S82" s="58"/>
      <c r="T82" s="58"/>
    </row>
    <row r="83" spans="1:20" s="157" customFormat="1" ht="15" x14ac:dyDescent="0.2">
      <c r="A83" s="58"/>
      <c r="B83" s="76" t="s">
        <v>131</v>
      </c>
      <c r="C83" s="61"/>
      <c r="D83" s="58"/>
      <c r="E83" s="58"/>
      <c r="F83" s="73"/>
      <c r="G83" s="58"/>
      <c r="H83" s="73">
        <v>32000000</v>
      </c>
      <c r="I83" s="58"/>
      <c r="J83" s="58"/>
      <c r="K83" s="201">
        <v>48853</v>
      </c>
      <c r="L83" s="202"/>
      <c r="M83" s="202"/>
      <c r="N83" s="203">
        <v>3.6450000000000003E-2</v>
      </c>
      <c r="O83" s="203">
        <v>3.6450000000000003E-2</v>
      </c>
      <c r="P83" s="58"/>
      <c r="Q83" s="76" t="s">
        <v>132</v>
      </c>
      <c r="R83" s="58"/>
      <c r="S83" s="58"/>
      <c r="T83" s="58"/>
    </row>
    <row r="84" spans="1:20" s="157" customFormat="1" ht="15" x14ac:dyDescent="0.2">
      <c r="A84" s="58"/>
      <c r="B84" s="76" t="s">
        <v>131</v>
      </c>
      <c r="C84" s="61"/>
      <c r="D84" s="58"/>
      <c r="E84" s="58"/>
      <c r="F84" s="73"/>
      <c r="G84" s="58"/>
      <c r="H84" s="70">
        <v>32000000</v>
      </c>
      <c r="I84" s="58"/>
      <c r="J84" s="58"/>
      <c r="K84" s="201">
        <v>48853</v>
      </c>
      <c r="L84" s="202"/>
      <c r="M84" s="202"/>
      <c r="N84" s="203">
        <v>3.6949999999999997E-2</v>
      </c>
      <c r="O84" s="203">
        <v>3.6949999999999997E-2</v>
      </c>
      <c r="P84" s="58"/>
      <c r="Q84" s="76" t="s">
        <v>132</v>
      </c>
      <c r="R84" s="58"/>
      <c r="S84" s="58"/>
      <c r="T84" s="58"/>
    </row>
    <row r="85" spans="1:20" s="157" customFormat="1" ht="15.75" thickBot="1" x14ac:dyDescent="0.25">
      <c r="A85" s="58"/>
      <c r="B85" s="61"/>
      <c r="C85" s="61"/>
      <c r="D85" s="58"/>
      <c r="E85" s="58"/>
      <c r="F85" s="73"/>
      <c r="G85" s="58"/>
      <c r="H85" s="204">
        <f>SUM(H81:H84)</f>
        <v>179335000</v>
      </c>
      <c r="I85" s="58"/>
      <c r="J85" s="58"/>
      <c r="K85" s="58"/>
      <c r="L85" s="58"/>
      <c r="M85" s="58"/>
      <c r="N85" s="77"/>
      <c r="O85" s="77"/>
      <c r="P85" s="58"/>
      <c r="Q85" s="58"/>
      <c r="R85" s="58"/>
      <c r="S85" s="58"/>
      <c r="T85" s="58"/>
    </row>
    <row r="86" spans="1:20" s="157" customFormat="1" ht="15.75" thickTop="1" x14ac:dyDescent="0.2">
      <c r="A86" s="214" t="s">
        <v>199</v>
      </c>
      <c r="B86" s="215"/>
      <c r="C86" s="215"/>
      <c r="D86" s="215"/>
      <c r="E86" s="215"/>
      <c r="F86" s="215"/>
      <c r="G86" s="58"/>
      <c r="H86" s="58"/>
      <c r="I86" s="58"/>
      <c r="J86" s="58"/>
      <c r="K86" s="58"/>
      <c r="L86" s="58"/>
      <c r="M86" s="58"/>
      <c r="N86" s="73"/>
      <c r="O86" s="73"/>
      <c r="P86" s="73"/>
      <c r="Q86" s="58"/>
      <c r="R86" s="58"/>
      <c r="S86" s="58"/>
      <c r="T86" s="58"/>
    </row>
    <row r="87" spans="1:20" s="157" customFormat="1" ht="15" x14ac:dyDescent="0.2"/>
    <row r="88" spans="1:20" s="157" customFormat="1" ht="15" x14ac:dyDescent="0.2"/>
    <row r="89" spans="1:20" s="157" customFormat="1" ht="15" x14ac:dyDescent="0.2"/>
    <row r="90" spans="1:20" s="157" customFormat="1" ht="15" x14ac:dyDescent="0.2"/>
    <row r="91" spans="1:20" s="157" customFormat="1" ht="15" x14ac:dyDescent="0.2"/>
    <row r="92" spans="1:20" s="157" customFormat="1" ht="15" x14ac:dyDescent="0.2"/>
    <row r="93" spans="1:20" s="157" customFormat="1" ht="15" x14ac:dyDescent="0.2"/>
    <row r="94" spans="1:20" s="157" customFormat="1" ht="15" x14ac:dyDescent="0.2"/>
    <row r="95" spans="1:20" s="157" customFormat="1" ht="15" x14ac:dyDescent="0.2"/>
    <row r="96" spans="1:20" s="157" customFormat="1" ht="15" x14ac:dyDescent="0.2"/>
    <row r="97" s="157" customFormat="1" ht="15" x14ac:dyDescent="0.2"/>
    <row r="98" s="157" customFormat="1" ht="15" x14ac:dyDescent="0.2"/>
    <row r="99" s="157" customFormat="1" ht="15" x14ac:dyDescent="0.2"/>
    <row r="100" s="157" customFormat="1" ht="15" x14ac:dyDescent="0.2"/>
    <row r="101" s="157" customFormat="1" ht="15" x14ac:dyDescent="0.2"/>
    <row r="102" s="157" customFormat="1" ht="15" x14ac:dyDescent="0.2"/>
    <row r="103" s="157" customFormat="1" ht="15" x14ac:dyDescent="0.2"/>
    <row r="104" s="157" customFormat="1" ht="15" x14ac:dyDescent="0.2"/>
    <row r="105" s="157" customFormat="1" ht="15" x14ac:dyDescent="0.2"/>
    <row r="106" s="157" customFormat="1" ht="15" x14ac:dyDescent="0.2"/>
    <row r="107" s="157" customFormat="1" ht="15" x14ac:dyDescent="0.2"/>
    <row r="108" s="157" customFormat="1" ht="15" x14ac:dyDescent="0.2"/>
    <row r="109" s="157" customFormat="1" ht="15" x14ac:dyDescent="0.2"/>
    <row r="110" s="157" customFormat="1" ht="15" x14ac:dyDescent="0.2"/>
    <row r="111" s="157" customFormat="1" ht="15" x14ac:dyDescent="0.2"/>
    <row r="112" s="157" customFormat="1" ht="15" x14ac:dyDescent="0.2"/>
    <row r="113" s="157" customFormat="1" ht="15" x14ac:dyDescent="0.2"/>
    <row r="114" s="157" customFormat="1" ht="15" x14ac:dyDescent="0.2"/>
    <row r="115" s="157" customFormat="1" ht="15" x14ac:dyDescent="0.2"/>
    <row r="116" s="157" customFormat="1" ht="15" x14ac:dyDescent="0.2"/>
    <row r="117" s="157" customFormat="1" ht="15" x14ac:dyDescent="0.2"/>
  </sheetData>
  <mergeCells count="8">
    <mergeCell ref="H62:Q62"/>
    <mergeCell ref="A86:F86"/>
    <mergeCell ref="A1:S1"/>
    <mergeCell ref="A2:S2"/>
    <mergeCell ref="A3:S3"/>
    <mergeCell ref="A5:S5"/>
    <mergeCell ref="H7:Q7"/>
    <mergeCell ref="A60:S60"/>
  </mergeCells>
  <pageMargins left="0.5" right="0" top="1" bottom="0.5" header="0.5" footer="0.25"/>
  <pageSetup scale="42" orientation="portrait" r:id="rId1"/>
  <headerFooter scaleWithDoc="0">
    <oddHeader>&amp;R&amp;"Times New Roman,Bold"&amp;12Attachment to Response to Question No. 5 (a-d)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/>
  </sheetViews>
  <sheetFormatPr defaultRowHeight="15" x14ac:dyDescent="0.25"/>
  <cols>
    <col min="1" max="2" width="9.140625" style="87"/>
    <col min="3" max="3" width="29.5703125" style="87" customWidth="1"/>
    <col min="4" max="4" width="2.140625" style="87" customWidth="1"/>
    <col min="5" max="10" width="0" style="87" hidden="1" customWidth="1"/>
    <col min="11" max="11" width="0.5703125" style="87" hidden="1" customWidth="1"/>
    <col min="12" max="12" width="5" style="87" customWidth="1"/>
    <col min="13" max="13" width="17.7109375" style="87" bestFit="1" customWidth="1"/>
    <col min="14" max="14" width="2.85546875" style="87" customWidth="1"/>
    <col min="15" max="19" width="0" style="87" hidden="1" customWidth="1"/>
    <col min="20" max="20" width="4.7109375" style="87" customWidth="1"/>
    <col min="21" max="21" width="11.7109375" style="87" customWidth="1"/>
    <col min="22" max="16384" width="9.140625" style="87"/>
  </cols>
  <sheetData>
    <row r="1" spans="1:21" ht="15.75" x14ac:dyDescent="0.25">
      <c r="A1" s="85"/>
      <c r="B1" s="224" t="s">
        <v>135</v>
      </c>
      <c r="C1" s="224"/>
      <c r="D1" s="224"/>
      <c r="E1" s="224"/>
      <c r="F1" s="224"/>
      <c r="G1" s="224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5"/>
    </row>
    <row r="2" spans="1:21" ht="15.75" x14ac:dyDescent="0.25">
      <c r="A2" s="85"/>
      <c r="B2" s="224" t="s">
        <v>136</v>
      </c>
      <c r="C2" s="224"/>
      <c r="D2" s="224"/>
      <c r="E2" s="224"/>
      <c r="F2" s="224"/>
      <c r="G2" s="224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5"/>
    </row>
    <row r="3" spans="1:21" ht="15.75" x14ac:dyDescent="0.25">
      <c r="A3" s="85"/>
      <c r="B3" s="225">
        <v>2016</v>
      </c>
      <c r="C3" s="225"/>
      <c r="D3" s="224"/>
      <c r="E3" s="224"/>
      <c r="F3" s="224"/>
      <c r="G3" s="224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5"/>
    </row>
    <row r="4" spans="1:21" ht="15.75" x14ac:dyDescent="0.25">
      <c r="A4" s="85"/>
      <c r="B4" s="88"/>
      <c r="C4" s="88"/>
      <c r="D4" s="89"/>
      <c r="E4" s="89"/>
      <c r="F4" s="89"/>
      <c r="G4" s="90"/>
      <c r="H4" s="86"/>
      <c r="I4" s="86"/>
      <c r="J4" s="86"/>
      <c r="K4" s="89"/>
      <c r="L4" s="89"/>
      <c r="M4" s="89"/>
      <c r="N4" s="89"/>
      <c r="O4" s="89"/>
      <c r="P4" s="89"/>
      <c r="Q4" s="89"/>
      <c r="R4" s="89"/>
      <c r="S4" s="89"/>
      <c r="T4" s="89"/>
      <c r="U4" s="85"/>
    </row>
    <row r="5" spans="1:21" ht="15.75" x14ac:dyDescent="0.25">
      <c r="A5" s="85"/>
      <c r="B5" s="91"/>
      <c r="C5" s="91"/>
      <c r="D5" s="92"/>
      <c r="E5" s="86"/>
      <c r="F5" s="92"/>
      <c r="G5" s="93"/>
      <c r="H5" s="94"/>
      <c r="I5" s="94"/>
      <c r="J5" s="86"/>
      <c r="K5" s="95">
        <v>2006</v>
      </c>
      <c r="L5" s="95"/>
      <c r="M5" s="96"/>
      <c r="N5" s="95"/>
      <c r="O5" s="95">
        <v>2008</v>
      </c>
      <c r="P5" s="95"/>
      <c r="Q5" s="95">
        <v>2009</v>
      </c>
      <c r="R5" s="95"/>
      <c r="S5" s="95">
        <v>2010</v>
      </c>
      <c r="T5" s="95"/>
      <c r="U5" s="85"/>
    </row>
    <row r="6" spans="1:21" ht="15.75" x14ac:dyDescent="0.25">
      <c r="A6" s="85"/>
      <c r="B6" s="97"/>
      <c r="C6" s="97"/>
      <c r="D6" s="98"/>
      <c r="E6" s="99" t="s">
        <v>137</v>
      </c>
      <c r="F6" s="100"/>
      <c r="G6" s="101" t="s">
        <v>138</v>
      </c>
      <c r="H6" s="102"/>
      <c r="I6" s="85"/>
      <c r="J6" s="86"/>
      <c r="K6" s="99" t="s">
        <v>137</v>
      </c>
      <c r="L6" s="99"/>
      <c r="M6" s="99" t="s">
        <v>139</v>
      </c>
      <c r="N6" s="99"/>
      <c r="O6" s="99" t="s">
        <v>137</v>
      </c>
      <c r="P6" s="99"/>
      <c r="Q6" s="99" t="s">
        <v>137</v>
      </c>
      <c r="R6" s="99"/>
      <c r="S6" s="99" t="s">
        <v>137</v>
      </c>
      <c r="T6" s="99"/>
      <c r="U6" s="85"/>
    </row>
    <row r="7" spans="1:21" ht="15.75" x14ac:dyDescent="0.25">
      <c r="A7" s="85"/>
      <c r="B7" s="103"/>
      <c r="C7" s="103"/>
      <c r="D7" s="91"/>
      <c r="E7" s="104" t="s">
        <v>140</v>
      </c>
      <c r="F7" s="99"/>
      <c r="G7" s="104" t="s">
        <v>141</v>
      </c>
      <c r="H7" s="105"/>
      <c r="I7" s="104" t="s">
        <v>142</v>
      </c>
      <c r="J7" s="86"/>
      <c r="K7" s="104" t="s">
        <v>140</v>
      </c>
      <c r="L7" s="104"/>
      <c r="M7" s="104" t="s">
        <v>140</v>
      </c>
      <c r="N7" s="104"/>
      <c r="O7" s="104" t="s">
        <v>140</v>
      </c>
      <c r="P7" s="104"/>
      <c r="Q7" s="104" t="s">
        <v>140</v>
      </c>
      <c r="R7" s="104"/>
      <c r="S7" s="104" t="s">
        <v>140</v>
      </c>
      <c r="T7" s="104"/>
      <c r="U7" s="85"/>
    </row>
    <row r="8" spans="1:21" ht="15.75" x14ac:dyDescent="0.25">
      <c r="A8" s="85"/>
      <c r="B8" s="91"/>
      <c r="C8" s="91"/>
      <c r="D8" s="92"/>
      <c r="E8" s="101" t="s">
        <v>143</v>
      </c>
      <c r="F8" s="92"/>
      <c r="G8" s="101" t="s">
        <v>144</v>
      </c>
      <c r="H8" s="102"/>
      <c r="I8" s="101" t="s">
        <v>145</v>
      </c>
      <c r="J8" s="86"/>
      <c r="K8" s="106" t="s">
        <v>146</v>
      </c>
      <c r="L8" s="106"/>
      <c r="M8" s="106" t="s">
        <v>147</v>
      </c>
      <c r="N8" s="106"/>
      <c r="O8" s="106" t="s">
        <v>148</v>
      </c>
      <c r="P8" s="106"/>
      <c r="Q8" s="106" t="s">
        <v>149</v>
      </c>
      <c r="R8" s="106"/>
      <c r="S8" s="106" t="s">
        <v>150</v>
      </c>
      <c r="T8" s="106"/>
      <c r="U8" s="85"/>
    </row>
    <row r="9" spans="1:21" ht="15.75" x14ac:dyDescent="0.25">
      <c r="A9" s="85"/>
      <c r="B9" s="97"/>
      <c r="C9" s="97"/>
      <c r="D9" s="98"/>
      <c r="E9" s="107" t="s">
        <v>151</v>
      </c>
      <c r="F9" s="100"/>
      <c r="G9" s="107" t="s">
        <v>152</v>
      </c>
      <c r="H9" s="108"/>
      <c r="I9" s="107" t="s">
        <v>153</v>
      </c>
      <c r="J9" s="86"/>
      <c r="K9" s="107" t="s">
        <v>151</v>
      </c>
      <c r="L9" s="107"/>
      <c r="M9" s="107" t="s">
        <v>151</v>
      </c>
      <c r="N9" s="107"/>
      <c r="O9" s="107" t="s">
        <v>151</v>
      </c>
      <c r="P9" s="107"/>
      <c r="Q9" s="107" t="s">
        <v>151</v>
      </c>
      <c r="R9" s="107"/>
      <c r="S9" s="107" t="s">
        <v>151</v>
      </c>
      <c r="T9" s="107"/>
      <c r="U9" s="85"/>
    </row>
    <row r="10" spans="1:21" ht="15.75" x14ac:dyDescent="0.25">
      <c r="A10" s="85">
        <v>-1</v>
      </c>
      <c r="B10" s="97" t="s">
        <v>154</v>
      </c>
      <c r="C10" s="97"/>
      <c r="D10" s="109"/>
      <c r="E10" s="110">
        <v>100</v>
      </c>
      <c r="F10" s="109"/>
      <c r="G10" s="110">
        <v>100</v>
      </c>
      <c r="H10" s="111"/>
      <c r="I10" s="110">
        <v>100</v>
      </c>
      <c r="J10" s="86"/>
      <c r="K10" s="110">
        <v>100</v>
      </c>
      <c r="L10" s="110"/>
      <c r="M10" s="110">
        <v>100</v>
      </c>
      <c r="N10" s="110"/>
      <c r="O10" s="110">
        <v>100</v>
      </c>
      <c r="P10" s="110"/>
      <c r="Q10" s="110">
        <v>100</v>
      </c>
      <c r="R10" s="110"/>
      <c r="S10" s="110">
        <v>100</v>
      </c>
      <c r="T10" s="110"/>
      <c r="U10" s="85"/>
    </row>
    <row r="11" spans="1:21" ht="15.75" x14ac:dyDescent="0.25">
      <c r="A11" s="85">
        <f>+A10-1</f>
        <v>-2</v>
      </c>
      <c r="B11" s="112"/>
      <c r="C11" s="97"/>
      <c r="D11" s="98"/>
      <c r="E11" s="113"/>
      <c r="F11" s="98"/>
      <c r="G11" s="113"/>
      <c r="H11" s="114"/>
      <c r="I11" s="113"/>
      <c r="J11" s="86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85"/>
    </row>
    <row r="12" spans="1:21" ht="15.75" x14ac:dyDescent="0.25">
      <c r="A12" s="85">
        <f>+A11-1</f>
        <v>-3</v>
      </c>
      <c r="B12" s="115" t="s">
        <v>155</v>
      </c>
      <c r="C12" s="116"/>
      <c r="D12" s="117"/>
      <c r="E12" s="118">
        <v>6.6077525607551726</v>
      </c>
      <c r="F12" s="117"/>
      <c r="G12" s="118">
        <f>+G10*0.0825</f>
        <v>8.25</v>
      </c>
      <c r="H12" s="119"/>
      <c r="I12" s="118">
        <f>+I10*0.0825</f>
        <v>8.25</v>
      </c>
      <c r="J12" s="120"/>
      <c r="K12" s="118">
        <v>6.8042890069145212</v>
      </c>
      <c r="L12" s="118"/>
      <c r="M12" s="118">
        <v>5.64</v>
      </c>
      <c r="N12" s="121"/>
      <c r="O12" s="121">
        <v>5.6603773584905657</v>
      </c>
      <c r="P12" s="121"/>
      <c r="Q12" s="121">
        <v>5.6603773584905657</v>
      </c>
      <c r="R12" s="121"/>
      <c r="S12" s="121">
        <v>5.4896440780213149</v>
      </c>
      <c r="T12" s="122"/>
      <c r="U12" s="85">
        <v>-40</v>
      </c>
    </row>
    <row r="13" spans="1:21" ht="15.75" x14ac:dyDescent="0.25">
      <c r="A13" s="85">
        <f t="shared" ref="A13:A49" si="0">+A12-1</f>
        <v>-4</v>
      </c>
      <c r="B13" s="112"/>
      <c r="C13" s="97"/>
      <c r="D13" s="98"/>
      <c r="E13" s="123"/>
      <c r="F13" s="98"/>
      <c r="G13" s="123"/>
      <c r="H13" s="122"/>
      <c r="I13" s="123"/>
      <c r="J13" s="86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85"/>
    </row>
    <row r="14" spans="1:21" ht="15.75" x14ac:dyDescent="0.25">
      <c r="A14" s="85">
        <f t="shared" si="0"/>
        <v>-5</v>
      </c>
      <c r="B14" s="97" t="s">
        <v>156</v>
      </c>
      <c r="C14" s="97"/>
      <c r="D14" s="98"/>
      <c r="E14" s="123"/>
      <c r="F14" s="98"/>
      <c r="G14" s="123"/>
      <c r="H14" s="122"/>
      <c r="I14" s="123"/>
      <c r="J14" s="86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85"/>
    </row>
    <row r="15" spans="1:21" ht="15.75" x14ac:dyDescent="0.25">
      <c r="A15" s="85">
        <f t="shared" si="0"/>
        <v>-6</v>
      </c>
      <c r="B15" s="91" t="s">
        <v>157</v>
      </c>
      <c r="C15" s="97"/>
      <c r="D15" s="124"/>
      <c r="E15" s="122">
        <f>+E10-E12</f>
        <v>93.392247439244827</v>
      </c>
      <c r="F15" s="124"/>
      <c r="G15" s="122">
        <f>+G10-G12</f>
        <v>91.75</v>
      </c>
      <c r="H15" s="122"/>
      <c r="I15" s="122">
        <f>+I10-I12</f>
        <v>91.75</v>
      </c>
      <c r="J15" s="86"/>
      <c r="K15" s="122">
        <f>+K10-K12</f>
        <v>93.195710993085484</v>
      </c>
      <c r="L15" s="122"/>
      <c r="M15" s="122">
        <f>+M10-M12</f>
        <v>94.36</v>
      </c>
      <c r="N15" s="122"/>
      <c r="O15" s="122">
        <f>+O10-O12</f>
        <v>94.339622641509436</v>
      </c>
      <c r="P15" s="122"/>
      <c r="Q15" s="122">
        <f>+Q10-Q12</f>
        <v>94.339622641509436</v>
      </c>
      <c r="R15" s="122"/>
      <c r="S15" s="122">
        <f>+S10-S12</f>
        <v>94.510355921978686</v>
      </c>
      <c r="T15" s="122"/>
      <c r="U15" s="125" t="s">
        <v>158</v>
      </c>
    </row>
    <row r="16" spans="1:21" ht="15.75" x14ac:dyDescent="0.25">
      <c r="A16" s="85">
        <f t="shared" si="0"/>
        <v>-7</v>
      </c>
      <c r="B16" s="126" t="s">
        <v>159</v>
      </c>
      <c r="C16" s="116"/>
      <c r="D16" s="127"/>
      <c r="E16" s="119"/>
      <c r="F16" s="127"/>
      <c r="G16" s="119"/>
      <c r="H16" s="119"/>
      <c r="I16" s="119"/>
      <c r="J16" s="120"/>
      <c r="K16" s="128">
        <v>0.03</v>
      </c>
      <c r="L16" s="128"/>
      <c r="M16" s="129">
        <v>0</v>
      </c>
      <c r="N16" s="130"/>
      <c r="O16" s="130">
        <v>0.06</v>
      </c>
      <c r="P16" s="130"/>
      <c r="Q16" s="130">
        <v>0.06</v>
      </c>
      <c r="R16" s="130"/>
      <c r="S16" s="130">
        <v>0.09</v>
      </c>
      <c r="T16" s="130"/>
      <c r="U16" s="85"/>
    </row>
    <row r="17" spans="1:21" ht="15.75" x14ac:dyDescent="0.25">
      <c r="A17" s="85">
        <f t="shared" si="0"/>
        <v>-8</v>
      </c>
      <c r="B17" s="126" t="s">
        <v>160</v>
      </c>
      <c r="C17" s="116"/>
      <c r="D17" s="127"/>
      <c r="E17" s="119"/>
      <c r="F17" s="127"/>
      <c r="G17" s="119"/>
      <c r="H17" s="119"/>
      <c r="I17" s="119"/>
      <c r="J17" s="120"/>
      <c r="K17" s="128"/>
      <c r="L17" s="128"/>
      <c r="M17" s="131">
        <v>1</v>
      </c>
      <c r="N17" s="130"/>
      <c r="O17" s="130"/>
      <c r="P17" s="130"/>
      <c r="Q17" s="130"/>
      <c r="R17" s="130"/>
      <c r="S17" s="130"/>
      <c r="T17" s="130"/>
      <c r="U17" s="85"/>
    </row>
    <row r="18" spans="1:21" ht="15.75" x14ac:dyDescent="0.25">
      <c r="A18" s="85">
        <f t="shared" si="0"/>
        <v>-9</v>
      </c>
      <c r="B18" s="132" t="s">
        <v>161</v>
      </c>
      <c r="C18" s="116"/>
      <c r="D18" s="127"/>
      <c r="E18" s="119"/>
      <c r="F18" s="127"/>
      <c r="G18" s="119"/>
      <c r="H18" s="119"/>
      <c r="I18" s="119"/>
      <c r="J18" s="120"/>
      <c r="K18" s="128"/>
      <c r="L18" s="128"/>
      <c r="M18" s="133">
        <f>ROUND(M16*M17,4)</f>
        <v>0</v>
      </c>
      <c r="N18" s="130"/>
      <c r="O18" s="130"/>
      <c r="P18" s="130"/>
      <c r="Q18" s="130"/>
      <c r="R18" s="130"/>
      <c r="S18" s="130"/>
      <c r="T18" s="130"/>
      <c r="U18" s="85"/>
    </row>
    <row r="19" spans="1:21" ht="15.75" x14ac:dyDescent="0.25">
      <c r="A19" s="85">
        <f t="shared" si="0"/>
        <v>-10</v>
      </c>
      <c r="B19" s="116"/>
      <c r="C19" s="116"/>
      <c r="D19" s="127"/>
      <c r="E19" s="119"/>
      <c r="F19" s="127"/>
      <c r="G19" s="119"/>
      <c r="H19" s="119"/>
      <c r="I19" s="119"/>
      <c r="J19" s="120"/>
      <c r="K19" s="128"/>
      <c r="L19" s="128"/>
      <c r="M19" s="128"/>
      <c r="N19" s="130"/>
      <c r="O19" s="130"/>
      <c r="P19" s="130"/>
      <c r="Q19" s="130"/>
      <c r="R19" s="130"/>
      <c r="S19" s="130"/>
      <c r="T19" s="130"/>
      <c r="U19" s="85"/>
    </row>
    <row r="20" spans="1:21" ht="15.75" x14ac:dyDescent="0.25">
      <c r="A20" s="85">
        <f t="shared" si="0"/>
        <v>-11</v>
      </c>
      <c r="B20" s="116" t="s">
        <v>162</v>
      </c>
      <c r="C20" s="116"/>
      <c r="D20" s="127"/>
      <c r="E20" s="118">
        <f>E15*0.06</f>
        <v>5.6035348463546892</v>
      </c>
      <c r="F20" s="127"/>
      <c r="G20" s="118">
        <f>G15*0.03</f>
        <v>2.7524999999999999</v>
      </c>
      <c r="H20" s="119"/>
      <c r="I20" s="118">
        <v>0</v>
      </c>
      <c r="J20" s="120"/>
      <c r="K20" s="118">
        <f>K15*K16</f>
        <v>2.7958713297925644</v>
      </c>
      <c r="L20" s="118"/>
      <c r="M20" s="118">
        <f>M15*M18</f>
        <v>0</v>
      </c>
      <c r="N20" s="121"/>
      <c r="O20" s="121">
        <f>O15*O16</f>
        <v>5.6603773584905657</v>
      </c>
      <c r="P20" s="121"/>
      <c r="Q20" s="121">
        <f>Q15*Q16</f>
        <v>5.6603773584905657</v>
      </c>
      <c r="R20" s="121"/>
      <c r="S20" s="121">
        <f>S15*S16</f>
        <v>8.5059320329780821</v>
      </c>
      <c r="T20" s="122"/>
      <c r="U20" s="134" t="s">
        <v>163</v>
      </c>
    </row>
    <row r="21" spans="1:21" ht="15.75" x14ac:dyDescent="0.25">
      <c r="A21" s="85">
        <f t="shared" si="0"/>
        <v>-12</v>
      </c>
      <c r="B21" s="135"/>
      <c r="C21" s="97"/>
      <c r="D21" s="98"/>
      <c r="E21" s="123"/>
      <c r="F21" s="98"/>
      <c r="G21" s="123"/>
      <c r="H21" s="122"/>
      <c r="I21" s="123"/>
      <c r="J21" s="86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85"/>
    </row>
    <row r="22" spans="1:21" ht="15.75" x14ac:dyDescent="0.25">
      <c r="A22" s="85">
        <f t="shared" si="0"/>
        <v>-13</v>
      </c>
      <c r="B22" s="112" t="s">
        <v>164</v>
      </c>
      <c r="C22" s="97"/>
      <c r="D22" s="98"/>
      <c r="E22" s="123">
        <f>E15-E20</f>
        <v>87.788712592890136</v>
      </c>
      <c r="F22" s="98"/>
      <c r="G22" s="123">
        <f>G15-G20</f>
        <v>88.997500000000002</v>
      </c>
      <c r="H22" s="122"/>
      <c r="I22" s="123">
        <f>I15-I20</f>
        <v>91.75</v>
      </c>
      <c r="J22" s="86"/>
      <c r="K22" s="123">
        <f>K15-K20</f>
        <v>90.399839663292923</v>
      </c>
      <c r="L22" s="123"/>
      <c r="M22" s="123">
        <f>M15-M20</f>
        <v>94.36</v>
      </c>
      <c r="N22" s="123"/>
      <c r="O22" s="123">
        <f>O15-O20</f>
        <v>88.679245283018872</v>
      </c>
      <c r="P22" s="123"/>
      <c r="Q22" s="123">
        <f>Q15-Q20</f>
        <v>88.679245283018872</v>
      </c>
      <c r="R22" s="123"/>
      <c r="S22" s="123">
        <f>S15-S20</f>
        <v>86.004423889000606</v>
      </c>
      <c r="T22" s="123"/>
      <c r="U22" s="125" t="s">
        <v>165</v>
      </c>
    </row>
    <row r="23" spans="1:21" ht="15.75" x14ac:dyDescent="0.25">
      <c r="A23" s="85">
        <f t="shared" si="0"/>
        <v>-14</v>
      </c>
      <c r="B23" s="135"/>
      <c r="C23" s="97"/>
      <c r="D23" s="98"/>
      <c r="E23" s="123"/>
      <c r="F23" s="98"/>
      <c r="G23" s="123"/>
      <c r="H23" s="122"/>
      <c r="I23" s="123"/>
      <c r="J23" s="86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85"/>
    </row>
    <row r="24" spans="1:21" ht="15.75" x14ac:dyDescent="0.25">
      <c r="A24" s="85">
        <f t="shared" si="0"/>
        <v>-15</v>
      </c>
      <c r="B24" s="112" t="s">
        <v>166</v>
      </c>
      <c r="C24" s="97"/>
      <c r="D24" s="98"/>
      <c r="E24" s="121">
        <f>+E22*0.35</f>
        <v>30.726049407511546</v>
      </c>
      <c r="F24" s="98"/>
      <c r="G24" s="121">
        <f>+G22*0.35</f>
        <v>31.149124999999998</v>
      </c>
      <c r="H24" s="122"/>
      <c r="I24" s="121">
        <f>+I22*0.35</f>
        <v>32.112499999999997</v>
      </c>
      <c r="J24" s="86"/>
      <c r="K24" s="121">
        <f>+K22*0.35</f>
        <v>31.639943882152522</v>
      </c>
      <c r="L24" s="121"/>
      <c r="M24" s="136">
        <f>+M22*0.35</f>
        <v>33.025999999999996</v>
      </c>
      <c r="N24" s="121"/>
      <c r="O24" s="121">
        <f>+O22*0.35</f>
        <v>31.037735849056602</v>
      </c>
      <c r="P24" s="121"/>
      <c r="Q24" s="121">
        <f>+Q22*0.35</f>
        <v>31.037735849056602</v>
      </c>
      <c r="R24" s="121"/>
      <c r="S24" s="121">
        <f>+S22*0.35</f>
        <v>30.101548361150211</v>
      </c>
      <c r="T24" s="122"/>
      <c r="U24" s="125" t="s">
        <v>167</v>
      </c>
    </row>
    <row r="25" spans="1:21" ht="15.75" x14ac:dyDescent="0.25">
      <c r="A25" s="85">
        <f t="shared" si="0"/>
        <v>-16</v>
      </c>
      <c r="B25" s="135"/>
      <c r="C25" s="97"/>
      <c r="D25" s="98"/>
      <c r="E25" s="113"/>
      <c r="F25" s="98"/>
      <c r="G25" s="113"/>
      <c r="H25" s="114"/>
      <c r="I25" s="113"/>
      <c r="J25" s="86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85"/>
    </row>
    <row r="26" spans="1:21" ht="15.75" x14ac:dyDescent="0.25">
      <c r="A26" s="85">
        <f t="shared" si="0"/>
        <v>-17</v>
      </c>
      <c r="B26" s="112"/>
      <c r="C26" s="97"/>
      <c r="D26" s="98"/>
      <c r="E26" s="113"/>
      <c r="F26" s="98"/>
      <c r="G26" s="113"/>
      <c r="H26" s="114"/>
      <c r="I26" s="113"/>
      <c r="J26" s="86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85"/>
    </row>
    <row r="27" spans="1:21" ht="15.75" x14ac:dyDescent="0.25">
      <c r="A27" s="85">
        <f t="shared" si="0"/>
        <v>-18</v>
      </c>
      <c r="B27" s="112" t="s">
        <v>168</v>
      </c>
      <c r="C27" s="97"/>
      <c r="D27" s="98"/>
      <c r="E27" s="136">
        <f>+E12+E24</f>
        <v>37.333801968266719</v>
      </c>
      <c r="F27" s="98"/>
      <c r="G27" s="136">
        <f>+G12+G24</f>
        <v>39.399124999999998</v>
      </c>
      <c r="H27" s="137"/>
      <c r="I27" s="136">
        <f>+I12+I24</f>
        <v>40.362499999999997</v>
      </c>
      <c r="J27" s="86"/>
      <c r="K27" s="136">
        <f>+K12+K24</f>
        <v>38.444232889067045</v>
      </c>
      <c r="L27" s="136"/>
      <c r="M27" s="136">
        <f>+M12+M24</f>
        <v>38.665999999999997</v>
      </c>
      <c r="N27" s="136"/>
      <c r="O27" s="136">
        <f>+O12+O24</f>
        <v>36.698113207547166</v>
      </c>
      <c r="P27" s="136"/>
      <c r="Q27" s="136">
        <f>+Q12+Q24</f>
        <v>36.698113207547166</v>
      </c>
      <c r="R27" s="136"/>
      <c r="S27" s="136">
        <f>+S12+S24</f>
        <v>35.591192439171529</v>
      </c>
      <c r="T27" s="137"/>
      <c r="U27" s="125" t="s">
        <v>169</v>
      </c>
    </row>
    <row r="28" spans="1:21" ht="15.75" x14ac:dyDescent="0.25">
      <c r="A28" s="85">
        <f t="shared" si="0"/>
        <v>-19</v>
      </c>
      <c r="B28" s="86"/>
      <c r="C28" s="97"/>
      <c r="D28" s="98"/>
      <c r="E28" s="138"/>
      <c r="F28" s="98"/>
      <c r="G28" s="138"/>
      <c r="H28" s="139"/>
      <c r="I28" s="138"/>
      <c r="J28" s="86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85"/>
    </row>
    <row r="29" spans="1:21" ht="16.5" thickBot="1" x14ac:dyDescent="0.3">
      <c r="A29" s="85">
        <f t="shared" si="0"/>
        <v>-20</v>
      </c>
      <c r="B29" s="97" t="s">
        <v>170</v>
      </c>
      <c r="C29" s="97"/>
      <c r="D29" s="98"/>
      <c r="E29" s="140">
        <f>100-E27</f>
        <v>62.666198031733281</v>
      </c>
      <c r="F29" s="141"/>
      <c r="G29" s="140">
        <f>100-G27</f>
        <v>60.600875000000002</v>
      </c>
      <c r="H29" s="142"/>
      <c r="I29" s="140">
        <f>100-I27</f>
        <v>59.637500000000003</v>
      </c>
      <c r="J29" s="86"/>
      <c r="K29" s="140">
        <f>100-K27</f>
        <v>61.555767110932955</v>
      </c>
      <c r="L29" s="140"/>
      <c r="M29" s="143">
        <f>100-M27</f>
        <v>61.334000000000003</v>
      </c>
      <c r="N29" s="140"/>
      <c r="O29" s="140">
        <f>100-O27</f>
        <v>63.301886792452834</v>
      </c>
      <c r="P29" s="140"/>
      <c r="Q29" s="140">
        <f>100-Q27</f>
        <v>63.301886792452834</v>
      </c>
      <c r="R29" s="140"/>
      <c r="S29" s="140">
        <f>100-S27</f>
        <v>64.408807560828478</v>
      </c>
      <c r="T29" s="142"/>
      <c r="U29" s="125" t="s">
        <v>171</v>
      </c>
    </row>
    <row r="30" spans="1:21" ht="16.5" thickTop="1" x14ac:dyDescent="0.25">
      <c r="A30" s="85">
        <f t="shared" si="0"/>
        <v>-21</v>
      </c>
      <c r="B30" s="97"/>
      <c r="C30" s="97"/>
      <c r="D30" s="98"/>
      <c r="E30" s="138"/>
      <c r="F30" s="98"/>
      <c r="G30" s="138"/>
      <c r="H30" s="139"/>
      <c r="I30" s="144"/>
      <c r="J30" s="86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85"/>
    </row>
    <row r="31" spans="1:21" ht="15.75" x14ac:dyDescent="0.25">
      <c r="A31" s="85">
        <f t="shared" si="0"/>
        <v>-22</v>
      </c>
      <c r="B31" s="112" t="s">
        <v>172</v>
      </c>
      <c r="C31" s="97"/>
      <c r="D31" s="98"/>
      <c r="E31" s="138"/>
      <c r="F31" s="98"/>
      <c r="G31" s="138"/>
      <c r="H31" s="139"/>
      <c r="I31" s="86"/>
      <c r="J31" s="86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85"/>
    </row>
    <row r="32" spans="1:21" ht="15.75" x14ac:dyDescent="0.25">
      <c r="A32" s="85">
        <f t="shared" si="0"/>
        <v>-23</v>
      </c>
      <c r="B32" s="97" t="s">
        <v>173</v>
      </c>
      <c r="C32" s="97"/>
      <c r="D32" s="98"/>
      <c r="E32" s="145">
        <f>+E24/100</f>
        <v>0.30726049407511546</v>
      </c>
      <c r="F32" s="98"/>
      <c r="G32" s="145">
        <f>+G24/100</f>
        <v>0.31149125</v>
      </c>
      <c r="H32" s="145"/>
      <c r="I32" s="145">
        <f>+I24/100</f>
        <v>0.32112499999999999</v>
      </c>
      <c r="J32" s="86"/>
      <c r="K32" s="145">
        <f>+K24/100</f>
        <v>0.31639943882152521</v>
      </c>
      <c r="L32" s="145"/>
      <c r="M32" s="145">
        <f>+M24/100</f>
        <v>0.33025999999999994</v>
      </c>
      <c r="N32" s="145"/>
      <c r="O32" s="145">
        <f>+O24/100</f>
        <v>0.31037735849056602</v>
      </c>
      <c r="P32" s="145"/>
      <c r="Q32" s="145">
        <f>+Q24/100</f>
        <v>0.31037735849056602</v>
      </c>
      <c r="R32" s="145"/>
      <c r="S32" s="145">
        <f>+S24/100</f>
        <v>0.3010154836115021</v>
      </c>
      <c r="T32" s="145"/>
      <c r="U32" s="125" t="s">
        <v>174</v>
      </c>
    </row>
    <row r="33" spans="1:21" ht="15.75" x14ac:dyDescent="0.25">
      <c r="A33" s="85">
        <f t="shared" si="0"/>
        <v>-24</v>
      </c>
      <c r="B33" s="97" t="s">
        <v>175</v>
      </c>
      <c r="C33" s="97"/>
      <c r="D33" s="98"/>
      <c r="E33" s="146">
        <f>+E12/100</f>
        <v>6.6077525607551729E-2</v>
      </c>
      <c r="F33" s="98"/>
      <c r="G33" s="146">
        <f>+G12/100</f>
        <v>8.2500000000000004E-2</v>
      </c>
      <c r="H33" s="145"/>
      <c r="I33" s="146">
        <f>+I12/100</f>
        <v>8.2500000000000004E-2</v>
      </c>
      <c r="J33" s="86"/>
      <c r="K33" s="146">
        <f>+K12/100</f>
        <v>6.8042890069145212E-2</v>
      </c>
      <c r="L33" s="146"/>
      <c r="M33" s="146">
        <f>+M12/100</f>
        <v>5.6399999999999999E-2</v>
      </c>
      <c r="N33" s="146"/>
      <c r="O33" s="146">
        <f>+O12/100</f>
        <v>5.6603773584905655E-2</v>
      </c>
      <c r="P33" s="146"/>
      <c r="Q33" s="146">
        <f>+Q12/100</f>
        <v>5.6603773584905655E-2</v>
      </c>
      <c r="R33" s="146"/>
      <c r="S33" s="146">
        <f>+S12/100</f>
        <v>5.4896440780213149E-2</v>
      </c>
      <c r="T33" s="145"/>
      <c r="U33" s="125" t="s">
        <v>176</v>
      </c>
    </row>
    <row r="34" spans="1:21" ht="16.5" thickBot="1" x14ac:dyDescent="0.3">
      <c r="A34" s="85">
        <f t="shared" si="0"/>
        <v>-25</v>
      </c>
      <c r="B34" s="97" t="s">
        <v>177</v>
      </c>
      <c r="C34" s="97"/>
      <c r="D34" s="98"/>
      <c r="E34" s="147">
        <f>SUM(E32:E33)</f>
        <v>0.37333801968266722</v>
      </c>
      <c r="F34" s="98"/>
      <c r="G34" s="147">
        <f>SUM(G32:G33)</f>
        <v>0.39399125000000002</v>
      </c>
      <c r="H34" s="145"/>
      <c r="I34" s="147">
        <f>SUM(I32:I33)</f>
        <v>0.40362500000000001</v>
      </c>
      <c r="J34" s="86"/>
      <c r="K34" s="147">
        <f>SUM(K32:K33)</f>
        <v>0.38444232889067043</v>
      </c>
      <c r="L34" s="147"/>
      <c r="M34" s="147">
        <f>SUM(M32:M33)</f>
        <v>0.38665999999999995</v>
      </c>
      <c r="N34" s="147"/>
      <c r="O34" s="147">
        <f>SUM(O32:O33)</f>
        <v>0.36698113207547167</v>
      </c>
      <c r="P34" s="147"/>
      <c r="Q34" s="147">
        <f>SUM(Q32:Q33)</f>
        <v>0.36698113207547167</v>
      </c>
      <c r="R34" s="147"/>
      <c r="S34" s="147">
        <f>SUM(S32:S33)</f>
        <v>0.35591192439171526</v>
      </c>
      <c r="T34" s="145"/>
      <c r="U34" s="125" t="s">
        <v>178</v>
      </c>
    </row>
    <row r="35" spans="1:21" ht="15.75" thickTop="1" x14ac:dyDescent="0.25">
      <c r="A35" s="85">
        <f t="shared" si="0"/>
        <v>-26</v>
      </c>
      <c r="B35" s="86"/>
      <c r="C35" s="86"/>
      <c r="D35" s="86"/>
      <c r="E35" s="148"/>
      <c r="F35" s="86"/>
      <c r="G35" s="148"/>
      <c r="H35" s="86"/>
      <c r="I35" s="86"/>
      <c r="J35" s="86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85"/>
    </row>
    <row r="36" spans="1:21" x14ac:dyDescent="0.25">
      <c r="A36" s="85">
        <f t="shared" si="0"/>
        <v>-27</v>
      </c>
      <c r="B36" s="86"/>
      <c r="C36" s="86"/>
      <c r="D36" s="86"/>
      <c r="E36" s="148"/>
      <c r="F36" s="86"/>
      <c r="G36" s="148"/>
      <c r="H36" s="86"/>
      <c r="I36" s="86"/>
      <c r="J36" s="86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85"/>
    </row>
    <row r="37" spans="1:21" x14ac:dyDescent="0.25">
      <c r="A37" s="85">
        <f t="shared" si="0"/>
        <v>-28</v>
      </c>
      <c r="B37" s="86"/>
      <c r="C37" s="86"/>
      <c r="D37" s="86"/>
      <c r="E37" s="148"/>
      <c r="F37" s="86"/>
      <c r="G37" s="148"/>
      <c r="H37" s="86"/>
      <c r="I37" s="86"/>
      <c r="J37" s="86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85"/>
    </row>
    <row r="38" spans="1:21" x14ac:dyDescent="0.25">
      <c r="A38" s="85">
        <f t="shared" si="0"/>
        <v>-29</v>
      </c>
      <c r="B38" s="86"/>
      <c r="C38" s="86"/>
      <c r="D38" s="86"/>
      <c r="E38" s="148"/>
      <c r="F38" s="86"/>
      <c r="G38" s="148"/>
      <c r="H38" s="86"/>
      <c r="I38" s="86"/>
      <c r="J38" s="86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85"/>
    </row>
    <row r="39" spans="1:21" x14ac:dyDescent="0.25">
      <c r="A39" s="85">
        <f t="shared" si="0"/>
        <v>-30</v>
      </c>
      <c r="B39" s="86"/>
      <c r="C39" s="86"/>
      <c r="D39" s="86"/>
      <c r="E39" s="148"/>
      <c r="F39" s="86"/>
      <c r="G39" s="148"/>
      <c r="H39" s="86"/>
      <c r="I39" s="86"/>
      <c r="J39" s="86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85"/>
    </row>
    <row r="40" spans="1:21" ht="15.75" x14ac:dyDescent="0.25">
      <c r="A40" s="85">
        <f t="shared" si="0"/>
        <v>-31</v>
      </c>
      <c r="B40" s="149" t="s">
        <v>179</v>
      </c>
      <c r="C40" s="86"/>
      <c r="D40" s="86"/>
      <c r="E40" s="148"/>
      <c r="F40" s="86"/>
      <c r="G40" s="148"/>
      <c r="H40" s="86"/>
      <c r="I40" s="86"/>
      <c r="J40" s="86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85"/>
    </row>
    <row r="41" spans="1:21" ht="15.75" x14ac:dyDescent="0.25">
      <c r="A41" s="85">
        <f t="shared" si="0"/>
        <v>-32</v>
      </c>
      <c r="B41" s="97" t="s">
        <v>154</v>
      </c>
      <c r="C41" s="86"/>
      <c r="D41" s="86"/>
      <c r="E41" s="110">
        <v>100</v>
      </c>
      <c r="F41" s="86"/>
      <c r="G41" s="110">
        <v>100</v>
      </c>
      <c r="H41" s="86"/>
      <c r="I41" s="110">
        <v>100</v>
      </c>
      <c r="J41" s="86"/>
      <c r="K41" s="110">
        <v>100</v>
      </c>
      <c r="L41" s="110"/>
      <c r="M41" s="110">
        <v>100</v>
      </c>
      <c r="N41" s="110"/>
      <c r="O41" s="110">
        <v>100</v>
      </c>
      <c r="P41" s="110"/>
      <c r="Q41" s="110">
        <v>100</v>
      </c>
      <c r="R41" s="110"/>
      <c r="S41" s="110">
        <v>100</v>
      </c>
      <c r="T41" s="110"/>
      <c r="U41" s="85"/>
    </row>
    <row r="42" spans="1:21" ht="15.75" x14ac:dyDescent="0.25">
      <c r="A42" s="85">
        <f t="shared" si="0"/>
        <v>-33</v>
      </c>
      <c r="B42" s="112"/>
      <c r="C42" s="86"/>
      <c r="D42" s="86"/>
      <c r="E42" s="113"/>
      <c r="F42" s="86"/>
      <c r="G42" s="113"/>
      <c r="H42" s="86"/>
      <c r="I42" s="113"/>
      <c r="J42" s="86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85"/>
    </row>
    <row r="43" spans="1:21" ht="15.75" x14ac:dyDescent="0.25">
      <c r="A43" s="85">
        <f t="shared" si="0"/>
        <v>-34</v>
      </c>
      <c r="B43" s="115" t="s">
        <v>180</v>
      </c>
      <c r="C43" s="120"/>
      <c r="D43" s="120"/>
      <c r="E43" s="118">
        <f>+E20</f>
        <v>5.6035348463546892</v>
      </c>
      <c r="F43" s="120"/>
      <c r="G43" s="150">
        <v>0</v>
      </c>
      <c r="H43" s="120"/>
      <c r="I43" s="150">
        <f>+I20</f>
        <v>0</v>
      </c>
      <c r="J43" s="120"/>
      <c r="K43" s="118">
        <f>+K20</f>
        <v>2.7958713297925644</v>
      </c>
      <c r="L43" s="118"/>
      <c r="M43" s="118">
        <v>6</v>
      </c>
      <c r="N43" s="121"/>
      <c r="O43" s="121">
        <f>+O20</f>
        <v>5.6603773584905657</v>
      </c>
      <c r="P43" s="121"/>
      <c r="Q43" s="121">
        <f>+Q20</f>
        <v>5.6603773584905657</v>
      </c>
      <c r="R43" s="121"/>
      <c r="S43" s="121">
        <f>+S20</f>
        <v>8.5059320329780821</v>
      </c>
      <c r="T43" s="122"/>
      <c r="U43" s="85"/>
    </row>
    <row r="44" spans="1:21" ht="15.75" x14ac:dyDescent="0.25">
      <c r="A44" s="85">
        <f t="shared" si="0"/>
        <v>-35</v>
      </c>
      <c r="B44" s="115"/>
      <c r="C44" s="120"/>
      <c r="D44" s="120"/>
      <c r="E44" s="151"/>
      <c r="F44" s="120"/>
      <c r="G44" s="151"/>
      <c r="H44" s="120"/>
      <c r="I44" s="151"/>
      <c r="J44" s="120"/>
      <c r="K44" s="151"/>
      <c r="L44" s="151"/>
      <c r="M44" s="151"/>
      <c r="N44" s="123"/>
      <c r="O44" s="123"/>
      <c r="P44" s="123"/>
      <c r="Q44" s="123"/>
      <c r="R44" s="123"/>
      <c r="S44" s="123"/>
      <c r="T44" s="123"/>
      <c r="U44" s="85"/>
    </row>
    <row r="45" spans="1:21" ht="15.75" x14ac:dyDescent="0.25">
      <c r="A45" s="85">
        <f t="shared" si="0"/>
        <v>-36</v>
      </c>
      <c r="B45" s="116" t="s">
        <v>181</v>
      </c>
      <c r="C45" s="120"/>
      <c r="D45" s="120"/>
      <c r="E45" s="119">
        <f>+E41-E43</f>
        <v>94.396465153645309</v>
      </c>
      <c r="F45" s="120"/>
      <c r="G45" s="119">
        <f>+G41-G43</f>
        <v>100</v>
      </c>
      <c r="H45" s="120"/>
      <c r="I45" s="119">
        <f>+I41-I43</f>
        <v>100</v>
      </c>
      <c r="J45" s="120"/>
      <c r="K45" s="119">
        <f>+K41-K43</f>
        <v>97.204128670207439</v>
      </c>
      <c r="L45" s="119"/>
      <c r="M45" s="119">
        <f>+M41-M43</f>
        <v>94</v>
      </c>
      <c r="N45" s="122"/>
      <c r="O45" s="122">
        <f>+O41-O43</f>
        <v>94.339622641509436</v>
      </c>
      <c r="P45" s="122"/>
      <c r="Q45" s="122">
        <f>+Q41-Q43</f>
        <v>94.339622641509436</v>
      </c>
      <c r="R45" s="122"/>
      <c r="S45" s="122">
        <f>+S41-S43</f>
        <v>91.49406796702192</v>
      </c>
      <c r="T45" s="122"/>
      <c r="U45" s="125" t="s">
        <v>182</v>
      </c>
    </row>
    <row r="46" spans="1:21" ht="15.75" x14ac:dyDescent="0.25">
      <c r="A46" s="85">
        <f t="shared" si="0"/>
        <v>-37</v>
      </c>
      <c r="B46" s="116"/>
      <c r="C46" s="120"/>
      <c r="D46" s="120"/>
      <c r="E46" s="119"/>
      <c r="F46" s="120"/>
      <c r="G46" s="119"/>
      <c r="H46" s="120"/>
      <c r="I46" s="119"/>
      <c r="J46" s="120"/>
      <c r="K46" s="119"/>
      <c r="L46" s="119"/>
      <c r="M46" s="119"/>
      <c r="N46" s="122"/>
      <c r="O46" s="122"/>
      <c r="P46" s="122"/>
      <c r="Q46" s="122"/>
      <c r="R46" s="122"/>
      <c r="S46" s="122"/>
      <c r="T46" s="122"/>
      <c r="U46" s="85"/>
    </row>
    <row r="47" spans="1:21" ht="15.75" x14ac:dyDescent="0.25">
      <c r="A47" s="85">
        <f t="shared" si="0"/>
        <v>-38</v>
      </c>
      <c r="B47" s="116" t="s">
        <v>144</v>
      </c>
      <c r="C47" s="120"/>
      <c r="D47" s="120"/>
      <c r="E47" s="152">
        <v>7.0000000000000007E-2</v>
      </c>
      <c r="F47" s="120"/>
      <c r="G47" s="152">
        <v>8.2500000000000004E-2</v>
      </c>
      <c r="H47" s="120"/>
      <c r="I47" s="152">
        <v>8.2500000000000004E-2</v>
      </c>
      <c r="J47" s="120"/>
      <c r="K47" s="152">
        <v>7.0000000000000007E-2</v>
      </c>
      <c r="L47" s="152"/>
      <c r="M47" s="152">
        <v>0.06</v>
      </c>
      <c r="N47" s="153"/>
      <c r="O47" s="153">
        <v>0.06</v>
      </c>
      <c r="P47" s="153"/>
      <c r="Q47" s="153">
        <v>0.06</v>
      </c>
      <c r="R47" s="153"/>
      <c r="S47" s="153">
        <v>0.06</v>
      </c>
      <c r="T47" s="154"/>
      <c r="U47" s="85"/>
    </row>
    <row r="48" spans="1:21" ht="15.75" x14ac:dyDescent="0.25">
      <c r="A48" s="85">
        <f t="shared" si="0"/>
        <v>-39</v>
      </c>
      <c r="B48" s="132"/>
      <c r="C48" s="120"/>
      <c r="D48" s="120"/>
      <c r="E48" s="151"/>
      <c r="F48" s="120"/>
      <c r="G48" s="151"/>
      <c r="H48" s="120"/>
      <c r="I48" s="151"/>
      <c r="J48" s="120"/>
      <c r="K48" s="151"/>
      <c r="L48" s="151"/>
      <c r="M48" s="151"/>
      <c r="N48" s="123"/>
      <c r="O48" s="123"/>
      <c r="P48" s="123"/>
      <c r="Q48" s="123"/>
      <c r="R48" s="123"/>
      <c r="S48" s="123"/>
      <c r="T48" s="123"/>
      <c r="U48" s="85"/>
    </row>
    <row r="49" spans="1:21" ht="16.5" thickBot="1" x14ac:dyDescent="0.3">
      <c r="A49" s="85">
        <f t="shared" si="0"/>
        <v>-40</v>
      </c>
      <c r="B49" s="115" t="s">
        <v>183</v>
      </c>
      <c r="C49" s="120"/>
      <c r="D49" s="120"/>
      <c r="E49" s="155">
        <f>+E45*E47</f>
        <v>6.6077525607551726</v>
      </c>
      <c r="F49" s="120"/>
      <c r="G49" s="155">
        <f>+G45*G47</f>
        <v>8.25</v>
      </c>
      <c r="H49" s="120"/>
      <c r="I49" s="155">
        <f>+I45*I47</f>
        <v>8.25</v>
      </c>
      <c r="J49" s="120"/>
      <c r="K49" s="155">
        <f>+K45*K47</f>
        <v>6.8042890069145212</v>
      </c>
      <c r="L49" s="155"/>
      <c r="M49" s="143">
        <f>+M45*M47</f>
        <v>5.64</v>
      </c>
      <c r="N49" s="156"/>
      <c r="O49" s="156">
        <f>+O45*O47</f>
        <v>5.6603773584905657</v>
      </c>
      <c r="P49" s="156"/>
      <c r="Q49" s="156">
        <f>+Q45*Q47</f>
        <v>5.6603773584905657</v>
      </c>
      <c r="R49" s="156"/>
      <c r="S49" s="156">
        <f>+S45*S47</f>
        <v>5.4896440780213149</v>
      </c>
      <c r="T49" s="122"/>
      <c r="U49" s="125" t="s">
        <v>184</v>
      </c>
    </row>
    <row r="50" spans="1:21" ht="15.75" thickTop="1" x14ac:dyDescent="0.25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5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5 (a-d)
Page 3 of 3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Feb16</vt:lpstr>
      <vt:lpstr>Tab 2 - ECC Feb16</vt:lpstr>
      <vt:lpstr>Tab 3 - Tax Rate</vt:lpstr>
      <vt:lpstr>'Tab 1 - ROR Feb16'!Print_Area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2016-07-20T15:12:24Z</dcterms:created>
  <dcterms:modified xsi:type="dcterms:W3CDTF">2016-07-27T14:41:39Z</dcterms:modified>
  <cp:category/>
  <cp:contentStatus/>
</cp:coreProperties>
</file>