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9465"/>
  </bookViews>
  <sheets>
    <sheet name="Tab 1 - ROR Feb16" sheetId="14" r:id="rId1"/>
    <sheet name="Tab 2 - ECC Feb16" sheetId="45" r:id="rId2"/>
    <sheet name="Tab 3 - Tax Rate" sheetId="4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'Tab 1 - ROR Feb16'!$A$1:$S$37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M45" i="46" l="1"/>
  <c r="M49" i="46" s="1"/>
  <c r="G45" i="46"/>
  <c r="G49" i="46" s="1"/>
  <c r="I43" i="46"/>
  <c r="I45" i="46" s="1"/>
  <c r="I49" i="46" s="1"/>
  <c r="S33" i="46"/>
  <c r="Q33" i="46"/>
  <c r="O33" i="46"/>
  <c r="M33" i="46"/>
  <c r="K33" i="46"/>
  <c r="E33" i="46"/>
  <c r="M18" i="46"/>
  <c r="S15" i="46"/>
  <c r="S20" i="46" s="1"/>
  <c r="S22" i="46" s="1"/>
  <c r="S24" i="46" s="1"/>
  <c r="Q15" i="46"/>
  <c r="Q20" i="46" s="1"/>
  <c r="Q43" i="46" s="1"/>
  <c r="Q45" i="46" s="1"/>
  <c r="Q49" i="46" s="1"/>
  <c r="O15" i="46"/>
  <c r="O20" i="46" s="1"/>
  <c r="O43" i="46" s="1"/>
  <c r="O45" i="46" s="1"/>
  <c r="O49" i="46" s="1"/>
  <c r="M15" i="46"/>
  <c r="K15" i="46"/>
  <c r="K20" i="46" s="1"/>
  <c r="K43" i="46" s="1"/>
  <c r="K45" i="46" s="1"/>
  <c r="K49" i="46" s="1"/>
  <c r="E15" i="46"/>
  <c r="I12" i="46"/>
  <c r="G12" i="46"/>
  <c r="G33" i="46" s="1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O22" i="46" l="1"/>
  <c r="O24" i="46" s="1"/>
  <c r="O27" i="46" s="1"/>
  <c r="O29" i="46" s="1"/>
  <c r="G15" i="46"/>
  <c r="G20" i="46" s="1"/>
  <c r="G22" i="46" s="1"/>
  <c r="G24" i="46" s="1"/>
  <c r="G32" i="46" s="1"/>
  <c r="S27" i="46"/>
  <c r="S29" i="46" s="1"/>
  <c r="S32" i="46"/>
  <c r="S34" i="46" s="1"/>
  <c r="O32" i="46"/>
  <c r="O34" i="46" s="1"/>
  <c r="G34" i="46"/>
  <c r="I33" i="46"/>
  <c r="M20" i="46"/>
  <c r="M22" i="46" s="1"/>
  <c r="M24" i="46" s="1"/>
  <c r="Q22" i="46"/>
  <c r="Q24" i="46" s="1"/>
  <c r="G27" i="46"/>
  <c r="G29" i="46" s="1"/>
  <c r="S43" i="46"/>
  <c r="S45" i="46" s="1"/>
  <c r="S49" i="46" s="1"/>
  <c r="I15" i="46"/>
  <c r="I22" i="46" s="1"/>
  <c r="I24" i="46" s="1"/>
  <c r="I32" i="46" s="1"/>
  <c r="I34" i="46" s="1"/>
  <c r="E20" i="46"/>
  <c r="E43" i="46" s="1"/>
  <c r="E45" i="46" s="1"/>
  <c r="E49" i="46" s="1"/>
  <c r="K22" i="46"/>
  <c r="K24" i="46" s="1"/>
  <c r="I27" i="46" l="1"/>
  <c r="I29" i="46" s="1"/>
  <c r="M32" i="46"/>
  <c r="M34" i="46" s="1"/>
  <c r="M27" i="46"/>
  <c r="M29" i="46" s="1"/>
  <c r="K27" i="46"/>
  <c r="K29" i="46" s="1"/>
  <c r="K32" i="46"/>
  <c r="K34" i="46" s="1"/>
  <c r="Q32" i="46"/>
  <c r="Q34" i="46" s="1"/>
  <c r="Q27" i="46"/>
  <c r="Q29" i="46" s="1"/>
  <c r="E22" i="46"/>
  <c r="E24" i="46" s="1"/>
  <c r="E32" i="46" l="1"/>
  <c r="E34" i="46" s="1"/>
  <c r="E27" i="46"/>
  <c r="E29" i="46" s="1"/>
  <c r="O68" i="45" l="1"/>
  <c r="N68" i="45"/>
  <c r="K68" i="45"/>
  <c r="H65" i="45"/>
  <c r="Q65" i="45" s="1"/>
  <c r="T65" i="45" s="1"/>
  <c r="T64" i="45"/>
  <c r="H64" i="45"/>
  <c r="Q64" i="45" s="1"/>
  <c r="H63" i="45"/>
  <c r="Q50" i="45"/>
  <c r="O50" i="45"/>
  <c r="N50" i="45"/>
  <c r="K50" i="45"/>
  <c r="H50" i="45"/>
  <c r="F50" i="45"/>
  <c r="Q44" i="45"/>
  <c r="O43" i="45"/>
  <c r="Q41" i="45"/>
  <c r="T41" i="45" s="1"/>
  <c r="Q40" i="45"/>
  <c r="T40" i="45" s="1"/>
  <c r="Q39" i="45"/>
  <c r="T39" i="45" s="1"/>
  <c r="Q35" i="45"/>
  <c r="T35" i="45" s="1"/>
  <c r="H34" i="45"/>
  <c r="Q33" i="45"/>
  <c r="T33" i="45" s="1"/>
  <c r="H32" i="45"/>
  <c r="Q31" i="45"/>
  <c r="T31" i="45" s="1"/>
  <c r="H30" i="45"/>
  <c r="Q29" i="45"/>
  <c r="T29" i="45" s="1"/>
  <c r="H28" i="45"/>
  <c r="Q27" i="45"/>
  <c r="T27" i="45" s="1"/>
  <c r="F46" i="45"/>
  <c r="H26" i="45"/>
  <c r="Q23" i="45"/>
  <c r="O22" i="45"/>
  <c r="H22" i="45"/>
  <c r="H21" i="45"/>
  <c r="H20" i="45"/>
  <c r="O19" i="45"/>
  <c r="H19" i="45"/>
  <c r="Q19" i="45" s="1"/>
  <c r="T19" i="45" s="1"/>
  <c r="O18" i="45"/>
  <c r="H18" i="45"/>
  <c r="O17" i="45"/>
  <c r="H17" i="45"/>
  <c r="O16" i="45"/>
  <c r="H16" i="45"/>
  <c r="O15" i="45"/>
  <c r="H15" i="45"/>
  <c r="Q15" i="45" s="1"/>
  <c r="T15" i="45" s="1"/>
  <c r="O14" i="45"/>
  <c r="H14" i="45"/>
  <c r="O13" i="45"/>
  <c r="H13" i="45"/>
  <c r="O12" i="45"/>
  <c r="H12" i="45"/>
  <c r="F52" i="45" l="1"/>
  <c r="C17" i="14" s="1"/>
  <c r="Q16" i="45"/>
  <c r="T16" i="45" s="1"/>
  <c r="Q13" i="45"/>
  <c r="T13" i="45" s="1"/>
  <c r="Q14" i="45"/>
  <c r="T14" i="45" s="1"/>
  <c r="Q20" i="45"/>
  <c r="T20" i="45" s="1"/>
  <c r="Q43" i="45"/>
  <c r="T63" i="45"/>
  <c r="Q21" i="45"/>
  <c r="T21" i="45" s="1"/>
  <c r="Q26" i="45"/>
  <c r="T26" i="45" s="1"/>
  <c r="Q28" i="45"/>
  <c r="T28" i="45" s="1"/>
  <c r="Q30" i="45"/>
  <c r="T30" i="45" s="1"/>
  <c r="Q32" i="45"/>
  <c r="T32" i="45" s="1"/>
  <c r="Q34" i="45"/>
  <c r="T34" i="45" s="1"/>
  <c r="K46" i="45"/>
  <c r="K52" i="45" s="1"/>
  <c r="K71" i="45" s="1"/>
  <c r="Q12" i="45"/>
  <c r="T50" i="45"/>
  <c r="N46" i="45"/>
  <c r="N52" i="45" s="1"/>
  <c r="N71" i="45" s="1"/>
  <c r="H46" i="45"/>
  <c r="H52" i="45" s="1"/>
  <c r="O46" i="45"/>
  <c r="O52" i="45" s="1"/>
  <c r="O71" i="45" s="1"/>
  <c r="Q17" i="45"/>
  <c r="T17" i="45" s="1"/>
  <c r="Q18" i="45"/>
  <c r="T18" i="45" s="1"/>
  <c r="Q22" i="45"/>
  <c r="T22" i="45" s="1"/>
  <c r="H68" i="45"/>
  <c r="Q63" i="45"/>
  <c r="Q68" i="45" s="1"/>
  <c r="F68" i="45"/>
  <c r="T68" i="45" l="1"/>
  <c r="P30" i="14" s="1"/>
  <c r="C16" i="14"/>
  <c r="F71" i="45"/>
  <c r="H71" i="45"/>
  <c r="Q46" i="45"/>
  <c r="T12" i="45"/>
  <c r="T46" i="45" l="1"/>
  <c r="Q52" i="45"/>
  <c r="Q71" i="45" l="1"/>
  <c r="T71" i="45" s="1"/>
  <c r="T52" i="45"/>
  <c r="P31" i="14" s="1"/>
  <c r="H18" i="14" l="1"/>
  <c r="P17" i="14" l="1"/>
  <c r="P18" i="14" l="1"/>
  <c r="C19" i="14" l="1"/>
  <c r="F17" i="14" l="1"/>
  <c r="J17" i="14" s="1"/>
  <c r="F16" i="14"/>
  <c r="J16" i="14" s="1"/>
  <c r="J18" i="14" l="1"/>
  <c r="L16" i="14"/>
  <c r="N16" i="14" s="1"/>
  <c r="R16" i="14" s="1"/>
  <c r="C30" i="14" s="1"/>
  <c r="F18" i="14"/>
  <c r="F19" i="14" s="1"/>
  <c r="L17" i="14"/>
  <c r="N17" i="14" s="1"/>
  <c r="R17" i="14" s="1"/>
  <c r="C31" i="14" s="1"/>
  <c r="L18" i="14" l="1"/>
  <c r="N18" i="14" s="1"/>
  <c r="N19" i="14" s="1"/>
  <c r="R18" i="14" l="1"/>
  <c r="R19" i="14" s="1"/>
  <c r="L19" i="14"/>
  <c r="C32" i="14" l="1"/>
  <c r="C33" i="14" l="1"/>
  <c r="F31" i="14" s="1"/>
  <c r="F30" i="14" l="1"/>
  <c r="J30" i="14" s="1"/>
  <c r="H31" i="14"/>
  <c r="J31" i="14"/>
  <c r="F32" i="14" l="1"/>
  <c r="F33" i="14" s="1"/>
  <c r="H30" i="14"/>
  <c r="L30" i="14" s="1"/>
  <c r="J32" i="14"/>
  <c r="L31" i="14"/>
  <c r="H32" i="14" l="1"/>
  <c r="L32" i="14" s="1"/>
  <c r="L33" i="14" s="1"/>
  <c r="N31" i="14" s="1"/>
  <c r="R31" i="14" s="1"/>
  <c r="N30" i="14" l="1"/>
  <c r="N32" i="14" s="1"/>
  <c r="R32" i="14" s="1"/>
  <c r="R30" i="14" l="1"/>
  <c r="N33" i="14"/>
  <c r="R33" i="14" l="1"/>
  <c r="R34" i="14" s="1"/>
</calcChain>
</file>

<file path=xl/sharedStrings.xml><?xml version="1.0" encoding="utf-8"?>
<sst xmlns="http://schemas.openxmlformats.org/spreadsheetml/2006/main" count="228" uniqueCount="155">
  <si>
    <t>Environmental</t>
  </si>
  <si>
    <t>Rate Base</t>
  </si>
  <si>
    <t>Jurisdictional</t>
  </si>
  <si>
    <t>Adjustments</t>
  </si>
  <si>
    <t>to</t>
  </si>
  <si>
    <t>*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</si>
  <si>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</si>
  <si>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</si>
  <si>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</si>
  <si>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</si>
  <si>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</si>
  <si>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</si>
  <si>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</si>
  <si>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</si>
  <si>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</si>
  <si>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</si>
  <si>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</si>
  <si>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</si>
  <si>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</si>
  <si>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</si>
  <si>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</si>
  <si>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</si>
  <si>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</si>
  <si>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</si>
  <si>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</si>
  <si>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</si>
  <si>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</si>
  <si>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</si>
  <si>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</si>
  <si>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</si>
  <si>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</si>
  <si>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</si>
  <si>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</si>
  <si>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</si>
  <si>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</si>
  <si>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</si>
  <si>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</si>
  <si>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</si>
  <si>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</si>
  <si>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</si>
  <si>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</si>
  <si>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</si>
  <si>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</si>
  <si>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</si>
  <si>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</si>
  <si>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</si>
  <si>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KENTUCKY UTILITIES COMPANY</t>
  </si>
  <si>
    <t>ANALYSIS OF THE EMBEDDED COST OF CAPITAL AT</t>
  </si>
  <si>
    <t>LONG-TERM DEBT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</si>
  <si>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</si>
  <si>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</si>
  <si>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</si>
  <si>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</si>
  <si>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</si>
  <si>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</si>
  <si>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</si>
  <si>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</t>
  </si>
  <si>
    <t xml:space="preserve"> Issuance Exp/Discount</t>
  </si>
  <si>
    <t>Reacquired Debt</t>
  </si>
  <si>
    <t>and other fees</t>
  </si>
  <si>
    <t>Total</t>
  </si>
  <si>
    <t xml:space="preserve">  Cost  </t>
  </si>
  <si>
    <t>Pollution Control Bonds -</t>
  </si>
  <si>
    <t>Mercer Co. 2000 Series A</t>
  </si>
  <si>
    <t>Carroll Co. 2002 Series A</t>
  </si>
  <si>
    <t>Carroll Co. 2002 Series B</t>
  </si>
  <si>
    <t>Muhlenberg Co. 2002 Series A</t>
  </si>
  <si>
    <t>Mercer Co. 2002 Series A</t>
  </si>
  <si>
    <t>Carroll Co. 2002 Series 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</si>
  <si>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</si>
  <si>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</si>
  <si>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</si>
  <si>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</si>
  <si>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</si>
  <si>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</si>
  <si>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</si>
  <si>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</si>
  <si>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</si>
  <si>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</si>
  <si>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</si>
  <si>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</si>
  <si>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</si>
  <si>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</si>
  <si>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</si>
  <si>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</si>
  <si>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</si>
  <si>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</si>
  <si>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</si>
  <si>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</si>
  <si>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</si>
  <si>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</si>
  <si>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</si>
  <si>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</si>
  <si>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</si>
  <si>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</si>
  <si>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</si>
  <si>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</si>
  <si>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</si>
  <si>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</si>
  <si>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</si>
  <si>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ECR - Gross-up Revenue Factor &amp;</t>
  </si>
  <si>
    <t>Composite Income Tax Calculation</t>
  </si>
  <si>
    <t>Federal &amp; State</t>
  </si>
  <si>
    <t>Federal Production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</si>
  <si>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</si>
  <si>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</si>
  <si>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</si>
  <si>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</si>
  <si>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</si>
  <si>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</si>
  <si>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</si>
  <si>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</si>
  <si>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</si>
  <si>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</si>
  <si>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</si>
  <si>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</si>
  <si>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</si>
  <si>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</si>
  <si>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</si>
  <si>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</si>
  <si>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</si>
  <si>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</si>
  <si>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</si>
  <si>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</si>
  <si>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</si>
  <si>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</si>
  <si>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</si>
  <si>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</si>
  <si>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</si>
  <si>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</si>
  <si>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</si>
  <si>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</si>
  <si>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</si>
  <si>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</si>
  <si>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</si>
  <si>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</si>
  <si>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</si>
  <si>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</si>
  <si>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</si>
  <si>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</si>
  <si>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</si>
  <si>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</si>
  <si>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</si>
  <si>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</si>
  <si>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</si>
  <si>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</si>
  <si>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</si>
  <si>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</si>
  <si>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t>As of February 29, 2016</t>
  </si>
  <si>
    <t>02-29-16</t>
  </si>
  <si>
    <t>2  Includes setup fees for Credit Facility amended January 29, 2016 with a term ending December 31, 2020.</t>
  </si>
  <si>
    <t>1  Call premium and debt expense is being amortized in accordance with ASC 980, Regulated Operations.</t>
  </si>
  <si>
    <t>2016 State</t>
  </si>
  <si>
    <t>W/ 6% 2016 State</t>
  </si>
  <si>
    <t>*  The rate on the last day of the month is annualized for the Embedded Cost of Capital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</si>
</sst>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mmmm\ d\,\ yyyy"/>
    <numFmt numFmtId="178" formatCode="mm/dd/yy_)"/>
    <numFmt numFmtId="179" formatCode="0.000_)"/>
    <numFmt numFmtId="180" formatCode="0_);\(0\)"/>
    <numFmt numFmtId="181" formatCode="#,##0.000_);\(#,##0.000\)"/>
    <numFmt numFmtId="182" formatCode="_(&quot;$&quot;* #,##0.0000_);_(&quot;$&quot;* \(#,##0.0000\);_(&quot;$&quot;* &quot;-&quot;??_);_(@_)"/>
    <numFmt numFmtId="183" formatCode="#,##0.0000_);\(#,##0.000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2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1" applyNumberFormat="0" applyAlignment="0" applyProtection="0"/>
    <xf numFmtId="0" fontId="22" fillId="14" borderId="2" applyNumberFormat="0" applyAlignment="0" applyProtection="0"/>
    <xf numFmtId="0" fontId="22" fillId="15" borderId="0">
      <alignment horizontal="left"/>
    </xf>
    <xf numFmtId="0" fontId="34" fillId="15" borderId="0">
      <alignment horizontal="right"/>
    </xf>
    <xf numFmtId="0" fontId="35" fillId="16" borderId="0">
      <alignment horizontal="center"/>
    </xf>
    <xf numFmtId="0" fontId="34" fillId="15" borderId="0">
      <alignment horizontal="right"/>
    </xf>
    <xf numFmtId="0" fontId="36" fillId="16" borderId="0">
      <alignment horizontal="left"/>
    </xf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Protection="0"/>
    <xf numFmtId="0" fontId="37" fillId="0" borderId="0" applyProtection="0"/>
    <xf numFmtId="0" fontId="38" fillId="0" borderId="0" applyProtection="0"/>
    <xf numFmtId="0" fontId="11" fillId="0" borderId="0" applyProtection="0"/>
    <xf numFmtId="0" fontId="14" fillId="0" borderId="0" applyProtection="0"/>
    <xf numFmtId="0" fontId="16" fillId="0" borderId="0" applyProtection="0"/>
    <xf numFmtId="0" fontId="39" fillId="0" borderId="0" applyProtection="0"/>
    <xf numFmtId="2" fontId="14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" applyNumberFormat="0" applyAlignment="0" applyProtection="0"/>
    <xf numFmtId="0" fontId="22" fillId="15" borderId="0">
      <alignment horizontal="left"/>
    </xf>
    <xf numFmtId="0" fontId="33" fillId="16" borderId="0">
      <alignment horizontal="left"/>
    </xf>
    <xf numFmtId="0" fontId="29" fillId="0" borderId="6" applyNumberFormat="0" applyFill="0" applyAlignment="0" applyProtection="0"/>
    <xf numFmtId="0" fontId="30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40" fillId="0" borderId="0"/>
    <xf numFmtId="0" fontId="9" fillId="19" borderId="7" applyNumberFormat="0" applyFont="0" applyAlignment="0" applyProtection="0"/>
    <xf numFmtId="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33" fillId="20" borderId="9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18" borderId="0">
      <alignment horizontal="center"/>
    </xf>
    <xf numFmtId="49" fontId="43" fillId="16" borderId="0">
      <alignment horizontal="center"/>
    </xf>
    <xf numFmtId="0" fontId="34" fillId="15" borderId="0">
      <alignment horizontal="center"/>
    </xf>
    <xf numFmtId="0" fontId="34" fillId="15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2" fillId="15" borderId="0">
      <alignment horizontal="left"/>
    </xf>
    <xf numFmtId="49" fontId="44" fillId="16" borderId="0">
      <alignment horizontal="left"/>
    </xf>
    <xf numFmtId="0" fontId="22" fillId="15" borderId="0">
      <alignment horizontal="centerContinuous"/>
    </xf>
    <xf numFmtId="0" fontId="22" fillId="15" borderId="0">
      <alignment horizontal="right"/>
    </xf>
    <xf numFmtId="49" fontId="33" fillId="16" borderId="0">
      <alignment horizontal="left"/>
    </xf>
    <xf numFmtId="0" fontId="34" fillId="15" borderId="0">
      <alignment horizontal="right"/>
    </xf>
    <xf numFmtId="0" fontId="44" fillId="5" borderId="0">
      <alignment horizontal="center"/>
    </xf>
    <xf numFmtId="0" fontId="13" fillId="5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5" fillId="16" borderId="0">
      <alignment horizontal="center"/>
    </xf>
    <xf numFmtId="0" fontId="17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20" borderId="14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7" fontId="40" fillId="0" borderId="0"/>
    <xf numFmtId="0" fontId="3" fillId="0" borderId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3" fillId="26" borderId="0" applyNumberFormat="0" applyBorder="0" applyAlignment="0" applyProtection="0"/>
    <xf numFmtId="170" fontId="3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4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18" fillId="4" borderId="0" applyNumberFormat="0" applyBorder="0" applyAlignment="0" applyProtection="0"/>
    <xf numFmtId="170" fontId="3" fillId="26" borderId="0" applyNumberFormat="0" applyBorder="0" applyAlignment="0" applyProtection="0"/>
    <xf numFmtId="170" fontId="3" fillId="26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7" borderId="0" applyNumberFormat="0" applyBorder="0" applyAlignment="0" applyProtection="0"/>
    <xf numFmtId="170" fontId="3" fillId="2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7" borderId="0" applyNumberFormat="0" applyBorder="0" applyAlignment="0" applyProtection="0"/>
    <xf numFmtId="170" fontId="3" fillId="27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28" borderId="0" applyNumberFormat="0" applyBorder="0" applyAlignment="0" applyProtection="0"/>
    <xf numFmtId="170" fontId="3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4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28" borderId="0" applyNumberFormat="0" applyBorder="0" applyAlignment="0" applyProtection="0"/>
    <xf numFmtId="170" fontId="3" fillId="28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4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4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18" fillId="3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4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4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18" fillId="6" borderId="0" applyNumberFormat="0" applyBorder="0" applyAlignment="0" applyProtection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33" borderId="0" applyNumberFormat="0" applyBorder="0" applyAlignment="0" applyProtection="0"/>
    <xf numFmtId="170" fontId="3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4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4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18" fillId="2" borderId="0" applyNumberFormat="0" applyBorder="0" applyAlignment="0" applyProtection="0"/>
    <xf numFmtId="170" fontId="3" fillId="33" borderId="0" applyNumberFormat="0" applyBorder="0" applyAlignment="0" applyProtection="0"/>
    <xf numFmtId="170" fontId="3" fillId="33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4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4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18" fillId="5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0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12" fillId="7" borderId="0" applyNumberFormat="0" applyBorder="0" applyAlignment="0" applyProtection="0"/>
    <xf numFmtId="170" fontId="54" fillId="36" borderId="0" applyNumberFormat="0" applyBorder="0" applyAlignment="0" applyProtection="0"/>
    <xf numFmtId="170" fontId="54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174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12" fillId="3" borderId="0" applyNumberFormat="0" applyBorder="0" applyAlignment="0" applyProtection="0"/>
    <xf numFmtId="170" fontId="54" fillId="37" borderId="0" applyNumberFormat="0" applyBorder="0" applyAlignment="0" applyProtection="0"/>
    <xf numFmtId="170" fontId="54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0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12" fillId="6" borderId="0" applyNumberFormat="0" applyBorder="0" applyAlignment="0" applyProtection="0"/>
    <xf numFmtId="170" fontId="54" fillId="38" borderId="0" applyNumberFormat="0" applyBorder="0" applyAlignment="0" applyProtection="0"/>
    <xf numFmtId="170" fontId="54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0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54" fillId="39" borderId="0" applyNumberFormat="0" applyBorder="0" applyAlignment="0" applyProtection="0"/>
    <xf numFmtId="170" fontId="54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0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54" fillId="40" borderId="0" applyNumberFormat="0" applyBorder="0" applyAlignment="0" applyProtection="0"/>
    <xf numFmtId="170" fontId="54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54" fillId="41" borderId="0" applyNumberFormat="0" applyBorder="0" applyAlignment="0" applyProtection="0"/>
    <xf numFmtId="170" fontId="54" fillId="4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0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12" fillId="9" borderId="0" applyNumberFormat="0" applyBorder="0" applyAlignment="0" applyProtection="0"/>
    <xf numFmtId="170" fontId="54" fillId="42" borderId="0" applyNumberFormat="0" applyBorder="0" applyAlignment="0" applyProtection="0"/>
    <xf numFmtId="170" fontId="54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0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12" fillId="10" borderId="0" applyNumberFormat="0" applyBorder="0" applyAlignment="0" applyProtection="0"/>
    <xf numFmtId="170" fontId="54" fillId="43" borderId="0" applyNumberFormat="0" applyBorder="0" applyAlignment="0" applyProtection="0"/>
    <xf numFmtId="170" fontId="54" fillId="4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0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12" fillId="11" borderId="0" applyNumberFormat="0" applyBorder="0" applyAlignment="0" applyProtection="0"/>
    <xf numFmtId="170" fontId="54" fillId="44" borderId="0" applyNumberFormat="0" applyBorder="0" applyAlignment="0" applyProtection="0"/>
    <xf numFmtId="170" fontId="54" fillId="4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12" fillId="8" borderId="0" applyNumberFormat="0" applyBorder="0" applyAlignment="0" applyProtection="0"/>
    <xf numFmtId="170" fontId="54" fillId="45" borderId="0" applyNumberFormat="0" applyBorder="0" applyAlignment="0" applyProtection="0"/>
    <xf numFmtId="170" fontId="54" fillId="4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0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174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12" fillId="12" borderId="0" applyNumberFormat="0" applyBorder="0" applyAlignment="0" applyProtection="0"/>
    <xf numFmtId="170" fontId="54" fillId="46" borderId="0" applyNumberFormat="0" applyBorder="0" applyAlignment="0" applyProtection="0"/>
    <xf numFmtId="170" fontId="54" fillId="46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4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4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20" fillId="13" borderId="0" applyNumberFormat="0" applyBorder="0" applyAlignment="0" applyProtection="0"/>
    <xf numFmtId="170" fontId="55" fillId="47" borderId="0" applyNumberFormat="0" applyBorder="0" applyAlignment="0" applyProtection="0"/>
    <xf numFmtId="170" fontId="55" fillId="47" borderId="0" applyNumberFormat="0" applyBorder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56" fillId="48" borderId="16" applyNumberFormat="0" applyAlignment="0" applyProtection="0"/>
    <xf numFmtId="170" fontId="56" fillId="48" borderId="16" applyNumberFormat="0" applyAlignment="0" applyProtection="0"/>
    <xf numFmtId="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0" fontId="21" fillId="4" borderId="1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174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4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22" fillId="14" borderId="2" applyNumberFormat="0" applyAlignment="0" applyProtection="0"/>
    <xf numFmtId="170" fontId="57" fillId="49" borderId="17" applyNumberFormat="0" applyAlignment="0" applyProtection="0"/>
    <xf numFmtId="170" fontId="57" fillId="49" borderId="17" applyNumberFormat="0" applyAlignment="0" applyProtection="0"/>
    <xf numFmtId="0" fontId="22" fillId="15" borderId="0">
      <alignment horizontal="left"/>
    </xf>
    <xf numFmtId="174" fontId="22" fillId="15" borderId="0">
      <alignment horizontal="left"/>
    </xf>
    <xf numFmtId="0" fontId="34" fillId="15" borderId="0">
      <alignment horizontal="right"/>
    </xf>
    <xf numFmtId="174" fontId="34" fillId="15" borderId="0">
      <alignment horizontal="right"/>
    </xf>
    <xf numFmtId="0" fontId="35" fillId="16" borderId="0">
      <alignment horizontal="center"/>
    </xf>
    <xf numFmtId="174" fontId="35" fillId="16" borderId="0">
      <alignment horizontal="center"/>
    </xf>
    <xf numFmtId="0" fontId="34" fillId="15" borderId="0">
      <alignment horizontal="right"/>
    </xf>
    <xf numFmtId="174" fontId="34" fillId="15" borderId="0">
      <alignment horizontal="right"/>
    </xf>
    <xf numFmtId="0" fontId="36" fillId="16" borderId="0">
      <alignment horizontal="left"/>
    </xf>
    <xf numFmtId="174" fontId="36" fillId="16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16" fillId="0" borderId="0" applyProtection="0"/>
    <xf numFmtId="174" fontId="16" fillId="0" borderId="0" applyProtection="0"/>
    <xf numFmtId="0" fontId="37" fillId="0" borderId="0" applyProtection="0"/>
    <xf numFmtId="174" fontId="37" fillId="0" borderId="0" applyProtection="0"/>
    <xf numFmtId="0" fontId="38" fillId="0" borderId="0" applyProtection="0"/>
    <xf numFmtId="174" fontId="38" fillId="0" borderId="0" applyProtection="0"/>
    <xf numFmtId="0" fontId="10" fillId="0" borderId="0" applyProtection="0"/>
    <xf numFmtId="174" fontId="10" fillId="0" borderId="0" applyProtection="0"/>
    <xf numFmtId="0" fontId="10" fillId="0" borderId="0" applyProtection="0"/>
    <xf numFmtId="174" fontId="10" fillId="0" borderId="0" applyProtection="0"/>
    <xf numFmtId="0" fontId="9" fillId="0" borderId="0" applyProtection="0"/>
    <xf numFmtId="174" fontId="9" fillId="0" borderId="0" applyProtection="0"/>
    <xf numFmtId="0" fontId="9" fillId="0" borderId="0" applyProtection="0"/>
    <xf numFmtId="174" fontId="9" fillId="0" borderId="0" applyProtection="0"/>
    <xf numFmtId="0" fontId="16" fillId="0" borderId="0" applyProtection="0"/>
    <xf numFmtId="174" fontId="16" fillId="0" borderId="0" applyProtection="0"/>
    <xf numFmtId="0" fontId="39" fillId="0" borderId="0" applyProtection="0"/>
    <xf numFmtId="174" fontId="39" fillId="0" borderId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4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4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24" fillId="17" borderId="0" applyNumberFormat="0" applyBorder="0" applyAlignment="0" applyProtection="0"/>
    <xf numFmtId="170" fontId="61" fillId="50" borderId="0" applyNumberFormat="0" applyBorder="0" applyAlignment="0" applyProtection="0"/>
    <xf numFmtId="170" fontId="61" fillId="50" borderId="0" applyNumberFormat="0" applyBorder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4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4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25" fillId="0" borderId="3" applyNumberFormat="0" applyFill="0" applyAlignment="0" applyProtection="0"/>
    <xf numFmtId="170" fontId="62" fillId="0" borderId="18" applyNumberFormat="0" applyFill="0" applyAlignment="0" applyProtection="0"/>
    <xf numFmtId="170" fontId="62" fillId="0" borderId="18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74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4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26" fillId="0" borderId="4" applyNumberFormat="0" applyFill="0" applyAlignment="0" applyProtection="0"/>
    <xf numFmtId="170" fontId="63" fillId="0" borderId="19" applyNumberFormat="0" applyFill="0" applyAlignment="0" applyProtection="0"/>
    <xf numFmtId="170" fontId="63" fillId="0" borderId="19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64" fillId="0" borderId="20" applyNumberFormat="0" applyFill="0" applyAlignment="0" applyProtection="0"/>
    <xf numFmtId="170" fontId="64" fillId="0" borderId="20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0" fontId="27" fillId="0" borderId="5" applyNumberFormat="0" applyFill="0" applyAlignment="0" applyProtection="0"/>
    <xf numFmtId="174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0" fontId="27" fillId="0" borderId="5" applyNumberFormat="0" applyFill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4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65" fillId="51" borderId="16" applyNumberFormat="0" applyAlignment="0" applyProtection="0"/>
    <xf numFmtId="170" fontId="65" fillId="51" borderId="16" applyNumberFormat="0" applyAlignment="0" applyProtection="0"/>
    <xf numFmtId="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4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170" fontId="28" fillId="5" borderId="1" applyNumberFormat="0" applyAlignment="0" applyProtection="0"/>
    <xf numFmtId="0" fontId="22" fillId="15" borderId="0">
      <alignment horizontal="left"/>
    </xf>
    <xf numFmtId="174" fontId="22" fillId="15" borderId="0">
      <alignment horizontal="left"/>
    </xf>
    <xf numFmtId="0" fontId="33" fillId="16" borderId="0">
      <alignment horizontal="left"/>
    </xf>
    <xf numFmtId="174" fontId="33" fillId="16" borderId="0">
      <alignment horizontal="left"/>
    </xf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4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4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29" fillId="0" borderId="6" applyNumberFormat="0" applyFill="0" applyAlignment="0" applyProtection="0"/>
    <xf numFmtId="170" fontId="66" fillId="0" borderId="21" applyNumberFormat="0" applyFill="0" applyAlignment="0" applyProtection="0"/>
    <xf numFmtId="170" fontId="66" fillId="0" borderId="21" applyNumberFormat="0" applyFill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74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4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30" fillId="18" borderId="0" applyNumberFormat="0" applyBorder="0" applyAlignment="0" applyProtection="0"/>
    <xf numFmtId="170" fontId="67" fillId="52" borderId="0" applyNumberFormat="0" applyBorder="0" applyAlignment="0" applyProtection="0"/>
    <xf numFmtId="170" fontId="67" fillId="52" borderId="0" applyNumberFormat="0" applyBorder="0" applyAlignment="0" applyProtection="0"/>
    <xf numFmtId="0" fontId="9" fillId="0" borderId="0"/>
    <xf numFmtId="170" fontId="9" fillId="0" borderId="0"/>
    <xf numFmtId="0" fontId="9" fillId="0" borderId="0"/>
    <xf numFmtId="174" fontId="9" fillId="0" borderId="0"/>
    <xf numFmtId="174" fontId="9" fillId="0" borderId="0"/>
    <xf numFmtId="170" fontId="3" fillId="0" borderId="0"/>
    <xf numFmtId="174" fontId="9" fillId="0" borderId="0"/>
    <xf numFmtId="0" fontId="68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9" fillId="0" borderId="0"/>
    <xf numFmtId="0" fontId="3" fillId="0" borderId="0"/>
    <xf numFmtId="170" fontId="9" fillId="0" borderId="0"/>
    <xf numFmtId="0" fontId="6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0" fontId="9" fillId="0" borderId="0"/>
    <xf numFmtId="174" fontId="9" fillId="0" borderId="0"/>
    <xf numFmtId="0" fontId="9" fillId="0" borderId="0"/>
    <xf numFmtId="0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0" fontId="9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70" fillId="0" borderId="0"/>
    <xf numFmtId="170" fontId="9" fillId="0" borderId="0"/>
    <xf numFmtId="170" fontId="9" fillId="0" borderId="0"/>
    <xf numFmtId="0" fontId="9" fillId="0" borderId="0"/>
    <xf numFmtId="0" fontId="58" fillId="0" borderId="0"/>
    <xf numFmtId="0" fontId="3" fillId="0" borderId="0"/>
    <xf numFmtId="0" fontId="3" fillId="0" borderId="0"/>
    <xf numFmtId="170" fontId="9" fillId="0" borderId="0"/>
    <xf numFmtId="170" fontId="3" fillId="0" borderId="0"/>
    <xf numFmtId="0" fontId="3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4" fontId="9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9" fillId="0" borderId="0"/>
    <xf numFmtId="170" fontId="3" fillId="0" borderId="0"/>
    <xf numFmtId="174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9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4" fontId="3" fillId="0" borderId="0"/>
    <xf numFmtId="174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0" fontId="3" fillId="0" borderId="0"/>
    <xf numFmtId="170" fontId="3" fillId="0" borderId="0"/>
    <xf numFmtId="17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4" fontId="3" fillId="0" borderId="0"/>
    <xf numFmtId="174" fontId="9" fillId="0" borderId="0"/>
    <xf numFmtId="170" fontId="9" fillId="0" borderId="0"/>
    <xf numFmtId="170" fontId="9" fillId="0" borderId="0"/>
    <xf numFmtId="170" fontId="9" fillId="0" borderId="0"/>
    <xf numFmtId="170" fontId="3" fillId="0" borderId="0"/>
    <xf numFmtId="174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" fillId="53" borderId="22" applyNumberFormat="0" applyFont="0" applyAlignment="0" applyProtection="0"/>
    <xf numFmtId="170" fontId="3" fillId="53" borderId="22" applyNumberFormat="0" applyFont="0" applyAlignment="0" applyProtection="0"/>
    <xf numFmtId="170" fontId="9" fillId="19" borderId="7" applyNumberFormat="0" applyFont="0" applyAlignment="0" applyProtection="0"/>
    <xf numFmtId="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" fillId="53" borderId="22" applyNumberFormat="0" applyFont="0" applyAlignment="0" applyProtection="0"/>
    <xf numFmtId="170" fontId="3" fillId="53" borderId="22" applyNumberFormat="0" applyFont="0" applyAlignment="0" applyProtection="0"/>
    <xf numFmtId="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4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9" fillId="19" borderId="7" applyNumberFormat="0" applyFon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71" fillId="48" borderId="23" applyNumberFormat="0" applyAlignment="0" applyProtection="0"/>
    <xf numFmtId="170" fontId="71" fillId="48" borderId="23" applyNumberFormat="0" applyAlignment="0" applyProtection="0"/>
    <xf numFmtId="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4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17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41" fillId="20" borderId="0">
      <alignment horizontal="center" vertical="center"/>
    </xf>
    <xf numFmtId="174" fontId="41" fillId="20" borderId="0">
      <alignment horizontal="center" vertical="center"/>
    </xf>
    <xf numFmtId="170" fontId="72" fillId="20" borderId="0">
      <alignment horizontal="right"/>
    </xf>
    <xf numFmtId="170" fontId="72" fillId="20" borderId="0">
      <alignment horizontal="right"/>
    </xf>
    <xf numFmtId="170" fontId="72" fillId="20" borderId="0">
      <alignment horizontal="right"/>
    </xf>
    <xf numFmtId="174" fontId="41" fillId="20" borderId="0">
      <alignment horizontal="center" vertical="center"/>
    </xf>
    <xf numFmtId="170" fontId="72" fillId="20" borderId="0">
      <alignment horizontal="right"/>
    </xf>
    <xf numFmtId="170" fontId="72" fillId="20" borderId="0">
      <alignment horizontal="right"/>
    </xf>
    <xf numFmtId="0" fontId="41" fillId="20" borderId="0">
      <alignment horizontal="center" vertical="center"/>
    </xf>
    <xf numFmtId="0" fontId="33" fillId="20" borderId="14"/>
    <xf numFmtId="174" fontId="33" fillId="20" borderId="14"/>
    <xf numFmtId="0" fontId="33" fillId="20" borderId="14"/>
    <xf numFmtId="170" fontId="73" fillId="20" borderId="14"/>
    <xf numFmtId="170" fontId="73" fillId="20" borderId="14"/>
    <xf numFmtId="170" fontId="73" fillId="20" borderId="14"/>
    <xf numFmtId="0" fontId="33" fillId="20" borderId="14"/>
    <xf numFmtId="174" fontId="33" fillId="20" borderId="14"/>
    <xf numFmtId="174" fontId="33" fillId="20" borderId="14"/>
    <xf numFmtId="170" fontId="73" fillId="20" borderId="14"/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3" fillId="18" borderId="0">
      <alignment horizontal="center"/>
    </xf>
    <xf numFmtId="174" fontId="33" fillId="18" borderId="0">
      <alignment horizontal="center"/>
    </xf>
    <xf numFmtId="0" fontId="34" fillId="15" borderId="0">
      <alignment horizontal="center"/>
    </xf>
    <xf numFmtId="174" fontId="34" fillId="15" borderId="0">
      <alignment horizontal="center"/>
    </xf>
    <xf numFmtId="0" fontId="34" fillId="15" borderId="0">
      <alignment horizontal="centerContinuous"/>
    </xf>
    <xf numFmtId="174" fontId="34" fillId="15" borderId="0">
      <alignment horizontal="centerContinuous"/>
    </xf>
    <xf numFmtId="0" fontId="44" fillId="16" borderId="0">
      <alignment horizontal="left"/>
    </xf>
    <xf numFmtId="174" fontId="44" fillId="16" borderId="0">
      <alignment horizontal="left"/>
    </xf>
    <xf numFmtId="0" fontId="22" fillId="15" borderId="0">
      <alignment horizontal="left"/>
    </xf>
    <xf numFmtId="174" fontId="22" fillId="15" borderId="0">
      <alignment horizontal="left"/>
    </xf>
    <xf numFmtId="0" fontId="22" fillId="15" borderId="0">
      <alignment horizontal="centerContinuous"/>
    </xf>
    <xf numFmtId="174" fontId="22" fillId="15" borderId="0">
      <alignment horizontal="centerContinuous"/>
    </xf>
    <xf numFmtId="0" fontId="22" fillId="15" borderId="0">
      <alignment horizontal="right"/>
    </xf>
    <xf numFmtId="174" fontId="22" fillId="15" borderId="0">
      <alignment horizontal="right"/>
    </xf>
    <xf numFmtId="0" fontId="34" fillId="15" borderId="0">
      <alignment horizontal="right"/>
    </xf>
    <xf numFmtId="174" fontId="34" fillId="15" borderId="0">
      <alignment horizontal="right"/>
    </xf>
    <xf numFmtId="0" fontId="44" fillId="5" borderId="0">
      <alignment horizontal="center"/>
    </xf>
    <xf numFmtId="174" fontId="44" fillId="5" borderId="0">
      <alignment horizontal="center"/>
    </xf>
    <xf numFmtId="0" fontId="13" fillId="5" borderId="0">
      <alignment horizontal="center"/>
    </xf>
    <xf numFmtId="174" fontId="13" fillId="5" borderId="0">
      <alignment horizontal="center"/>
    </xf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170" fontId="18" fillId="0" borderId="0">
      <alignment vertical="top"/>
    </xf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176" fontId="9" fillId="21" borderId="24">
      <alignment horizontal="right"/>
    </xf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32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76" fillId="0" borderId="25" applyNumberFormat="0" applyFill="0" applyAlignment="0" applyProtection="0"/>
    <xf numFmtId="170" fontId="76" fillId="0" borderId="25" applyNumberFormat="0" applyFill="0" applyAlignment="0" applyProtection="0"/>
    <xf numFmtId="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4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170" fontId="33" fillId="0" borderId="10" applyNumberFormat="0" applyFill="0" applyAlignment="0" applyProtection="0"/>
    <xf numFmtId="0" fontId="45" fillId="16" borderId="0">
      <alignment horizontal="center"/>
    </xf>
    <xf numFmtId="174" fontId="45" fillId="16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9" fillId="0" borderId="0"/>
    <xf numFmtId="170" fontId="9" fillId="0" borderId="0"/>
    <xf numFmtId="0" fontId="2" fillId="0" borderId="0"/>
    <xf numFmtId="37" fontId="4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37" fontId="47" fillId="0" borderId="0" xfId="64" applyFont="1" applyAlignment="1">
      <alignment horizontal="left"/>
    </xf>
    <xf numFmtId="37" fontId="47" fillId="0" borderId="0" xfId="64" applyFont="1"/>
    <xf numFmtId="37" fontId="48" fillId="0" borderId="0" xfId="64" applyFont="1"/>
    <xf numFmtId="37" fontId="48" fillId="0" borderId="0" xfId="64" applyFont="1" applyBorder="1"/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left"/>
    </xf>
    <xf numFmtId="37" fontId="49" fillId="0" borderId="0" xfId="64" applyFont="1" applyAlignment="1"/>
    <xf numFmtId="37" fontId="47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"/>
    </xf>
    <xf numFmtId="43" fontId="50" fillId="0" borderId="0" xfId="33" applyFont="1" applyAlignment="1">
      <alignment horizontal="center"/>
    </xf>
    <xf numFmtId="37" fontId="48" fillId="0" borderId="0" xfId="64" applyFont="1" applyAlignment="1">
      <alignment horizontal="center"/>
    </xf>
    <xf numFmtId="37" fontId="48" fillId="0" borderId="0" xfId="64" applyFont="1" applyBorder="1" applyAlignment="1">
      <alignment horizontal="center"/>
    </xf>
    <xf numFmtId="37" fontId="48" fillId="0" borderId="0" xfId="64" quotePrefix="1" applyFont="1" applyAlignment="1">
      <alignment horizontal="center"/>
    </xf>
    <xf numFmtId="37" fontId="51" fillId="0" borderId="0" xfId="64" quotePrefix="1" applyFont="1" applyAlignment="1">
      <alignment horizontal="center"/>
    </xf>
    <xf numFmtId="37" fontId="48" fillId="0" borderId="11" xfId="64" applyFont="1" applyBorder="1" applyAlignment="1">
      <alignment horizontal="center"/>
    </xf>
    <xf numFmtId="37" fontId="49" fillId="0" borderId="0" xfId="64" applyFont="1"/>
    <xf numFmtId="37" fontId="48" fillId="0" borderId="0" xfId="64" quotePrefix="1" applyFont="1" applyAlignment="1">
      <alignment horizontal="left"/>
    </xf>
    <xf numFmtId="167" fontId="48" fillId="0" borderId="0" xfId="37" applyNumberFormat="1" applyFont="1"/>
    <xf numFmtId="10" fontId="48" fillId="0" borderId="0" xfId="72" applyNumberFormat="1" applyFont="1" applyFill="1" applyAlignment="1">
      <alignment horizontal="center"/>
    </xf>
    <xf numFmtId="10" fontId="48" fillId="0" borderId="0" xfId="72" applyNumberFormat="1" applyFont="1" applyAlignment="1">
      <alignment horizontal="center"/>
    </xf>
    <xf numFmtId="10" fontId="48" fillId="0" borderId="0" xfId="64" applyNumberFormat="1" applyFont="1"/>
    <xf numFmtId="0" fontId="48" fillId="0" borderId="0" xfId="64" applyNumberFormat="1" applyFont="1" applyAlignment="1">
      <alignment horizontal="center"/>
    </xf>
    <xf numFmtId="43" fontId="50" fillId="0" borderId="0" xfId="33" applyFont="1" applyBorder="1" applyAlignment="1">
      <alignment horizontal="center"/>
    </xf>
    <xf numFmtId="37" fontId="48" fillId="0" borderId="0" xfId="64" quotePrefix="1" applyFont="1" applyBorder="1" applyAlignment="1">
      <alignment horizontal="center"/>
    </xf>
    <xf numFmtId="37" fontId="47" fillId="0" borderId="0" xfId="64" applyFont="1" applyBorder="1"/>
    <xf numFmtId="10" fontId="48" fillId="0" borderId="0" xfId="72" applyNumberFormat="1" applyFont="1" applyBorder="1"/>
    <xf numFmtId="10" fontId="48" fillId="0" borderId="0" xfId="64" applyNumberFormat="1" applyFont="1" applyBorder="1"/>
    <xf numFmtId="164" fontId="52" fillId="0" borderId="0" xfId="72" applyNumberFormat="1" applyFont="1" applyBorder="1"/>
    <xf numFmtId="37" fontId="40" fillId="0" borderId="0" xfId="64"/>
    <xf numFmtId="10" fontId="48" fillId="0" borderId="0" xfId="72" applyNumberFormat="1" applyFont="1" applyFill="1" applyBorder="1"/>
    <xf numFmtId="37" fontId="40" fillId="20" borderId="0" xfId="64" quotePrefix="1" applyFill="1" applyAlignment="1"/>
    <xf numFmtId="10" fontId="48" fillId="0" borderId="0" xfId="72" applyNumberFormat="1" applyFont="1" applyFill="1"/>
    <xf numFmtId="10" fontId="48" fillId="0" borderId="13" xfId="72" quotePrefix="1" applyNumberFormat="1" applyFont="1" applyFill="1" applyBorder="1" applyAlignment="1">
      <alignment horizontal="center"/>
    </xf>
    <xf numFmtId="171" fontId="48" fillId="0" borderId="0" xfId="72" applyNumberFormat="1" applyFont="1" applyBorder="1"/>
    <xf numFmtId="164" fontId="48" fillId="0" borderId="0" xfId="72" applyNumberFormat="1" applyFont="1" applyBorder="1"/>
    <xf numFmtId="172" fontId="48" fillId="0" borderId="0" xfId="72" applyNumberFormat="1" applyFont="1" applyBorder="1"/>
    <xf numFmtId="10" fontId="48" fillId="22" borderId="0" xfId="72" applyNumberFormat="1" applyFont="1" applyFill="1" applyAlignment="1">
      <alignment horizontal="center"/>
    </xf>
    <xf numFmtId="167" fontId="48" fillId="0" borderId="13" xfId="37" applyNumberFormat="1" applyFont="1" applyFill="1" applyBorder="1"/>
    <xf numFmtId="167" fontId="48" fillId="0" borderId="0" xfId="37" applyNumberFormat="1" applyFont="1" applyFill="1"/>
    <xf numFmtId="37" fontId="48" fillId="0" borderId="0" xfId="64" applyFont="1" applyFill="1"/>
    <xf numFmtId="166" fontId="48" fillId="0" borderId="0" xfId="33" applyNumberFormat="1" applyFont="1" applyFill="1"/>
    <xf numFmtId="167" fontId="48" fillId="0" borderId="0" xfId="37" applyNumberFormat="1" applyFont="1" applyFill="1" applyBorder="1"/>
    <xf numFmtId="37" fontId="48" fillId="0" borderId="0" xfId="64" applyFont="1" applyFill="1" applyBorder="1"/>
    <xf numFmtId="164" fontId="48" fillId="0" borderId="13" xfId="72" applyNumberFormat="1" applyFont="1" applyFill="1" applyBorder="1"/>
    <xf numFmtId="167" fontId="48" fillId="0" borderId="0" xfId="37" applyNumberFormat="1" applyFont="1" applyFill="1" applyBorder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0" fontId="48" fillId="0" borderId="12" xfId="72" applyNumberFormat="1" applyFont="1" applyFill="1" applyBorder="1" applyAlignment="1">
      <alignment horizontal="center"/>
    </xf>
    <xf numFmtId="37" fontId="49" fillId="0" borderId="0" xfId="64" applyFont="1" applyAlignment="1">
      <alignment horizontal="center"/>
    </xf>
    <xf numFmtId="37" fontId="51" fillId="0" borderId="0" xfId="64" quotePrefix="1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8" fillId="0" borderId="0" xfId="64" quotePrefix="1" applyFont="1"/>
    <xf numFmtId="43" fontId="47" fillId="0" borderId="0" xfId="33" applyFont="1" applyFill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Continuous"/>
    </xf>
    <xf numFmtId="37" fontId="48" fillId="0" borderId="0" xfId="143" applyFont="1" applyFill="1" applyBorder="1"/>
    <xf numFmtId="0" fontId="78" fillId="0" borderId="0" xfId="24362" applyFont="1" applyFill="1" applyAlignment="1">
      <alignment horizontal="centerContinuous"/>
    </xf>
    <xf numFmtId="0" fontId="79" fillId="0" borderId="0" xfId="24362" applyFont="1" applyFill="1" applyAlignment="1">
      <alignment horizontal="centerContinuous"/>
    </xf>
    <xf numFmtId="164" fontId="79" fillId="0" borderId="0" xfId="24362" applyNumberFormat="1" applyFont="1" applyFill="1" applyAlignment="1">
      <alignment horizontal="centerContinuous"/>
    </xf>
    <xf numFmtId="0" fontId="79" fillId="0" borderId="0" xfId="24362" applyFont="1" applyFill="1"/>
    <xf numFmtId="0" fontId="78" fillId="0" borderId="0" xfId="24362" applyFont="1" applyFill="1"/>
    <xf numFmtId="0" fontId="80" fillId="0" borderId="27" xfId="24362" applyFont="1" applyFill="1" applyBorder="1" applyAlignment="1">
      <alignment horizontal="centerContinuous"/>
    </xf>
    <xf numFmtId="0" fontId="79" fillId="0" borderId="28" xfId="24362" applyFont="1" applyFill="1" applyBorder="1" applyAlignment="1">
      <alignment horizontal="centerContinuous"/>
    </xf>
    <xf numFmtId="164" fontId="79" fillId="0" borderId="28" xfId="24362" applyNumberFormat="1" applyFont="1" applyFill="1" applyBorder="1" applyAlignment="1">
      <alignment horizontal="centerContinuous"/>
    </xf>
    <xf numFmtId="0" fontId="79" fillId="0" borderId="29" xfId="24362" applyFont="1" applyFill="1" applyBorder="1" applyAlignment="1">
      <alignment horizontal="centerContinuous"/>
    </xf>
    <xf numFmtId="0" fontId="79" fillId="0" borderId="0" xfId="24362" applyFont="1" applyFill="1" applyBorder="1" applyAlignment="1">
      <alignment horizontal="centerContinuous"/>
    </xf>
    <xf numFmtId="164" fontId="79" fillId="0" borderId="0" xfId="24362" applyNumberFormat="1" applyFont="1" applyFill="1" applyBorder="1" applyAlignment="1">
      <alignment horizontal="centerContinuous"/>
    </xf>
    <xf numFmtId="0" fontId="79" fillId="0" borderId="14" xfId="24362" applyFont="1" applyFill="1" applyBorder="1" applyAlignment="1">
      <alignment horizontal="centerContinuous"/>
    </xf>
    <xf numFmtId="0" fontId="79" fillId="0" borderId="15" xfId="24362" applyFont="1" applyFill="1" applyBorder="1"/>
    <xf numFmtId="0" fontId="79" fillId="0" borderId="0" xfId="24362" applyFont="1" applyFill="1" applyBorder="1"/>
    <xf numFmtId="0" fontId="79" fillId="0" borderId="30" xfId="24362" applyFont="1" applyFill="1" applyBorder="1" applyAlignment="1">
      <alignment horizontal="centerContinuous"/>
    </xf>
    <xf numFmtId="164" fontId="79" fillId="0" borderId="0" xfId="24362" applyNumberFormat="1" applyFont="1" applyFill="1" applyBorder="1" applyAlignment="1">
      <alignment horizontal="center"/>
    </xf>
    <xf numFmtId="0" fontId="79" fillId="0" borderId="0" xfId="24362" applyFont="1" applyFill="1" applyBorder="1" applyAlignment="1">
      <alignment horizontal="center"/>
    </xf>
    <xf numFmtId="0" fontId="79" fillId="0" borderId="14" xfId="24362" applyFont="1" applyFill="1" applyBorder="1"/>
    <xf numFmtId="0" fontId="81" fillId="0" borderId="0" xfId="24362" applyFont="1" applyFill="1" applyBorder="1" applyAlignment="1">
      <alignment horizontal="center"/>
    </xf>
    <xf numFmtId="0" fontId="81" fillId="0" borderId="0" xfId="24362" applyFont="1" applyFill="1" applyBorder="1" applyAlignment="1">
      <alignment horizontal="center" wrapText="1"/>
    </xf>
    <xf numFmtId="164" fontId="81" fillId="0" borderId="0" xfId="24362" applyNumberFormat="1" applyFont="1" applyFill="1" applyBorder="1" applyAlignment="1">
      <alignment horizontal="center"/>
    </xf>
    <xf numFmtId="0" fontId="79" fillId="0" borderId="15" xfId="24362" applyFont="1" applyFill="1" applyBorder="1" applyAlignment="1">
      <alignment horizontal="left"/>
    </xf>
    <xf numFmtId="178" fontId="79" fillId="0" borderId="0" xfId="24362" applyNumberFormat="1" applyFont="1" applyFill="1" applyBorder="1" applyAlignment="1" applyProtection="1">
      <alignment horizontal="center"/>
    </xf>
    <xf numFmtId="42" fontId="79" fillId="0" borderId="0" xfId="24362" applyNumberFormat="1" applyFont="1" applyFill="1" applyBorder="1" applyProtection="1"/>
    <xf numFmtId="42" fontId="79" fillId="0" borderId="0" xfId="24362" applyNumberFormat="1" applyFont="1" applyFill="1" applyBorder="1"/>
    <xf numFmtId="42" fontId="79" fillId="0" borderId="0" xfId="24362" applyNumberFormat="1" applyFont="1" applyFill="1" applyBorder="1" applyAlignment="1">
      <alignment horizontal="center"/>
    </xf>
    <xf numFmtId="165" fontId="79" fillId="0" borderId="0" xfId="72" applyNumberFormat="1" applyFont="1" applyFill="1" applyBorder="1" applyAlignment="1" applyProtection="1">
      <alignment horizontal="right"/>
    </xf>
    <xf numFmtId="41" fontId="79" fillId="0" borderId="0" xfId="24362" applyNumberFormat="1" applyFont="1" applyFill="1" applyBorder="1" applyProtection="1"/>
    <xf numFmtId="37" fontId="79" fillId="0" borderId="0" xfId="24362" applyNumberFormat="1" applyFont="1" applyFill="1" applyBorder="1" applyAlignment="1" applyProtection="1">
      <alignment horizontal="center"/>
    </xf>
    <xf numFmtId="165" fontId="79" fillId="0" borderId="0" xfId="72" applyNumberFormat="1" applyFont="1" applyFill="1" applyBorder="1" applyProtection="1"/>
    <xf numFmtId="41" fontId="79" fillId="0" borderId="0" xfId="33" applyNumberFormat="1" applyFont="1" applyFill="1" applyBorder="1" applyProtection="1"/>
    <xf numFmtId="41" fontId="79" fillId="0" borderId="0" xfId="33" applyNumberFormat="1" applyFont="1" applyFill="1" applyBorder="1" applyAlignment="1" applyProtection="1">
      <alignment horizontal="center"/>
    </xf>
    <xf numFmtId="165" fontId="79" fillId="0" borderId="0" xfId="24362" applyNumberFormat="1" applyFont="1" applyFill="1"/>
    <xf numFmtId="0" fontId="79" fillId="0" borderId="0" xfId="24362" applyFont="1" applyFill="1" applyAlignment="1">
      <alignment horizontal="center"/>
    </xf>
    <xf numFmtId="37" fontId="79" fillId="0" borderId="0" xfId="24362" applyNumberFormat="1" applyFont="1" applyFill="1" applyBorder="1" applyProtection="1"/>
    <xf numFmtId="165" fontId="82" fillId="0" borderId="0" xfId="72" applyNumberFormat="1" applyFont="1" applyFill="1" applyBorder="1" applyProtection="1"/>
    <xf numFmtId="164" fontId="79" fillId="0" borderId="0" xfId="72" applyNumberFormat="1" applyFont="1" applyFill="1" applyBorder="1" applyProtection="1"/>
    <xf numFmtId="0" fontId="78" fillId="0" borderId="15" xfId="24362" applyFont="1" applyFill="1" applyBorder="1"/>
    <xf numFmtId="42" fontId="79" fillId="0" borderId="26" xfId="24362" applyNumberFormat="1" applyFont="1" applyFill="1" applyBorder="1" applyAlignment="1" applyProtection="1">
      <alignment horizontal="right"/>
    </xf>
    <xf numFmtId="42" fontId="78" fillId="0" borderId="0" xfId="24362" applyNumberFormat="1" applyFont="1" applyFill="1" applyBorder="1" applyAlignment="1">
      <alignment horizontal="left"/>
    </xf>
    <xf numFmtId="165" fontId="78" fillId="0" borderId="31" xfId="72" applyNumberFormat="1" applyFont="1" applyFill="1" applyBorder="1" applyAlignment="1" applyProtection="1">
      <alignment horizontal="center"/>
    </xf>
    <xf numFmtId="0" fontId="78" fillId="0" borderId="0" xfId="24362" applyFont="1" applyFill="1" applyBorder="1" applyAlignment="1">
      <alignment horizontal="left"/>
    </xf>
    <xf numFmtId="165" fontId="79" fillId="0" borderId="0" xfId="24362" applyNumberFormat="1" applyFont="1" applyFill="1" applyBorder="1" applyAlignment="1" applyProtection="1">
      <alignment horizontal="center"/>
    </xf>
    <xf numFmtId="42" fontId="79" fillId="0" borderId="0" xfId="33" applyNumberFormat="1" applyFont="1" applyFill="1" applyBorder="1"/>
    <xf numFmtId="41" fontId="79" fillId="0" borderId="0" xfId="33" applyNumberFormat="1" applyFont="1" applyFill="1" applyBorder="1"/>
    <xf numFmtId="41" fontId="79" fillId="0" borderId="0" xfId="24362" applyNumberFormat="1" applyFont="1" applyFill="1" applyBorder="1"/>
    <xf numFmtId="42" fontId="79" fillId="0" borderId="26" xfId="24362" applyNumberFormat="1" applyFont="1" applyFill="1" applyBorder="1" applyProtection="1"/>
    <xf numFmtId="165" fontId="79" fillId="0" borderId="0" xfId="24362" applyNumberFormat="1" applyFont="1" applyFill="1" applyBorder="1" applyAlignment="1">
      <alignment horizontal="center"/>
    </xf>
    <xf numFmtId="42" fontId="79" fillId="0" borderId="12" xfId="24362" applyNumberFormat="1" applyFont="1" applyFill="1" applyBorder="1" applyProtection="1"/>
    <xf numFmtId="0" fontId="79" fillId="0" borderId="32" xfId="24362" applyFont="1" applyFill="1" applyBorder="1"/>
    <xf numFmtId="0" fontId="79" fillId="0" borderId="11" xfId="24362" applyFont="1" applyFill="1" applyBorder="1"/>
    <xf numFmtId="179" fontId="79" fillId="0" borderId="11" xfId="24362" applyNumberFormat="1" applyFont="1" applyFill="1" applyBorder="1" applyAlignment="1" applyProtection="1">
      <alignment horizontal="left"/>
    </xf>
    <xf numFmtId="37" fontId="79" fillId="0" borderId="11" xfId="24362" applyNumberFormat="1" applyFont="1" applyFill="1" applyBorder="1" applyProtection="1"/>
    <xf numFmtId="164" fontId="78" fillId="0" borderId="11" xfId="24362" applyNumberFormat="1" applyFont="1" applyFill="1" applyBorder="1" applyAlignment="1" applyProtection="1">
      <alignment horizontal="center"/>
    </xf>
    <xf numFmtId="0" fontId="79" fillId="0" borderId="33" xfId="24362" applyFont="1" applyFill="1" applyBorder="1"/>
    <xf numFmtId="179" fontId="79" fillId="0" borderId="0" xfId="24362" applyNumberFormat="1" applyFont="1" applyFill="1" applyAlignment="1" applyProtection="1">
      <alignment horizontal="left"/>
    </xf>
    <xf numFmtId="37" fontId="79" fillId="0" borderId="0" xfId="24362" applyNumberFormat="1" applyFont="1" applyFill="1" applyProtection="1"/>
    <xf numFmtId="164" fontId="78" fillId="0" borderId="0" xfId="24362" applyNumberFormat="1" applyFont="1" applyFill="1" applyBorder="1" applyProtection="1"/>
    <xf numFmtId="39" fontId="79" fillId="0" borderId="0" xfId="24362" applyNumberFormat="1" applyFont="1" applyFill="1" applyProtection="1"/>
    <xf numFmtId="166" fontId="79" fillId="0" borderId="0" xfId="33" applyNumberFormat="1" applyFont="1" applyFill="1"/>
    <xf numFmtId="164" fontId="79" fillId="0" borderId="0" xfId="24362" applyNumberFormat="1" applyFont="1" applyFill="1" applyBorder="1"/>
    <xf numFmtId="0" fontId="81" fillId="0" borderId="0" xfId="24362" applyFont="1" applyFill="1" applyBorder="1"/>
    <xf numFmtId="0" fontId="81" fillId="0" borderId="14" xfId="24362" applyFont="1" applyFill="1" applyBorder="1" applyAlignment="1">
      <alignment horizontal="centerContinuous"/>
    </xf>
    <xf numFmtId="164" fontId="79" fillId="0" borderId="0" xfId="24362" applyNumberFormat="1" applyFont="1" applyFill="1" applyBorder="1" applyProtection="1"/>
    <xf numFmtId="165" fontId="79" fillId="0" borderId="0" xfId="24362" applyNumberFormat="1" applyFont="1" applyFill="1" applyBorder="1" applyProtection="1"/>
    <xf numFmtId="42" fontId="79" fillId="0" borderId="12" xfId="33" applyNumberFormat="1" applyFont="1" applyFill="1" applyBorder="1"/>
    <xf numFmtId="42" fontId="79" fillId="0" borderId="0" xfId="33" applyNumberFormat="1" applyFont="1" applyFill="1" applyBorder="1" applyAlignment="1">
      <alignment horizontal="center"/>
    </xf>
    <xf numFmtId="166" fontId="79" fillId="0" borderId="11" xfId="33" applyNumberFormat="1" applyFont="1" applyFill="1" applyBorder="1"/>
    <xf numFmtId="165" fontId="79" fillId="0" borderId="11" xfId="24362" applyNumberFormat="1" applyFont="1" applyFill="1" applyBorder="1"/>
    <xf numFmtId="179" fontId="79" fillId="0" borderId="0" xfId="24362" applyNumberFormat="1" applyFont="1" applyFill="1" applyProtection="1"/>
    <xf numFmtId="42" fontId="79" fillId="0" borderId="13" xfId="24362" applyNumberFormat="1" applyFont="1" applyFill="1" applyBorder="1"/>
    <xf numFmtId="42" fontId="79" fillId="0" borderId="0" xfId="24362" applyNumberFormat="1" applyFont="1" applyFill="1"/>
    <xf numFmtId="165" fontId="78" fillId="0" borderId="31" xfId="72" applyNumberFormat="1" applyFont="1" applyFill="1" applyBorder="1"/>
    <xf numFmtId="14" fontId="79" fillId="0" borderId="0" xfId="24362" applyNumberFormat="1" applyFont="1" applyFill="1"/>
    <xf numFmtId="164" fontId="79" fillId="0" borderId="0" xfId="24362" applyNumberFormat="1" applyFont="1" applyFill="1"/>
    <xf numFmtId="43" fontId="79" fillId="0" borderId="0" xfId="24362" applyNumberFormat="1" applyFont="1" applyFill="1"/>
    <xf numFmtId="0" fontId="79" fillId="0" borderId="0" xfId="24362" applyFont="1" applyFill="1" applyAlignment="1">
      <alignment horizontal="left"/>
    </xf>
    <xf numFmtId="39" fontId="79" fillId="0" borderId="0" xfId="24362" applyNumberFormat="1" applyFont="1" applyFill="1"/>
    <xf numFmtId="43" fontId="79" fillId="0" borderId="0" xfId="33" applyFont="1" applyFill="1" applyAlignment="1">
      <alignment horizontal="center"/>
    </xf>
    <xf numFmtId="0" fontId="80" fillId="0" borderId="15" xfId="24362" applyFont="1" applyFill="1" applyBorder="1" applyAlignment="1">
      <alignment horizontal="centerContinuous"/>
    </xf>
    <xf numFmtId="42" fontId="79" fillId="0" borderId="0" xfId="33" applyNumberFormat="1" applyFont="1" applyFill="1" applyBorder="1" applyProtection="1"/>
    <xf numFmtId="42" fontId="79" fillId="0" borderId="0" xfId="33" applyNumberFormat="1" applyFont="1" applyFill="1" applyBorder="1" applyAlignment="1" applyProtection="1">
      <alignment horizontal="center"/>
    </xf>
    <xf numFmtId="164" fontId="79" fillId="0" borderId="0" xfId="33" applyNumberFormat="1" applyFont="1" applyFill="1" applyBorder="1"/>
    <xf numFmtId="164" fontId="79" fillId="0" borderId="0" xfId="72" applyNumberFormat="1" applyFont="1" applyFill="1" applyBorder="1" applyAlignment="1" applyProtection="1">
      <alignment horizontal="right"/>
    </xf>
    <xf numFmtId="165" fontId="79" fillId="0" borderId="0" xfId="24362" applyNumberFormat="1" applyFont="1" applyFill="1" applyBorder="1" applyAlignment="1" applyProtection="1">
      <alignment horizontal="left"/>
    </xf>
    <xf numFmtId="37" fontId="79" fillId="0" borderId="28" xfId="24362" applyNumberFormat="1" applyFont="1" applyFill="1" applyBorder="1" applyProtection="1"/>
    <xf numFmtId="37" fontId="37" fillId="0" borderId="0" xfId="57524" applyFont="1" applyAlignment="1">
      <alignment horizontal="center"/>
    </xf>
    <xf numFmtId="37" fontId="37" fillId="0" borderId="0" xfId="57524" applyFont="1"/>
    <xf numFmtId="0" fontId="83" fillId="0" borderId="0" xfId="57525" applyFont="1"/>
    <xf numFmtId="37" fontId="49" fillId="0" borderId="0" xfId="57524" applyFont="1" applyAlignment="1">
      <alignment horizontal="centerContinuous"/>
    </xf>
    <xf numFmtId="37" fontId="48" fillId="0" borderId="0" xfId="57524" applyFont="1" applyAlignment="1">
      <alignment horizontal="centerContinuous"/>
    </xf>
    <xf numFmtId="181" fontId="48" fillId="0" borderId="0" xfId="57524" applyNumberFormat="1" applyFont="1"/>
    <xf numFmtId="37" fontId="48" fillId="0" borderId="0" xfId="57524" applyFont="1"/>
    <xf numFmtId="37" fontId="48" fillId="0" borderId="0" xfId="57524" applyFont="1" applyBorder="1" applyAlignment="1">
      <alignment horizontal="center"/>
    </xf>
    <xf numFmtId="10" fontId="48" fillId="0" borderId="0" xfId="57526" applyNumberFormat="1" applyFont="1"/>
    <xf numFmtId="10" fontId="48" fillId="0" borderId="0" xfId="57526" applyNumberFormat="1" applyFont="1" applyBorder="1"/>
    <xf numFmtId="180" fontId="84" fillId="0" borderId="0" xfId="57524" applyNumberFormat="1" applyFont="1" applyAlignment="1">
      <alignment horizontal="center"/>
    </xf>
    <xf numFmtId="49" fontId="48" fillId="0" borderId="0" xfId="57524" applyNumberFormat="1" applyFont="1" applyAlignment="1">
      <alignment horizontal="center"/>
    </xf>
    <xf numFmtId="37" fontId="48" fillId="0" borderId="0" xfId="57524" applyFont="1" applyBorder="1"/>
    <xf numFmtId="166" fontId="48" fillId="0" borderId="0" xfId="57527" applyNumberFormat="1" applyFont="1" applyBorder="1"/>
    <xf numFmtId="37" fontId="48" fillId="0" borderId="0" xfId="57524" applyFont="1" applyAlignment="1">
      <alignment horizontal="center"/>
    </xf>
    <xf numFmtId="166" fontId="48" fillId="0" borderId="0" xfId="57527" applyNumberFormat="1" applyFont="1" applyBorder="1" applyAlignment="1">
      <alignment horizontal="center"/>
    </xf>
    <xf numFmtId="181" fontId="48" fillId="0" borderId="0" xfId="57524" applyNumberFormat="1" applyFont="1" applyAlignment="1">
      <alignment horizontal="center"/>
    </xf>
    <xf numFmtId="181" fontId="48" fillId="0" borderId="0" xfId="57524" applyNumberFormat="1" applyFont="1" applyBorder="1" applyAlignment="1">
      <alignment horizontal="center"/>
    </xf>
    <xf numFmtId="37" fontId="48" fillId="0" borderId="0" xfId="57524" applyFont="1" applyAlignment="1">
      <alignment horizontal="left"/>
    </xf>
    <xf numFmtId="10" fontId="48" fillId="0" borderId="0" xfId="57526" applyNumberFormat="1" applyFont="1" applyAlignment="1">
      <alignment horizontal="center"/>
    </xf>
    <xf numFmtId="10" fontId="48" fillId="0" borderId="0" xfId="57526" applyNumberFormat="1" applyFont="1" applyBorder="1" applyAlignment="1">
      <alignment horizontal="center"/>
    </xf>
    <xf numFmtId="181" fontId="48" fillId="0" borderId="0" xfId="57524" quotePrefix="1" applyNumberFormat="1" applyFont="1" applyAlignment="1">
      <alignment horizontal="center"/>
    </xf>
    <xf numFmtId="181" fontId="85" fillId="0" borderId="0" xfId="57524" applyNumberFormat="1" applyFont="1" applyAlignment="1">
      <alignment horizontal="center"/>
    </xf>
    <xf numFmtId="181" fontId="85" fillId="0" borderId="0" xfId="57524" applyNumberFormat="1" applyFont="1" applyBorder="1" applyAlignment="1">
      <alignment horizontal="center"/>
    </xf>
    <xf numFmtId="167" fontId="48" fillId="0" borderId="0" xfId="57528" applyNumberFormat="1" applyFont="1" applyBorder="1"/>
    <xf numFmtId="182" fontId="48" fillId="0" borderId="0" xfId="57528" applyNumberFormat="1" applyFont="1"/>
    <xf numFmtId="182" fontId="48" fillId="0" borderId="0" xfId="57528" applyNumberFormat="1" applyFont="1" applyBorder="1"/>
    <xf numFmtId="37" fontId="48" fillId="0" borderId="0" xfId="57524" applyFont="1" applyBorder="1" applyAlignment="1">
      <alignment horizontal="left"/>
    </xf>
    <xf numFmtId="182" fontId="48" fillId="0" borderId="0" xfId="57524" applyNumberFormat="1" applyFont="1" applyProtection="1"/>
    <xf numFmtId="182" fontId="48" fillId="0" borderId="0" xfId="57524" applyNumberFormat="1" applyFont="1" applyBorder="1" applyProtection="1"/>
    <xf numFmtId="37" fontId="48" fillId="0" borderId="0" xfId="57524" applyFont="1" applyFill="1" applyBorder="1" applyAlignment="1">
      <alignment horizontal="left"/>
    </xf>
    <xf numFmtId="37" fontId="48" fillId="0" borderId="0" xfId="57524" applyFont="1" applyFill="1" applyBorder="1"/>
    <xf numFmtId="166" fontId="48" fillId="0" borderId="0" xfId="57527" applyNumberFormat="1" applyFont="1" applyFill="1" applyBorder="1"/>
    <xf numFmtId="173" fontId="48" fillId="0" borderId="11" xfId="57527" applyNumberFormat="1" applyFont="1" applyFill="1" applyBorder="1" applyProtection="1"/>
    <xf numFmtId="173" fontId="48" fillId="0" borderId="0" xfId="57527" applyNumberFormat="1" applyFont="1" applyFill="1" applyBorder="1" applyProtection="1"/>
    <xf numFmtId="37" fontId="37" fillId="0" borderId="0" xfId="57524" applyFont="1" applyFill="1"/>
    <xf numFmtId="173" fontId="48" fillId="0" borderId="11" xfId="57527" applyNumberFormat="1" applyFont="1" applyBorder="1" applyProtection="1"/>
    <xf numFmtId="173" fontId="48" fillId="0" borderId="0" xfId="57527" applyNumberFormat="1" applyFont="1" applyBorder="1" applyProtection="1"/>
    <xf numFmtId="173" fontId="48" fillId="0" borderId="0" xfId="57527" applyNumberFormat="1" applyFont="1" applyProtection="1"/>
    <xf numFmtId="167" fontId="48" fillId="0" borderId="0" xfId="57528" applyNumberFormat="1" applyFont="1" applyBorder="1" applyProtection="1"/>
    <xf numFmtId="37" fontId="37" fillId="0" borderId="0" xfId="57524" quotePrefix="1" applyFont="1" applyAlignment="1">
      <alignment horizontal="center"/>
    </xf>
    <xf numFmtId="37" fontId="48" fillId="0" borderId="0" xfId="57524" quotePrefix="1" applyFont="1" applyFill="1" applyAlignment="1">
      <alignment horizontal="left"/>
    </xf>
    <xf numFmtId="167" fontId="48" fillId="0" borderId="0" xfId="57528" applyNumberFormat="1" applyFont="1" applyFill="1" applyBorder="1" applyProtection="1"/>
    <xf numFmtId="9" fontId="48" fillId="0" borderId="0" xfId="57526" applyFont="1" applyFill="1" applyBorder="1" applyProtection="1"/>
    <xf numFmtId="9" fontId="48" fillId="0" borderId="0" xfId="57527" applyNumberFormat="1" applyFont="1" applyFill="1" applyBorder="1" applyProtection="1"/>
    <xf numFmtId="9" fontId="48" fillId="0" borderId="0" xfId="57526" applyFont="1" applyBorder="1" applyProtection="1"/>
    <xf numFmtId="9" fontId="48" fillId="0" borderId="0" xfId="57526" applyNumberFormat="1" applyFont="1" applyFill="1" applyBorder="1" applyProtection="1"/>
    <xf numFmtId="37" fontId="48" fillId="0" borderId="0" xfId="57524" quotePrefix="1" applyFont="1" applyFill="1" applyBorder="1" applyAlignment="1">
      <alignment horizontal="left"/>
    </xf>
    <xf numFmtId="10" fontId="48" fillId="0" borderId="0" xfId="57526" applyNumberFormat="1" applyFont="1" applyFill="1" applyBorder="1" applyProtection="1"/>
    <xf numFmtId="37" fontId="37" fillId="0" borderId="0" xfId="57524" quotePrefix="1" applyFont="1" applyFill="1" applyAlignment="1">
      <alignment horizontal="center"/>
    </xf>
    <xf numFmtId="37" fontId="48" fillId="0" borderId="0" xfId="57524" quotePrefix="1" applyFont="1" applyBorder="1" applyAlignment="1">
      <alignment horizontal="left"/>
    </xf>
    <xf numFmtId="182" fontId="48" fillId="0" borderId="11" xfId="57524" applyNumberFormat="1" applyFont="1" applyBorder="1"/>
    <xf numFmtId="182" fontId="48" fillId="0" borderId="0" xfId="57524" applyNumberFormat="1" applyFont="1" applyBorder="1"/>
    <xf numFmtId="181" fontId="48" fillId="0" borderId="0" xfId="57524" applyNumberFormat="1" applyFont="1" applyProtection="1"/>
    <xf numFmtId="181" fontId="48" fillId="0" borderId="0" xfId="57524" applyNumberFormat="1" applyFont="1" applyBorder="1" applyProtection="1"/>
    <xf numFmtId="183" fontId="48" fillId="0" borderId="12" xfId="57524" applyNumberFormat="1" applyFont="1" applyBorder="1" applyProtection="1"/>
    <xf numFmtId="183" fontId="48" fillId="0" borderId="0" xfId="57527" applyNumberFormat="1" applyFont="1" applyBorder="1"/>
    <xf numFmtId="183" fontId="48" fillId="0" borderId="0" xfId="57524" applyNumberFormat="1" applyFont="1" applyBorder="1" applyProtection="1"/>
    <xf numFmtId="182" fontId="48" fillId="0" borderId="12" xfId="57524" applyNumberFormat="1" applyFont="1" applyBorder="1"/>
    <xf numFmtId="37" fontId="37" fillId="0" borderId="0" xfId="57524" applyFont="1" applyBorder="1"/>
    <xf numFmtId="165" fontId="48" fillId="0" borderId="0" xfId="57526" applyNumberFormat="1" applyFont="1" applyBorder="1"/>
    <xf numFmtId="165" fontId="48" fillId="0" borderId="11" xfId="57526" applyNumberFormat="1" applyFont="1" applyBorder="1"/>
    <xf numFmtId="165" fontId="48" fillId="0" borderId="13" xfId="57526" applyNumberFormat="1" applyFont="1" applyBorder="1"/>
    <xf numFmtId="181" fontId="37" fillId="0" borderId="0" xfId="57524" applyNumberFormat="1" applyFont="1"/>
    <xf numFmtId="37" fontId="85" fillId="0" borderId="0" xfId="57524" applyFont="1"/>
    <xf numFmtId="43" fontId="48" fillId="0" borderId="11" xfId="57527" applyNumberFormat="1" applyFont="1" applyFill="1" applyBorder="1" applyProtection="1"/>
    <xf numFmtId="173" fontId="48" fillId="0" borderId="0" xfId="57527" applyNumberFormat="1" applyFont="1" applyFill="1" applyProtection="1"/>
    <xf numFmtId="165" fontId="48" fillId="0" borderId="11" xfId="57526" applyNumberFormat="1" applyFont="1" applyFill="1" applyBorder="1" applyProtection="1"/>
    <xf numFmtId="165" fontId="48" fillId="0" borderId="11" xfId="57526" applyNumberFormat="1" applyFont="1" applyBorder="1" applyProtection="1"/>
    <xf numFmtId="165" fontId="48" fillId="0" borderId="0" xfId="57526" applyNumberFormat="1" applyFont="1" applyBorder="1" applyProtection="1"/>
    <xf numFmtId="173" fontId="48" fillId="0" borderId="12" xfId="57527" applyNumberFormat="1" applyFont="1" applyFill="1" applyBorder="1" applyProtection="1"/>
    <xf numFmtId="173" fontId="48" fillId="0" borderId="12" xfId="57527" applyNumberFormat="1" applyFont="1" applyBorder="1" applyProtection="1"/>
    <xf numFmtId="178" fontId="79" fillId="0" borderId="0" xfId="24362" applyNumberFormat="1" applyFont="1" applyFill="1" applyBorder="1" applyAlignment="1">
      <alignment horizontal="center"/>
    </xf>
    <xf numFmtId="165" fontId="79" fillId="0" borderId="0" xfId="24362" applyNumberFormat="1" applyFont="1" applyFill="1" applyBorder="1"/>
    <xf numFmtId="166" fontId="79" fillId="0" borderId="0" xfId="24362" applyNumberFormat="1" applyFont="1" applyFill="1" applyBorder="1"/>
    <xf numFmtId="165" fontId="79" fillId="0" borderId="0" xfId="72" applyNumberFormat="1" applyFont="1" applyFill="1" applyBorder="1"/>
    <xf numFmtId="41" fontId="79" fillId="0" borderId="11" xfId="24362" applyNumberFormat="1" applyFont="1" applyFill="1" applyBorder="1"/>
    <xf numFmtId="41" fontId="79" fillId="0" borderId="11" xfId="24362" applyNumberFormat="1" applyFont="1" applyFill="1" applyBorder="1" applyAlignment="1">
      <alignment horizontal="center"/>
    </xf>
    <xf numFmtId="41" fontId="79" fillId="0" borderId="0" xfId="24362" applyNumberFormat="1" applyFont="1" applyFill="1" applyBorder="1" applyAlignment="1">
      <alignment horizontal="center"/>
    </xf>
    <xf numFmtId="165" fontId="78" fillId="0" borderId="31" xfId="24362" applyNumberFormat="1" applyFont="1" applyFill="1" applyBorder="1"/>
    <xf numFmtId="37" fontId="78" fillId="0" borderId="0" xfId="24362" applyNumberFormat="1" applyFont="1" applyFill="1" applyAlignment="1" applyProtection="1">
      <alignment horizontal="right"/>
    </xf>
    <xf numFmtId="37" fontId="78" fillId="0" borderId="0" xfId="24362" applyNumberFormat="1" applyFont="1" applyFill="1" applyBorder="1" applyAlignment="1" applyProtection="1">
      <alignment horizontal="center"/>
    </xf>
    <xf numFmtId="0" fontId="78" fillId="0" borderId="0" xfId="24362" applyFont="1" applyFill="1" applyAlignment="1">
      <alignment horizontal="right"/>
    </xf>
    <xf numFmtId="0" fontId="78" fillId="0" borderId="0" xfId="24362" applyFont="1" applyFill="1" applyBorder="1"/>
    <xf numFmtId="37" fontId="78" fillId="0" borderId="28" xfId="24362" applyNumberFormat="1" applyFont="1" applyFill="1" applyBorder="1" applyAlignment="1" applyProtection="1">
      <alignment horizontal="right"/>
    </xf>
    <xf numFmtId="0" fontId="79" fillId="0" borderId="0" xfId="24362" applyFont="1" applyFill="1" applyBorder="1" applyAlignment="1">
      <alignment horizontal="left"/>
    </xf>
    <xf numFmtId="7" fontId="79" fillId="0" borderId="0" xfId="33" applyNumberFormat="1" applyFont="1" applyFill="1" applyBorder="1"/>
    <xf numFmtId="37" fontId="79" fillId="0" borderId="0" xfId="24362" applyNumberFormat="1" applyFont="1" applyFill="1" applyAlignment="1" applyProtection="1">
      <alignment horizontal="center"/>
    </xf>
    <xf numFmtId="0" fontId="78" fillId="0" borderId="0" xfId="24362" applyFont="1" applyFill="1" applyAlignment="1">
      <alignment horizontal="center"/>
    </xf>
    <xf numFmtId="0" fontId="79" fillId="0" borderId="0" xfId="24362" applyFont="1" applyFill="1" applyAlignment="1"/>
    <xf numFmtId="37" fontId="49" fillId="0" borderId="0" xfId="64" applyFont="1" applyFill="1" applyAlignment="1">
      <alignment horizontal="centerContinuous"/>
    </xf>
    <xf numFmtId="177" fontId="78" fillId="0" borderId="0" xfId="24362" applyNumberFormat="1" applyFont="1" applyFill="1" applyAlignment="1">
      <alignment horizontal="center"/>
    </xf>
    <xf numFmtId="0" fontId="79" fillId="0" borderId="0" xfId="24362" applyFont="1" applyFill="1" applyAlignment="1">
      <alignment wrapText="1"/>
    </xf>
    <xf numFmtId="37" fontId="47" fillId="0" borderId="0" xfId="57524" applyFont="1" applyAlignment="1"/>
    <xf numFmtId="180" fontId="47" fillId="0" borderId="0" xfId="57524" applyNumberFormat="1" applyFont="1" applyAlignment="1">
      <alignment horizontal="left"/>
    </xf>
  </cellXfs>
  <cellStyles count="57529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7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8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5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4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6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KU\2013\J529%20DSM%20Over%20Under\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B41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55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55" t="s">
        <v>45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"/>
      <c r="U6" s="5"/>
      <c r="V6" s="5"/>
      <c r="W6" s="5"/>
      <c r="X6" s="7"/>
      <c r="Y6" s="7"/>
      <c r="Z6" s="7"/>
      <c r="AA6" s="7"/>
    </row>
    <row r="7" spans="1:27" x14ac:dyDescent="0.25">
      <c r="A7" s="56" t="s">
        <v>148</v>
      </c>
      <c r="B7" s="55"/>
      <c r="C7" s="55"/>
      <c r="D7" s="55"/>
      <c r="E7" s="55"/>
      <c r="F7" s="55"/>
      <c r="G7" s="55"/>
      <c r="H7" s="23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"/>
      <c r="U7" s="5"/>
      <c r="V7" s="5"/>
      <c r="W7" s="8"/>
    </row>
    <row r="8" spans="1:27" x14ac:dyDescent="0.25">
      <c r="A8" s="9"/>
      <c r="B8" s="5"/>
      <c r="C8" s="5"/>
      <c r="D8" s="48"/>
      <c r="E8" s="5"/>
      <c r="F8" s="5"/>
      <c r="G8" s="5"/>
      <c r="H8" s="5"/>
      <c r="I8" s="5"/>
      <c r="J8" s="54"/>
      <c r="K8" s="54"/>
      <c r="L8" s="5"/>
      <c r="M8" s="5"/>
      <c r="N8" s="5"/>
      <c r="O8" s="5"/>
      <c r="P8" s="5"/>
      <c r="Q8" s="5"/>
      <c r="R8" s="53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7</v>
      </c>
      <c r="Q11" s="11"/>
      <c r="R11" s="12" t="s">
        <v>8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9</v>
      </c>
      <c r="K12" s="11"/>
      <c r="L12" s="11" t="s">
        <v>10</v>
      </c>
      <c r="M12" s="11"/>
      <c r="N12" s="11" t="s">
        <v>11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35</v>
      </c>
      <c r="D13" s="11"/>
      <c r="E13" s="11"/>
      <c r="F13" s="12" t="s">
        <v>12</v>
      </c>
      <c r="H13" s="11"/>
      <c r="I13" s="11"/>
      <c r="J13" s="11" t="s">
        <v>13</v>
      </c>
      <c r="K13" s="11"/>
      <c r="L13" s="11" t="s">
        <v>14</v>
      </c>
      <c r="M13" s="11"/>
      <c r="N13" s="11" t="s">
        <v>14</v>
      </c>
      <c r="O13" s="12"/>
      <c r="P13" s="11" t="s">
        <v>1</v>
      </c>
      <c r="Q13" s="11"/>
      <c r="R13" s="12" t="s">
        <v>14</v>
      </c>
    </row>
    <row r="14" spans="1:27" x14ac:dyDescent="0.25">
      <c r="A14" s="3"/>
      <c r="B14" s="3"/>
      <c r="C14" s="13" t="s">
        <v>149</v>
      </c>
      <c r="D14" s="11"/>
      <c r="E14" s="11"/>
      <c r="F14" s="12" t="s">
        <v>15</v>
      </c>
      <c r="H14" s="11" t="s">
        <v>37</v>
      </c>
      <c r="I14" s="11"/>
      <c r="J14" s="49" t="s">
        <v>16</v>
      </c>
      <c r="K14" s="11"/>
      <c r="L14" s="49" t="s">
        <v>38</v>
      </c>
      <c r="M14" s="11"/>
      <c r="N14" s="14" t="s">
        <v>39</v>
      </c>
      <c r="O14" s="12"/>
      <c r="P14" s="11" t="s">
        <v>17</v>
      </c>
      <c r="Q14" s="11"/>
      <c r="R14" s="49" t="s">
        <v>40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50">
        <v>-4</v>
      </c>
      <c r="K15" s="11"/>
      <c r="L15" s="50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ht="30" customHeight="1" x14ac:dyDescent="0.25">
      <c r="A16" s="17" t="s">
        <v>18</v>
      </c>
      <c r="B16" s="3" t="s">
        <v>19</v>
      </c>
      <c r="C16" s="39">
        <f>ROUND('Tab 2 - ECC Feb16'!F68,0)</f>
        <v>15999182</v>
      </c>
      <c r="D16" s="52"/>
      <c r="E16" s="3"/>
      <c r="F16" s="32">
        <f>ROUND(C16/$C$19,4)</f>
        <v>3.2000000000000002E-3</v>
      </c>
      <c r="H16" s="39">
        <v>0</v>
      </c>
      <c r="I16" s="3"/>
      <c r="J16" s="39">
        <f>ROUND(+F16*$J$19,0)</f>
        <v>-3908</v>
      </c>
      <c r="K16" s="3"/>
      <c r="L16" s="39">
        <f>SUM(H16:K16)</f>
        <v>-3908</v>
      </c>
      <c r="M16" s="3"/>
      <c r="N16" s="42">
        <f>+C16+L16</f>
        <v>15995274</v>
      </c>
      <c r="P16" s="37">
        <v>0.88890000000000002</v>
      </c>
      <c r="Q16" s="3"/>
      <c r="R16" s="42">
        <f>ROUND(+N16*P16,0)</f>
        <v>14218199</v>
      </c>
    </row>
    <row r="17" spans="1:28" ht="30" customHeight="1" x14ac:dyDescent="0.25">
      <c r="A17" s="17" t="s">
        <v>20</v>
      </c>
      <c r="B17" s="3" t="s">
        <v>21</v>
      </c>
      <c r="C17" s="40">
        <f>ROUND('Tab 2 - ECC Feb16'!F52,0)</f>
        <v>2341219146</v>
      </c>
      <c r="D17" s="52"/>
      <c r="E17" s="3"/>
      <c r="F17" s="32">
        <f>ROUND(C17/$C$19,4)+0.0001</f>
        <v>0.46529999999999999</v>
      </c>
      <c r="H17" s="41">
        <v>0</v>
      </c>
      <c r="I17" s="3"/>
      <c r="J17" s="40">
        <f>ROUND(+F17*$J$19,0)</f>
        <v>-568277</v>
      </c>
      <c r="K17" s="3"/>
      <c r="L17" s="40">
        <f>SUM(H17:K17)</f>
        <v>-568277</v>
      </c>
      <c r="M17" s="3"/>
      <c r="N17" s="43">
        <f>+C17+L17</f>
        <v>2340650869</v>
      </c>
      <c r="P17" s="20">
        <f>+P16</f>
        <v>0.88890000000000002</v>
      </c>
      <c r="Q17" s="3"/>
      <c r="R17" s="43">
        <f>ROUND(+N17*P17,0)</f>
        <v>2080604557</v>
      </c>
    </row>
    <row r="18" spans="1:28" ht="30" customHeight="1" x14ac:dyDescent="0.25">
      <c r="A18" s="17" t="s">
        <v>22</v>
      </c>
      <c r="B18" s="3" t="s">
        <v>23</v>
      </c>
      <c r="C18" s="40">
        <v>2674993114</v>
      </c>
      <c r="D18" s="3"/>
      <c r="E18" s="3"/>
      <c r="F18" s="32">
        <f>ROUND(1-F16-F17,4)</f>
        <v>0.53149999999999997</v>
      </c>
      <c r="H18" s="41">
        <f>H19</f>
        <v>-504066</v>
      </c>
      <c r="I18" s="3"/>
      <c r="J18" s="41">
        <f>+J19-J16-J17</f>
        <v>-649128</v>
      </c>
      <c r="K18" s="3"/>
      <c r="L18" s="41">
        <f>SUM(H18:K18)</f>
        <v>-1153194</v>
      </c>
      <c r="M18" s="3"/>
      <c r="N18" s="43">
        <f>+C18+L18</f>
        <v>2673839920</v>
      </c>
      <c r="P18" s="20">
        <f>+P16</f>
        <v>0.88890000000000002</v>
      </c>
      <c r="Q18" s="3"/>
      <c r="R18" s="43">
        <f>ROUND(+N18*P18,0)</f>
        <v>2376776305</v>
      </c>
    </row>
    <row r="19" spans="1:28" ht="30" customHeight="1" thickBot="1" x14ac:dyDescent="0.3">
      <c r="A19" s="17" t="s">
        <v>24</v>
      </c>
      <c r="B19" s="3" t="s">
        <v>25</v>
      </c>
      <c r="C19" s="38">
        <f>SUM(C16:C18)</f>
        <v>5032211442</v>
      </c>
      <c r="D19" s="3"/>
      <c r="E19" s="3"/>
      <c r="F19" s="44">
        <f>SUM(F16:F18)</f>
        <v>1</v>
      </c>
      <c r="H19" s="38">
        <v>-504066</v>
      </c>
      <c r="I19" s="3"/>
      <c r="J19" s="38">
        <v>-1221313</v>
      </c>
      <c r="K19" s="3"/>
      <c r="L19" s="38">
        <f>SUM(L16:L18)</f>
        <v>-1725379</v>
      </c>
      <c r="M19" s="3"/>
      <c r="N19" s="38">
        <f>SUM(N16:N18)</f>
        <v>5030486063</v>
      </c>
      <c r="Q19" s="3"/>
      <c r="R19" s="38">
        <f>SUM(R16:R18)</f>
        <v>4471599061</v>
      </c>
    </row>
    <row r="20" spans="1:28" ht="16.5" thickTop="1" x14ac:dyDescent="0.25">
      <c r="A20" s="3"/>
      <c r="B20" s="3"/>
      <c r="C20" s="3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Q20" s="3"/>
      <c r="S20" s="3"/>
    </row>
    <row r="21" spans="1:28" x14ac:dyDescent="0.25">
      <c r="A21" s="3"/>
      <c r="B21" s="3"/>
      <c r="C21" s="18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/>
    </row>
    <row r="22" spans="1:28" ht="18" x14ac:dyDescent="0.4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</row>
    <row r="23" spans="1:28" ht="18" x14ac:dyDescent="0.4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</row>
    <row r="24" spans="1:28" ht="18" x14ac:dyDescent="0.4">
      <c r="A24" s="3"/>
      <c r="B24" s="3"/>
      <c r="C24" s="10"/>
      <c r="D24" s="10"/>
      <c r="E24" s="10"/>
      <c r="F24" s="10"/>
      <c r="G24" s="10"/>
      <c r="H24" s="22"/>
      <c r="I24" s="10"/>
      <c r="J24" s="22"/>
      <c r="K24" s="10"/>
      <c r="L24" s="22" t="s">
        <v>26</v>
      </c>
      <c r="M24" s="10"/>
      <c r="N24" s="10"/>
      <c r="O24" s="10"/>
      <c r="R24" s="3"/>
      <c r="S24" s="3"/>
      <c r="X24" s="3"/>
      <c r="AB24" s="12"/>
    </row>
    <row r="25" spans="1:28" ht="18" x14ac:dyDescent="0.4">
      <c r="A25" s="3"/>
      <c r="B25" s="3"/>
      <c r="C25" s="10"/>
      <c r="D25" s="10"/>
      <c r="E25" s="10"/>
      <c r="F25" s="10"/>
      <c r="G25" s="10"/>
      <c r="H25" s="22"/>
      <c r="I25" s="10"/>
      <c r="J25" s="22"/>
      <c r="K25" s="10"/>
      <c r="L25" s="12" t="s">
        <v>8</v>
      </c>
      <c r="M25" s="10"/>
      <c r="P25" s="11"/>
      <c r="Q25" s="11"/>
      <c r="R25" s="11" t="s">
        <v>27</v>
      </c>
      <c r="X25" s="3"/>
      <c r="AB25" s="12"/>
    </row>
    <row r="26" spans="1:28" x14ac:dyDescent="0.25">
      <c r="A26" s="3"/>
      <c r="B26" s="3"/>
      <c r="C26" s="12" t="s">
        <v>8</v>
      </c>
      <c r="D26" s="3"/>
      <c r="E26" s="3"/>
      <c r="F26" s="3"/>
      <c r="H26" s="22" t="s">
        <v>0</v>
      </c>
      <c r="J26" s="51" t="s">
        <v>36</v>
      </c>
      <c r="L26" s="11" t="s">
        <v>2</v>
      </c>
      <c r="M26" s="3"/>
      <c r="N26" s="12" t="s">
        <v>26</v>
      </c>
      <c r="P26" s="11" t="s">
        <v>29</v>
      </c>
      <c r="Q26" s="11"/>
      <c r="R26" s="11" t="s">
        <v>30</v>
      </c>
      <c r="X26" s="3"/>
      <c r="AA26" s="12"/>
      <c r="AB26" s="12"/>
    </row>
    <row r="27" spans="1:28" ht="18" x14ac:dyDescent="0.4">
      <c r="C27" s="11" t="s">
        <v>2</v>
      </c>
      <c r="D27" s="23"/>
      <c r="E27" s="23"/>
      <c r="F27" s="12" t="s">
        <v>12</v>
      </c>
      <c r="H27" s="11" t="s">
        <v>28</v>
      </c>
      <c r="J27" s="51" t="s">
        <v>1</v>
      </c>
      <c r="L27" s="12" t="s">
        <v>14</v>
      </c>
      <c r="M27" s="23"/>
      <c r="N27" s="12" t="s">
        <v>12</v>
      </c>
      <c r="P27" s="11" t="s">
        <v>27</v>
      </c>
      <c r="Q27" s="11"/>
      <c r="R27" s="11" t="s">
        <v>31</v>
      </c>
      <c r="X27" s="23"/>
      <c r="AA27" s="12"/>
      <c r="AB27" s="24"/>
    </row>
    <row r="28" spans="1:28" x14ac:dyDescent="0.25">
      <c r="A28" s="16"/>
      <c r="B28" s="25"/>
      <c r="C28" s="12" t="s">
        <v>14</v>
      </c>
      <c r="F28" s="12" t="s">
        <v>15</v>
      </c>
      <c r="H28" s="49" t="s">
        <v>41</v>
      </c>
      <c r="J28" s="49" t="s">
        <v>42</v>
      </c>
      <c r="L28" s="49" t="s">
        <v>43</v>
      </c>
      <c r="N28" s="12" t="s">
        <v>15</v>
      </c>
      <c r="P28" s="11" t="s">
        <v>32</v>
      </c>
      <c r="Q28" s="11"/>
      <c r="R28" s="14" t="s">
        <v>44</v>
      </c>
      <c r="X28" s="12"/>
      <c r="AA28" s="12"/>
      <c r="AB28" s="24"/>
    </row>
    <row r="29" spans="1:28" x14ac:dyDescent="0.25">
      <c r="A29" s="25"/>
      <c r="B29" s="25"/>
      <c r="C29" s="15">
        <v>-8</v>
      </c>
      <c r="D29" s="12"/>
      <c r="E29" s="12"/>
      <c r="F29" s="15">
        <v>-9</v>
      </c>
      <c r="H29" s="15">
        <v>-10</v>
      </c>
      <c r="J29" s="50">
        <v>-11</v>
      </c>
      <c r="L29" s="15">
        <v>-12</v>
      </c>
      <c r="M29" s="12"/>
      <c r="N29" s="15">
        <v>-13</v>
      </c>
      <c r="P29" s="15">
        <v>-14</v>
      </c>
      <c r="Q29" s="11"/>
      <c r="R29" s="15">
        <v>-15</v>
      </c>
      <c r="X29" s="12"/>
      <c r="AA29" s="12"/>
      <c r="AB29" s="12"/>
    </row>
    <row r="30" spans="1:28" ht="30" customHeight="1" x14ac:dyDescent="0.25">
      <c r="A30" s="17" t="s">
        <v>18</v>
      </c>
      <c r="B30" s="3" t="s">
        <v>19</v>
      </c>
      <c r="C30" s="39">
        <f>+R16</f>
        <v>14218199</v>
      </c>
      <c r="D30" s="40"/>
      <c r="E30" s="3"/>
      <c r="F30" s="32">
        <f>ROUND(+C30/$C$33,4)</f>
        <v>3.2000000000000002E-3</v>
      </c>
      <c r="H30" s="39">
        <f>ROUND(+F30*$H$33,0)</f>
        <v>-2995926</v>
      </c>
      <c r="J30" s="39">
        <f>ROUND(+F30*$J$33,0)</f>
        <v>-15415</v>
      </c>
      <c r="L30" s="45">
        <f>+C30+H30+J30</f>
        <v>11206858</v>
      </c>
      <c r="M30" s="12"/>
      <c r="N30" s="30">
        <f>ROUND(+L30/$L$33,4)</f>
        <v>3.2000000000000002E-3</v>
      </c>
      <c r="O30" s="27"/>
      <c r="P30" s="19">
        <f>ROUND('Tab 2 - ECC Feb16'!T68,4)</f>
        <v>6.4000000000000003E-3</v>
      </c>
      <c r="Q30" s="21"/>
      <c r="R30" s="19">
        <f>ROUND(+$N$30*$P$30,4)</f>
        <v>0</v>
      </c>
      <c r="X30" s="12"/>
      <c r="AA30" s="28"/>
      <c r="AB30" s="26"/>
    </row>
    <row r="31" spans="1:28" ht="30" customHeight="1" x14ac:dyDescent="0.25">
      <c r="A31" s="17" t="s">
        <v>20</v>
      </c>
      <c r="B31" s="3" t="s">
        <v>21</v>
      </c>
      <c r="C31" s="40">
        <f>+R17</f>
        <v>2080604557</v>
      </c>
      <c r="D31" s="40"/>
      <c r="E31" s="3"/>
      <c r="F31" s="32">
        <f>ROUND(+C31/$C$33,4)</f>
        <v>0.46529999999999999</v>
      </c>
      <c r="H31" s="40">
        <f>ROUND(+F31*$H$33,0)</f>
        <v>-435626374</v>
      </c>
      <c r="J31" s="40">
        <f>ROUND(+F31*$J$33,0)</f>
        <v>-2241462</v>
      </c>
      <c r="L31" s="46">
        <f>+C31+H31+J31</f>
        <v>1642736721</v>
      </c>
      <c r="M31" s="12"/>
      <c r="N31" s="30">
        <f>ROUND(+L31/$L$33,4)</f>
        <v>0.46529999999999999</v>
      </c>
      <c r="O31" s="27"/>
      <c r="P31" s="19">
        <f>ROUND('Tab 2 - ECC Feb16'!T52,4)</f>
        <v>4.02E-2</v>
      </c>
      <c r="Q31" s="21"/>
      <c r="R31" s="19">
        <f>ROUND(+$N$31*$P$31,4)</f>
        <v>1.8700000000000001E-2</v>
      </c>
      <c r="U31" s="29"/>
      <c r="V31" s="29"/>
      <c r="W31" s="29"/>
      <c r="X31" s="29"/>
      <c r="Z31" s="29"/>
      <c r="AA31" s="28"/>
      <c r="AB31" s="26"/>
    </row>
    <row r="32" spans="1:28" ht="30" customHeight="1" x14ac:dyDescent="0.25">
      <c r="A32" s="17" t="s">
        <v>22</v>
      </c>
      <c r="B32" s="3" t="s">
        <v>23</v>
      </c>
      <c r="C32" s="40">
        <f>+R18</f>
        <v>2376776305</v>
      </c>
      <c r="D32" s="40"/>
      <c r="E32" s="3"/>
      <c r="F32" s="32">
        <f>ROUND(1-F30-F31,4)</f>
        <v>0.53149999999999997</v>
      </c>
      <c r="H32" s="40">
        <f>+H33-H30-H31</f>
        <v>-497604595</v>
      </c>
      <c r="J32" s="40">
        <f>+J33-J30-J31</f>
        <v>-2560364</v>
      </c>
      <c r="L32" s="46">
        <f>+C32+H32+J32</f>
        <v>1876611346</v>
      </c>
      <c r="N32" s="32">
        <f>ROUND(1-N30-N31,4)</f>
        <v>0.53149999999999997</v>
      </c>
      <c r="O32" s="27"/>
      <c r="P32" s="19">
        <v>0.1</v>
      </c>
      <c r="Q32" s="21"/>
      <c r="R32" s="19">
        <f>ROUND(+$N$32*$P$32,4)</f>
        <v>5.3199999999999997E-2</v>
      </c>
      <c r="AA32" s="31"/>
      <c r="AB32" s="26"/>
    </row>
    <row r="33" spans="1:28" ht="30" customHeight="1" thickBot="1" x14ac:dyDescent="0.3">
      <c r="A33" s="17" t="s">
        <v>24</v>
      </c>
      <c r="B33" s="3" t="s">
        <v>25</v>
      </c>
      <c r="C33" s="38">
        <f>SUM(C30:C32)</f>
        <v>4471599061</v>
      </c>
      <c r="D33" s="40"/>
      <c r="E33" s="3"/>
      <c r="F33" s="44">
        <f>SUM(F30:F32)</f>
        <v>1</v>
      </c>
      <c r="H33" s="38">
        <v>-936226895</v>
      </c>
      <c r="J33" s="38">
        <v>-4817241</v>
      </c>
      <c r="L33" s="38">
        <f>SUM(L30:L32)</f>
        <v>3530554925</v>
      </c>
      <c r="N33" s="44">
        <f>SUM(N30:N32)</f>
        <v>1</v>
      </c>
      <c r="P33" s="26"/>
      <c r="Q33" s="3"/>
      <c r="R33" s="33">
        <f>ROUND(SUM(R30:R32),4)</f>
        <v>7.1900000000000006E-2</v>
      </c>
      <c r="AB33" s="26"/>
    </row>
    <row r="34" spans="1:28" ht="35.1" customHeight="1" thickTop="1" thickBot="1" x14ac:dyDescent="0.3">
      <c r="A34" s="17" t="s">
        <v>33</v>
      </c>
      <c r="B34" s="3" t="s">
        <v>34</v>
      </c>
      <c r="R34" s="47">
        <f>ROUND(R33+(R33-R31-R30)*('Tab 3 - Tax Rate'!M34/(1-'Tab 3 - Tax Rate'!M34)),4)</f>
        <v>0.10539999999999999</v>
      </c>
    </row>
    <row r="35" spans="1:28" ht="16.5" thickTop="1" x14ac:dyDescent="0.25"/>
    <row r="37" spans="1:28" x14ac:dyDescent="0.25">
      <c r="B37" s="57"/>
    </row>
    <row r="40" spans="1:28" x14ac:dyDescent="0.25">
      <c r="L40" s="35"/>
      <c r="N40" s="34"/>
      <c r="P40" s="36"/>
    </row>
    <row r="41" spans="1:28" x14ac:dyDescent="0.25">
      <c r="L41" s="35"/>
      <c r="N41" s="34"/>
    </row>
  </sheetData>
  <phoneticPr fontId="46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Roman,Bold"&amp;12Attachment to Response to Question No. 5 (a-d)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zoomScale="70" zoomScaleNormal="70" zoomScaleSheetLayoutView="70" workbookViewId="0"/>
  </sheetViews>
  <sheetFormatPr defaultColWidth="9.7109375" defaultRowHeight="15" x14ac:dyDescent="0.2"/>
  <cols>
    <col min="1" max="1" width="46.7109375" style="61" customWidth="1"/>
    <col min="2" max="2" width="12.7109375" style="61" customWidth="1"/>
    <col min="3" max="3" width="9.85546875" style="61" bestFit="1" customWidth="1"/>
    <col min="4" max="4" width="11.85546875" style="61" bestFit="1" customWidth="1"/>
    <col min="5" max="5" width="5.42578125" style="61" customWidth="1"/>
    <col min="6" max="6" width="18.85546875" style="61" bestFit="1" customWidth="1"/>
    <col min="7" max="7" width="6.28515625" style="61" bestFit="1" customWidth="1"/>
    <col min="8" max="8" width="19" style="61" customWidth="1"/>
    <col min="9" max="9" width="6.28515625" style="61" bestFit="1" customWidth="1"/>
    <col min="10" max="10" width="4.42578125" style="61" bestFit="1" customWidth="1"/>
    <col min="11" max="11" width="17" style="61" bestFit="1" customWidth="1"/>
    <col min="12" max="12" width="6.28515625" style="61" bestFit="1" customWidth="1"/>
    <col min="13" max="13" width="2.5703125" style="61" bestFit="1" customWidth="1"/>
    <col min="14" max="14" width="18.5703125" style="61" bestFit="1" customWidth="1"/>
    <col min="15" max="15" width="15.85546875" style="61" customWidth="1"/>
    <col min="16" max="16" width="2.28515625" style="61" customWidth="1"/>
    <col min="17" max="17" width="15.7109375" style="61" customWidth="1"/>
    <col min="18" max="18" width="1.7109375" style="61" customWidth="1"/>
    <col min="19" max="19" width="2.7109375" style="61" customWidth="1"/>
    <col min="20" max="20" width="12.42578125" style="132" bestFit="1" customWidth="1"/>
    <col min="21" max="21" width="0.7109375" style="61" customWidth="1"/>
    <col min="22" max="22" width="10.28515625" style="61" customWidth="1"/>
    <col min="23" max="16384" width="9.7109375" style="61"/>
  </cols>
  <sheetData>
    <row r="1" spans="1:21" ht="15.75" x14ac:dyDescent="0.2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59"/>
    </row>
    <row r="2" spans="1:21" ht="15.75" x14ac:dyDescent="0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9"/>
    </row>
    <row r="3" spans="1:21" ht="15.75" x14ac:dyDescent="0.25">
      <c r="A3" s="235">
        <v>42429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1" ht="15.75" x14ac:dyDescent="0.25">
      <c r="A4" s="58"/>
      <c r="B4" s="59"/>
      <c r="C4" s="59"/>
      <c r="D4" s="59"/>
      <c r="E4" s="59"/>
      <c r="F4" s="62"/>
      <c r="G4" s="62"/>
      <c r="H4" s="232"/>
      <c r="I4" s="62"/>
      <c r="J4" s="62"/>
      <c r="K4" s="62"/>
      <c r="L4" s="59"/>
      <c r="M4" s="59"/>
      <c r="N4" s="59"/>
      <c r="O4" s="59"/>
      <c r="P4" s="59"/>
      <c r="Q4" s="59"/>
      <c r="R4" s="59"/>
      <c r="S4" s="59"/>
      <c r="T4" s="60"/>
      <c r="U4" s="59"/>
    </row>
    <row r="5" spans="1:21" x14ac:dyDescent="0.2">
      <c r="A5" s="13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59"/>
    </row>
    <row r="6" spans="1:21" ht="15.75" x14ac:dyDescent="0.25">
      <c r="A6" s="63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1:21" ht="15.75" x14ac:dyDescent="0.25">
      <c r="A7" s="13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69"/>
    </row>
    <row r="8" spans="1:21" x14ac:dyDescent="0.2">
      <c r="A8" s="70"/>
      <c r="B8" s="71"/>
      <c r="C8" s="71"/>
      <c r="D8" s="71"/>
      <c r="E8" s="71"/>
      <c r="F8" s="71"/>
      <c r="G8" s="71"/>
      <c r="H8" s="72" t="s">
        <v>49</v>
      </c>
      <c r="I8" s="72"/>
      <c r="J8" s="72"/>
      <c r="K8" s="72"/>
      <c r="L8" s="72"/>
      <c r="M8" s="72"/>
      <c r="N8" s="72"/>
      <c r="O8" s="72"/>
      <c r="P8" s="72"/>
      <c r="Q8" s="72"/>
      <c r="R8" s="71"/>
      <c r="S8" s="71"/>
      <c r="T8" s="73"/>
      <c r="U8" s="69"/>
    </row>
    <row r="9" spans="1:21" x14ac:dyDescent="0.2">
      <c r="A9" s="70"/>
      <c r="B9" s="71"/>
      <c r="C9" s="71"/>
      <c r="D9" s="71"/>
      <c r="E9" s="71"/>
      <c r="F9" s="71"/>
      <c r="G9" s="71"/>
      <c r="H9" s="71"/>
      <c r="I9" s="71"/>
      <c r="J9" s="71"/>
      <c r="K9" s="74" t="s">
        <v>50</v>
      </c>
      <c r="L9" s="71"/>
      <c r="M9" s="71"/>
      <c r="N9" s="74" t="s">
        <v>51</v>
      </c>
      <c r="O9" s="74" t="s">
        <v>52</v>
      </c>
      <c r="P9" s="71"/>
      <c r="Q9" s="71"/>
      <c r="R9" s="71"/>
      <c r="S9" s="71"/>
      <c r="T9" s="73" t="s">
        <v>53</v>
      </c>
      <c r="U9" s="75"/>
    </row>
    <row r="10" spans="1:21" ht="30" x14ac:dyDescent="0.2">
      <c r="A10" s="70"/>
      <c r="B10" s="76" t="s">
        <v>54</v>
      </c>
      <c r="C10" s="74"/>
      <c r="D10" s="76" t="s">
        <v>32</v>
      </c>
      <c r="E10" s="74"/>
      <c r="F10" s="76" t="s">
        <v>55</v>
      </c>
      <c r="G10" s="74"/>
      <c r="H10" s="76" t="s">
        <v>56</v>
      </c>
      <c r="I10" s="71"/>
      <c r="J10" s="71"/>
      <c r="K10" s="77" t="s">
        <v>57</v>
      </c>
      <c r="L10" s="71"/>
      <c r="M10" s="71"/>
      <c r="N10" s="76" t="s">
        <v>58</v>
      </c>
      <c r="O10" s="76" t="s">
        <v>59</v>
      </c>
      <c r="P10" s="71"/>
      <c r="Q10" s="76" t="s">
        <v>60</v>
      </c>
      <c r="R10" s="71"/>
      <c r="S10" s="71"/>
      <c r="T10" s="78" t="s">
        <v>61</v>
      </c>
      <c r="U10" s="75"/>
    </row>
    <row r="11" spans="1:21" x14ac:dyDescent="0.2">
      <c r="A11" s="70" t="s">
        <v>62</v>
      </c>
      <c r="B11" s="76"/>
      <c r="C11" s="74"/>
      <c r="D11" s="76"/>
      <c r="E11" s="74"/>
      <c r="F11" s="76"/>
      <c r="G11" s="74"/>
      <c r="H11" s="76"/>
      <c r="I11" s="71"/>
      <c r="J11" s="71"/>
      <c r="K11" s="76"/>
      <c r="L11" s="71"/>
      <c r="M11" s="71"/>
      <c r="N11" s="76"/>
      <c r="O11" s="76"/>
      <c r="P11" s="71"/>
      <c r="Q11" s="76"/>
      <c r="R11" s="71"/>
      <c r="S11" s="71"/>
      <c r="T11" s="78"/>
      <c r="U11" s="75"/>
    </row>
    <row r="12" spans="1:21" ht="15.75" x14ac:dyDescent="0.25">
      <c r="A12" s="79" t="s">
        <v>63</v>
      </c>
      <c r="B12" s="80">
        <v>45047</v>
      </c>
      <c r="C12" s="74"/>
      <c r="D12" s="87">
        <v>1E-4</v>
      </c>
      <c r="E12" s="71" t="s">
        <v>5</v>
      </c>
      <c r="F12" s="81">
        <v>12900000</v>
      </c>
      <c r="G12" s="82"/>
      <c r="H12" s="81">
        <f t="shared" ref="H12:H22" si="0">ROUND(D12*F12,0)</f>
        <v>1290</v>
      </c>
      <c r="I12" s="74"/>
      <c r="J12" s="224"/>
      <c r="K12" s="138">
        <v>10522</v>
      </c>
      <c r="L12" s="74"/>
      <c r="M12" s="225"/>
      <c r="N12" s="81">
        <v>34197</v>
      </c>
      <c r="O12" s="139">
        <f>ROUND((13059041.1)*0.0065,0)++(F12*0.001)</f>
        <v>97784</v>
      </c>
      <c r="P12" s="83"/>
      <c r="Q12" s="81">
        <f>K12+H12+N12+O12</f>
        <v>143793</v>
      </c>
      <c r="R12" s="71"/>
      <c r="S12" s="71"/>
      <c r="T12" s="84">
        <f t="shared" ref="T12:T22" si="1">ROUND((Q12/F12),5)</f>
        <v>1.115E-2</v>
      </c>
      <c r="U12" s="75"/>
    </row>
    <row r="13" spans="1:21" ht="15.75" x14ac:dyDescent="0.25">
      <c r="A13" s="79" t="s">
        <v>64</v>
      </c>
      <c r="B13" s="80">
        <v>11720</v>
      </c>
      <c r="C13" s="74"/>
      <c r="D13" s="87">
        <v>3.0000000000000001E-3</v>
      </c>
      <c r="E13" s="71" t="s">
        <v>5</v>
      </c>
      <c r="F13" s="85">
        <v>20930000</v>
      </c>
      <c r="G13" s="71"/>
      <c r="H13" s="85">
        <f t="shared" si="0"/>
        <v>62790</v>
      </c>
      <c r="I13" s="74"/>
      <c r="J13" s="224"/>
      <c r="K13" s="89">
        <v>3808</v>
      </c>
      <c r="L13" s="74"/>
      <c r="M13" s="86"/>
      <c r="N13" s="85">
        <v>34588</v>
      </c>
      <c r="O13" s="89">
        <f>ROUND(F13*0.001,0)</f>
        <v>20930</v>
      </c>
      <c r="P13" s="71"/>
      <c r="Q13" s="85">
        <f t="shared" ref="Q13:Q23" si="2">H13+K13+N13+O13</f>
        <v>122116</v>
      </c>
      <c r="R13" s="71"/>
      <c r="S13" s="71"/>
      <c r="T13" s="84">
        <f t="shared" si="1"/>
        <v>5.8300000000000001E-3</v>
      </c>
      <c r="U13" s="75"/>
    </row>
    <row r="14" spans="1:21" ht="15.75" x14ac:dyDescent="0.25">
      <c r="A14" s="70" t="s">
        <v>65</v>
      </c>
      <c r="B14" s="80">
        <v>11720</v>
      </c>
      <c r="C14" s="74"/>
      <c r="D14" s="87">
        <v>3.0000000000000001E-3</v>
      </c>
      <c r="E14" s="71" t="s">
        <v>5</v>
      </c>
      <c r="F14" s="85">
        <v>2400000</v>
      </c>
      <c r="G14" s="71"/>
      <c r="H14" s="85">
        <f t="shared" si="0"/>
        <v>7200</v>
      </c>
      <c r="I14" s="74"/>
      <c r="J14" s="224"/>
      <c r="K14" s="89">
        <v>2654</v>
      </c>
      <c r="L14" s="74"/>
      <c r="M14" s="86"/>
      <c r="N14" s="85">
        <v>3960</v>
      </c>
      <c r="O14" s="89">
        <f>ROUND(F14*0.001,0)</f>
        <v>2400</v>
      </c>
      <c r="P14" s="71"/>
      <c r="Q14" s="85">
        <f t="shared" si="2"/>
        <v>16214</v>
      </c>
      <c r="R14" s="71"/>
      <c r="S14" s="71"/>
      <c r="T14" s="84">
        <f t="shared" si="1"/>
        <v>6.7600000000000004E-3</v>
      </c>
      <c r="U14" s="75"/>
    </row>
    <row r="15" spans="1:21" ht="15.75" x14ac:dyDescent="0.25">
      <c r="A15" s="70" t="s">
        <v>66</v>
      </c>
      <c r="B15" s="80">
        <v>11720</v>
      </c>
      <c r="C15" s="74"/>
      <c r="D15" s="87">
        <v>3.0000000000000001E-3</v>
      </c>
      <c r="E15" s="71" t="s">
        <v>5</v>
      </c>
      <c r="F15" s="85">
        <v>2400000</v>
      </c>
      <c r="G15" s="71"/>
      <c r="H15" s="85">
        <f t="shared" si="0"/>
        <v>7200</v>
      </c>
      <c r="I15" s="74"/>
      <c r="J15" s="224"/>
      <c r="K15" s="89">
        <v>1067</v>
      </c>
      <c r="L15" s="74"/>
      <c r="M15" s="86"/>
      <c r="N15" s="85">
        <v>12152</v>
      </c>
      <c r="O15" s="89">
        <f>ROUND(F15*0.001,0)</f>
        <v>2400</v>
      </c>
      <c r="P15" s="71"/>
      <c r="Q15" s="85">
        <f t="shared" si="2"/>
        <v>22819</v>
      </c>
      <c r="R15" s="71"/>
      <c r="S15" s="71"/>
      <c r="T15" s="84">
        <f t="shared" si="1"/>
        <v>9.5099999999999994E-3</v>
      </c>
      <c r="U15" s="75"/>
    </row>
    <row r="16" spans="1:21" ht="15.75" x14ac:dyDescent="0.25">
      <c r="A16" s="79" t="s">
        <v>67</v>
      </c>
      <c r="B16" s="80">
        <v>11720</v>
      </c>
      <c r="C16" s="74"/>
      <c r="D16" s="87">
        <v>3.0000000000000001E-3</v>
      </c>
      <c r="E16" s="71" t="s">
        <v>5</v>
      </c>
      <c r="F16" s="85">
        <v>7400000</v>
      </c>
      <c r="G16" s="71"/>
      <c r="H16" s="85">
        <f t="shared" si="0"/>
        <v>22200</v>
      </c>
      <c r="I16" s="74"/>
      <c r="J16" s="224"/>
      <c r="K16" s="89">
        <v>2954</v>
      </c>
      <c r="L16" s="74"/>
      <c r="M16" s="86"/>
      <c r="N16" s="85">
        <v>12296</v>
      </c>
      <c r="O16" s="89">
        <f>ROUND(F16*0.001,0)</f>
        <v>7400</v>
      </c>
      <c r="P16" s="71"/>
      <c r="Q16" s="85">
        <f t="shared" si="2"/>
        <v>44850</v>
      </c>
      <c r="R16" s="71"/>
      <c r="S16" s="71"/>
      <c r="T16" s="84">
        <f t="shared" si="1"/>
        <v>6.0600000000000003E-3</v>
      </c>
      <c r="U16" s="75"/>
    </row>
    <row r="17" spans="1:21" ht="15.75" x14ac:dyDescent="0.25">
      <c r="A17" s="79" t="s">
        <v>68</v>
      </c>
      <c r="B17" s="80">
        <v>11963</v>
      </c>
      <c r="C17" s="74"/>
      <c r="D17" s="87">
        <v>7.4199999999999995E-3</v>
      </c>
      <c r="E17" s="71" t="s">
        <v>5</v>
      </c>
      <c r="F17" s="85">
        <v>96000000</v>
      </c>
      <c r="G17" s="71"/>
      <c r="H17" s="85">
        <f t="shared" si="0"/>
        <v>712320</v>
      </c>
      <c r="I17" s="74"/>
      <c r="J17" s="224"/>
      <c r="K17" s="89">
        <v>69263</v>
      </c>
      <c r="L17" s="74"/>
      <c r="M17" s="86"/>
      <c r="N17" s="85">
        <v>177279</v>
      </c>
      <c r="O17" s="89">
        <f>ROUND(F17*0.0014,0)+97728</f>
        <v>232128</v>
      </c>
      <c r="P17" s="71"/>
      <c r="Q17" s="85">
        <f t="shared" si="2"/>
        <v>1190990</v>
      </c>
      <c r="R17" s="71"/>
      <c r="S17" s="71"/>
      <c r="T17" s="84">
        <f t="shared" si="1"/>
        <v>1.2409999999999999E-2</v>
      </c>
      <c r="U17" s="75"/>
    </row>
    <row r="18" spans="1:21" ht="15.75" x14ac:dyDescent="0.25">
      <c r="A18" s="79" t="s">
        <v>69</v>
      </c>
      <c r="B18" s="80">
        <v>49218</v>
      </c>
      <c r="C18" s="74"/>
      <c r="D18" s="87">
        <v>2.0000000000000001E-4</v>
      </c>
      <c r="E18" s="71" t="s">
        <v>5</v>
      </c>
      <c r="F18" s="85">
        <v>50000000</v>
      </c>
      <c r="G18" s="71"/>
      <c r="H18" s="85">
        <f t="shared" si="0"/>
        <v>10000</v>
      </c>
      <c r="I18" s="74"/>
      <c r="J18" s="224"/>
      <c r="K18" s="88">
        <v>9656</v>
      </c>
      <c r="L18" s="74"/>
      <c r="M18" s="225"/>
      <c r="N18" s="85">
        <v>90461</v>
      </c>
      <c r="O18" s="89">
        <f>ROUND(50863013.7*0.0065,0)+(F18*0.001)</f>
        <v>380610</v>
      </c>
      <c r="P18" s="71"/>
      <c r="Q18" s="85">
        <f t="shared" si="2"/>
        <v>490727</v>
      </c>
      <c r="R18" s="71"/>
      <c r="S18" s="71"/>
      <c r="T18" s="84">
        <f t="shared" si="1"/>
        <v>9.8099999999999993E-3</v>
      </c>
      <c r="U18" s="75"/>
    </row>
    <row r="19" spans="1:21" ht="15.75" x14ac:dyDescent="0.25">
      <c r="A19" s="79" t="s">
        <v>70</v>
      </c>
      <c r="B19" s="80">
        <v>49218</v>
      </c>
      <c r="C19" s="74"/>
      <c r="D19" s="87">
        <v>2.0000000000000001E-4</v>
      </c>
      <c r="E19" s="71" t="s">
        <v>5</v>
      </c>
      <c r="F19" s="85">
        <v>54000000</v>
      </c>
      <c r="G19" s="71"/>
      <c r="H19" s="85">
        <f t="shared" si="0"/>
        <v>10800</v>
      </c>
      <c r="I19" s="74"/>
      <c r="J19" s="224"/>
      <c r="K19" s="89">
        <v>45483</v>
      </c>
      <c r="L19" s="74"/>
      <c r="M19" s="86"/>
      <c r="N19" s="88">
        <v>12616</v>
      </c>
      <c r="O19" s="89">
        <f>ROUND(54998630.14*0.0065,0)+(F19*0.001)</f>
        <v>411491</v>
      </c>
      <c r="P19" s="71"/>
      <c r="Q19" s="85">
        <f t="shared" si="2"/>
        <v>480390</v>
      </c>
      <c r="R19" s="71"/>
      <c r="S19" s="71"/>
      <c r="T19" s="84">
        <f t="shared" si="1"/>
        <v>8.8999999999999999E-3</v>
      </c>
      <c r="U19" s="75"/>
    </row>
    <row r="20" spans="1:21" ht="15.75" x14ac:dyDescent="0.25">
      <c r="A20" s="79" t="s">
        <v>71</v>
      </c>
      <c r="B20" s="80">
        <v>46054</v>
      </c>
      <c r="C20" s="74"/>
      <c r="D20" s="87">
        <v>5.7500000000000002E-2</v>
      </c>
      <c r="E20" s="71"/>
      <c r="F20" s="85">
        <v>17875000</v>
      </c>
      <c r="G20" s="71"/>
      <c r="H20" s="85">
        <f t="shared" si="0"/>
        <v>1027813</v>
      </c>
      <c r="I20" s="74"/>
      <c r="J20" s="224"/>
      <c r="K20" s="89">
        <v>10421</v>
      </c>
      <c r="L20" s="74"/>
      <c r="M20" s="225"/>
      <c r="N20" s="88">
        <v>21347</v>
      </c>
      <c r="O20" s="89">
        <v>0</v>
      </c>
      <c r="P20" s="71"/>
      <c r="Q20" s="85">
        <f t="shared" si="2"/>
        <v>1059581</v>
      </c>
      <c r="R20" s="71"/>
      <c r="S20" s="71"/>
      <c r="T20" s="84">
        <f t="shared" si="1"/>
        <v>5.9279999999999999E-2</v>
      </c>
      <c r="U20" s="75"/>
    </row>
    <row r="21" spans="1:21" ht="15.75" x14ac:dyDescent="0.25">
      <c r="A21" s="79" t="s">
        <v>72</v>
      </c>
      <c r="B21" s="80">
        <v>50100</v>
      </c>
      <c r="C21" s="74"/>
      <c r="D21" s="87">
        <v>0.06</v>
      </c>
      <c r="E21" s="71"/>
      <c r="F21" s="85">
        <v>8927000</v>
      </c>
      <c r="G21" s="71"/>
      <c r="H21" s="85">
        <f t="shared" si="0"/>
        <v>535620</v>
      </c>
      <c r="I21" s="74"/>
      <c r="J21" s="224"/>
      <c r="K21" s="89">
        <v>5022</v>
      </c>
      <c r="L21" s="74"/>
      <c r="M21" s="225"/>
      <c r="N21" s="88">
        <v>10294</v>
      </c>
      <c r="O21" s="89">
        <v>0</v>
      </c>
      <c r="P21" s="71"/>
      <c r="Q21" s="85">
        <f t="shared" si="2"/>
        <v>550936</v>
      </c>
      <c r="R21" s="71"/>
      <c r="S21" s="71"/>
      <c r="T21" s="84">
        <f t="shared" si="1"/>
        <v>6.1719999999999997E-2</v>
      </c>
      <c r="U21" s="75"/>
    </row>
    <row r="22" spans="1:21" ht="15.75" x14ac:dyDescent="0.25">
      <c r="A22" s="79" t="s">
        <v>73</v>
      </c>
      <c r="B22" s="80">
        <v>11720</v>
      </c>
      <c r="C22" s="74"/>
      <c r="D22" s="87">
        <v>2.0000000000000001E-4</v>
      </c>
      <c r="E22" s="71" t="s">
        <v>5</v>
      </c>
      <c r="F22" s="85">
        <v>77947405</v>
      </c>
      <c r="G22" s="71"/>
      <c r="H22" s="85">
        <f t="shared" si="0"/>
        <v>15589</v>
      </c>
      <c r="I22" s="74"/>
      <c r="J22" s="224"/>
      <c r="K22" s="89">
        <v>32711</v>
      </c>
      <c r="L22" s="74"/>
      <c r="M22" s="86"/>
      <c r="N22" s="88">
        <v>86911</v>
      </c>
      <c r="O22" s="89">
        <f>ROUND(79388898.11*0.0065,0)+(F22*0.001)</f>
        <v>593975.40500000003</v>
      </c>
      <c r="P22" s="71"/>
      <c r="Q22" s="85">
        <f t="shared" si="2"/>
        <v>729186.40500000003</v>
      </c>
      <c r="R22" s="71"/>
      <c r="S22" s="71"/>
      <c r="T22" s="84">
        <f t="shared" si="1"/>
        <v>9.3500000000000007E-3</v>
      </c>
      <c r="U22" s="75"/>
    </row>
    <row r="23" spans="1:21" x14ac:dyDescent="0.2">
      <c r="A23" s="79" t="s">
        <v>74</v>
      </c>
      <c r="B23" s="80"/>
      <c r="C23" s="74"/>
      <c r="D23" s="87"/>
      <c r="E23" s="71"/>
      <c r="F23" s="88"/>
      <c r="G23" s="71"/>
      <c r="H23" s="88">
        <v>0</v>
      </c>
      <c r="I23" s="74"/>
      <c r="J23" s="74"/>
      <c r="K23" s="88">
        <v>0</v>
      </c>
      <c r="L23" s="74"/>
      <c r="M23" s="74">
        <v>1</v>
      </c>
      <c r="N23" s="85">
        <v>5550</v>
      </c>
      <c r="O23" s="89"/>
      <c r="P23" s="71"/>
      <c r="Q23" s="85">
        <f t="shared" si="2"/>
        <v>5550</v>
      </c>
      <c r="R23" s="71"/>
      <c r="S23" s="71"/>
      <c r="T23" s="84"/>
      <c r="U23" s="75"/>
    </row>
    <row r="24" spans="1:21" x14ac:dyDescent="0.2">
      <c r="A24" s="70"/>
      <c r="C24" s="91"/>
      <c r="D24" s="90"/>
      <c r="I24" s="91"/>
      <c r="J24" s="91"/>
      <c r="T24" s="90"/>
      <c r="U24" s="75"/>
    </row>
    <row r="25" spans="1:21" x14ac:dyDescent="0.2">
      <c r="A25" s="79" t="s">
        <v>75</v>
      </c>
      <c r="B25" s="80"/>
      <c r="C25" s="74"/>
      <c r="D25" s="87"/>
      <c r="E25" s="71"/>
      <c r="F25" s="85"/>
      <c r="G25" s="71"/>
      <c r="H25" s="85"/>
      <c r="I25" s="74"/>
      <c r="J25" s="74"/>
      <c r="K25" s="89"/>
      <c r="L25" s="92"/>
      <c r="M25" s="92"/>
      <c r="N25" s="88"/>
      <c r="O25" s="89"/>
      <c r="P25" s="71"/>
      <c r="Q25" s="85"/>
      <c r="R25" s="71"/>
      <c r="S25" s="71"/>
      <c r="T25" s="84"/>
      <c r="U25" s="75"/>
    </row>
    <row r="26" spans="1:21" ht="15.75" x14ac:dyDescent="0.25">
      <c r="A26" s="79" t="s">
        <v>78</v>
      </c>
      <c r="B26" s="80">
        <v>44136</v>
      </c>
      <c r="C26" s="74"/>
      <c r="D26" s="93">
        <v>3.2500000000000001E-2</v>
      </c>
      <c r="E26" s="71"/>
      <c r="F26" s="85">
        <v>500000000</v>
      </c>
      <c r="H26" s="85">
        <f t="shared" ref="H26:H28" si="3">ROUND(D26*F26,0)</f>
        <v>16250000</v>
      </c>
      <c r="I26" s="74"/>
      <c r="J26" s="224"/>
      <c r="K26" s="89">
        <v>400371.96</v>
      </c>
      <c r="L26" s="92" t="s">
        <v>76</v>
      </c>
      <c r="M26" s="92"/>
      <c r="N26" s="88"/>
      <c r="O26" s="89">
        <v>0</v>
      </c>
      <c r="P26" s="71"/>
      <c r="Q26" s="85">
        <f t="shared" ref="Q26:Q35" si="4">H26+K26+N26+O26</f>
        <v>16650371.960000001</v>
      </c>
      <c r="R26" s="71"/>
      <c r="S26" s="71"/>
      <c r="T26" s="84">
        <f t="shared" ref="T26:T35" si="5">ROUND((Q26/F26),5)</f>
        <v>3.3300000000000003E-2</v>
      </c>
      <c r="U26" s="75"/>
    </row>
    <row r="27" spans="1:21" ht="15.75" x14ac:dyDescent="0.25">
      <c r="A27" s="70" t="s">
        <v>77</v>
      </c>
      <c r="B27" s="80">
        <v>44136</v>
      </c>
      <c r="C27" s="74"/>
      <c r="D27" s="93">
        <v>3.2500000000000001E-2</v>
      </c>
      <c r="E27" s="74"/>
      <c r="F27" s="85">
        <v>-888654.14000000013</v>
      </c>
      <c r="H27" s="85"/>
      <c r="I27" s="74"/>
      <c r="J27" s="224"/>
      <c r="K27" s="89">
        <v>180791.63999999998</v>
      </c>
      <c r="L27" s="92" t="s">
        <v>76</v>
      </c>
      <c r="M27" s="92"/>
      <c r="N27" s="88"/>
      <c r="O27" s="89"/>
      <c r="P27" s="71"/>
      <c r="Q27" s="85">
        <f t="shared" si="4"/>
        <v>180791.63999999998</v>
      </c>
      <c r="R27" s="71"/>
      <c r="S27" s="71"/>
      <c r="T27" s="84">
        <f t="shared" si="5"/>
        <v>-0.20344000000000001</v>
      </c>
      <c r="U27" s="75"/>
    </row>
    <row r="28" spans="1:21" ht="15.75" x14ac:dyDescent="0.25">
      <c r="A28" s="79" t="s">
        <v>79</v>
      </c>
      <c r="B28" s="80">
        <v>51441</v>
      </c>
      <c r="C28" s="74"/>
      <c r="D28" s="93">
        <v>5.1249999999999997E-2</v>
      </c>
      <c r="E28" s="71"/>
      <c r="F28" s="85">
        <v>750000000</v>
      </c>
      <c r="H28" s="85">
        <f t="shared" si="3"/>
        <v>38437500</v>
      </c>
      <c r="I28" s="74"/>
      <c r="J28" s="224"/>
      <c r="K28" s="89">
        <v>238152.72000000003</v>
      </c>
      <c r="L28" s="92" t="s">
        <v>76</v>
      </c>
      <c r="M28" s="92"/>
      <c r="N28" s="88"/>
      <c r="O28" s="89">
        <v>0</v>
      </c>
      <c r="P28" s="71"/>
      <c r="Q28" s="85">
        <f t="shared" si="4"/>
        <v>38675652.719999999</v>
      </c>
      <c r="R28" s="71"/>
      <c r="S28" s="71"/>
      <c r="T28" s="84">
        <f t="shared" si="5"/>
        <v>5.1569999999999998E-2</v>
      </c>
      <c r="U28" s="75"/>
    </row>
    <row r="29" spans="1:21" ht="15.75" x14ac:dyDescent="0.25">
      <c r="A29" s="70" t="s">
        <v>77</v>
      </c>
      <c r="B29" s="80">
        <v>51441</v>
      </c>
      <c r="C29" s="74"/>
      <c r="D29" s="93">
        <v>5.1249999999999997E-2</v>
      </c>
      <c r="E29" s="74"/>
      <c r="F29" s="85">
        <v>-6701645.8266666541</v>
      </c>
      <c r="H29" s="85"/>
      <c r="I29" s="74"/>
      <c r="J29" s="224"/>
      <c r="K29" s="89">
        <v>258781.80000000002</v>
      </c>
      <c r="L29" s="92" t="s">
        <v>76</v>
      </c>
      <c r="M29" s="92"/>
      <c r="N29" s="88"/>
      <c r="O29" s="89"/>
      <c r="P29" s="71"/>
      <c r="Q29" s="85">
        <f t="shared" si="4"/>
        <v>258781.80000000002</v>
      </c>
      <c r="R29" s="71"/>
      <c r="S29" s="71"/>
      <c r="T29" s="84">
        <f t="shared" si="5"/>
        <v>-3.8609999999999998E-2</v>
      </c>
      <c r="U29" s="75"/>
    </row>
    <row r="30" spans="1:21" ht="15.75" x14ac:dyDescent="0.25">
      <c r="A30" s="79" t="s">
        <v>80</v>
      </c>
      <c r="B30" s="80">
        <v>52550</v>
      </c>
      <c r="C30" s="74"/>
      <c r="D30" s="93">
        <v>4.65E-2</v>
      </c>
      <c r="E30" s="74"/>
      <c r="F30" s="85">
        <v>250000000</v>
      </c>
      <c r="H30" s="85">
        <f>ROUND(D30*F30,0)</f>
        <v>11625000</v>
      </c>
      <c r="I30" s="74"/>
      <c r="J30" s="224"/>
      <c r="K30" s="89">
        <v>87948.959999999992</v>
      </c>
      <c r="L30" s="92" t="s">
        <v>76</v>
      </c>
      <c r="M30" s="92"/>
      <c r="N30" s="88"/>
      <c r="O30" s="89"/>
      <c r="P30" s="71"/>
      <c r="Q30" s="85">
        <f t="shared" si="4"/>
        <v>11712948.960000001</v>
      </c>
      <c r="R30" s="71"/>
      <c r="S30" s="71"/>
      <c r="T30" s="84">
        <f t="shared" si="5"/>
        <v>4.6850000000000003E-2</v>
      </c>
      <c r="U30" s="75"/>
    </row>
    <row r="31" spans="1:21" ht="15.75" x14ac:dyDescent="0.25">
      <c r="A31" s="70" t="s">
        <v>77</v>
      </c>
      <c r="B31" s="80">
        <v>52550</v>
      </c>
      <c r="C31" s="74"/>
      <c r="D31" s="93">
        <v>4.65E-2</v>
      </c>
      <c r="E31" s="74"/>
      <c r="F31" s="85">
        <v>-1662493.8100000005</v>
      </c>
      <c r="H31" s="85"/>
      <c r="I31" s="74"/>
      <c r="J31" s="224"/>
      <c r="K31" s="89">
        <v>57163.799999999996</v>
      </c>
      <c r="L31" s="92" t="s">
        <v>76</v>
      </c>
      <c r="M31" s="92"/>
      <c r="N31" s="88"/>
      <c r="O31" s="89"/>
      <c r="P31" s="71"/>
      <c r="Q31" s="85">
        <f t="shared" si="4"/>
        <v>57163.799999999996</v>
      </c>
      <c r="R31" s="71"/>
      <c r="S31" s="71"/>
      <c r="T31" s="84">
        <f t="shared" si="5"/>
        <v>-3.4380000000000001E-2</v>
      </c>
      <c r="U31" s="75"/>
    </row>
    <row r="32" spans="1:21" ht="15.75" x14ac:dyDescent="0.25">
      <c r="A32" s="79" t="s">
        <v>82</v>
      </c>
      <c r="B32" s="80">
        <v>45931</v>
      </c>
      <c r="C32" s="74"/>
      <c r="D32" s="93">
        <v>3.3000000000000002E-2</v>
      </c>
      <c r="E32" s="74"/>
      <c r="F32" s="85">
        <v>250000000</v>
      </c>
      <c r="H32" s="85">
        <f>ROUND(D32*F32,0)</f>
        <v>8250000</v>
      </c>
      <c r="I32" s="74"/>
      <c r="J32" s="224"/>
      <c r="K32" s="89">
        <v>192043.56</v>
      </c>
      <c r="L32" s="92" t="s">
        <v>76</v>
      </c>
      <c r="M32" s="92"/>
      <c r="N32" s="88"/>
      <c r="O32" s="89"/>
      <c r="P32" s="71"/>
      <c r="Q32" s="85">
        <f t="shared" si="4"/>
        <v>8442043.5600000005</v>
      </c>
      <c r="R32" s="71"/>
      <c r="S32" s="71"/>
      <c r="T32" s="84">
        <f t="shared" si="5"/>
        <v>3.3770000000000001E-2</v>
      </c>
      <c r="U32" s="75"/>
    </row>
    <row r="33" spans="1:21" ht="15.75" x14ac:dyDescent="0.25">
      <c r="A33" s="70" t="s">
        <v>77</v>
      </c>
      <c r="B33" s="80">
        <v>45931</v>
      </c>
      <c r="C33" s="74"/>
      <c r="D33" s="93">
        <v>3.3000000000000002E-2</v>
      </c>
      <c r="E33" s="74"/>
      <c r="F33" s="85">
        <v>-102928.43</v>
      </c>
      <c r="H33" s="85"/>
      <c r="I33" s="74"/>
      <c r="J33" s="224"/>
      <c r="K33" s="89">
        <v>10232.52</v>
      </c>
      <c r="L33" s="92" t="s">
        <v>76</v>
      </c>
      <c r="M33" s="92"/>
      <c r="N33" s="88"/>
      <c r="O33" s="89"/>
      <c r="P33" s="71"/>
      <c r="Q33" s="85">
        <f t="shared" si="4"/>
        <v>10232.52</v>
      </c>
      <c r="R33" s="71"/>
      <c r="S33" s="71"/>
      <c r="T33" s="84">
        <f t="shared" si="5"/>
        <v>-9.9409999999999998E-2</v>
      </c>
      <c r="U33" s="75"/>
    </row>
    <row r="34" spans="1:21" ht="15.75" x14ac:dyDescent="0.25">
      <c r="A34" s="79" t="s">
        <v>84</v>
      </c>
      <c r="B34" s="80">
        <v>53236</v>
      </c>
      <c r="C34" s="74"/>
      <c r="D34" s="93">
        <v>4.3749999999999997E-2</v>
      </c>
      <c r="E34" s="74"/>
      <c r="F34" s="85">
        <v>250000000</v>
      </c>
      <c r="H34" s="85">
        <f>ROUND(D34*F34,0)</f>
        <v>10937500</v>
      </c>
      <c r="I34" s="74"/>
      <c r="J34" s="224"/>
      <c r="K34" s="89">
        <v>81850.680000000008</v>
      </c>
      <c r="L34" s="92" t="s">
        <v>76</v>
      </c>
      <c r="M34" s="92"/>
      <c r="N34" s="88"/>
      <c r="O34" s="89"/>
      <c r="P34" s="71"/>
      <c r="Q34" s="85">
        <f t="shared" si="4"/>
        <v>11019350.68</v>
      </c>
      <c r="R34" s="71"/>
      <c r="S34" s="71"/>
      <c r="T34" s="84">
        <f t="shared" si="5"/>
        <v>4.4080000000000001E-2</v>
      </c>
      <c r="U34" s="75"/>
    </row>
    <row r="35" spans="1:21" ht="15.75" x14ac:dyDescent="0.25">
      <c r="A35" s="70" t="s">
        <v>77</v>
      </c>
      <c r="B35" s="80">
        <v>53236</v>
      </c>
      <c r="C35" s="74"/>
      <c r="D35" s="93">
        <v>4.3749999999999997E-2</v>
      </c>
      <c r="E35" s="74"/>
      <c r="F35" s="85">
        <v>-204536.32000000001</v>
      </c>
      <c r="H35" s="85"/>
      <c r="I35" s="74"/>
      <c r="J35" s="224"/>
      <c r="K35" s="89">
        <v>6587.88</v>
      </c>
      <c r="L35" s="92" t="s">
        <v>76</v>
      </c>
      <c r="M35" s="92"/>
      <c r="N35" s="88"/>
      <c r="O35" s="89"/>
      <c r="P35" s="71"/>
      <c r="Q35" s="85">
        <f t="shared" si="4"/>
        <v>6587.88</v>
      </c>
      <c r="R35" s="71"/>
      <c r="S35" s="71"/>
      <c r="T35" s="84">
        <f t="shared" si="5"/>
        <v>-3.2210000000000003E-2</v>
      </c>
      <c r="U35" s="75"/>
    </row>
    <row r="36" spans="1:21" ht="15.75" x14ac:dyDescent="0.25">
      <c r="A36" s="70"/>
      <c r="B36" s="80"/>
      <c r="C36" s="74"/>
      <c r="D36" s="93"/>
      <c r="E36" s="74"/>
      <c r="F36" s="85"/>
      <c r="H36" s="85"/>
      <c r="I36" s="74"/>
      <c r="J36" s="224"/>
      <c r="K36" s="89"/>
      <c r="L36" s="92"/>
      <c r="M36" s="92"/>
      <c r="N36" s="88"/>
      <c r="O36" s="89"/>
      <c r="P36" s="71"/>
      <c r="Q36" s="85"/>
      <c r="R36" s="71"/>
      <c r="S36" s="71"/>
      <c r="T36" s="84"/>
      <c r="U36" s="75"/>
    </row>
    <row r="37" spans="1:21" ht="15.75" x14ac:dyDescent="0.25">
      <c r="A37" s="70"/>
      <c r="B37" s="80"/>
      <c r="C37" s="74"/>
      <c r="D37" s="93"/>
      <c r="E37" s="74"/>
      <c r="F37" s="85"/>
      <c r="H37" s="85"/>
      <c r="I37" s="74"/>
      <c r="J37" s="224"/>
      <c r="K37" s="89"/>
      <c r="L37" s="92"/>
      <c r="M37" s="92"/>
      <c r="N37" s="88"/>
      <c r="O37" s="89"/>
      <c r="P37" s="71"/>
      <c r="Q37" s="85"/>
      <c r="R37" s="71"/>
      <c r="S37" s="71"/>
      <c r="T37" s="84"/>
      <c r="U37" s="75"/>
    </row>
    <row r="38" spans="1:21" ht="15.75" x14ac:dyDescent="0.25">
      <c r="A38" s="70"/>
      <c r="B38" s="80"/>
      <c r="C38" s="74"/>
      <c r="D38" s="93"/>
      <c r="E38" s="74"/>
      <c r="F38" s="85"/>
      <c r="H38" s="85"/>
      <c r="I38" s="74"/>
      <c r="J38" s="224"/>
      <c r="K38" s="89"/>
      <c r="L38" s="92"/>
      <c r="M38" s="92"/>
      <c r="N38" s="88"/>
      <c r="O38" s="89"/>
      <c r="P38" s="71"/>
      <c r="Q38" s="85"/>
      <c r="R38" s="71"/>
      <c r="S38" s="71"/>
      <c r="T38" s="84"/>
      <c r="U38" s="75"/>
    </row>
    <row r="39" spans="1:21" ht="17.25" customHeight="1" x14ac:dyDescent="0.25">
      <c r="A39" s="70" t="s">
        <v>81</v>
      </c>
      <c r="B39" s="216">
        <v>52550</v>
      </c>
      <c r="D39" s="217"/>
      <c r="E39" s="71"/>
      <c r="F39" s="103"/>
      <c r="G39" s="74"/>
      <c r="H39" s="103">
        <v>-1366928.76</v>
      </c>
      <c r="I39" s="74"/>
      <c r="J39" s="226"/>
      <c r="K39" s="103"/>
      <c r="L39" s="218"/>
      <c r="M39" s="218"/>
      <c r="N39" s="103"/>
      <c r="O39" s="103"/>
      <c r="P39" s="71"/>
      <c r="Q39" s="85">
        <f>H39+K39+N39+O39</f>
        <v>-1366928.76</v>
      </c>
      <c r="R39" s="71"/>
      <c r="T39" s="219">
        <f>ROUND((Q39/43027967.76),5)</f>
        <v>-3.177E-2</v>
      </c>
      <c r="U39" s="75"/>
    </row>
    <row r="40" spans="1:21" ht="17.25" customHeight="1" x14ac:dyDescent="0.25">
      <c r="A40" s="70" t="s">
        <v>83</v>
      </c>
      <c r="B40" s="216">
        <v>45931</v>
      </c>
      <c r="D40" s="217"/>
      <c r="E40" s="71"/>
      <c r="F40" s="103"/>
      <c r="G40" s="74"/>
      <c r="H40" s="103">
        <v>1339923.6000000001</v>
      </c>
      <c r="I40" s="74"/>
      <c r="J40" s="226"/>
      <c r="K40" s="103"/>
      <c r="L40" s="218"/>
      <c r="M40" s="218"/>
      <c r="N40" s="103"/>
      <c r="O40" s="103"/>
      <c r="P40" s="71"/>
      <c r="Q40" s="85">
        <f t="shared" ref="Q40:Q41" si="6">H40+K40+N40+O40</f>
        <v>1339923.6000000001</v>
      </c>
      <c r="R40" s="71"/>
      <c r="T40" s="219">
        <f>ROUND((Q40/14076899),5)</f>
        <v>9.5189999999999997E-2</v>
      </c>
      <c r="U40" s="75"/>
    </row>
    <row r="41" spans="1:21" ht="17.25" customHeight="1" x14ac:dyDescent="0.25">
      <c r="A41" s="70" t="s">
        <v>83</v>
      </c>
      <c r="B41" s="216">
        <v>53236</v>
      </c>
      <c r="D41" s="217"/>
      <c r="E41" s="71"/>
      <c r="F41" s="103"/>
      <c r="G41" s="74"/>
      <c r="H41" s="103">
        <v>940130.28</v>
      </c>
      <c r="I41" s="74"/>
      <c r="J41" s="226"/>
      <c r="K41" s="103"/>
      <c r="L41" s="218"/>
      <c r="M41" s="218"/>
      <c r="N41" s="103"/>
      <c r="O41" s="103"/>
      <c r="P41" s="71"/>
      <c r="Q41" s="85">
        <f t="shared" si="6"/>
        <v>940130.28</v>
      </c>
      <c r="R41" s="71"/>
      <c r="T41" s="219">
        <f>ROUND((Q41/29611403),5)</f>
        <v>3.175E-2</v>
      </c>
      <c r="U41" s="75"/>
    </row>
    <row r="42" spans="1:21" x14ac:dyDescent="0.2">
      <c r="A42" s="70"/>
      <c r="B42" s="80"/>
      <c r="C42" s="74"/>
      <c r="D42" s="87"/>
      <c r="E42" s="71"/>
      <c r="F42" s="85"/>
      <c r="G42" s="74"/>
      <c r="H42" s="85"/>
      <c r="I42" s="74"/>
      <c r="J42" s="74"/>
      <c r="K42" s="89"/>
      <c r="L42" s="92"/>
      <c r="M42" s="92"/>
      <c r="N42" s="88"/>
      <c r="O42" s="89"/>
      <c r="P42" s="71"/>
      <c r="Q42" s="85"/>
      <c r="R42" s="71"/>
      <c r="S42" s="71"/>
      <c r="T42" s="84"/>
      <c r="U42" s="75"/>
    </row>
    <row r="43" spans="1:21" ht="15.75" x14ac:dyDescent="0.25">
      <c r="A43" s="79" t="s">
        <v>85</v>
      </c>
      <c r="B43" s="80">
        <v>44196</v>
      </c>
      <c r="C43" s="71"/>
      <c r="D43" s="87"/>
      <c r="E43" s="71"/>
      <c r="F43" s="85"/>
      <c r="G43" s="71"/>
      <c r="H43" s="85"/>
      <c r="I43" s="74"/>
      <c r="J43" s="224"/>
      <c r="K43" s="102">
        <v>459975</v>
      </c>
      <c r="L43" s="74"/>
      <c r="M43" s="229">
        <v>2</v>
      </c>
      <c r="N43" s="88">
        <v>36143</v>
      </c>
      <c r="O43" s="89">
        <f>400000000*0.001</f>
        <v>400000</v>
      </c>
      <c r="P43" s="71"/>
      <c r="Q43" s="85">
        <f>H43+K43+N43+O43</f>
        <v>896118</v>
      </c>
      <c r="R43" s="71"/>
      <c r="S43" s="71"/>
      <c r="T43" s="84"/>
      <c r="U43" s="75"/>
    </row>
    <row r="44" spans="1:21" ht="15.75" x14ac:dyDescent="0.25">
      <c r="A44" s="79" t="s">
        <v>86</v>
      </c>
      <c r="B44" s="80">
        <v>43009</v>
      </c>
      <c r="C44" s="71"/>
      <c r="D44" s="87"/>
      <c r="E44" s="71"/>
      <c r="F44" s="85"/>
      <c r="G44" s="71"/>
      <c r="H44" s="85"/>
      <c r="I44" s="74"/>
      <c r="J44" s="224"/>
      <c r="K44" s="102">
        <v>210902.76</v>
      </c>
      <c r="L44" s="74"/>
      <c r="M44" s="71"/>
      <c r="N44" s="88">
        <v>99092</v>
      </c>
      <c r="O44" s="89"/>
      <c r="P44" s="71"/>
      <c r="Q44" s="85">
        <f>H44+K44+N44+O44</f>
        <v>309994.76</v>
      </c>
      <c r="R44" s="71"/>
      <c r="S44" s="71"/>
      <c r="T44" s="84"/>
      <c r="U44" s="75"/>
    </row>
    <row r="45" spans="1:21" ht="15.75" thickBot="1" x14ac:dyDescent="0.25">
      <c r="A45" s="79"/>
      <c r="B45" s="80"/>
      <c r="C45" s="71"/>
      <c r="D45" s="87"/>
      <c r="E45" s="71"/>
      <c r="F45" s="85"/>
      <c r="G45" s="71"/>
      <c r="H45" s="85"/>
      <c r="I45" s="71"/>
      <c r="J45" s="71"/>
      <c r="K45" s="89"/>
      <c r="L45" s="92"/>
      <c r="M45" s="92"/>
      <c r="N45" s="88"/>
      <c r="O45" s="89"/>
      <c r="P45" s="71"/>
      <c r="Q45" s="85"/>
      <c r="R45" s="71"/>
      <c r="S45" s="71"/>
      <c r="T45" s="84"/>
      <c r="U45" s="75"/>
    </row>
    <row r="46" spans="1:21" ht="16.5" thickBot="1" x14ac:dyDescent="0.3">
      <c r="A46" s="95" t="s">
        <v>87</v>
      </c>
      <c r="B46" s="71"/>
      <c r="C46" s="71"/>
      <c r="D46" s="122"/>
      <c r="E46" s="71"/>
      <c r="F46" s="96">
        <f>SUM(F12:F45)</f>
        <v>2341219146.4733334</v>
      </c>
      <c r="G46" s="82"/>
      <c r="H46" s="96">
        <f>SUM(H12:H45)</f>
        <v>88825947.11999999</v>
      </c>
      <c r="I46" s="82"/>
      <c r="J46" s="82"/>
      <c r="K46" s="96">
        <f>SUM(K12:K45)</f>
        <v>2378364.2800000003</v>
      </c>
      <c r="L46" s="81"/>
      <c r="M46" s="81"/>
      <c r="N46" s="96">
        <f>SUM(N12:N45)</f>
        <v>636886</v>
      </c>
      <c r="O46" s="96">
        <f>SUM(O12:O45)</f>
        <v>2149118.4050000003</v>
      </c>
      <c r="P46" s="97"/>
      <c r="Q46" s="96">
        <f>SUM(Q12:Q45)</f>
        <v>93990315.804999977</v>
      </c>
      <c r="R46" s="71"/>
      <c r="S46" s="71"/>
      <c r="T46" s="98">
        <f>ROUND((Q46/F52),5)</f>
        <v>4.0149999999999998E-2</v>
      </c>
      <c r="U46" s="75"/>
    </row>
    <row r="47" spans="1:21" ht="15.75" x14ac:dyDescent="0.25">
      <c r="A47" s="79"/>
      <c r="B47" s="71"/>
      <c r="C47" s="71"/>
      <c r="D47" s="122"/>
      <c r="E47" s="71"/>
      <c r="F47" s="86"/>
      <c r="G47" s="71"/>
      <c r="H47" s="86"/>
      <c r="I47" s="71"/>
      <c r="J47" s="71"/>
      <c r="K47" s="86"/>
      <c r="L47" s="92"/>
      <c r="M47" s="92"/>
      <c r="N47" s="92"/>
      <c r="O47" s="92"/>
      <c r="P47" s="99"/>
      <c r="Q47" s="92"/>
      <c r="R47" s="71"/>
      <c r="S47" s="71"/>
      <c r="T47" s="100"/>
      <c r="U47" s="75"/>
    </row>
    <row r="48" spans="1:21" ht="15.75" x14ac:dyDescent="0.25">
      <c r="A48" s="70" t="s">
        <v>88</v>
      </c>
      <c r="B48" s="71"/>
      <c r="C48" s="227"/>
      <c r="D48" s="122"/>
      <c r="E48" s="71"/>
      <c r="F48" s="101">
        <v>0</v>
      </c>
      <c r="G48" s="82"/>
      <c r="H48" s="81">
        <v>0</v>
      </c>
      <c r="I48" s="82"/>
      <c r="J48" s="82"/>
      <c r="K48" s="101">
        <v>0</v>
      </c>
      <c r="L48" s="101"/>
      <c r="M48" s="101"/>
      <c r="N48" s="101">
        <v>0</v>
      </c>
      <c r="O48" s="101">
        <v>0</v>
      </c>
      <c r="P48" s="82"/>
      <c r="Q48" s="81">
        <v>0</v>
      </c>
      <c r="R48" s="71"/>
      <c r="S48" s="71"/>
      <c r="T48" s="140"/>
      <c r="U48" s="75"/>
    </row>
    <row r="49" spans="1:21" ht="15.75" thickBot="1" x14ac:dyDescent="0.25">
      <c r="A49" s="70"/>
      <c r="B49" s="80"/>
      <c r="C49" s="71"/>
      <c r="D49" s="87"/>
      <c r="E49" s="71"/>
      <c r="F49" s="102"/>
      <c r="G49" s="103"/>
      <c r="H49" s="85"/>
      <c r="I49" s="103"/>
      <c r="J49" s="103"/>
      <c r="K49" s="102"/>
      <c r="L49" s="102"/>
      <c r="M49" s="102"/>
      <c r="N49" s="102"/>
      <c r="O49" s="102"/>
      <c r="P49" s="103"/>
      <c r="Q49" s="85"/>
      <c r="R49" s="71"/>
      <c r="S49" s="71"/>
      <c r="T49" s="141"/>
      <c r="U49" s="75"/>
    </row>
    <row r="50" spans="1:21" ht="16.5" thickBot="1" x14ac:dyDescent="0.3">
      <c r="A50" s="95" t="s">
        <v>89</v>
      </c>
      <c r="B50" s="71"/>
      <c r="C50" s="71"/>
      <c r="D50" s="122"/>
      <c r="E50" s="71"/>
      <c r="F50" s="104">
        <f>SUM(F48:F49)</f>
        <v>0</v>
      </c>
      <c r="G50" s="82"/>
      <c r="H50" s="104">
        <f>SUM(H48:H49)</f>
        <v>0</v>
      </c>
      <c r="I50" s="82"/>
      <c r="J50" s="82"/>
      <c r="K50" s="104">
        <f>SUM(K48:K49)</f>
        <v>0</v>
      </c>
      <c r="L50" s="81"/>
      <c r="M50" s="81"/>
      <c r="N50" s="104">
        <f>SUM(N48:N49)</f>
        <v>0</v>
      </c>
      <c r="O50" s="104">
        <f>SUM(O48:O49)</f>
        <v>0</v>
      </c>
      <c r="P50" s="81"/>
      <c r="Q50" s="104">
        <f>SUM(Q48:Q49)</f>
        <v>0</v>
      </c>
      <c r="R50" s="71"/>
      <c r="S50" s="71"/>
      <c r="T50" s="98">
        <f>ROUND(+Q50/F52,5)</f>
        <v>0</v>
      </c>
      <c r="U50" s="75"/>
    </row>
    <row r="51" spans="1:21" ht="15.75" thickBot="1" x14ac:dyDescent="0.25">
      <c r="A51" s="70"/>
      <c r="B51" s="71"/>
      <c r="C51" s="71"/>
      <c r="D51" s="122"/>
      <c r="E51" s="71"/>
      <c r="F51" s="92"/>
      <c r="G51" s="71"/>
      <c r="H51" s="92"/>
      <c r="I51" s="71"/>
      <c r="J51" s="71"/>
      <c r="K51" s="86"/>
      <c r="L51" s="92"/>
      <c r="M51" s="92"/>
      <c r="N51" s="92"/>
      <c r="O51" s="92"/>
      <c r="P51" s="92"/>
      <c r="Q51" s="92"/>
      <c r="R51" s="71"/>
      <c r="S51" s="71"/>
      <c r="T51" s="105"/>
      <c r="U51" s="75"/>
    </row>
    <row r="52" spans="1:21" ht="16.5" thickBot="1" x14ac:dyDescent="0.3">
      <c r="A52" s="70"/>
      <c r="B52" s="71"/>
      <c r="C52" s="71"/>
      <c r="D52" s="142" t="s">
        <v>60</v>
      </c>
      <c r="E52" s="71"/>
      <c r="F52" s="106">
        <f>F46+F50</f>
        <v>2341219146.4733334</v>
      </c>
      <c r="G52" s="82"/>
      <c r="H52" s="106">
        <f>H46+H50</f>
        <v>88825947.11999999</v>
      </c>
      <c r="I52" s="82"/>
      <c r="J52" s="82"/>
      <c r="K52" s="106">
        <f>K46+K50</f>
        <v>2378364.2800000003</v>
      </c>
      <c r="L52" s="81"/>
      <c r="M52" s="81"/>
      <c r="N52" s="106">
        <f>N46+N50</f>
        <v>636886</v>
      </c>
      <c r="O52" s="106">
        <f>O46+O50</f>
        <v>2149118.4050000003</v>
      </c>
      <c r="P52" s="81"/>
      <c r="Q52" s="106">
        <f>Q46+Q50</f>
        <v>93990315.804999977</v>
      </c>
      <c r="R52" s="71"/>
      <c r="S52" s="71"/>
      <c r="T52" s="98">
        <f>ROUND(Q52/F52,5)</f>
        <v>4.0149999999999998E-2</v>
      </c>
      <c r="U52" s="75"/>
    </row>
    <row r="53" spans="1:21" ht="16.5" thickTop="1" x14ac:dyDescent="0.25">
      <c r="A53" s="107"/>
      <c r="B53" s="108"/>
      <c r="C53" s="108"/>
      <c r="D53" s="109"/>
      <c r="E53" s="108"/>
      <c r="F53" s="110"/>
      <c r="G53" s="108"/>
      <c r="H53" s="110"/>
      <c r="I53" s="108"/>
      <c r="J53" s="108"/>
      <c r="K53" s="110"/>
      <c r="L53" s="110"/>
      <c r="M53" s="92"/>
      <c r="N53" s="74"/>
      <c r="O53" s="110"/>
      <c r="P53" s="110"/>
      <c r="Q53" s="110"/>
      <c r="R53" s="108"/>
      <c r="S53" s="108"/>
      <c r="T53" s="111"/>
      <c r="U53" s="112"/>
    </row>
    <row r="54" spans="1:21" ht="15.75" x14ac:dyDescent="0.25">
      <c r="D54" s="113"/>
      <c r="F54" s="114"/>
      <c r="H54" s="114"/>
      <c r="K54" s="114"/>
      <c r="L54" s="224"/>
      <c r="M54" s="228"/>
      <c r="N54" s="143"/>
      <c r="O54" s="229"/>
      <c r="P54" s="114"/>
      <c r="Q54" s="114"/>
      <c r="T54" s="115"/>
    </row>
    <row r="55" spans="1:21" ht="15.75" x14ac:dyDescent="0.25">
      <c r="D55" s="113"/>
      <c r="F55" s="116"/>
      <c r="H55" s="114"/>
      <c r="K55" s="114"/>
      <c r="L55" s="224"/>
      <c r="M55" s="224"/>
      <c r="N55" s="114"/>
      <c r="O55" s="229"/>
      <c r="P55" s="114"/>
      <c r="Q55" s="114"/>
      <c r="T55" s="115"/>
    </row>
    <row r="56" spans="1:21" ht="15.75" x14ac:dyDescent="0.25">
      <c r="D56" s="113"/>
      <c r="F56" s="116"/>
      <c r="H56" s="114"/>
      <c r="K56" s="114"/>
      <c r="L56" s="224"/>
      <c r="M56" s="224"/>
      <c r="N56" s="117"/>
      <c r="O56" s="229"/>
      <c r="P56" s="114"/>
      <c r="Q56" s="114"/>
      <c r="T56" s="115"/>
    </row>
    <row r="57" spans="1:21" ht="15.75" x14ac:dyDescent="0.25">
      <c r="A57" s="63" t="s">
        <v>90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66"/>
    </row>
    <row r="58" spans="1:21" x14ac:dyDescent="0.2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18"/>
      <c r="U58" s="75"/>
    </row>
    <row r="59" spans="1:21" x14ac:dyDescent="0.2">
      <c r="A59" s="70"/>
      <c r="B59" s="71"/>
      <c r="C59" s="71"/>
      <c r="D59" s="71"/>
      <c r="E59" s="71"/>
      <c r="F59" s="71"/>
      <c r="G59" s="71"/>
      <c r="H59" s="72" t="s">
        <v>49</v>
      </c>
      <c r="I59" s="72"/>
      <c r="J59" s="72"/>
      <c r="K59" s="72"/>
      <c r="L59" s="72"/>
      <c r="M59" s="72"/>
      <c r="N59" s="72"/>
      <c r="O59" s="72"/>
      <c r="P59" s="72"/>
      <c r="Q59" s="72"/>
      <c r="R59" s="71"/>
      <c r="S59" s="71"/>
      <c r="T59" s="118"/>
      <c r="U59" s="75"/>
    </row>
    <row r="60" spans="1:21" x14ac:dyDescent="0.2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4"/>
      <c r="L60" s="71"/>
      <c r="M60" s="71"/>
      <c r="N60" s="74"/>
      <c r="O60" s="74"/>
      <c r="P60" s="71"/>
      <c r="Q60" s="71"/>
      <c r="R60" s="71"/>
      <c r="T60" s="73" t="s">
        <v>53</v>
      </c>
      <c r="U60" s="69"/>
    </row>
    <row r="61" spans="1:21" x14ac:dyDescent="0.2">
      <c r="A61" s="70"/>
      <c r="B61" s="71"/>
      <c r="C61" s="119"/>
      <c r="D61" s="76" t="s">
        <v>32</v>
      </c>
      <c r="E61" s="119"/>
      <c r="F61" s="76" t="s">
        <v>55</v>
      </c>
      <c r="G61" s="76"/>
      <c r="H61" s="76" t="s">
        <v>56</v>
      </c>
      <c r="I61" s="74"/>
      <c r="J61" s="74"/>
      <c r="K61" s="76" t="s">
        <v>91</v>
      </c>
      <c r="L61" s="74"/>
      <c r="M61" s="74"/>
      <c r="N61" s="76" t="s">
        <v>92</v>
      </c>
      <c r="O61" s="76" t="s">
        <v>93</v>
      </c>
      <c r="P61" s="74"/>
      <c r="Q61" s="76" t="s">
        <v>60</v>
      </c>
      <c r="R61" s="71"/>
      <c r="T61" s="78" t="s">
        <v>27</v>
      </c>
      <c r="U61" s="120"/>
    </row>
    <row r="62" spans="1:21" x14ac:dyDescent="0.2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121"/>
      <c r="U62" s="75"/>
    </row>
    <row r="63" spans="1:21" x14ac:dyDescent="0.2">
      <c r="A63" s="70" t="s">
        <v>94</v>
      </c>
      <c r="B63" s="71"/>
      <c r="C63" s="74"/>
      <c r="D63" s="219">
        <v>0</v>
      </c>
      <c r="E63" s="71" t="s">
        <v>5</v>
      </c>
      <c r="F63" s="230">
        <v>0</v>
      </c>
      <c r="G63" s="82"/>
      <c r="H63" s="81">
        <f>ROUND(F63*D63,0)</f>
        <v>0</v>
      </c>
      <c r="I63" s="82"/>
      <c r="J63" s="82"/>
      <c r="K63" s="101">
        <v>0</v>
      </c>
      <c r="L63" s="101"/>
      <c r="M63" s="101"/>
      <c r="N63" s="101">
        <v>0</v>
      </c>
      <c r="O63" s="101">
        <v>0</v>
      </c>
      <c r="P63" s="82"/>
      <c r="Q63" s="81">
        <f>SUM(H63:O63)</f>
        <v>0</v>
      </c>
      <c r="R63" s="71"/>
      <c r="S63" s="71"/>
      <c r="T63" s="219">
        <f>IF(F63=0,0,(ROUND((Q63/F63),5)))</f>
        <v>0</v>
      </c>
      <c r="U63" s="75"/>
    </row>
    <row r="64" spans="1:21" x14ac:dyDescent="0.2">
      <c r="A64" s="70" t="s">
        <v>95</v>
      </c>
      <c r="B64" s="80"/>
      <c r="C64" s="71"/>
      <c r="D64" s="87"/>
      <c r="E64" s="71"/>
      <c r="F64" s="85">
        <v>0</v>
      </c>
      <c r="G64" s="71"/>
      <c r="H64" s="85">
        <f>ROUND(D64*F64,0)</f>
        <v>0</v>
      </c>
      <c r="I64" s="71"/>
      <c r="J64" s="71"/>
      <c r="K64" s="102">
        <v>0</v>
      </c>
      <c r="L64" s="102"/>
      <c r="M64" s="102"/>
      <c r="N64" s="102">
        <v>0</v>
      </c>
      <c r="O64" s="102">
        <v>0</v>
      </c>
      <c r="P64" s="103"/>
      <c r="Q64" s="85">
        <f>SUM(H64,K64,N64)</f>
        <v>0</v>
      </c>
      <c r="R64" s="71"/>
      <c r="S64" s="71"/>
      <c r="T64" s="219">
        <f>IF(F64=0,0,(ROUND((Q64/F64),5)))</f>
        <v>0</v>
      </c>
      <c r="U64" s="75"/>
    </row>
    <row r="65" spans="1:21" x14ac:dyDescent="0.2">
      <c r="A65" s="70" t="s">
        <v>96</v>
      </c>
      <c r="B65" s="74" t="s">
        <v>97</v>
      </c>
      <c r="C65" s="74"/>
      <c r="D65" s="217">
        <v>6.4000000000000003E-3</v>
      </c>
      <c r="E65" s="71"/>
      <c r="F65" s="220">
        <v>15999182.220000001</v>
      </c>
      <c r="G65" s="71"/>
      <c r="H65" s="220">
        <f>D65*F65</f>
        <v>102394.76620800002</v>
      </c>
      <c r="I65" s="71"/>
      <c r="J65" s="71"/>
      <c r="K65" s="221">
        <v>0</v>
      </c>
      <c r="L65" s="71"/>
      <c r="M65" s="71"/>
      <c r="N65" s="221">
        <v>0</v>
      </c>
      <c r="O65" s="221">
        <v>0</v>
      </c>
      <c r="P65" s="71"/>
      <c r="Q65" s="220">
        <f>SUM(H65:O65)</f>
        <v>102394.76620800002</v>
      </c>
      <c r="R65" s="71"/>
      <c r="T65" s="219">
        <f>IF(F65=0,0,(ROUND((Q65/F65),5)))</f>
        <v>6.4000000000000003E-3</v>
      </c>
      <c r="U65" s="75"/>
    </row>
    <row r="66" spans="1:21" x14ac:dyDescent="0.2">
      <c r="A66" s="70"/>
      <c r="B66" s="74"/>
      <c r="C66" s="74"/>
      <c r="D66" s="118"/>
      <c r="E66" s="71"/>
      <c r="F66" s="103"/>
      <c r="G66" s="71"/>
      <c r="H66" s="103"/>
      <c r="I66" s="71"/>
      <c r="J66" s="71"/>
      <c r="K66" s="222"/>
      <c r="L66" s="71"/>
      <c r="M66" s="71"/>
      <c r="N66" s="222"/>
      <c r="O66" s="222"/>
      <c r="P66" s="71"/>
      <c r="Q66" s="103"/>
      <c r="R66" s="71"/>
      <c r="T66" s="219"/>
      <c r="U66" s="75"/>
    </row>
    <row r="67" spans="1:21" ht="15.75" thickBot="1" x14ac:dyDescent="0.25">
      <c r="A67" s="70"/>
      <c r="B67" s="80"/>
      <c r="C67" s="71"/>
      <c r="D67" s="94"/>
      <c r="E67" s="71"/>
      <c r="F67" s="92"/>
      <c r="G67" s="71"/>
      <c r="H67" s="92"/>
      <c r="I67" s="71"/>
      <c r="J67" s="71"/>
      <c r="K67" s="89"/>
      <c r="L67" s="92"/>
      <c r="M67" s="92"/>
      <c r="N67" s="92"/>
      <c r="O67" s="92"/>
      <c r="P67" s="92"/>
      <c r="Q67" s="92"/>
      <c r="R67" s="71"/>
      <c r="S67" s="71"/>
      <c r="T67" s="122"/>
      <c r="U67" s="75"/>
    </row>
    <row r="68" spans="1:21" ht="16.5" thickBot="1" x14ac:dyDescent="0.3">
      <c r="A68" s="70"/>
      <c r="B68" s="71"/>
      <c r="C68" s="71"/>
      <c r="D68" s="71" t="s">
        <v>60</v>
      </c>
      <c r="E68" s="71"/>
      <c r="F68" s="123">
        <f>SUM(F63:F65)</f>
        <v>15999182.220000001</v>
      </c>
      <c r="G68" s="82"/>
      <c r="H68" s="123">
        <f>SUM(H63:H65)</f>
        <v>102394.76620800002</v>
      </c>
      <c r="I68" s="82"/>
      <c r="J68" s="82"/>
      <c r="K68" s="123">
        <f>SUM(K63:K65)</f>
        <v>0</v>
      </c>
      <c r="L68" s="124"/>
      <c r="M68" s="124"/>
      <c r="N68" s="123">
        <f>SUM(N63:N65)</f>
        <v>0</v>
      </c>
      <c r="O68" s="123">
        <f>SUM(O63:O65)</f>
        <v>0</v>
      </c>
      <c r="P68" s="82"/>
      <c r="Q68" s="123">
        <f>SUM(Q63:Q65)</f>
        <v>102394.76620800002</v>
      </c>
      <c r="R68" s="71"/>
      <c r="S68" s="71"/>
      <c r="T68" s="223">
        <f>IF(F68=0,0,(ROUND(Q68/F68,5)))</f>
        <v>6.4000000000000003E-3</v>
      </c>
      <c r="U68" s="75"/>
    </row>
    <row r="69" spans="1:21" ht="15.75" thickTop="1" x14ac:dyDescent="0.2">
      <c r="A69" s="107"/>
      <c r="B69" s="108"/>
      <c r="C69" s="108"/>
      <c r="D69" s="108"/>
      <c r="E69" s="108"/>
      <c r="F69" s="108"/>
      <c r="G69" s="108"/>
      <c r="H69" s="125"/>
      <c r="I69" s="108"/>
      <c r="J69" s="108"/>
      <c r="K69" s="108"/>
      <c r="L69" s="108"/>
      <c r="M69" s="108"/>
      <c r="N69" s="125"/>
      <c r="O69" s="125"/>
      <c r="P69" s="108"/>
      <c r="Q69" s="108"/>
      <c r="R69" s="108"/>
      <c r="S69" s="108"/>
      <c r="T69" s="126"/>
      <c r="U69" s="112"/>
    </row>
    <row r="70" spans="1:21" ht="15.75" thickBot="1" x14ac:dyDescent="0.25">
      <c r="D70" s="127"/>
      <c r="F70" s="114"/>
      <c r="H70" s="114"/>
      <c r="Q70" s="114"/>
      <c r="T70" s="90"/>
    </row>
    <row r="71" spans="1:21" ht="16.5" thickBot="1" x14ac:dyDescent="0.3">
      <c r="A71" s="61" t="s">
        <v>98</v>
      </c>
      <c r="D71" s="127"/>
      <c r="F71" s="128">
        <f>F52+F68</f>
        <v>2357218328.6933331</v>
      </c>
      <c r="G71" s="129"/>
      <c r="H71" s="128">
        <f>H52+H68</f>
        <v>88928341.886207983</v>
      </c>
      <c r="I71" s="129"/>
      <c r="J71" s="129"/>
      <c r="K71" s="128">
        <f>K52+K68</f>
        <v>2378364.2800000003</v>
      </c>
      <c r="L71" s="129"/>
      <c r="M71" s="129"/>
      <c r="N71" s="128">
        <f>N52+N68</f>
        <v>636886</v>
      </c>
      <c r="O71" s="128">
        <f>O52+O68</f>
        <v>2149118.4050000003</v>
      </c>
      <c r="P71" s="129"/>
      <c r="Q71" s="128">
        <f>Q52+Q68</f>
        <v>94092710.57120797</v>
      </c>
      <c r="T71" s="130">
        <f>ROUND(Q71/(F52+F68),5)</f>
        <v>3.9919999999999997E-2</v>
      </c>
    </row>
    <row r="72" spans="1:21" ht="15" customHeight="1" thickTop="1" x14ac:dyDescent="0.2">
      <c r="D72" s="127"/>
      <c r="F72" s="114"/>
      <c r="H72" s="114"/>
      <c r="Q72" s="114"/>
      <c r="T72" s="90"/>
    </row>
    <row r="73" spans="1:21" x14ac:dyDescent="0.2">
      <c r="A73" s="61" t="s">
        <v>154</v>
      </c>
      <c r="D73" s="127"/>
      <c r="F73" s="114"/>
      <c r="H73" s="114"/>
      <c r="Q73" s="231"/>
      <c r="T73" s="90"/>
    </row>
    <row r="74" spans="1:21" x14ac:dyDescent="0.2">
      <c r="A74" s="61" t="s">
        <v>99</v>
      </c>
      <c r="D74" s="127"/>
      <c r="F74" s="114"/>
      <c r="H74" s="114"/>
      <c r="N74" s="131"/>
      <c r="O74" s="131"/>
      <c r="Q74" s="114"/>
    </row>
    <row r="75" spans="1:21" x14ac:dyDescent="0.2">
      <c r="F75" s="131"/>
      <c r="H75" s="131"/>
      <c r="N75" s="133"/>
    </row>
    <row r="76" spans="1:21" x14ac:dyDescent="0.2">
      <c r="A76" s="236" t="s">
        <v>151</v>
      </c>
      <c r="B76" s="236"/>
      <c r="C76" s="236"/>
      <c r="D76" s="236"/>
      <c r="E76" s="236"/>
      <c r="F76" s="236"/>
      <c r="G76" s="233"/>
      <c r="H76" s="233"/>
    </row>
    <row r="77" spans="1:21" x14ac:dyDescent="0.2">
      <c r="A77" s="236" t="s">
        <v>150</v>
      </c>
      <c r="B77" s="236"/>
      <c r="C77" s="236"/>
      <c r="D77" s="236"/>
      <c r="E77" s="236"/>
      <c r="F77" s="236"/>
      <c r="G77" s="236"/>
      <c r="H77" s="233"/>
    </row>
    <row r="78" spans="1:21" ht="13.5" customHeight="1" x14ac:dyDescent="0.2">
      <c r="A78" s="134"/>
      <c r="D78" s="127"/>
      <c r="F78" s="114"/>
      <c r="H78" s="114"/>
    </row>
    <row r="89" spans="8:8" x14ac:dyDescent="0.2">
      <c r="H89" s="135"/>
    </row>
  </sheetData>
  <mergeCells count="3">
    <mergeCell ref="A3:U3"/>
    <mergeCell ref="A76:F76"/>
    <mergeCell ref="A77:G77"/>
  </mergeCells>
  <pageMargins left="0.5" right="0" top="0.75" bottom="0.75" header="0.5" footer="0.5"/>
  <pageSetup scale="42" orientation="portrait" r:id="rId1"/>
  <headerFooter scaleWithDoc="0">
    <oddHeader>&amp;R&amp;"Times New Roman,Bold"&amp;12Attachment to Response to Question No. 5 (a-d)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00" workbookViewId="0"/>
  </sheetViews>
  <sheetFormatPr defaultRowHeight="15" x14ac:dyDescent="0.25"/>
  <cols>
    <col min="1" max="2" width="9.140625" style="146"/>
    <col min="3" max="3" width="29.5703125" style="146" customWidth="1"/>
    <col min="4" max="4" width="2.140625" style="146" customWidth="1"/>
    <col min="5" max="10" width="0" style="146" hidden="1" customWidth="1"/>
    <col min="11" max="11" width="0.5703125" style="146" hidden="1" customWidth="1"/>
    <col min="12" max="12" width="5" style="146" customWidth="1"/>
    <col min="13" max="13" width="17.7109375" style="146" bestFit="1" customWidth="1"/>
    <col min="14" max="14" width="2.85546875" style="146" customWidth="1"/>
    <col min="15" max="19" width="0" style="146" hidden="1" customWidth="1"/>
    <col min="20" max="20" width="4.7109375" style="146" customWidth="1"/>
    <col min="21" max="21" width="11.7109375" style="146" customWidth="1"/>
    <col min="22" max="16384" width="9.140625" style="146"/>
  </cols>
  <sheetData>
    <row r="1" spans="1:21" ht="15.75" x14ac:dyDescent="0.25">
      <c r="A1" s="144"/>
      <c r="B1" s="237" t="s">
        <v>100</v>
      </c>
      <c r="C1" s="237"/>
      <c r="D1" s="237"/>
      <c r="E1" s="237"/>
      <c r="F1" s="237"/>
      <c r="G1" s="237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4"/>
    </row>
    <row r="2" spans="1:21" ht="15.75" x14ac:dyDescent="0.25">
      <c r="A2" s="144"/>
      <c r="B2" s="237" t="s">
        <v>101</v>
      </c>
      <c r="C2" s="237"/>
      <c r="D2" s="237"/>
      <c r="E2" s="237"/>
      <c r="F2" s="237"/>
      <c r="G2" s="237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4"/>
    </row>
    <row r="3" spans="1:21" ht="15.75" x14ac:dyDescent="0.25">
      <c r="A3" s="144"/>
      <c r="B3" s="238">
        <v>2016</v>
      </c>
      <c r="C3" s="238"/>
      <c r="D3" s="237"/>
      <c r="E3" s="237"/>
      <c r="F3" s="237"/>
      <c r="G3" s="237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4"/>
    </row>
    <row r="4" spans="1:21" ht="15.75" x14ac:dyDescent="0.25">
      <c r="A4" s="144"/>
      <c r="B4" s="147"/>
      <c r="C4" s="147"/>
      <c r="D4" s="148"/>
      <c r="E4" s="148"/>
      <c r="F4" s="148"/>
      <c r="G4" s="149"/>
      <c r="H4" s="145"/>
      <c r="I4" s="145"/>
      <c r="J4" s="145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4"/>
    </row>
    <row r="5" spans="1:21" ht="15.75" x14ac:dyDescent="0.25">
      <c r="A5" s="144"/>
      <c r="B5" s="150"/>
      <c r="C5" s="150"/>
      <c r="D5" s="151"/>
      <c r="E5" s="145"/>
      <c r="F5" s="151"/>
      <c r="G5" s="152"/>
      <c r="H5" s="153"/>
      <c r="I5" s="153"/>
      <c r="J5" s="145"/>
      <c r="K5" s="154">
        <v>2006</v>
      </c>
      <c r="L5" s="154"/>
      <c r="M5" s="155"/>
      <c r="N5" s="154"/>
      <c r="O5" s="154">
        <v>2008</v>
      </c>
      <c r="P5" s="154"/>
      <c r="Q5" s="154">
        <v>2009</v>
      </c>
      <c r="R5" s="154"/>
      <c r="S5" s="154">
        <v>2010</v>
      </c>
      <c r="T5" s="154"/>
      <c r="U5" s="144"/>
    </row>
    <row r="6" spans="1:21" ht="15.75" x14ac:dyDescent="0.25">
      <c r="A6" s="144"/>
      <c r="B6" s="156"/>
      <c r="C6" s="156"/>
      <c r="D6" s="157"/>
      <c r="E6" s="158" t="s">
        <v>102</v>
      </c>
      <c r="F6" s="159"/>
      <c r="G6" s="160" t="s">
        <v>103</v>
      </c>
      <c r="H6" s="161"/>
      <c r="I6" s="144"/>
      <c r="J6" s="145"/>
      <c r="K6" s="158" t="s">
        <v>102</v>
      </c>
      <c r="L6" s="158"/>
      <c r="M6" s="158" t="s">
        <v>152</v>
      </c>
      <c r="N6" s="158"/>
      <c r="O6" s="158" t="s">
        <v>102</v>
      </c>
      <c r="P6" s="158"/>
      <c r="Q6" s="158" t="s">
        <v>102</v>
      </c>
      <c r="R6" s="158"/>
      <c r="S6" s="158" t="s">
        <v>102</v>
      </c>
      <c r="T6" s="158"/>
      <c r="U6" s="144"/>
    </row>
    <row r="7" spans="1:21" ht="15.75" x14ac:dyDescent="0.25">
      <c r="A7" s="144"/>
      <c r="B7" s="162"/>
      <c r="C7" s="162"/>
      <c r="D7" s="150"/>
      <c r="E7" s="163" t="s">
        <v>104</v>
      </c>
      <c r="F7" s="158"/>
      <c r="G7" s="163" t="s">
        <v>105</v>
      </c>
      <c r="H7" s="164"/>
      <c r="I7" s="163" t="s">
        <v>106</v>
      </c>
      <c r="J7" s="145"/>
      <c r="K7" s="163" t="s">
        <v>104</v>
      </c>
      <c r="L7" s="163"/>
      <c r="M7" s="163" t="s">
        <v>104</v>
      </c>
      <c r="N7" s="163"/>
      <c r="O7" s="163" t="s">
        <v>104</v>
      </c>
      <c r="P7" s="163"/>
      <c r="Q7" s="163" t="s">
        <v>104</v>
      </c>
      <c r="R7" s="163"/>
      <c r="S7" s="163" t="s">
        <v>104</v>
      </c>
      <c r="T7" s="163"/>
      <c r="U7" s="144"/>
    </row>
    <row r="8" spans="1:21" ht="15.75" x14ac:dyDescent="0.25">
      <c r="A8" s="144"/>
      <c r="B8" s="150"/>
      <c r="C8" s="150"/>
      <c r="D8" s="151"/>
      <c r="E8" s="160" t="s">
        <v>107</v>
      </c>
      <c r="F8" s="151"/>
      <c r="G8" s="160" t="s">
        <v>108</v>
      </c>
      <c r="H8" s="161"/>
      <c r="I8" s="160" t="s">
        <v>109</v>
      </c>
      <c r="J8" s="145"/>
      <c r="K8" s="165" t="s">
        <v>110</v>
      </c>
      <c r="L8" s="165"/>
      <c r="M8" s="165" t="s">
        <v>153</v>
      </c>
      <c r="N8" s="165"/>
      <c r="O8" s="165" t="s">
        <v>111</v>
      </c>
      <c r="P8" s="165"/>
      <c r="Q8" s="165" t="s">
        <v>112</v>
      </c>
      <c r="R8" s="165"/>
      <c r="S8" s="165" t="s">
        <v>113</v>
      </c>
      <c r="T8" s="165"/>
      <c r="U8" s="144"/>
    </row>
    <row r="9" spans="1:21" ht="15.75" x14ac:dyDescent="0.25">
      <c r="A9" s="144"/>
      <c r="B9" s="156"/>
      <c r="C9" s="156"/>
      <c r="D9" s="157"/>
      <c r="E9" s="166" t="s">
        <v>114</v>
      </c>
      <c r="F9" s="159"/>
      <c r="G9" s="166" t="s">
        <v>115</v>
      </c>
      <c r="H9" s="167"/>
      <c r="I9" s="166" t="s">
        <v>116</v>
      </c>
      <c r="J9" s="145"/>
      <c r="K9" s="166" t="s">
        <v>114</v>
      </c>
      <c r="L9" s="166"/>
      <c r="M9" s="166" t="s">
        <v>114</v>
      </c>
      <c r="N9" s="166"/>
      <c r="O9" s="166" t="s">
        <v>114</v>
      </c>
      <c r="P9" s="166"/>
      <c r="Q9" s="166" t="s">
        <v>114</v>
      </c>
      <c r="R9" s="166"/>
      <c r="S9" s="166" t="s">
        <v>114</v>
      </c>
      <c r="T9" s="166"/>
      <c r="U9" s="144"/>
    </row>
    <row r="10" spans="1:21" ht="15.75" x14ac:dyDescent="0.25">
      <c r="A10" s="144">
        <v>-1</v>
      </c>
      <c r="B10" s="156" t="s">
        <v>117</v>
      </c>
      <c r="C10" s="156"/>
      <c r="D10" s="168"/>
      <c r="E10" s="169">
        <v>100</v>
      </c>
      <c r="F10" s="168"/>
      <c r="G10" s="169">
        <v>100</v>
      </c>
      <c r="H10" s="170"/>
      <c r="I10" s="169">
        <v>100</v>
      </c>
      <c r="J10" s="145"/>
      <c r="K10" s="169">
        <v>100</v>
      </c>
      <c r="L10" s="169"/>
      <c r="M10" s="169">
        <v>100</v>
      </c>
      <c r="N10" s="169"/>
      <c r="O10" s="169">
        <v>100</v>
      </c>
      <c r="P10" s="169"/>
      <c r="Q10" s="169">
        <v>100</v>
      </c>
      <c r="R10" s="169"/>
      <c r="S10" s="169">
        <v>100</v>
      </c>
      <c r="T10" s="169"/>
      <c r="U10" s="144"/>
    </row>
    <row r="11" spans="1:21" ht="15.75" x14ac:dyDescent="0.25">
      <c r="A11" s="144">
        <f>+A10-1</f>
        <v>-2</v>
      </c>
      <c r="B11" s="171"/>
      <c r="C11" s="156"/>
      <c r="D11" s="157"/>
      <c r="E11" s="172"/>
      <c r="F11" s="157"/>
      <c r="G11" s="172"/>
      <c r="H11" s="173"/>
      <c r="I11" s="172"/>
      <c r="J11" s="145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44"/>
    </row>
    <row r="12" spans="1:21" ht="15.75" x14ac:dyDescent="0.25">
      <c r="A12" s="144">
        <f>+A11-1</f>
        <v>-3</v>
      </c>
      <c r="B12" s="174" t="s">
        <v>118</v>
      </c>
      <c r="C12" s="175"/>
      <c r="D12" s="176"/>
      <c r="E12" s="177">
        <v>6.6077525607551726</v>
      </c>
      <c r="F12" s="176"/>
      <c r="G12" s="177">
        <f>+G10*0.0825</f>
        <v>8.25</v>
      </c>
      <c r="H12" s="178"/>
      <c r="I12" s="177">
        <f>+I10*0.0825</f>
        <v>8.25</v>
      </c>
      <c r="J12" s="179"/>
      <c r="K12" s="177">
        <v>6.8042890069145212</v>
      </c>
      <c r="L12" s="177"/>
      <c r="M12" s="177">
        <v>5.64</v>
      </c>
      <c r="N12" s="180"/>
      <c r="O12" s="180">
        <v>5.6603773584905657</v>
      </c>
      <c r="P12" s="180"/>
      <c r="Q12" s="180">
        <v>5.6603773584905657</v>
      </c>
      <c r="R12" s="180"/>
      <c r="S12" s="180">
        <v>5.4896440780213149</v>
      </c>
      <c r="T12" s="181"/>
      <c r="U12" s="144">
        <v>-40</v>
      </c>
    </row>
    <row r="13" spans="1:21" ht="15.75" x14ac:dyDescent="0.25">
      <c r="A13" s="144">
        <f t="shared" ref="A13:A49" si="0">+A12-1</f>
        <v>-4</v>
      </c>
      <c r="B13" s="171"/>
      <c r="C13" s="156"/>
      <c r="D13" s="157"/>
      <c r="E13" s="182"/>
      <c r="F13" s="157"/>
      <c r="G13" s="182"/>
      <c r="H13" s="181"/>
      <c r="I13" s="182"/>
      <c r="J13" s="145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44"/>
    </row>
    <row r="14" spans="1:21" ht="15.75" x14ac:dyDescent="0.25">
      <c r="A14" s="144">
        <f t="shared" si="0"/>
        <v>-5</v>
      </c>
      <c r="B14" s="156" t="s">
        <v>119</v>
      </c>
      <c r="C14" s="156"/>
      <c r="D14" s="157"/>
      <c r="E14" s="182"/>
      <c r="F14" s="157"/>
      <c r="G14" s="182"/>
      <c r="H14" s="181"/>
      <c r="I14" s="182"/>
      <c r="J14" s="145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44"/>
    </row>
    <row r="15" spans="1:21" ht="15.75" x14ac:dyDescent="0.25">
      <c r="A15" s="144">
        <f t="shared" si="0"/>
        <v>-6</v>
      </c>
      <c r="B15" s="150" t="s">
        <v>120</v>
      </c>
      <c r="C15" s="156"/>
      <c r="D15" s="183"/>
      <c r="E15" s="181">
        <f>+E10-E12</f>
        <v>93.392247439244827</v>
      </c>
      <c r="F15" s="183"/>
      <c r="G15" s="181">
        <f>+G10-G12</f>
        <v>91.75</v>
      </c>
      <c r="H15" s="181"/>
      <c r="I15" s="181">
        <f>+I10-I12</f>
        <v>91.75</v>
      </c>
      <c r="J15" s="145"/>
      <c r="K15" s="181">
        <f>+K10-K12</f>
        <v>93.195710993085484</v>
      </c>
      <c r="L15" s="181"/>
      <c r="M15" s="181">
        <f>+M10-M12</f>
        <v>94.36</v>
      </c>
      <c r="N15" s="181"/>
      <c r="O15" s="181">
        <f>+O10-O12</f>
        <v>94.339622641509436</v>
      </c>
      <c r="P15" s="181"/>
      <c r="Q15" s="181">
        <f>+Q10-Q12</f>
        <v>94.339622641509436</v>
      </c>
      <c r="R15" s="181"/>
      <c r="S15" s="181">
        <f>+S10-S12</f>
        <v>94.510355921978686</v>
      </c>
      <c r="T15" s="181"/>
      <c r="U15" s="184" t="s">
        <v>121</v>
      </c>
    </row>
    <row r="16" spans="1:21" ht="15.75" x14ac:dyDescent="0.25">
      <c r="A16" s="144">
        <f t="shared" si="0"/>
        <v>-7</v>
      </c>
      <c r="B16" s="185" t="s">
        <v>122</v>
      </c>
      <c r="C16" s="175"/>
      <c r="D16" s="186"/>
      <c r="E16" s="178"/>
      <c r="F16" s="186"/>
      <c r="G16" s="178"/>
      <c r="H16" s="178"/>
      <c r="I16" s="178"/>
      <c r="J16" s="179"/>
      <c r="K16" s="187">
        <v>0.03</v>
      </c>
      <c r="L16" s="187"/>
      <c r="M16" s="188">
        <v>0</v>
      </c>
      <c r="N16" s="189"/>
      <c r="O16" s="189">
        <v>0.06</v>
      </c>
      <c r="P16" s="189"/>
      <c r="Q16" s="189">
        <v>0.06</v>
      </c>
      <c r="R16" s="189"/>
      <c r="S16" s="189">
        <v>0.09</v>
      </c>
      <c r="T16" s="189"/>
      <c r="U16" s="144"/>
    </row>
    <row r="17" spans="1:21" ht="15.75" x14ac:dyDescent="0.25">
      <c r="A17" s="144">
        <f t="shared" si="0"/>
        <v>-8</v>
      </c>
      <c r="B17" s="185" t="s">
        <v>123</v>
      </c>
      <c r="C17" s="175"/>
      <c r="D17" s="186"/>
      <c r="E17" s="178"/>
      <c r="F17" s="186"/>
      <c r="G17" s="178"/>
      <c r="H17" s="178"/>
      <c r="I17" s="178"/>
      <c r="J17" s="179"/>
      <c r="K17" s="187"/>
      <c r="L17" s="187"/>
      <c r="M17" s="190">
        <v>1</v>
      </c>
      <c r="N17" s="189"/>
      <c r="O17" s="189"/>
      <c r="P17" s="189"/>
      <c r="Q17" s="189"/>
      <c r="R17" s="189"/>
      <c r="S17" s="189"/>
      <c r="T17" s="189"/>
      <c r="U17" s="144"/>
    </row>
    <row r="18" spans="1:21" ht="15.75" x14ac:dyDescent="0.25">
      <c r="A18" s="144">
        <f t="shared" si="0"/>
        <v>-9</v>
      </c>
      <c r="B18" s="191" t="s">
        <v>124</v>
      </c>
      <c r="C18" s="175"/>
      <c r="D18" s="186"/>
      <c r="E18" s="178"/>
      <c r="F18" s="186"/>
      <c r="G18" s="178"/>
      <c r="H18" s="178"/>
      <c r="I18" s="178"/>
      <c r="J18" s="179"/>
      <c r="K18" s="187"/>
      <c r="L18" s="187"/>
      <c r="M18" s="192">
        <f>ROUND(M16*M17,4)</f>
        <v>0</v>
      </c>
      <c r="N18" s="189"/>
      <c r="O18" s="189"/>
      <c r="P18" s="189"/>
      <c r="Q18" s="189"/>
      <c r="R18" s="189"/>
      <c r="S18" s="189"/>
      <c r="T18" s="189"/>
      <c r="U18" s="144"/>
    </row>
    <row r="19" spans="1:21" ht="15.75" x14ac:dyDescent="0.25">
      <c r="A19" s="144">
        <f t="shared" si="0"/>
        <v>-10</v>
      </c>
      <c r="B19" s="175"/>
      <c r="C19" s="175"/>
      <c r="D19" s="186"/>
      <c r="E19" s="178"/>
      <c r="F19" s="186"/>
      <c r="G19" s="178"/>
      <c r="H19" s="178"/>
      <c r="I19" s="178"/>
      <c r="J19" s="179"/>
      <c r="K19" s="187"/>
      <c r="L19" s="187"/>
      <c r="M19" s="187"/>
      <c r="N19" s="189"/>
      <c r="O19" s="189"/>
      <c r="P19" s="189"/>
      <c r="Q19" s="189"/>
      <c r="R19" s="189"/>
      <c r="S19" s="189"/>
      <c r="T19" s="189"/>
      <c r="U19" s="144"/>
    </row>
    <row r="20" spans="1:21" ht="15.75" x14ac:dyDescent="0.25">
      <c r="A20" s="144">
        <f t="shared" si="0"/>
        <v>-11</v>
      </c>
      <c r="B20" s="175" t="s">
        <v>125</v>
      </c>
      <c r="C20" s="175"/>
      <c r="D20" s="186"/>
      <c r="E20" s="177">
        <f>E15*0.06</f>
        <v>5.6035348463546892</v>
      </c>
      <c r="F20" s="186"/>
      <c r="G20" s="177">
        <f>G15*0.03</f>
        <v>2.7524999999999999</v>
      </c>
      <c r="H20" s="178"/>
      <c r="I20" s="177">
        <v>0</v>
      </c>
      <c r="J20" s="179"/>
      <c r="K20" s="177">
        <f>K15*K16</f>
        <v>2.7958713297925644</v>
      </c>
      <c r="L20" s="177"/>
      <c r="M20" s="177">
        <f>M15*M18</f>
        <v>0</v>
      </c>
      <c r="N20" s="180"/>
      <c r="O20" s="180">
        <f>O15*O16</f>
        <v>5.6603773584905657</v>
      </c>
      <c r="P20" s="180"/>
      <c r="Q20" s="180">
        <f>Q15*Q16</f>
        <v>5.6603773584905657</v>
      </c>
      <c r="R20" s="180"/>
      <c r="S20" s="180">
        <f>S15*S16</f>
        <v>8.5059320329780821</v>
      </c>
      <c r="T20" s="181"/>
      <c r="U20" s="193" t="s">
        <v>126</v>
      </c>
    </row>
    <row r="21" spans="1:21" ht="15.75" x14ac:dyDescent="0.25">
      <c r="A21" s="144">
        <f t="shared" si="0"/>
        <v>-12</v>
      </c>
      <c r="B21" s="194"/>
      <c r="C21" s="156"/>
      <c r="D21" s="157"/>
      <c r="E21" s="182"/>
      <c r="F21" s="157"/>
      <c r="G21" s="182"/>
      <c r="H21" s="181"/>
      <c r="I21" s="182"/>
      <c r="J21" s="145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44"/>
    </row>
    <row r="22" spans="1:21" ht="15.75" x14ac:dyDescent="0.25">
      <c r="A22" s="144">
        <f t="shared" si="0"/>
        <v>-13</v>
      </c>
      <c r="B22" s="171" t="s">
        <v>127</v>
      </c>
      <c r="C22" s="156"/>
      <c r="D22" s="157"/>
      <c r="E22" s="182">
        <f>E15-E20</f>
        <v>87.788712592890136</v>
      </c>
      <c r="F22" s="157"/>
      <c r="G22" s="182">
        <f>G15-G20</f>
        <v>88.997500000000002</v>
      </c>
      <c r="H22" s="181"/>
      <c r="I22" s="182">
        <f>I15-I20</f>
        <v>91.75</v>
      </c>
      <c r="J22" s="145"/>
      <c r="K22" s="182">
        <f>K15-K20</f>
        <v>90.399839663292923</v>
      </c>
      <c r="L22" s="182"/>
      <c r="M22" s="182">
        <f>M15-M20</f>
        <v>94.36</v>
      </c>
      <c r="N22" s="182"/>
      <c r="O22" s="182">
        <f>O15-O20</f>
        <v>88.679245283018872</v>
      </c>
      <c r="P22" s="182"/>
      <c r="Q22" s="182">
        <f>Q15-Q20</f>
        <v>88.679245283018872</v>
      </c>
      <c r="R22" s="182"/>
      <c r="S22" s="182">
        <f>S15-S20</f>
        <v>86.004423889000606</v>
      </c>
      <c r="T22" s="182"/>
      <c r="U22" s="184" t="s">
        <v>128</v>
      </c>
    </row>
    <row r="23" spans="1:21" ht="15.75" x14ac:dyDescent="0.25">
      <c r="A23" s="144">
        <f t="shared" si="0"/>
        <v>-14</v>
      </c>
      <c r="B23" s="194"/>
      <c r="C23" s="156"/>
      <c r="D23" s="157"/>
      <c r="E23" s="182"/>
      <c r="F23" s="157"/>
      <c r="G23" s="182"/>
      <c r="H23" s="181"/>
      <c r="I23" s="182"/>
      <c r="J23" s="145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44"/>
    </row>
    <row r="24" spans="1:21" ht="15.75" x14ac:dyDescent="0.25">
      <c r="A24" s="144">
        <f t="shared" si="0"/>
        <v>-15</v>
      </c>
      <c r="B24" s="171" t="s">
        <v>129</v>
      </c>
      <c r="C24" s="156"/>
      <c r="D24" s="157"/>
      <c r="E24" s="180">
        <f>+E22*0.35</f>
        <v>30.726049407511546</v>
      </c>
      <c r="F24" s="157"/>
      <c r="G24" s="180">
        <f>+G22*0.35</f>
        <v>31.149124999999998</v>
      </c>
      <c r="H24" s="181"/>
      <c r="I24" s="180">
        <f>+I22*0.35</f>
        <v>32.112499999999997</v>
      </c>
      <c r="J24" s="145"/>
      <c r="K24" s="180">
        <f>+K22*0.35</f>
        <v>31.639943882152522</v>
      </c>
      <c r="L24" s="180"/>
      <c r="M24" s="195">
        <f>+M22*0.35</f>
        <v>33.025999999999996</v>
      </c>
      <c r="N24" s="180"/>
      <c r="O24" s="180">
        <f>+O22*0.35</f>
        <v>31.037735849056602</v>
      </c>
      <c r="P24" s="180"/>
      <c r="Q24" s="180">
        <f>+Q22*0.35</f>
        <v>31.037735849056602</v>
      </c>
      <c r="R24" s="180"/>
      <c r="S24" s="180">
        <f>+S22*0.35</f>
        <v>30.101548361150211</v>
      </c>
      <c r="T24" s="181"/>
      <c r="U24" s="184" t="s">
        <v>130</v>
      </c>
    </row>
    <row r="25" spans="1:21" ht="15.75" x14ac:dyDescent="0.25">
      <c r="A25" s="144">
        <f t="shared" si="0"/>
        <v>-16</v>
      </c>
      <c r="B25" s="194"/>
      <c r="C25" s="156"/>
      <c r="D25" s="157"/>
      <c r="E25" s="172"/>
      <c r="F25" s="157"/>
      <c r="G25" s="172"/>
      <c r="H25" s="173"/>
      <c r="I25" s="172"/>
      <c r="J25" s="145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44"/>
    </row>
    <row r="26" spans="1:21" ht="15.75" x14ac:dyDescent="0.25">
      <c r="A26" s="144">
        <f t="shared" si="0"/>
        <v>-17</v>
      </c>
      <c r="B26" s="171"/>
      <c r="C26" s="156"/>
      <c r="D26" s="157"/>
      <c r="E26" s="172"/>
      <c r="F26" s="157"/>
      <c r="G26" s="172"/>
      <c r="H26" s="173"/>
      <c r="I26" s="172"/>
      <c r="J26" s="145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44"/>
    </row>
    <row r="27" spans="1:21" ht="15.75" x14ac:dyDescent="0.25">
      <c r="A27" s="144">
        <f t="shared" si="0"/>
        <v>-18</v>
      </c>
      <c r="B27" s="171" t="s">
        <v>131</v>
      </c>
      <c r="C27" s="156"/>
      <c r="D27" s="157"/>
      <c r="E27" s="195">
        <f>+E12+E24</f>
        <v>37.333801968266719</v>
      </c>
      <c r="F27" s="157"/>
      <c r="G27" s="195">
        <f>+G12+G24</f>
        <v>39.399124999999998</v>
      </c>
      <c r="H27" s="196"/>
      <c r="I27" s="195">
        <f>+I12+I24</f>
        <v>40.362499999999997</v>
      </c>
      <c r="J27" s="145"/>
      <c r="K27" s="195">
        <f>+K12+K24</f>
        <v>38.444232889067045</v>
      </c>
      <c r="L27" s="195"/>
      <c r="M27" s="195">
        <f>+M12+M24</f>
        <v>38.665999999999997</v>
      </c>
      <c r="N27" s="195"/>
      <c r="O27" s="195">
        <f>+O12+O24</f>
        <v>36.698113207547166</v>
      </c>
      <c r="P27" s="195"/>
      <c r="Q27" s="195">
        <f>+Q12+Q24</f>
        <v>36.698113207547166</v>
      </c>
      <c r="R27" s="195"/>
      <c r="S27" s="195">
        <f>+S12+S24</f>
        <v>35.591192439171529</v>
      </c>
      <c r="T27" s="196"/>
      <c r="U27" s="184" t="s">
        <v>132</v>
      </c>
    </row>
    <row r="28" spans="1:21" ht="15.75" x14ac:dyDescent="0.25">
      <c r="A28" s="144">
        <f t="shared" si="0"/>
        <v>-19</v>
      </c>
      <c r="B28" s="145"/>
      <c r="C28" s="156"/>
      <c r="D28" s="157"/>
      <c r="E28" s="197"/>
      <c r="F28" s="157"/>
      <c r="G28" s="197"/>
      <c r="H28" s="198"/>
      <c r="I28" s="197"/>
      <c r="J28" s="145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44"/>
    </row>
    <row r="29" spans="1:21" ht="16.5" thickBot="1" x14ac:dyDescent="0.3">
      <c r="A29" s="144">
        <f t="shared" si="0"/>
        <v>-20</v>
      </c>
      <c r="B29" s="156" t="s">
        <v>133</v>
      </c>
      <c r="C29" s="156"/>
      <c r="D29" s="157"/>
      <c r="E29" s="199">
        <f>100-E27</f>
        <v>62.666198031733281</v>
      </c>
      <c r="F29" s="200"/>
      <c r="G29" s="199">
        <f>100-G27</f>
        <v>60.600875000000002</v>
      </c>
      <c r="H29" s="201"/>
      <c r="I29" s="199">
        <f>100-I27</f>
        <v>59.637500000000003</v>
      </c>
      <c r="J29" s="145"/>
      <c r="K29" s="199">
        <f>100-K27</f>
        <v>61.555767110932955</v>
      </c>
      <c r="L29" s="199"/>
      <c r="M29" s="202">
        <f>100-M27</f>
        <v>61.334000000000003</v>
      </c>
      <c r="N29" s="199"/>
      <c r="O29" s="199">
        <f>100-O27</f>
        <v>63.301886792452834</v>
      </c>
      <c r="P29" s="199"/>
      <c r="Q29" s="199">
        <f>100-Q27</f>
        <v>63.301886792452834</v>
      </c>
      <c r="R29" s="199"/>
      <c r="S29" s="199">
        <f>100-S27</f>
        <v>64.408807560828478</v>
      </c>
      <c r="T29" s="201"/>
      <c r="U29" s="184" t="s">
        <v>134</v>
      </c>
    </row>
    <row r="30" spans="1:21" ht="16.5" thickTop="1" x14ac:dyDescent="0.25">
      <c r="A30" s="144">
        <f t="shared" si="0"/>
        <v>-21</v>
      </c>
      <c r="B30" s="156"/>
      <c r="C30" s="156"/>
      <c r="D30" s="157"/>
      <c r="E30" s="197"/>
      <c r="F30" s="157"/>
      <c r="G30" s="197"/>
      <c r="H30" s="198"/>
      <c r="I30" s="203"/>
      <c r="J30" s="145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44"/>
    </row>
    <row r="31" spans="1:21" ht="15.75" x14ac:dyDescent="0.25">
      <c r="A31" s="144">
        <f t="shared" si="0"/>
        <v>-22</v>
      </c>
      <c r="B31" s="171" t="s">
        <v>135</v>
      </c>
      <c r="C31" s="156"/>
      <c r="D31" s="157"/>
      <c r="E31" s="197"/>
      <c r="F31" s="157"/>
      <c r="G31" s="197"/>
      <c r="H31" s="198"/>
      <c r="I31" s="145"/>
      <c r="J31" s="145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44"/>
    </row>
    <row r="32" spans="1:21" ht="15.75" x14ac:dyDescent="0.25">
      <c r="A32" s="144">
        <f t="shared" si="0"/>
        <v>-23</v>
      </c>
      <c r="B32" s="156" t="s">
        <v>136</v>
      </c>
      <c r="C32" s="156"/>
      <c r="D32" s="157"/>
      <c r="E32" s="204">
        <f>+E24/100</f>
        <v>0.30726049407511546</v>
      </c>
      <c r="F32" s="157"/>
      <c r="G32" s="204">
        <f>+G24/100</f>
        <v>0.31149125</v>
      </c>
      <c r="H32" s="204"/>
      <c r="I32" s="204">
        <f>+I24/100</f>
        <v>0.32112499999999999</v>
      </c>
      <c r="J32" s="145"/>
      <c r="K32" s="204">
        <f>+K24/100</f>
        <v>0.31639943882152521</v>
      </c>
      <c r="L32" s="204"/>
      <c r="M32" s="204">
        <f>+M24/100</f>
        <v>0.33025999999999994</v>
      </c>
      <c r="N32" s="204"/>
      <c r="O32" s="204">
        <f>+O24/100</f>
        <v>0.31037735849056602</v>
      </c>
      <c r="P32" s="204"/>
      <c r="Q32" s="204">
        <f>+Q24/100</f>
        <v>0.31037735849056602</v>
      </c>
      <c r="R32" s="204"/>
      <c r="S32" s="204">
        <f>+S24/100</f>
        <v>0.3010154836115021</v>
      </c>
      <c r="T32" s="204"/>
      <c r="U32" s="184" t="s">
        <v>137</v>
      </c>
    </row>
    <row r="33" spans="1:21" ht="15.75" x14ac:dyDescent="0.25">
      <c r="A33" s="144">
        <f t="shared" si="0"/>
        <v>-24</v>
      </c>
      <c r="B33" s="156" t="s">
        <v>138</v>
      </c>
      <c r="C33" s="156"/>
      <c r="D33" s="157"/>
      <c r="E33" s="205">
        <f>+E12/100</f>
        <v>6.6077525607551729E-2</v>
      </c>
      <c r="F33" s="157"/>
      <c r="G33" s="205">
        <f>+G12/100</f>
        <v>8.2500000000000004E-2</v>
      </c>
      <c r="H33" s="204"/>
      <c r="I33" s="205">
        <f>+I12/100</f>
        <v>8.2500000000000004E-2</v>
      </c>
      <c r="J33" s="145"/>
      <c r="K33" s="205">
        <f>+K12/100</f>
        <v>6.8042890069145212E-2</v>
      </c>
      <c r="L33" s="205"/>
      <c r="M33" s="205">
        <f>+M12/100</f>
        <v>5.6399999999999999E-2</v>
      </c>
      <c r="N33" s="205"/>
      <c r="O33" s="205">
        <f>+O12/100</f>
        <v>5.6603773584905655E-2</v>
      </c>
      <c r="P33" s="205"/>
      <c r="Q33" s="205">
        <f>+Q12/100</f>
        <v>5.6603773584905655E-2</v>
      </c>
      <c r="R33" s="205"/>
      <c r="S33" s="205">
        <f>+S12/100</f>
        <v>5.4896440780213149E-2</v>
      </c>
      <c r="T33" s="204"/>
      <c r="U33" s="184" t="s">
        <v>139</v>
      </c>
    </row>
    <row r="34" spans="1:21" ht="16.5" thickBot="1" x14ac:dyDescent="0.3">
      <c r="A34" s="144">
        <f t="shared" si="0"/>
        <v>-25</v>
      </c>
      <c r="B34" s="156" t="s">
        <v>140</v>
      </c>
      <c r="C34" s="156"/>
      <c r="D34" s="157"/>
      <c r="E34" s="206">
        <f>SUM(E32:E33)</f>
        <v>0.37333801968266722</v>
      </c>
      <c r="F34" s="157"/>
      <c r="G34" s="206">
        <f>SUM(G32:G33)</f>
        <v>0.39399125000000002</v>
      </c>
      <c r="H34" s="204"/>
      <c r="I34" s="206">
        <f>SUM(I32:I33)</f>
        <v>0.40362500000000001</v>
      </c>
      <c r="J34" s="145"/>
      <c r="K34" s="206">
        <f>SUM(K32:K33)</f>
        <v>0.38444232889067043</v>
      </c>
      <c r="L34" s="206"/>
      <c r="M34" s="206">
        <f>SUM(M32:M33)</f>
        <v>0.38665999999999995</v>
      </c>
      <c r="N34" s="206"/>
      <c r="O34" s="206">
        <f>SUM(O32:O33)</f>
        <v>0.36698113207547167</v>
      </c>
      <c r="P34" s="206"/>
      <c r="Q34" s="206">
        <f>SUM(Q32:Q33)</f>
        <v>0.36698113207547167</v>
      </c>
      <c r="R34" s="206"/>
      <c r="S34" s="206">
        <f>SUM(S32:S33)</f>
        <v>0.35591192439171526</v>
      </c>
      <c r="T34" s="204"/>
      <c r="U34" s="184" t="s">
        <v>141</v>
      </c>
    </row>
    <row r="35" spans="1:21" ht="15.75" thickTop="1" x14ac:dyDescent="0.25">
      <c r="A35" s="144">
        <f t="shared" si="0"/>
        <v>-26</v>
      </c>
      <c r="B35" s="145"/>
      <c r="C35" s="145"/>
      <c r="D35" s="145"/>
      <c r="E35" s="207"/>
      <c r="F35" s="145"/>
      <c r="G35" s="207"/>
      <c r="H35" s="145"/>
      <c r="I35" s="145"/>
      <c r="J35" s="145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144"/>
    </row>
    <row r="36" spans="1:21" x14ac:dyDescent="0.25">
      <c r="A36" s="144">
        <f t="shared" si="0"/>
        <v>-27</v>
      </c>
      <c r="B36" s="145"/>
      <c r="C36" s="145"/>
      <c r="D36" s="145"/>
      <c r="E36" s="207"/>
      <c r="F36" s="145"/>
      <c r="G36" s="207"/>
      <c r="H36" s="145"/>
      <c r="I36" s="145"/>
      <c r="J36" s="145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144"/>
    </row>
    <row r="37" spans="1:21" x14ac:dyDescent="0.25">
      <c r="A37" s="144">
        <f t="shared" si="0"/>
        <v>-28</v>
      </c>
      <c r="B37" s="145"/>
      <c r="C37" s="145"/>
      <c r="D37" s="145"/>
      <c r="E37" s="207"/>
      <c r="F37" s="145"/>
      <c r="G37" s="207"/>
      <c r="H37" s="145"/>
      <c r="I37" s="145"/>
      <c r="J37" s="145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144"/>
    </row>
    <row r="38" spans="1:21" x14ac:dyDescent="0.25">
      <c r="A38" s="144">
        <f t="shared" si="0"/>
        <v>-29</v>
      </c>
      <c r="B38" s="145"/>
      <c r="C38" s="145"/>
      <c r="D38" s="145"/>
      <c r="E38" s="207"/>
      <c r="F38" s="145"/>
      <c r="G38" s="207"/>
      <c r="H38" s="145"/>
      <c r="I38" s="145"/>
      <c r="J38" s="145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144"/>
    </row>
    <row r="39" spans="1:21" x14ac:dyDescent="0.25">
      <c r="A39" s="144">
        <f t="shared" si="0"/>
        <v>-30</v>
      </c>
      <c r="B39" s="145"/>
      <c r="C39" s="145"/>
      <c r="D39" s="145"/>
      <c r="E39" s="207"/>
      <c r="F39" s="145"/>
      <c r="G39" s="207"/>
      <c r="H39" s="145"/>
      <c r="I39" s="145"/>
      <c r="J39" s="145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144"/>
    </row>
    <row r="40" spans="1:21" ht="15.75" x14ac:dyDescent="0.25">
      <c r="A40" s="144">
        <f t="shared" si="0"/>
        <v>-31</v>
      </c>
      <c r="B40" s="208" t="s">
        <v>142</v>
      </c>
      <c r="C40" s="145"/>
      <c r="D40" s="145"/>
      <c r="E40" s="207"/>
      <c r="F40" s="145"/>
      <c r="G40" s="207"/>
      <c r="H40" s="145"/>
      <c r="I40" s="145"/>
      <c r="J40" s="145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144"/>
    </row>
    <row r="41" spans="1:21" ht="15.75" x14ac:dyDescent="0.25">
      <c r="A41" s="144">
        <f t="shared" si="0"/>
        <v>-32</v>
      </c>
      <c r="B41" s="156" t="s">
        <v>117</v>
      </c>
      <c r="C41" s="145"/>
      <c r="D41" s="145"/>
      <c r="E41" s="169">
        <v>100</v>
      </c>
      <c r="F41" s="145"/>
      <c r="G41" s="169">
        <v>100</v>
      </c>
      <c r="H41" s="145"/>
      <c r="I41" s="169">
        <v>100</v>
      </c>
      <c r="J41" s="145"/>
      <c r="K41" s="169">
        <v>100</v>
      </c>
      <c r="L41" s="169"/>
      <c r="M41" s="169">
        <v>100</v>
      </c>
      <c r="N41" s="169"/>
      <c r="O41" s="169">
        <v>100</v>
      </c>
      <c r="P41" s="169"/>
      <c r="Q41" s="169">
        <v>100</v>
      </c>
      <c r="R41" s="169"/>
      <c r="S41" s="169">
        <v>100</v>
      </c>
      <c r="T41" s="169"/>
      <c r="U41" s="144"/>
    </row>
    <row r="42" spans="1:21" ht="15.75" x14ac:dyDescent="0.25">
      <c r="A42" s="144">
        <f t="shared" si="0"/>
        <v>-33</v>
      </c>
      <c r="B42" s="171"/>
      <c r="C42" s="145"/>
      <c r="D42" s="145"/>
      <c r="E42" s="172"/>
      <c r="F42" s="145"/>
      <c r="G42" s="172"/>
      <c r="H42" s="145"/>
      <c r="I42" s="172"/>
      <c r="J42" s="145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44"/>
    </row>
    <row r="43" spans="1:21" ht="15.75" x14ac:dyDescent="0.25">
      <c r="A43" s="144">
        <f t="shared" si="0"/>
        <v>-34</v>
      </c>
      <c r="B43" s="174" t="s">
        <v>143</v>
      </c>
      <c r="C43" s="179"/>
      <c r="D43" s="179"/>
      <c r="E43" s="177">
        <f>+E20</f>
        <v>5.6035348463546892</v>
      </c>
      <c r="F43" s="179"/>
      <c r="G43" s="209">
        <v>0</v>
      </c>
      <c r="H43" s="179"/>
      <c r="I43" s="209">
        <f>+I20</f>
        <v>0</v>
      </c>
      <c r="J43" s="179"/>
      <c r="K43" s="177">
        <f>+K20</f>
        <v>2.7958713297925644</v>
      </c>
      <c r="L43" s="177"/>
      <c r="M43" s="177">
        <v>6</v>
      </c>
      <c r="N43" s="180"/>
      <c r="O43" s="180">
        <f>+O20</f>
        <v>5.6603773584905657</v>
      </c>
      <c r="P43" s="180"/>
      <c r="Q43" s="180">
        <f>+Q20</f>
        <v>5.6603773584905657</v>
      </c>
      <c r="R43" s="180"/>
      <c r="S43" s="180">
        <f>+S20</f>
        <v>8.5059320329780821</v>
      </c>
      <c r="T43" s="181"/>
      <c r="U43" s="144"/>
    </row>
    <row r="44" spans="1:21" ht="15.75" x14ac:dyDescent="0.25">
      <c r="A44" s="144">
        <f t="shared" si="0"/>
        <v>-35</v>
      </c>
      <c r="B44" s="174"/>
      <c r="C44" s="179"/>
      <c r="D44" s="179"/>
      <c r="E44" s="210"/>
      <c r="F44" s="179"/>
      <c r="G44" s="210"/>
      <c r="H44" s="179"/>
      <c r="I44" s="210"/>
      <c r="J44" s="179"/>
      <c r="K44" s="210"/>
      <c r="L44" s="210"/>
      <c r="M44" s="210"/>
      <c r="N44" s="182"/>
      <c r="O44" s="182"/>
      <c r="P44" s="182"/>
      <c r="Q44" s="182"/>
      <c r="R44" s="182"/>
      <c r="S44" s="182"/>
      <c r="T44" s="182"/>
      <c r="U44" s="144"/>
    </row>
    <row r="45" spans="1:21" ht="15.75" x14ac:dyDescent="0.25">
      <c r="A45" s="144">
        <f t="shared" si="0"/>
        <v>-36</v>
      </c>
      <c r="B45" s="175" t="s">
        <v>144</v>
      </c>
      <c r="C45" s="179"/>
      <c r="D45" s="179"/>
      <c r="E45" s="178">
        <f>+E41-E43</f>
        <v>94.396465153645309</v>
      </c>
      <c r="F45" s="179"/>
      <c r="G45" s="178">
        <f>+G41-G43</f>
        <v>100</v>
      </c>
      <c r="H45" s="179"/>
      <c r="I45" s="178">
        <f>+I41-I43</f>
        <v>100</v>
      </c>
      <c r="J45" s="179"/>
      <c r="K45" s="178">
        <f>+K41-K43</f>
        <v>97.204128670207439</v>
      </c>
      <c r="L45" s="178"/>
      <c r="M45" s="178">
        <f>+M41-M43</f>
        <v>94</v>
      </c>
      <c r="N45" s="181"/>
      <c r="O45" s="181">
        <f>+O41-O43</f>
        <v>94.339622641509436</v>
      </c>
      <c r="P45" s="181"/>
      <c r="Q45" s="181">
        <f>+Q41-Q43</f>
        <v>94.339622641509436</v>
      </c>
      <c r="R45" s="181"/>
      <c r="S45" s="181">
        <f>+S41-S43</f>
        <v>91.49406796702192</v>
      </c>
      <c r="T45" s="181"/>
      <c r="U45" s="184" t="s">
        <v>145</v>
      </c>
    </row>
    <row r="46" spans="1:21" ht="15.75" x14ac:dyDescent="0.25">
      <c r="A46" s="144">
        <f t="shared" si="0"/>
        <v>-37</v>
      </c>
      <c r="B46" s="175"/>
      <c r="C46" s="179"/>
      <c r="D46" s="179"/>
      <c r="E46" s="178"/>
      <c r="F46" s="179"/>
      <c r="G46" s="178"/>
      <c r="H46" s="179"/>
      <c r="I46" s="178"/>
      <c r="J46" s="179"/>
      <c r="K46" s="178"/>
      <c r="L46" s="178"/>
      <c r="M46" s="178"/>
      <c r="N46" s="181"/>
      <c r="O46" s="181"/>
      <c r="P46" s="181"/>
      <c r="Q46" s="181"/>
      <c r="R46" s="181"/>
      <c r="S46" s="181"/>
      <c r="T46" s="181"/>
      <c r="U46" s="144"/>
    </row>
    <row r="47" spans="1:21" ht="15.75" x14ac:dyDescent="0.25">
      <c r="A47" s="144">
        <f t="shared" si="0"/>
        <v>-38</v>
      </c>
      <c r="B47" s="175" t="s">
        <v>108</v>
      </c>
      <c r="C47" s="179"/>
      <c r="D47" s="179"/>
      <c r="E47" s="211">
        <v>7.0000000000000007E-2</v>
      </c>
      <c r="F47" s="179"/>
      <c r="G47" s="211">
        <v>8.2500000000000004E-2</v>
      </c>
      <c r="H47" s="179"/>
      <c r="I47" s="211">
        <v>8.2500000000000004E-2</v>
      </c>
      <c r="J47" s="179"/>
      <c r="K47" s="211">
        <v>7.0000000000000007E-2</v>
      </c>
      <c r="L47" s="211"/>
      <c r="M47" s="211">
        <v>0.06</v>
      </c>
      <c r="N47" s="212"/>
      <c r="O47" s="212">
        <v>0.06</v>
      </c>
      <c r="P47" s="212"/>
      <c r="Q47" s="212">
        <v>0.06</v>
      </c>
      <c r="R47" s="212"/>
      <c r="S47" s="212">
        <v>0.06</v>
      </c>
      <c r="T47" s="213"/>
      <c r="U47" s="144"/>
    </row>
    <row r="48" spans="1:21" ht="15.75" x14ac:dyDescent="0.25">
      <c r="A48" s="144">
        <f t="shared" si="0"/>
        <v>-39</v>
      </c>
      <c r="B48" s="191"/>
      <c r="C48" s="179"/>
      <c r="D48" s="179"/>
      <c r="E48" s="210"/>
      <c r="F48" s="179"/>
      <c r="G48" s="210"/>
      <c r="H48" s="179"/>
      <c r="I48" s="210"/>
      <c r="J48" s="179"/>
      <c r="K48" s="210"/>
      <c r="L48" s="210"/>
      <c r="M48" s="210"/>
      <c r="N48" s="182"/>
      <c r="O48" s="182"/>
      <c r="P48" s="182"/>
      <c r="Q48" s="182"/>
      <c r="R48" s="182"/>
      <c r="S48" s="182"/>
      <c r="T48" s="182"/>
      <c r="U48" s="144"/>
    </row>
    <row r="49" spans="1:21" ht="16.5" thickBot="1" x14ac:dyDescent="0.3">
      <c r="A49" s="144">
        <f t="shared" si="0"/>
        <v>-40</v>
      </c>
      <c r="B49" s="174" t="s">
        <v>146</v>
      </c>
      <c r="C49" s="179"/>
      <c r="D49" s="179"/>
      <c r="E49" s="214">
        <f>+E45*E47</f>
        <v>6.6077525607551726</v>
      </c>
      <c r="F49" s="179"/>
      <c r="G49" s="214">
        <f>+G45*G47</f>
        <v>8.25</v>
      </c>
      <c r="H49" s="179"/>
      <c r="I49" s="214">
        <f>+I45*I47</f>
        <v>8.25</v>
      </c>
      <c r="J49" s="179"/>
      <c r="K49" s="214">
        <f>+K45*K47</f>
        <v>6.8042890069145212</v>
      </c>
      <c r="L49" s="214"/>
      <c r="M49" s="202">
        <f>+M45*M47</f>
        <v>5.64</v>
      </c>
      <c r="N49" s="215"/>
      <c r="O49" s="215">
        <f>+O45*O47</f>
        <v>5.6603773584905657</v>
      </c>
      <c r="P49" s="215"/>
      <c r="Q49" s="215">
        <f>+Q45*Q47</f>
        <v>5.6603773584905657</v>
      </c>
      <c r="R49" s="215"/>
      <c r="S49" s="215">
        <f>+S45*S47</f>
        <v>5.4896440780213149</v>
      </c>
      <c r="T49" s="181"/>
      <c r="U49" s="184" t="s">
        <v>147</v>
      </c>
    </row>
    <row r="50" spans="1:21" ht="15.75" thickTop="1" x14ac:dyDescent="0.25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4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9" orientation="portrait" r:id="rId1"/>
  <headerFooter scaleWithDoc="0">
    <oddHeader>&amp;R&amp;"Times New Roman,Bold"&amp;12Attachment to Response to Question No. 5 (a-d)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Feb16</vt:lpstr>
      <vt:lpstr>Tab 2 - ECC Feb16</vt:lpstr>
      <vt:lpstr>Tab 3 - Tax Rate</vt:lpstr>
      <vt:lpstr>'Tab 1 - ROR Feb16'!Print_Area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2016-07-20T15:06:49Z</dcterms:created>
  <dcterms:modified xsi:type="dcterms:W3CDTF">2016-07-27T14:41:11Z</dcterms:modified>
  <cp:category/>
  <cp:contentStatus/>
</cp:coreProperties>
</file>