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4425" windowWidth="19260" windowHeight="3870" tabRatio="777"/>
  </bookViews>
  <sheets>
    <sheet name="Q1-Q2 KU Over-Under Calc" sheetId="2" r:id="rId1"/>
    <sheet name="Q2 KU Summary Over-Under" sheetId="3" r:id="rId2"/>
    <sheet name="Q1 - KU ROR Feb16" sheetId="4" r:id="rId3"/>
    <sheet name="Q1 - KU ECC Feb16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2">'Q1 - KU ROR Feb16'!$A$1:$S$37</definedName>
    <definedName name="_xlnm.Print_Area" localSheetId="0">'Q1-Q2 KU Over-Under Calc'!$A$1:$I$15,'Q1-Q2 KU Over-Under Calc'!$K$1:$S$15,'Q1-Q2 KU Over-Under Calc'!$U$1:$AC$15,'Q1-Q2 KU Over-Under Calc'!$AE$1:$AO$15</definedName>
    <definedName name="_xlnm.Print_Area" localSheetId="1">'Q2 KU Summary Over-Under'!$A$1:$J$43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X9" i="2" l="1"/>
  <c r="X10" i="2"/>
  <c r="X11" i="2"/>
  <c r="X12" i="2"/>
  <c r="X13" i="2"/>
  <c r="X8" i="2"/>
  <c r="J70" i="5"/>
  <c r="O67" i="5"/>
  <c r="M67" i="5"/>
  <c r="J67" i="5"/>
  <c r="F67" i="5"/>
  <c r="H64" i="5"/>
  <c r="Q64" i="5" s="1"/>
  <c r="T64" i="5" s="1"/>
  <c r="T63" i="5"/>
  <c r="H63" i="5"/>
  <c r="Q63" i="5" s="1"/>
  <c r="T62" i="5"/>
  <c r="H62" i="5"/>
  <c r="Q62" i="5" s="1"/>
  <c r="Q67" i="5" s="1"/>
  <c r="T67" i="5" s="1"/>
  <c r="P30" i="4" s="1"/>
  <c r="J51" i="5"/>
  <c r="Q49" i="5"/>
  <c r="T49" i="5" s="1"/>
  <c r="O49" i="5"/>
  <c r="M49" i="5"/>
  <c r="J49" i="5"/>
  <c r="H49" i="5"/>
  <c r="F49" i="5"/>
  <c r="O45" i="5"/>
  <c r="O51" i="5" s="1"/>
  <c r="O70" i="5" s="1"/>
  <c r="M45" i="5"/>
  <c r="M51" i="5" s="1"/>
  <c r="M70" i="5" s="1"/>
  <c r="J45" i="5"/>
  <c r="F45" i="5"/>
  <c r="F51" i="5" s="1"/>
  <c r="F70" i="5" s="1"/>
  <c r="Q43" i="5"/>
  <c r="Q42" i="5"/>
  <c r="Q40" i="5"/>
  <c r="T40" i="5" s="1"/>
  <c r="T39" i="5"/>
  <c r="Q39" i="5"/>
  <c r="H38" i="5"/>
  <c r="Q38" i="5" s="1"/>
  <c r="T38" i="5" s="1"/>
  <c r="Q37" i="5"/>
  <c r="T37" i="5" s="1"/>
  <c r="Q36" i="5"/>
  <c r="T36" i="5" s="1"/>
  <c r="H35" i="5"/>
  <c r="Q35" i="5" s="1"/>
  <c r="T35" i="5" s="1"/>
  <c r="T34" i="5"/>
  <c r="Q34" i="5"/>
  <c r="Q33" i="5"/>
  <c r="T33" i="5" s="1"/>
  <c r="H32" i="5"/>
  <c r="Q32" i="5" s="1"/>
  <c r="T32" i="5" s="1"/>
  <c r="Q31" i="5"/>
  <c r="T31" i="5" s="1"/>
  <c r="H30" i="5"/>
  <c r="Q30" i="5" s="1"/>
  <c r="T30" i="5" s="1"/>
  <c r="T29" i="5"/>
  <c r="Q29" i="5"/>
  <c r="H28" i="5"/>
  <c r="Q28" i="5" s="1"/>
  <c r="T28" i="5" s="1"/>
  <c r="Q27" i="5"/>
  <c r="T27" i="5" s="1"/>
  <c r="Q26" i="5"/>
  <c r="T26" i="5" s="1"/>
  <c r="H26" i="5"/>
  <c r="Q23" i="5"/>
  <c r="Q22" i="5"/>
  <c r="T22" i="5" s="1"/>
  <c r="H22" i="5"/>
  <c r="H21" i="5"/>
  <c r="Q21" i="5" s="1"/>
  <c r="T21" i="5" s="1"/>
  <c r="H20" i="5"/>
  <c r="Q20" i="5" s="1"/>
  <c r="T20" i="5" s="1"/>
  <c r="H19" i="5"/>
  <c r="Q19" i="5" s="1"/>
  <c r="T19" i="5" s="1"/>
  <c r="Q18" i="5"/>
  <c r="T18" i="5" s="1"/>
  <c r="H18" i="5"/>
  <c r="H17" i="5"/>
  <c r="Q17" i="5" s="1"/>
  <c r="T17" i="5" s="1"/>
  <c r="H16" i="5"/>
  <c r="Q16" i="5" s="1"/>
  <c r="T16" i="5" s="1"/>
  <c r="H15" i="5"/>
  <c r="Q15" i="5" s="1"/>
  <c r="T15" i="5" s="1"/>
  <c r="Q14" i="5"/>
  <c r="T14" i="5" s="1"/>
  <c r="H14" i="5"/>
  <c r="H13" i="5"/>
  <c r="Q13" i="5" s="1"/>
  <c r="T13" i="5" s="1"/>
  <c r="H12" i="5"/>
  <c r="H45" i="5" s="1"/>
  <c r="H51" i="5" s="1"/>
  <c r="P18" i="4"/>
  <c r="H18" i="4"/>
  <c r="P17" i="4"/>
  <c r="C17" i="4"/>
  <c r="C16" i="4"/>
  <c r="C19" i="4" s="1"/>
  <c r="F16" i="4" s="1"/>
  <c r="H70" i="5" l="1"/>
  <c r="J16" i="4"/>
  <c r="F17" i="4"/>
  <c r="J17" i="4" s="1"/>
  <c r="L17" i="4" s="1"/>
  <c r="N17" i="4" s="1"/>
  <c r="R17" i="4" s="1"/>
  <c r="C31" i="4" s="1"/>
  <c r="H67" i="5"/>
  <c r="Q12" i="5"/>
  <c r="T12" i="5" l="1"/>
  <c r="Q45" i="5"/>
  <c r="J18" i="4"/>
  <c r="L18" i="4" s="1"/>
  <c r="N18" i="4" s="1"/>
  <c r="R18" i="4" s="1"/>
  <c r="C32" i="4" s="1"/>
  <c r="L16" i="4"/>
  <c r="F18" i="4"/>
  <c r="F19" i="4"/>
  <c r="T45" i="5" l="1"/>
  <c r="Q51" i="5"/>
  <c r="L19" i="4"/>
  <c r="N16" i="4"/>
  <c r="N19" i="4" l="1"/>
  <c r="R16" i="4"/>
  <c r="Q70" i="5"/>
  <c r="T70" i="5" s="1"/>
  <c r="T51" i="5"/>
  <c r="P31" i="4" s="1"/>
  <c r="R19" i="4" l="1"/>
  <c r="C30" i="4"/>
  <c r="C33" i="4" l="1"/>
  <c r="F31" i="4" s="1"/>
  <c r="J31" i="4" l="1"/>
  <c r="H31" i="4"/>
  <c r="F30" i="4"/>
  <c r="J30" i="4" l="1"/>
  <c r="J32" i="4" s="1"/>
  <c r="H30" i="4"/>
  <c r="F32" i="4"/>
  <c r="F33" i="4"/>
  <c r="L31" i="4"/>
  <c r="H32" i="4" l="1"/>
  <c r="L32" i="4" s="1"/>
  <c r="L30" i="4"/>
  <c r="L33" i="4" l="1"/>
  <c r="N31" i="4" s="1"/>
  <c r="R31" i="4" s="1"/>
  <c r="N30" i="4" l="1"/>
  <c r="R30" i="4" l="1"/>
  <c r="R33" i="4" s="1"/>
  <c r="R34" i="4" s="1"/>
  <c r="N32" i="4"/>
  <c r="R32" i="4" s="1"/>
  <c r="N33" i="4" l="1"/>
  <c r="V9" i="2" l="1"/>
  <c r="V10" i="2"/>
  <c r="V11" i="2"/>
  <c r="V12" i="2"/>
  <c r="V13" i="2"/>
  <c r="V8" i="2"/>
  <c r="P9" i="2"/>
  <c r="P10" i="2"/>
  <c r="P11" i="2"/>
  <c r="P12" i="2"/>
  <c r="P13" i="2"/>
  <c r="P8" i="2"/>
  <c r="F18" i="3" l="1"/>
  <c r="B10" i="3" l="1"/>
  <c r="B24" i="3" s="1"/>
  <c r="C10" i="3"/>
  <c r="C24" i="3" s="1"/>
  <c r="D10" i="3"/>
  <c r="I10" i="3"/>
  <c r="B11" i="3"/>
  <c r="B25" i="3" s="1"/>
  <c r="C11" i="3"/>
  <c r="C25" i="3" s="1"/>
  <c r="D11" i="3"/>
  <c r="I11" i="3"/>
  <c r="B12" i="3"/>
  <c r="B26" i="3" s="1"/>
  <c r="C12" i="3"/>
  <c r="C26" i="3" s="1"/>
  <c r="D12" i="3"/>
  <c r="I12" i="3"/>
  <c r="B13" i="3"/>
  <c r="B27" i="3" s="1"/>
  <c r="C13" i="3"/>
  <c r="C27" i="3" s="1"/>
  <c r="D13" i="3"/>
  <c r="I13" i="3"/>
  <c r="B14" i="3"/>
  <c r="B28" i="3" s="1"/>
  <c r="C14" i="3"/>
  <c r="C28" i="3" s="1"/>
  <c r="D14" i="3"/>
  <c r="I14" i="3"/>
  <c r="I9" i="3"/>
  <c r="D9" i="3"/>
  <c r="C9" i="3"/>
  <c r="C23" i="3" s="1"/>
  <c r="B9" i="3"/>
  <c r="B23" i="3" s="1"/>
  <c r="C18" i="3" l="1"/>
  <c r="D18" i="3" s="1"/>
  <c r="E18" i="3" s="1"/>
  <c r="C5" i="3"/>
  <c r="D5" i="3" s="1"/>
  <c r="E5" i="3" s="1"/>
  <c r="F5" i="3" s="1"/>
  <c r="G5" i="3" s="1"/>
  <c r="H5" i="3" s="1"/>
  <c r="I5" i="3" s="1"/>
  <c r="J5" i="3" s="1"/>
  <c r="AN14" i="2" l="1"/>
  <c r="AM14" i="2" l="1"/>
  <c r="AK14" i="2"/>
  <c r="AL13" i="2"/>
  <c r="W13" i="2"/>
  <c r="Z13" i="2" s="1"/>
  <c r="AA13" i="2"/>
  <c r="N13" i="2"/>
  <c r="E14" i="3" s="1"/>
  <c r="F14" i="3" s="1"/>
  <c r="M13" i="2"/>
  <c r="L13" i="2"/>
  <c r="U13" i="2" s="1"/>
  <c r="AE13" i="2" s="1"/>
  <c r="K13" i="2"/>
  <c r="AL12" i="2"/>
  <c r="W12" i="2"/>
  <c r="Z12" i="2" s="1"/>
  <c r="AA12" i="2"/>
  <c r="N12" i="2"/>
  <c r="E13" i="3" s="1"/>
  <c r="F13" i="3" s="1"/>
  <c r="M12" i="2"/>
  <c r="L12" i="2"/>
  <c r="U12" i="2" s="1"/>
  <c r="AE12" i="2" s="1"/>
  <c r="K12" i="2"/>
  <c r="AL11" i="2"/>
  <c r="W11" i="2"/>
  <c r="Z11" i="2" s="1"/>
  <c r="AA11" i="2"/>
  <c r="N11" i="2"/>
  <c r="E12" i="3" s="1"/>
  <c r="F12" i="3" s="1"/>
  <c r="M11" i="2"/>
  <c r="L11" i="2"/>
  <c r="U11" i="2" s="1"/>
  <c r="AE11" i="2" s="1"/>
  <c r="K11" i="2"/>
  <c r="AL10" i="2"/>
  <c r="W10" i="2"/>
  <c r="Z10" i="2" s="1"/>
  <c r="N10" i="2"/>
  <c r="E11" i="3" s="1"/>
  <c r="F11" i="3" s="1"/>
  <c r="M10" i="2"/>
  <c r="L10" i="2"/>
  <c r="U10" i="2" s="1"/>
  <c r="AE10" i="2" s="1"/>
  <c r="K10" i="2"/>
  <c r="AL9" i="2"/>
  <c r="W9" i="2"/>
  <c r="Z9" i="2" s="1"/>
  <c r="N9" i="2"/>
  <c r="E10" i="3" s="1"/>
  <c r="F10" i="3" s="1"/>
  <c r="M9" i="2"/>
  <c r="L9" i="2"/>
  <c r="U9" i="2" s="1"/>
  <c r="AE9" i="2" s="1"/>
  <c r="K9" i="2"/>
  <c r="AL8" i="2"/>
  <c r="W8" i="2"/>
  <c r="Z8" i="2" s="1"/>
  <c r="AA8" i="2"/>
  <c r="N8" i="2"/>
  <c r="E9" i="3" s="1"/>
  <c r="F9" i="3" s="1"/>
  <c r="M8" i="2"/>
  <c r="L8" i="2"/>
  <c r="U8" i="2" s="1"/>
  <c r="AE8" i="2" s="1"/>
  <c r="K8" i="2"/>
  <c r="F10" i="2" l="1"/>
  <c r="G10" i="2" s="1"/>
  <c r="I10" i="2" s="1"/>
  <c r="G11" i="3"/>
  <c r="H11" i="3" s="1"/>
  <c r="J11" i="3" s="1"/>
  <c r="E25" i="3" s="1"/>
  <c r="F11" i="2"/>
  <c r="G11" i="2" s="1"/>
  <c r="I11" i="2" s="1"/>
  <c r="G12" i="3"/>
  <c r="H12" i="3" s="1"/>
  <c r="J12" i="3" s="1"/>
  <c r="E26" i="3" s="1"/>
  <c r="F8" i="2"/>
  <c r="G8" i="2" s="1"/>
  <c r="G9" i="3"/>
  <c r="H9" i="3" s="1"/>
  <c r="F12" i="2"/>
  <c r="G12" i="2" s="1"/>
  <c r="I12" i="2" s="1"/>
  <c r="G13" i="3"/>
  <c r="H13" i="3" s="1"/>
  <c r="J13" i="3" s="1"/>
  <c r="E27" i="3" s="1"/>
  <c r="F9" i="2"/>
  <c r="G9" i="2" s="1"/>
  <c r="I9" i="2" s="1"/>
  <c r="G10" i="3"/>
  <c r="H10" i="3" s="1"/>
  <c r="J10" i="3" s="1"/>
  <c r="E24" i="3" s="1"/>
  <c r="F13" i="2"/>
  <c r="G13" i="2" s="1"/>
  <c r="I13" i="2" s="1"/>
  <c r="G14" i="3"/>
  <c r="H14" i="3" s="1"/>
  <c r="J14" i="3" s="1"/>
  <c r="E28" i="3" s="1"/>
  <c r="O11" i="2"/>
  <c r="Q11" i="2" s="1"/>
  <c r="S11" i="2" s="1"/>
  <c r="O9" i="2"/>
  <c r="Q9" i="2" s="1"/>
  <c r="S9" i="2" s="1"/>
  <c r="O8" i="2"/>
  <c r="Q8" i="2" s="1"/>
  <c r="S8" i="2" s="1"/>
  <c r="AB11" i="2"/>
  <c r="AF11" i="2" s="1"/>
  <c r="AH11" i="2" s="1"/>
  <c r="AO11" i="2" s="1"/>
  <c r="D26" i="3" s="1"/>
  <c r="AB8" i="2"/>
  <c r="AF8" i="2" s="1"/>
  <c r="AH8" i="2" s="1"/>
  <c r="AO8" i="2" s="1"/>
  <c r="D23" i="3" s="1"/>
  <c r="O10" i="2"/>
  <c r="Q10" i="2" s="1"/>
  <c r="S10" i="2" s="1"/>
  <c r="O12" i="2"/>
  <c r="Q12" i="2" s="1"/>
  <c r="S12" i="2" s="1"/>
  <c r="AB12" i="2"/>
  <c r="AF12" i="2" s="1"/>
  <c r="AH12" i="2" s="1"/>
  <c r="AO12" i="2" s="1"/>
  <c r="D27" i="3" s="1"/>
  <c r="I8" i="2"/>
  <c r="O13" i="2"/>
  <c r="Q13" i="2" s="1"/>
  <c r="S13" i="2" s="1"/>
  <c r="AB13" i="2"/>
  <c r="AF13" i="2" s="1"/>
  <c r="AH13" i="2" s="1"/>
  <c r="AO13" i="2" s="1"/>
  <c r="D28" i="3" s="1"/>
  <c r="AA9" i="2"/>
  <c r="AB9" i="2" s="1"/>
  <c r="AF9" i="2" s="1"/>
  <c r="AH9" i="2" s="1"/>
  <c r="AO9" i="2" s="1"/>
  <c r="D24" i="3" s="1"/>
  <c r="AA10" i="2"/>
  <c r="AB10" i="2" s="1"/>
  <c r="AF10" i="2" s="1"/>
  <c r="AH10" i="2" s="1"/>
  <c r="AO10" i="2" s="1"/>
  <c r="D25" i="3" s="1"/>
  <c r="I14" i="2" l="1"/>
  <c r="F24" i="3"/>
  <c r="G14" i="2"/>
  <c r="F26" i="3"/>
  <c r="F27" i="3"/>
  <c r="F25" i="3"/>
  <c r="D29" i="3"/>
  <c r="H35" i="3" s="1"/>
  <c r="J9" i="3"/>
  <c r="H15" i="3"/>
  <c r="F28" i="3"/>
  <c r="Q14" i="2"/>
  <c r="AO14" i="2"/>
  <c r="AH14" i="2"/>
  <c r="S14" i="2"/>
  <c r="J15" i="3" l="1"/>
  <c r="E23" i="3"/>
  <c r="E29" i="3" l="1"/>
  <c r="G37" i="3" s="1"/>
  <c r="F23" i="3"/>
  <c r="F29" i="3" s="1"/>
  <c r="G38" i="3" s="1"/>
  <c r="K3" i="2" l="1"/>
  <c r="H40" i="3" l="1"/>
  <c r="H42" i="3" s="1"/>
</calcChain>
</file>

<file path=xl/sharedStrings.xml><?xml version="1.0" encoding="utf-8"?>
<sst xmlns="http://schemas.openxmlformats.org/spreadsheetml/2006/main" count="323" uniqueCount="195">
  <si>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</si>
  <si>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</si>
  <si>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</si>
  <si>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</si>
  <si>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</si>
  <si>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</si>
  <si>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</si>
  <si>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</si>
  <si>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</si>
  <si>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</si>
  <si>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</si>
  <si>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</si>
  <si>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</si>
  <si>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</si>
  <si>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</si>
  <si>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</si>
  <si>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</si>
  <si>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</si>
  <si>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</si>
  <si>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</si>
  <si>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</si>
  <si>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</si>
  <si>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</si>
  <si>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</si>
  <si>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</si>
  <si>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</si>
  <si>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</si>
  <si>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</si>
  <si>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</si>
  <si>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</si>
  <si>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</si>
  <si>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</si>
  <si>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</si>
  <si>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</si>
  <si>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</si>
  <si>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(3) * (6)  / 12</t>
  </si>
  <si>
    <t>Operating Expenses (net of allowance proceeds)</t>
  </si>
  <si>
    <t>ES Form 1.10</t>
  </si>
  <si>
    <t>Comments: As Revised in This Review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</si>
  <si>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</si>
  <si>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</si>
  <si>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</si>
  <si>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</si>
  <si>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</si>
  <si>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</si>
  <si>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</si>
  <si>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</si>
  <si>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</si>
  <si>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</si>
  <si>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</si>
  <si>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</si>
  <si>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</si>
  <si>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</si>
  <si>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</si>
  <si>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</si>
  <si>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</si>
  <si>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</si>
  <si>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</si>
  <si>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</si>
  <si>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</si>
  <si>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</si>
  <si>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</si>
  <si>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</si>
  <si>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</si>
  <si>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</si>
  <si>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</si>
  <si>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</si>
  <si>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</si>
  <si>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</si>
  <si>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</si>
  <si>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</si>
  <si>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</si>
  <si>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Total for 6 months</t>
  </si>
  <si>
    <t>Rate of Return True-up as Originally Filed</t>
  </si>
  <si>
    <t>Due to Change in ROR in Current 6-month Period</t>
  </si>
  <si>
    <t>Page 1 of 3</t>
  </si>
  <si>
    <t>Page 2 of 3</t>
  </si>
  <si>
    <t>Page 3 of 3</t>
  </si>
  <si>
    <t>Attachment to Response to Question No. 1</t>
  </si>
  <si>
    <t>Attachment to Response to Question No. 2</t>
  </si>
  <si>
    <t>Summary Schedule for Expense Months September 2015 through February 2016</t>
  </si>
  <si>
    <t>Case No. 2015-00221</t>
  </si>
  <si>
    <t>KENTUCKY UTILITIES</t>
  </si>
  <si>
    <t>Adjusted Electric Rate of Return on Common Equity - ECR Plans</t>
  </si>
  <si>
    <t>As of February 29, 2016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</si>
  <si>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</si>
  <si>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</si>
  <si>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</si>
  <si>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</si>
  <si>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</si>
  <si>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</si>
  <si>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</si>
  <si>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</si>
  <si>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</si>
  <si>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</si>
  <si>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</si>
  <si>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</si>
  <si>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</si>
  <si>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02-29-16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</si>
  <si>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</si>
  <si>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</si>
  <si>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</si>
  <si>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</si>
  <si>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</si>
  <si>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</si>
  <si>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</si>
  <si>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</si>
  <si>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</si>
  <si>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</si>
  <si>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</si>
  <si>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</si>
  <si>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</si>
  <si>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</si>
  <si>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</si>
  <si>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</si>
  <si>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</si>
  <si>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</si>
  <si>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</si>
  <si>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</si>
  <si>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</si>
  <si>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</si>
  <si>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</si>
  <si>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</si>
  <si>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</si>
  <si>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</si>
  <si>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</si>
  <si>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</si>
  <si>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</si>
  <si>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</si>
  <si>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</si>
  <si>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</si>
  <si>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KENTUCKY UTILITIES COMPANY</t>
  </si>
  <si>
    <t>ANALYSIS OF THE EMBEDDED COST OF CAPITAL AT</t>
  </si>
  <si>
    <t>February, 29 2016</t>
  </si>
  <si>
    <t>USING AVERAGE DAILY BALANCES AND INTEREST RATES FOR ECR FILINGS</t>
  </si>
  <si>
    <t>LONG-TERM DEBT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</si>
  <si>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</si>
  <si>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</si>
  <si>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</si>
  <si>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</si>
  <si>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</si>
  <si>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</si>
  <si>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</si>
  <si>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</t>
  </si>
  <si>
    <t xml:space="preserve"> Issuance Exp/Discount</t>
  </si>
  <si>
    <t>Reacquired Debt</t>
  </si>
  <si>
    <t>and other fees</t>
  </si>
  <si>
    <t>Total</t>
  </si>
  <si>
    <t xml:space="preserve">  Cost  </t>
  </si>
  <si>
    <t>Pollution Control Bonds -</t>
  </si>
  <si>
    <t>Mercer Co. 2000 Series A</t>
  </si>
  <si>
    <t>*</t>
  </si>
  <si>
    <t>Carroll Co. 2002 Series A</t>
  </si>
  <si>
    <t>Carroll Co. 2002 Series B</t>
  </si>
  <si>
    <t>Muhlenberg Co. 2002 Series A</t>
  </si>
  <si>
    <t>Mercer Co. 2002 Series A</t>
  </si>
  <si>
    <t>Carroll Co. 2002 Series C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</si>
  <si>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</si>
  <si>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</si>
  <si>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</si>
  <si>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</si>
  <si>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</si>
  <si>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</si>
  <si>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</si>
  <si>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</si>
  <si>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</si>
  <si>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</si>
  <si>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</si>
  <si>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</si>
  <si>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</si>
  <si>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</si>
  <si>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</si>
  <si>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</si>
  <si>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</si>
  <si>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</si>
  <si>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Letter of Credit Facility</t>
  </si>
  <si>
    <t>Total External Debt</t>
  </si>
  <si>
    <t>Notes Payable to PPL</t>
  </si>
  <si>
    <t>Total Internal Debt</t>
  </si>
  <si>
    <t>SHORT-TERM DEBT</t>
  </si>
  <si>
    <t>Expense</t>
  </si>
  <si>
    <t>Loss</t>
  </si>
  <si>
    <t>Premium</t>
  </si>
  <si>
    <t>Notes Payable to Associated Company</t>
  </si>
  <si>
    <t>Revolving Credit Facility Payable</t>
  </si>
  <si>
    <t>Commercial Paper Program</t>
  </si>
  <si>
    <t>Varies</t>
  </si>
  <si>
    <t>Embedded Cost of Total Debt</t>
  </si>
  <si>
    <t>*  Composite rate at end of current month for Embedded Cost of Capital report and daily average rate for ECR filings.</t>
  </si>
  <si>
    <t>**  Debt discount shown on separate line.</t>
  </si>
  <si>
    <t>1  Call premium and debt expense is being amortized in accordance with ASC 980, Regulated Operations.</t>
  </si>
  <si>
    <t>2  Includes setup fees for Credit Facility amended January 29, 2016 with a term ending December 31, 2020.</t>
  </si>
  <si>
    <t>Page 1 of 4</t>
  </si>
  <si>
    <t>Page 2 of 4</t>
  </si>
  <si>
    <t>Garrett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</si>
</sst>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_);_(&quot;$&quot;* \(#,##0.00\);_(&quot;$&quot;* 0.00_);_(@_)"/>
    <numFmt numFmtId="168" formatCode="0_);\(0\)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_(* #,##0_);_(* \(#,##0\);_(* &quot;0&quot;_);_(@_)"/>
    <numFmt numFmtId="175" formatCode="_(&quot;$&quot;* #,##0_);_(&quot;$&quot;* \(#,##0\);_(&quot;$&quot;* &quot;0&quot;_);_(@_)"/>
    <numFmt numFmtId="176" formatCode="0.000%"/>
    <numFmt numFmtId="177" formatCode="0.000"/>
    <numFmt numFmtId="178" formatCode="0.00000%"/>
    <numFmt numFmtId="179" formatCode="mmmm\ d\,\ yyyy"/>
    <numFmt numFmtId="180" formatCode="mm/dd/yy_)"/>
    <numFmt numFmtId="181" formatCode="0.0000%"/>
    <numFmt numFmtId="182" formatCode="0.000_)"/>
    <numFmt numFmtId="183" formatCode="&quot;$&quot;#,##0"/>
    <numFmt numFmtId="184" formatCode="0.000000"/>
  </numFmts>
  <fonts count="8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9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9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16" fillId="6" borderId="18" applyNumberFormat="0" applyAlignment="0" applyProtection="0"/>
    <xf numFmtId="164" fontId="16" fillId="6" borderId="18" applyNumberFormat="0" applyAlignment="0" applyProtection="0"/>
    <xf numFmtId="0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0" fontId="28" fillId="35" borderId="24" applyNumberFormat="0" applyAlignment="0" applyProtection="0"/>
    <xf numFmtId="169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9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9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4" fontId="28" fillId="35" borderId="24" applyNumberFormat="0" applyAlignment="0" applyProtection="0"/>
    <xf numFmtId="169" fontId="29" fillId="45" borderId="25" applyNumberFormat="0" applyAlignment="0" applyProtection="0"/>
    <xf numFmtId="164" fontId="29" fillId="45" borderId="25" applyNumberFormat="0" applyAlignment="0" applyProtection="0"/>
    <xf numFmtId="169" fontId="29" fillId="45" borderId="25" applyNumberFormat="0" applyAlignment="0" applyProtection="0"/>
    <xf numFmtId="164" fontId="29" fillId="45" borderId="25" applyNumberFormat="0" applyAlignment="0" applyProtection="0"/>
    <xf numFmtId="0" fontId="29" fillId="45" borderId="25" applyNumberFormat="0" applyAlignment="0" applyProtection="0"/>
    <xf numFmtId="0" fontId="29" fillId="45" borderId="25" applyNumberFormat="0" applyAlignment="0" applyProtection="0"/>
    <xf numFmtId="0" fontId="29" fillId="45" borderId="25" applyNumberFormat="0" applyAlignment="0" applyProtection="0"/>
    <xf numFmtId="169" fontId="29" fillId="45" borderId="25" applyNumberFormat="0" applyAlignment="0" applyProtection="0"/>
    <xf numFmtId="169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9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29" fillId="45" borderId="25" applyNumberFormat="0" applyAlignment="0" applyProtection="0"/>
    <xf numFmtId="164" fontId="18" fillId="7" borderId="21" applyNumberFormat="0" applyAlignment="0" applyProtection="0"/>
    <xf numFmtId="164" fontId="18" fillId="7" borderId="21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69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69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" fillId="0" borderId="0" applyProtection="0"/>
    <xf numFmtId="0" fontId="4" fillId="0" borderId="0" applyProtection="0"/>
    <xf numFmtId="169" fontId="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39" fillId="0" borderId="0" applyProtection="0"/>
    <xf numFmtId="169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9" fontId="23" fillId="0" borderId="0" applyProtection="0"/>
    <xf numFmtId="0" fontId="23" fillId="0" borderId="0" applyProtection="0"/>
    <xf numFmtId="169" fontId="23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9" fontId="42" fillId="0" borderId="26" applyNumberFormat="0" applyFill="0" applyAlignment="0" applyProtection="0"/>
    <xf numFmtId="164" fontId="42" fillId="0" borderId="26" applyNumberFormat="0" applyFill="0" applyAlignment="0" applyProtection="0"/>
    <xf numFmtId="169" fontId="42" fillId="0" borderId="26" applyNumberFormat="0" applyFill="0" applyAlignment="0" applyProtection="0"/>
    <xf numFmtId="164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169" fontId="42" fillId="0" borderId="26" applyNumberFormat="0" applyFill="0" applyAlignment="0" applyProtection="0"/>
    <xf numFmtId="169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9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42" fillId="0" borderId="26" applyNumberFormat="0" applyFill="0" applyAlignment="0" applyProtection="0"/>
    <xf numFmtId="164" fontId="8" fillId="0" borderId="15" applyNumberFormat="0" applyFill="0" applyAlignment="0" applyProtection="0"/>
    <xf numFmtId="164" fontId="8" fillId="0" borderId="15" applyNumberFormat="0" applyFill="0" applyAlignment="0" applyProtection="0"/>
    <xf numFmtId="169" fontId="43" fillId="0" borderId="27" applyNumberFormat="0" applyFill="0" applyAlignment="0" applyProtection="0"/>
    <xf numFmtId="164" fontId="43" fillId="0" borderId="27" applyNumberFormat="0" applyFill="0" applyAlignment="0" applyProtection="0"/>
    <xf numFmtId="169" fontId="43" fillId="0" borderId="27" applyNumberFormat="0" applyFill="0" applyAlignment="0" applyProtection="0"/>
    <xf numFmtId="164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0" fontId="43" fillId="0" borderId="27" applyNumberFormat="0" applyFill="0" applyAlignment="0" applyProtection="0"/>
    <xf numFmtId="169" fontId="43" fillId="0" borderId="27" applyNumberFormat="0" applyFill="0" applyAlignment="0" applyProtection="0"/>
    <xf numFmtId="169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9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43" fillId="0" borderId="27" applyNumberFormat="0" applyFill="0" applyAlignment="0" applyProtection="0"/>
    <xf numFmtId="164" fontId="9" fillId="0" borderId="16" applyNumberFormat="0" applyFill="0" applyAlignment="0" applyProtection="0"/>
    <xf numFmtId="164" fontId="9" fillId="0" borderId="16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10" fillId="0" borderId="17" applyNumberFormat="0" applyFill="0" applyAlignment="0" applyProtection="0"/>
    <xf numFmtId="164" fontId="10" fillId="0" borderId="17" applyNumberFormat="0" applyFill="0" applyAlignment="0" applyProtection="0"/>
    <xf numFmtId="0" fontId="44" fillId="0" borderId="28" applyNumberFormat="0" applyFill="0" applyAlignment="0" applyProtection="0"/>
    <xf numFmtId="169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9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69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9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69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9" fontId="44" fillId="0" borderId="28" applyNumberFormat="0" applyFill="0" applyAlignment="0" applyProtection="0"/>
    <xf numFmtId="169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9" fontId="44" fillId="0" borderId="28" applyNumberFormat="0" applyFill="0" applyAlignment="0" applyProtection="0"/>
    <xf numFmtId="0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0" fontId="44" fillId="0" borderId="28" applyNumberFormat="0" applyFill="0" applyAlignment="0" applyProtection="0"/>
    <xf numFmtId="169" fontId="44" fillId="0" borderId="28" applyNumberFormat="0" applyFill="0" applyAlignment="0" applyProtection="0"/>
    <xf numFmtId="169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9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4" fontId="44" fillId="0" borderId="28" applyNumberFormat="0" applyFill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9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9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14" fillId="5" borderId="18" applyNumberFormat="0" applyAlignment="0" applyProtection="0"/>
    <xf numFmtId="164" fontId="14" fillId="5" borderId="18" applyNumberFormat="0" applyAlignment="0" applyProtection="0"/>
    <xf numFmtId="0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46" fillId="36" borderId="24" applyNumberFormat="0" applyAlignment="0" applyProtection="0"/>
    <xf numFmtId="169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9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9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164" fontId="46" fillId="36" borderId="24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69" fontId="47" fillId="47" borderId="0">
      <alignment horizontal="left"/>
    </xf>
    <xf numFmtId="169" fontId="48" fillId="0" borderId="29" applyNumberFormat="0" applyFill="0" applyAlignment="0" applyProtection="0"/>
    <xf numFmtId="164" fontId="48" fillId="0" borderId="29" applyNumberFormat="0" applyFill="0" applyAlignment="0" applyProtection="0"/>
    <xf numFmtId="169" fontId="48" fillId="0" borderId="29" applyNumberFormat="0" applyFill="0" applyAlignment="0" applyProtection="0"/>
    <xf numFmtId="164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169" fontId="48" fillId="0" borderId="29" applyNumberFormat="0" applyFill="0" applyAlignment="0" applyProtection="0"/>
    <xf numFmtId="169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9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48" fillId="0" borderId="29" applyNumberFormat="0" applyFill="0" applyAlignment="0" applyProtection="0"/>
    <xf numFmtId="164" fontId="17" fillId="0" borderId="20" applyNumberFormat="0" applyFill="0" applyAlignment="0" applyProtection="0"/>
    <xf numFmtId="164" fontId="17" fillId="0" borderId="20" applyNumberFormat="0" applyFill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69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69" fontId="23" fillId="0" borderId="0"/>
    <xf numFmtId="0" fontId="2" fillId="0" borderId="0"/>
    <xf numFmtId="169" fontId="23" fillId="0" borderId="0"/>
    <xf numFmtId="164" fontId="2" fillId="0" borderId="0"/>
    <xf numFmtId="169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169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" fillId="8" borderId="22" applyNumberFormat="0" applyFont="0" applyAlignment="0" applyProtection="0"/>
    <xf numFmtId="164" fontId="2" fillId="8" borderId="22" applyNumberFormat="0" applyFont="0" applyAlignment="0" applyProtection="0"/>
    <xf numFmtId="164" fontId="23" fillId="50" borderId="30" applyNumberFormat="0" applyFont="0" applyAlignment="0" applyProtection="0"/>
    <xf numFmtId="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" fillId="8" borderId="22" applyNumberFormat="0" applyFont="0" applyAlignment="0" applyProtection="0"/>
    <xf numFmtId="164" fontId="2" fillId="8" borderId="22" applyNumberFormat="0" applyFont="0" applyAlignment="0" applyProtection="0"/>
    <xf numFmtId="0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0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9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23" fillId="50" borderId="30" applyNumberFormat="0" applyFon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15" fillId="6" borderId="19" applyNumberFormat="0" applyAlignment="0" applyProtection="0"/>
    <xf numFmtId="164" fontId="15" fillId="6" borderId="19" applyNumberFormat="0" applyAlignment="0" applyProtection="0"/>
    <xf numFmtId="0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0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9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164" fontId="54" fillId="35" borderId="31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2"/>
    <xf numFmtId="0" fontId="47" fillId="51" borderId="32"/>
    <xf numFmtId="0" fontId="47" fillId="51" borderId="32"/>
    <xf numFmtId="169" fontId="47" fillId="51" borderId="32"/>
    <xf numFmtId="0" fontId="47" fillId="51" borderId="32"/>
    <xf numFmtId="164" fontId="57" fillId="51" borderId="32"/>
    <xf numFmtId="164" fontId="57" fillId="51" borderId="32"/>
    <xf numFmtId="164" fontId="57" fillId="51" borderId="32"/>
    <xf numFmtId="0" fontId="47" fillId="51" borderId="32"/>
    <xf numFmtId="169" fontId="47" fillId="51" borderId="32"/>
    <xf numFmtId="169" fontId="47" fillId="51" borderId="32"/>
    <xf numFmtId="164" fontId="57" fillId="51" borderId="32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69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69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69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69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3" fontId="23" fillId="52" borderId="33">
      <alignment horizontal="right"/>
    </xf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9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9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21" fillId="0" borderId="23" applyNumberFormat="0" applyFill="0" applyAlignment="0" applyProtection="0"/>
    <xf numFmtId="164" fontId="21" fillId="0" borderId="23" applyNumberFormat="0" applyFill="0" applyAlignment="0" applyProtection="0"/>
    <xf numFmtId="0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47" fillId="0" borderId="34" applyNumberFormat="0" applyFill="0" applyAlignment="0" applyProtection="0"/>
    <xf numFmtId="169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9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9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164" fontId="47" fillId="0" borderId="34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69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" fillId="0" borderId="0"/>
    <xf numFmtId="37" fontId="71" fillId="0" borderId="0"/>
    <xf numFmtId="37" fontId="71" fillId="0" borderId="0"/>
  </cellStyleXfs>
  <cellXfs count="312">
    <xf numFmtId="0" fontId="0" fillId="0" borderId="0" xfId="0"/>
    <xf numFmtId="0" fontId="5" fillId="0" borderId="0" xfId="0" quotePrefix="1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8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Alignment="1">
      <alignment horizontal="center" wrapText="1"/>
    </xf>
    <xf numFmtId="0" fontId="4" fillId="0" borderId="0" xfId="5" quotePrefix="1" applyFont="1" applyFill="1" applyAlignment="1">
      <alignment horizontal="center" wrapText="1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quotePrefix="1" applyFont="1" applyFill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Alignment="1">
      <alignment horizontal="center"/>
    </xf>
    <xf numFmtId="165" fontId="4" fillId="0" borderId="0" xfId="7" applyNumberFormat="1" applyFont="1" applyFill="1" applyBorder="1"/>
    <xf numFmtId="165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168" fontId="4" fillId="0" borderId="0" xfId="5" applyNumberFormat="1" applyFont="1" applyFill="1"/>
    <xf numFmtId="0" fontId="4" fillId="0" borderId="0" xfId="5" applyFont="1" applyFill="1" applyBorder="1" applyAlignment="1">
      <alignment horizontal="center" wrapText="1"/>
    </xf>
    <xf numFmtId="17" fontId="4" fillId="0" borderId="0" xfId="5" applyNumberFormat="1" applyFont="1" applyFill="1" applyBorder="1" applyAlignment="1" applyProtection="1">
      <alignment horizontal="center"/>
      <protection locked="0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 applyAlignment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3" xfId="5" applyFont="1" applyFill="1" applyBorder="1"/>
    <xf numFmtId="0" fontId="4" fillId="0" borderId="4" xfId="5" applyFont="1" applyFill="1" applyBorder="1"/>
    <xf numFmtId="165" fontId="4" fillId="0" borderId="5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0" fontId="4" fillId="0" borderId="6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4" fillId="0" borderId="7" xfId="5" applyFont="1" applyFill="1" applyBorder="1" applyAlignment="1">
      <alignment horizontal="center"/>
    </xf>
    <xf numFmtId="0" fontId="4" fillId="0" borderId="12" xfId="5" applyFont="1" applyFill="1" applyBorder="1"/>
    <xf numFmtId="0" fontId="4" fillId="0" borderId="13" xfId="5" applyFont="1" applyFill="1" applyBorder="1"/>
    <xf numFmtId="165" fontId="4" fillId="0" borderId="13" xfId="5" applyNumberFormat="1" applyFont="1" applyFill="1" applyBorder="1" applyAlignment="1">
      <alignment horizontal="right"/>
    </xf>
    <xf numFmtId="0" fontId="4" fillId="0" borderId="14" xfId="5" applyFont="1" applyFill="1" applyBorder="1"/>
    <xf numFmtId="165" fontId="4" fillId="0" borderId="0" xfId="5" applyNumberFormat="1" applyFont="1" applyFill="1" applyBorder="1" applyAlignment="1">
      <alignment horizontal="right"/>
    </xf>
    <xf numFmtId="17" fontId="4" fillId="0" borderId="1" xfId="5" applyNumberFormat="1" applyFont="1" applyFill="1" applyBorder="1" applyAlignment="1" applyProtection="1">
      <alignment horizontal="center"/>
      <protection locked="0"/>
    </xf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0" fontId="4" fillId="0" borderId="0" xfId="5" quotePrefix="1" applyFont="1" applyFill="1" applyAlignment="1">
      <alignment horizontal="center"/>
    </xf>
    <xf numFmtId="175" fontId="0" fillId="0" borderId="7" xfId="0" applyNumberFormat="1" applyFill="1" applyBorder="1"/>
    <xf numFmtId="175" fontId="0" fillId="0" borderId="0" xfId="0" applyNumberFormat="1" applyFill="1" applyBorder="1"/>
    <xf numFmtId="174" fontId="0" fillId="0" borderId="0" xfId="0" applyNumberFormat="1" applyFill="1" applyBorder="1"/>
    <xf numFmtId="174" fontId="0" fillId="0" borderId="1" xfId="0" applyNumberFormat="1" applyFill="1" applyBorder="1"/>
    <xf numFmtId="42" fontId="4" fillId="0" borderId="0" xfId="5" applyNumberFormat="1" applyFont="1" applyFill="1" applyAlignment="1">
      <alignment horizontal="center"/>
    </xf>
    <xf numFmtId="174" fontId="4" fillId="0" borderId="0" xfId="5" applyNumberFormat="1" applyFont="1" applyFill="1" applyAlignment="1">
      <alignment horizontal="center"/>
    </xf>
    <xf numFmtId="174" fontId="4" fillId="0" borderId="1" xfId="5" applyNumberFormat="1" applyFont="1" applyFill="1" applyBorder="1" applyAlignment="1">
      <alignment horizontal="center"/>
    </xf>
    <xf numFmtId="175" fontId="0" fillId="0" borderId="1" xfId="0" applyNumberFormat="1" applyFill="1" applyBorder="1"/>
    <xf numFmtId="0" fontId="69" fillId="0" borderId="0" xfId="0" applyFont="1" applyFill="1"/>
    <xf numFmtId="165" fontId="69" fillId="0" borderId="0" xfId="1" applyNumberFormat="1" applyFont="1" applyFill="1"/>
    <xf numFmtId="0" fontId="69" fillId="0" borderId="3" xfId="0" quotePrefix="1" applyFont="1" applyFill="1" applyBorder="1" applyAlignment="1">
      <alignment horizontal="center"/>
    </xf>
    <xf numFmtId="0" fontId="69" fillId="0" borderId="4" xfId="0" quotePrefix="1" applyFont="1" applyFill="1" applyBorder="1" applyAlignment="1">
      <alignment horizontal="center"/>
    </xf>
    <xf numFmtId="0" fontId="69" fillId="0" borderId="5" xfId="0" quotePrefix="1" applyFont="1" applyFill="1" applyBorder="1" applyAlignment="1">
      <alignment horizontal="center"/>
    </xf>
    <xf numFmtId="0" fontId="69" fillId="0" borderId="3" xfId="0" applyFont="1" applyFill="1" applyBorder="1" applyAlignment="1">
      <alignment horizontal="center"/>
    </xf>
    <xf numFmtId="0" fontId="69" fillId="0" borderId="4" xfId="0" applyFont="1" applyFill="1" applyBorder="1" applyAlignment="1">
      <alignment horizontal="center"/>
    </xf>
    <xf numFmtId="0" fontId="69" fillId="0" borderId="5" xfId="0" applyFont="1" applyFill="1" applyBorder="1" applyAlignment="1">
      <alignment horizontal="center"/>
    </xf>
    <xf numFmtId="0" fontId="69" fillId="0" borderId="6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69" fillId="0" borderId="7" xfId="0" quotePrefix="1" applyFont="1" applyFill="1" applyBorder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69" fillId="0" borderId="7" xfId="0" applyFont="1" applyFill="1" applyBorder="1" applyAlignment="1">
      <alignment horizontal="left" wrapText="1"/>
    </xf>
    <xf numFmtId="0" fontId="69" fillId="0" borderId="0" xfId="0" quotePrefix="1" applyFont="1" applyFill="1" applyBorder="1" applyAlignment="1">
      <alignment horizontal="center" wrapText="1"/>
    </xf>
    <xf numFmtId="0" fontId="69" fillId="0" borderId="7" xfId="0" applyFont="1" applyFill="1" applyBorder="1" applyAlignment="1">
      <alignment horizontal="center" wrapText="1"/>
    </xf>
    <xf numFmtId="165" fontId="69" fillId="0" borderId="0" xfId="1" applyNumberFormat="1" applyFont="1" applyFill="1" applyAlignment="1">
      <alignment horizontal="center" wrapText="1"/>
    </xf>
    <xf numFmtId="0" fontId="69" fillId="0" borderId="10" xfId="0" applyFont="1" applyFill="1" applyBorder="1"/>
    <xf numFmtId="0" fontId="69" fillId="0" borderId="1" xfId="0" applyFont="1" applyFill="1" applyBorder="1"/>
    <xf numFmtId="0" fontId="69" fillId="0" borderId="1" xfId="0" quotePrefix="1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/>
    </xf>
    <xf numFmtId="0" fontId="69" fillId="0" borderId="9" xfId="0" quotePrefix="1" applyFont="1" applyFill="1" applyBorder="1" applyAlignment="1">
      <alignment horizontal="center"/>
    </xf>
    <xf numFmtId="0" fontId="69" fillId="0" borderId="1" xfId="0" applyFont="1" applyFill="1" applyBorder="1" applyAlignment="1"/>
    <xf numFmtId="0" fontId="69" fillId="0" borderId="9" xfId="0" applyFont="1" applyFill="1" applyBorder="1"/>
    <xf numFmtId="0" fontId="69" fillId="0" borderId="1" xfId="0" quotePrefix="1" applyFont="1" applyFill="1" applyBorder="1" applyAlignment="1">
      <alignment horizontal="center" wrapText="1"/>
    </xf>
    <xf numFmtId="0" fontId="69" fillId="0" borderId="1" xfId="0" applyFont="1" applyBorder="1"/>
    <xf numFmtId="0" fontId="69" fillId="0" borderId="9" xfId="0" quotePrefix="1" applyFont="1" applyFill="1" applyBorder="1" applyAlignment="1">
      <alignment horizontal="center" wrapText="1"/>
    </xf>
    <xf numFmtId="164" fontId="69" fillId="0" borderId="8" xfId="0" applyNumberFormat="1" applyFont="1" applyFill="1" applyBorder="1" applyAlignment="1">
      <alignment horizontal="center"/>
    </xf>
    <xf numFmtId="164" fontId="69" fillId="0" borderId="2" xfId="0" applyNumberFormat="1" applyFont="1" applyFill="1" applyBorder="1" applyAlignment="1">
      <alignment horizontal="center"/>
    </xf>
    <xf numFmtId="10" fontId="69" fillId="0" borderId="2" xfId="3" applyNumberFormat="1" applyFont="1" applyFill="1" applyBorder="1" applyAlignment="1">
      <alignment horizontal="center"/>
    </xf>
    <xf numFmtId="42" fontId="69" fillId="0" borderId="0" xfId="1" applyNumberFormat="1" applyFont="1" applyFill="1" applyBorder="1"/>
    <xf numFmtId="166" fontId="69" fillId="0" borderId="0" xfId="0" applyNumberFormat="1" applyFont="1" applyFill="1" applyBorder="1"/>
    <xf numFmtId="175" fontId="69" fillId="0" borderId="2" xfId="2" applyNumberFormat="1" applyFont="1" applyFill="1" applyBorder="1"/>
    <xf numFmtId="175" fontId="69" fillId="0" borderId="11" xfId="2" applyNumberFormat="1" applyFont="1" applyFill="1" applyBorder="1"/>
    <xf numFmtId="166" fontId="69" fillId="0" borderId="2" xfId="0" applyNumberFormat="1" applyFont="1" applyFill="1" applyBorder="1"/>
    <xf numFmtId="175" fontId="69" fillId="0" borderId="2" xfId="0" applyNumberFormat="1" applyFont="1" applyFill="1" applyBorder="1"/>
    <xf numFmtId="10" fontId="69" fillId="0" borderId="2" xfId="0" applyNumberFormat="1" applyFont="1" applyFill="1" applyBorder="1" applyAlignment="1">
      <alignment horizontal="center"/>
    </xf>
    <xf numFmtId="175" fontId="69" fillId="0" borderId="11" xfId="0" applyNumberFormat="1" applyFont="1" applyFill="1" applyBorder="1"/>
    <xf numFmtId="164" fontId="69" fillId="0" borderId="6" xfId="0" applyNumberFormat="1" applyFont="1" applyFill="1" applyBorder="1"/>
    <xf numFmtId="10" fontId="69" fillId="0" borderId="0" xfId="0" applyNumberFormat="1" applyFont="1" applyFill="1" applyBorder="1" applyAlignment="1">
      <alignment horizontal="center"/>
    </xf>
    <xf numFmtId="0" fontId="69" fillId="0" borderId="7" xfId="0" applyFont="1" applyFill="1" applyBorder="1"/>
    <xf numFmtId="165" fontId="69" fillId="0" borderId="0" xfId="1" applyNumberFormat="1" applyFont="1" applyFill="1" applyBorder="1"/>
    <xf numFmtId="175" fontId="69" fillId="0" borderId="0" xfId="1" applyNumberFormat="1" applyFont="1" applyFill="1" applyBorder="1"/>
    <xf numFmtId="10" fontId="69" fillId="0" borderId="0" xfId="3" applyNumberFormat="1" applyFont="1" applyFill="1" applyBorder="1" applyAlignment="1">
      <alignment horizontal="center"/>
    </xf>
    <xf numFmtId="164" fontId="69" fillId="0" borderId="0" xfId="0" applyNumberFormat="1" applyFont="1" applyFill="1" applyBorder="1"/>
    <xf numFmtId="42" fontId="69" fillId="0" borderId="7" xfId="0" applyNumberFormat="1" applyFont="1" applyFill="1" applyBorder="1"/>
    <xf numFmtId="37" fontId="69" fillId="0" borderId="0" xfId="0" applyNumberFormat="1" applyFont="1" applyFill="1"/>
    <xf numFmtId="164" fontId="69" fillId="0" borderId="6" xfId="0" applyNumberFormat="1" applyFont="1" applyFill="1" applyBorder="1" applyAlignment="1">
      <alignment horizontal="center"/>
    </xf>
    <xf numFmtId="164" fontId="69" fillId="0" borderId="0" xfId="0" applyNumberFormat="1" applyFont="1" applyFill="1" applyBorder="1" applyAlignment="1">
      <alignment horizontal="center"/>
    </xf>
    <xf numFmtId="174" fontId="69" fillId="0" borderId="0" xfId="1" applyNumberFormat="1" applyFont="1" applyFill="1" applyBorder="1"/>
    <xf numFmtId="174" fontId="69" fillId="0" borderId="7" xfId="1" applyNumberFormat="1" applyFont="1" applyFill="1" applyBorder="1"/>
    <xf numFmtId="165" fontId="69" fillId="0" borderId="0" xfId="0" applyNumberFormat="1" applyFont="1" applyFill="1" applyBorder="1"/>
    <xf numFmtId="41" fontId="69" fillId="0" borderId="7" xfId="0" applyNumberFormat="1" applyFont="1" applyFill="1" applyBorder="1"/>
    <xf numFmtId="165" fontId="69" fillId="0" borderId="0" xfId="0" applyNumberFormat="1" applyFont="1" applyFill="1"/>
    <xf numFmtId="174" fontId="69" fillId="0" borderId="1" xfId="1" applyNumberFormat="1" applyFont="1" applyFill="1" applyBorder="1"/>
    <xf numFmtId="174" fontId="69" fillId="0" borderId="9" xfId="1" applyNumberFormat="1" applyFont="1" applyFill="1" applyBorder="1"/>
    <xf numFmtId="37" fontId="69" fillId="0" borderId="0" xfId="1" applyNumberFormat="1" applyFont="1" applyFill="1" applyBorder="1"/>
    <xf numFmtId="175" fontId="69" fillId="0" borderId="0" xfId="2" applyNumberFormat="1" applyFont="1" applyFill="1" applyBorder="1"/>
    <xf numFmtId="0" fontId="69" fillId="0" borderId="0" xfId="0" applyFont="1" applyFill="1" applyBorder="1"/>
    <xf numFmtId="175" fontId="69" fillId="0" borderId="7" xfId="2" applyNumberFormat="1" applyFont="1" applyFill="1" applyBorder="1"/>
    <xf numFmtId="0" fontId="69" fillId="0" borderId="6" xfId="0" applyFont="1" applyFill="1" applyBorder="1"/>
    <xf numFmtId="166" fontId="69" fillId="0" borderId="2" xfId="2" applyNumberFormat="1" applyFont="1" applyFill="1" applyBorder="1"/>
    <xf numFmtId="166" fontId="69" fillId="0" borderId="11" xfId="2" applyNumberFormat="1" applyFont="1" applyFill="1" applyBorder="1"/>
    <xf numFmtId="167" fontId="69" fillId="0" borderId="0" xfId="1" applyNumberFormat="1" applyFont="1" applyFill="1"/>
    <xf numFmtId="4" fontId="69" fillId="0" borderId="0" xfId="0" applyNumberFormat="1" applyFont="1" applyFill="1"/>
    <xf numFmtId="43" fontId="69" fillId="0" borderId="0" xfId="1" applyFont="1" applyFill="1" applyBorder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68" fillId="0" borderId="3" xfId="0" applyFont="1" applyFill="1" applyBorder="1"/>
    <xf numFmtId="0" fontId="69" fillId="0" borderId="4" xfId="0" applyFont="1" applyFill="1" applyBorder="1"/>
    <xf numFmtId="0" fontId="68" fillId="0" borderId="5" xfId="0" quotePrefix="1" applyFont="1" applyFill="1" applyBorder="1" applyAlignment="1">
      <alignment horizontal="right"/>
    </xf>
    <xf numFmtId="0" fontId="68" fillId="0" borderId="6" xfId="0" applyFont="1" applyFill="1" applyBorder="1"/>
    <xf numFmtId="0" fontId="68" fillId="0" borderId="7" xfId="0" quotePrefix="1" applyFont="1" applyFill="1" applyBorder="1" applyAlignment="1">
      <alignment horizontal="right"/>
    </xf>
    <xf numFmtId="0" fontId="68" fillId="0" borderId="7" xfId="0" applyFont="1" applyFill="1" applyBorder="1" applyAlignment="1">
      <alignment horizontal="right"/>
    </xf>
    <xf numFmtId="164" fontId="69" fillId="0" borderId="12" xfId="0" applyNumberFormat="1" applyFont="1" applyFill="1" applyBorder="1" applyAlignment="1">
      <alignment horizontal="center"/>
    </xf>
    <xf numFmtId="164" fontId="69" fillId="0" borderId="13" xfId="0" applyNumberFormat="1" applyFont="1" applyFill="1" applyBorder="1" applyAlignment="1">
      <alignment horizontal="center"/>
    </xf>
    <xf numFmtId="10" fontId="69" fillId="0" borderId="13" xfId="3" applyNumberFormat="1" applyFont="1" applyFill="1" applyBorder="1" applyAlignment="1">
      <alignment horizontal="center"/>
    </xf>
    <xf numFmtId="37" fontId="69" fillId="0" borderId="13" xfId="1" applyNumberFormat="1" applyFont="1" applyFill="1" applyBorder="1"/>
    <xf numFmtId="165" fontId="69" fillId="0" borderId="13" xfId="1" applyNumberFormat="1" applyFont="1" applyFill="1" applyBorder="1"/>
    <xf numFmtId="0" fontId="69" fillId="0" borderId="14" xfId="0" applyFont="1" applyFill="1" applyBorder="1"/>
    <xf numFmtId="165" fontId="69" fillId="0" borderId="13" xfId="0" applyNumberFormat="1" applyFont="1" applyFill="1" applyBorder="1"/>
    <xf numFmtId="10" fontId="69" fillId="0" borderId="13" xfId="0" applyNumberFormat="1" applyFont="1" applyFill="1" applyBorder="1" applyAlignment="1">
      <alignment horizontal="center"/>
    </xf>
    <xf numFmtId="0" fontId="68" fillId="0" borderId="6" xfId="0" quotePrefix="1" applyFont="1" applyFill="1" applyBorder="1" applyAlignment="1">
      <alignment horizontal="left"/>
    </xf>
    <xf numFmtId="0" fontId="69" fillId="0" borderId="12" xfId="0" applyFont="1" applyFill="1" applyBorder="1"/>
    <xf numFmtId="0" fontId="69" fillId="0" borderId="13" xfId="0" applyFont="1" applyFill="1" applyBorder="1"/>
    <xf numFmtId="0" fontId="68" fillId="0" borderId="4" xfId="0" applyFont="1" applyFill="1" applyBorder="1"/>
    <xf numFmtId="0" fontId="68" fillId="0" borderId="0" xfId="0" applyFont="1" applyFill="1" applyBorder="1"/>
    <xf numFmtId="0" fontId="5" fillId="0" borderId="0" xfId="0" applyFont="1" applyFill="1" applyAlignment="1">
      <alignment horizontal="right"/>
    </xf>
    <xf numFmtId="0" fontId="70" fillId="0" borderId="1" xfId="0" quotePrefix="1" applyFont="1" applyFill="1" applyBorder="1" applyAlignment="1">
      <alignment horizontal="center" wrapText="1"/>
    </xf>
    <xf numFmtId="37" fontId="72" fillId="0" borderId="0" xfId="57516" applyFont="1" applyAlignment="1">
      <alignment horizontal="left"/>
    </xf>
    <xf numFmtId="37" fontId="72" fillId="0" borderId="0" xfId="57516" applyFont="1"/>
    <xf numFmtId="37" fontId="73" fillId="0" borderId="0" xfId="57516" applyFont="1"/>
    <xf numFmtId="37" fontId="73" fillId="0" borderId="0" xfId="57516" applyFont="1" applyBorder="1"/>
    <xf numFmtId="37" fontId="74" fillId="0" borderId="0" xfId="57516" applyFont="1" applyAlignment="1">
      <alignment horizontal="centerContinuous"/>
    </xf>
    <xf numFmtId="37" fontId="74" fillId="0" borderId="0" xfId="57516" applyFont="1" applyAlignment="1">
      <alignment horizontal="left"/>
    </xf>
    <xf numFmtId="37" fontId="74" fillId="0" borderId="0" xfId="57516" applyFont="1" applyAlignment="1">
      <alignment horizontal="center"/>
    </xf>
    <xf numFmtId="37" fontId="74" fillId="0" borderId="0" xfId="57516" applyFont="1" applyAlignment="1"/>
    <xf numFmtId="37" fontId="72" fillId="0" borderId="0" xfId="57516" applyFont="1" applyAlignment="1">
      <alignment horizontal="centerContinuous"/>
    </xf>
    <xf numFmtId="37" fontId="74" fillId="0" borderId="0" xfId="57516" quotePrefix="1" applyFont="1" applyAlignment="1">
      <alignment horizontal="centerContinuous"/>
    </xf>
    <xf numFmtId="37" fontId="74" fillId="0" borderId="0" xfId="57516" quotePrefix="1" applyFont="1" applyAlignment="1">
      <alignment horizontal="center"/>
    </xf>
    <xf numFmtId="43" fontId="72" fillId="0" borderId="0" xfId="11027" applyFont="1" applyFill="1" applyAlignment="1">
      <alignment horizontal="center"/>
    </xf>
    <xf numFmtId="43" fontId="75" fillId="0" borderId="0" xfId="11027" applyFont="1" applyAlignment="1">
      <alignment horizontal="center"/>
    </xf>
    <xf numFmtId="37" fontId="73" fillId="0" borderId="0" xfId="57516" applyFont="1" applyAlignment="1">
      <alignment horizontal="center"/>
    </xf>
    <xf numFmtId="37" fontId="73" fillId="0" borderId="0" xfId="57516" applyFont="1" applyBorder="1" applyAlignment="1">
      <alignment horizontal="center"/>
    </xf>
    <xf numFmtId="37" fontId="73" fillId="0" borderId="0" xfId="57516" quotePrefix="1" applyFont="1" applyAlignment="1">
      <alignment horizontal="center"/>
    </xf>
    <xf numFmtId="37" fontId="6" fillId="0" borderId="0" xfId="57516" quotePrefix="1" applyFont="1" applyFill="1" applyAlignment="1">
      <alignment horizontal="center"/>
    </xf>
    <xf numFmtId="37" fontId="6" fillId="0" borderId="0" xfId="57516" quotePrefix="1" applyFont="1" applyAlignment="1">
      <alignment horizontal="center"/>
    </xf>
    <xf numFmtId="37" fontId="73" fillId="0" borderId="1" xfId="57516" applyFont="1" applyBorder="1" applyAlignment="1">
      <alignment horizontal="center"/>
    </xf>
    <xf numFmtId="37" fontId="73" fillId="0" borderId="1" xfId="57516" applyFont="1" applyFill="1" applyBorder="1" applyAlignment="1">
      <alignment horizontal="center"/>
    </xf>
    <xf numFmtId="37" fontId="73" fillId="0" borderId="0" xfId="57516" quotePrefix="1" applyFont="1" applyAlignment="1">
      <alignment horizontal="left"/>
    </xf>
    <xf numFmtId="166" fontId="73" fillId="0" borderId="0" xfId="12007" applyNumberFormat="1" applyFont="1" applyFill="1"/>
    <xf numFmtId="37" fontId="73" fillId="0" borderId="0" xfId="57516" quotePrefix="1" applyFont="1"/>
    <xf numFmtId="10" fontId="73" fillId="0" borderId="0" xfId="45409" applyNumberFormat="1" applyFont="1" applyFill="1"/>
    <xf numFmtId="166" fontId="73" fillId="0" borderId="0" xfId="12007" applyNumberFormat="1" applyFont="1" applyFill="1" applyBorder="1"/>
    <xf numFmtId="10" fontId="73" fillId="0" borderId="0" xfId="45409" applyNumberFormat="1" applyFont="1" applyFill="1" applyAlignment="1">
      <alignment horizontal="center"/>
    </xf>
    <xf numFmtId="37" fontId="73" fillId="0" borderId="0" xfId="57516" applyFont="1" applyFill="1"/>
    <xf numFmtId="165" fontId="73" fillId="0" borderId="0" xfId="11027" applyNumberFormat="1" applyFont="1" applyFill="1"/>
    <xf numFmtId="37" fontId="73" fillId="0" borderId="0" xfId="57516" applyFont="1" applyFill="1" applyBorder="1"/>
    <xf numFmtId="10" fontId="73" fillId="0" borderId="0" xfId="45409" applyNumberFormat="1" applyFont="1" applyAlignment="1">
      <alignment horizontal="center"/>
    </xf>
    <xf numFmtId="166" fontId="73" fillId="0" borderId="35" xfId="12007" applyNumberFormat="1" applyFont="1" applyFill="1" applyBorder="1"/>
    <xf numFmtId="176" fontId="73" fillId="0" borderId="35" xfId="45409" applyNumberFormat="1" applyFont="1" applyFill="1" applyBorder="1"/>
    <xf numFmtId="166" fontId="73" fillId="0" borderId="0" xfId="12007" applyNumberFormat="1" applyFont="1"/>
    <xf numFmtId="0" fontId="73" fillId="0" borderId="0" xfId="57516" applyNumberFormat="1" applyFont="1" applyAlignment="1">
      <alignment horizontal="center"/>
    </xf>
    <xf numFmtId="37" fontId="73" fillId="0" borderId="0" xfId="57516" applyFont="1" applyFill="1" applyAlignment="1">
      <alignment horizontal="center"/>
    </xf>
    <xf numFmtId="43" fontId="75" fillId="0" borderId="0" xfId="11027" applyFont="1" applyBorder="1" applyAlignment="1">
      <alignment horizontal="center"/>
    </xf>
    <xf numFmtId="37" fontId="73" fillId="0" borderId="0" xfId="57516" quotePrefix="1" applyFont="1" applyBorder="1" applyAlignment="1">
      <alignment horizontal="center"/>
    </xf>
    <xf numFmtId="37" fontId="74" fillId="0" borderId="0" xfId="57516" applyFont="1"/>
    <xf numFmtId="37" fontId="72" fillId="0" borderId="0" xfId="57516" applyFont="1" applyBorder="1"/>
    <xf numFmtId="166" fontId="73" fillId="0" borderId="0" xfId="12007" applyNumberFormat="1" applyFont="1" applyFill="1" applyBorder="1" applyAlignment="1">
      <alignment horizontal="center"/>
    </xf>
    <xf numFmtId="10" fontId="73" fillId="0" borderId="0" xfId="45409" applyNumberFormat="1" applyFont="1" applyFill="1" applyBorder="1"/>
    <xf numFmtId="10" fontId="73" fillId="0" borderId="0" xfId="57516" applyNumberFormat="1" applyFont="1" applyBorder="1"/>
    <xf numFmtId="10" fontId="73" fillId="0" borderId="0" xfId="57516" applyNumberFormat="1" applyFont="1"/>
    <xf numFmtId="176" fontId="76" fillId="0" borderId="0" xfId="45409" applyNumberFormat="1" applyFont="1" applyBorder="1"/>
    <xf numFmtId="10" fontId="73" fillId="0" borderId="0" xfId="45409" applyNumberFormat="1" applyFont="1" applyBorder="1"/>
    <xf numFmtId="165" fontId="73" fillId="0" borderId="0" xfId="11027" applyNumberFormat="1" applyFont="1" applyFill="1" applyBorder="1" applyAlignment="1">
      <alignment horizontal="center"/>
    </xf>
    <xf numFmtId="37" fontId="71" fillId="0" borderId="0" xfId="57516"/>
    <xf numFmtId="37" fontId="71" fillId="51" borderId="0" xfId="57516" quotePrefix="1" applyFill="1" applyAlignment="1"/>
    <xf numFmtId="10" fontId="73" fillId="0" borderId="35" xfId="45409" quotePrefix="1" applyNumberFormat="1" applyFont="1" applyFill="1" applyBorder="1" applyAlignment="1">
      <alignment horizontal="center"/>
    </xf>
    <xf numFmtId="10" fontId="73" fillId="0" borderId="36" xfId="45409" applyNumberFormat="1" applyFont="1" applyFill="1" applyBorder="1" applyAlignment="1">
      <alignment horizontal="center"/>
    </xf>
    <xf numFmtId="37" fontId="73" fillId="0" borderId="0" xfId="57517" applyFont="1" applyFill="1" applyBorder="1"/>
    <xf numFmtId="176" fontId="73" fillId="0" borderId="0" xfId="45409" applyNumberFormat="1" applyFont="1" applyBorder="1"/>
    <xf numFmtId="177" fontId="73" fillId="0" borderId="0" xfId="45409" applyNumberFormat="1" applyFont="1" applyBorder="1"/>
    <xf numFmtId="178" fontId="73" fillId="0" borderId="0" xfId="45409" applyNumberFormat="1" applyFont="1" applyBorder="1"/>
    <xf numFmtId="0" fontId="77" fillId="0" borderId="0" xfId="24280" applyFont="1" applyFill="1" applyAlignment="1">
      <alignment horizontal="centerContinuous"/>
    </xf>
    <xf numFmtId="0" fontId="78" fillId="0" borderId="0" xfId="24280" applyFont="1" applyFill="1" applyAlignment="1">
      <alignment horizontal="centerContinuous"/>
    </xf>
    <xf numFmtId="176" fontId="78" fillId="0" borderId="0" xfId="24280" applyNumberFormat="1" applyFont="1" applyFill="1" applyAlignment="1">
      <alignment horizontal="centerContinuous"/>
    </xf>
    <xf numFmtId="0" fontId="78" fillId="0" borderId="0" xfId="24280" applyFont="1" applyFill="1"/>
    <xf numFmtId="0" fontId="77" fillId="0" borderId="0" xfId="24280" applyFont="1" applyFill="1"/>
    <xf numFmtId="0" fontId="77" fillId="0" borderId="0" xfId="24280" applyFont="1" applyFill="1" applyAlignment="1">
      <alignment horizontal="center"/>
    </xf>
    <xf numFmtId="0" fontId="79" fillId="0" borderId="37" xfId="24280" applyFont="1" applyFill="1" applyBorder="1" applyAlignment="1">
      <alignment horizontal="centerContinuous"/>
    </xf>
    <xf numFmtId="0" fontId="78" fillId="0" borderId="2" xfId="24280" applyFont="1" applyFill="1" applyBorder="1" applyAlignment="1">
      <alignment horizontal="centerContinuous"/>
    </xf>
    <xf numFmtId="176" fontId="78" fillId="0" borderId="2" xfId="24280" applyNumberFormat="1" applyFont="1" applyFill="1" applyBorder="1" applyAlignment="1">
      <alignment horizontal="centerContinuous"/>
    </xf>
    <xf numFmtId="0" fontId="78" fillId="0" borderId="38" xfId="24280" applyFont="1" applyFill="1" applyBorder="1" applyAlignment="1">
      <alignment horizontal="centerContinuous"/>
    </xf>
    <xf numFmtId="0" fontId="77" fillId="0" borderId="39" xfId="24280" applyFont="1" applyFill="1" applyBorder="1" applyAlignment="1">
      <alignment horizontal="left"/>
    </xf>
    <xf numFmtId="0" fontId="78" fillId="0" borderId="0" xfId="24280" applyFont="1" applyFill="1" applyBorder="1" applyAlignment="1">
      <alignment horizontal="centerContinuous"/>
    </xf>
    <xf numFmtId="176" fontId="78" fillId="0" borderId="0" xfId="24280" applyNumberFormat="1" applyFont="1" applyFill="1" applyBorder="1" applyAlignment="1">
      <alignment horizontal="centerContinuous"/>
    </xf>
    <xf numFmtId="0" fontId="78" fillId="0" borderId="32" xfId="24280" applyFont="1" applyFill="1" applyBorder="1" applyAlignment="1">
      <alignment horizontal="centerContinuous"/>
    </xf>
    <xf numFmtId="0" fontId="78" fillId="0" borderId="39" xfId="24280" applyFont="1" applyFill="1" applyBorder="1"/>
    <xf numFmtId="0" fontId="78" fillId="0" borderId="0" xfId="24280" applyFont="1" applyFill="1" applyBorder="1"/>
    <xf numFmtId="0" fontId="78" fillId="0" borderId="40" xfId="24280" applyFont="1" applyFill="1" applyBorder="1" applyAlignment="1">
      <alignment horizontal="centerContinuous"/>
    </xf>
    <xf numFmtId="176" fontId="78" fillId="0" borderId="0" xfId="24280" applyNumberFormat="1" applyFont="1" applyFill="1" applyBorder="1" applyAlignment="1">
      <alignment horizontal="center"/>
    </xf>
    <xf numFmtId="0" fontId="78" fillId="0" borderId="0" xfId="24280" applyFont="1" applyFill="1" applyBorder="1" applyAlignment="1">
      <alignment horizontal="center"/>
    </xf>
    <xf numFmtId="0" fontId="78" fillId="0" borderId="32" xfId="24280" applyFont="1" applyFill="1" applyBorder="1"/>
    <xf numFmtId="0" fontId="80" fillId="0" borderId="0" xfId="24280" applyFont="1" applyFill="1" applyBorder="1" applyAlignment="1">
      <alignment horizontal="center"/>
    </xf>
    <xf numFmtId="0" fontId="80" fillId="0" borderId="0" xfId="24280" applyFont="1" applyFill="1" applyBorder="1" applyAlignment="1">
      <alignment horizontal="center" wrapText="1"/>
    </xf>
    <xf numFmtId="176" fontId="80" fillId="0" borderId="0" xfId="24280" applyNumberFormat="1" applyFont="1" applyFill="1" applyBorder="1" applyAlignment="1">
      <alignment horizontal="center"/>
    </xf>
    <xf numFmtId="0" fontId="78" fillId="0" borderId="39" xfId="24280" applyFont="1" applyFill="1" applyBorder="1" applyAlignment="1">
      <alignment horizontal="left"/>
    </xf>
    <xf numFmtId="180" fontId="78" fillId="0" borderId="0" xfId="24280" applyNumberFormat="1" applyFont="1" applyFill="1" applyBorder="1" applyAlignment="1" applyProtection="1">
      <alignment horizontal="center"/>
    </xf>
    <xf numFmtId="181" fontId="78" fillId="0" borderId="0" xfId="45409" applyNumberFormat="1" applyFont="1" applyFill="1" applyBorder="1" applyProtection="1"/>
    <xf numFmtId="42" fontId="78" fillId="0" borderId="0" xfId="24280" applyNumberFormat="1" applyFont="1" applyFill="1" applyBorder="1" applyProtection="1"/>
    <xf numFmtId="42" fontId="78" fillId="0" borderId="0" xfId="24280" applyNumberFormat="1" applyFont="1" applyFill="1" applyBorder="1"/>
    <xf numFmtId="42" fontId="78" fillId="0" borderId="0" xfId="11027" applyNumberFormat="1" applyFont="1" applyFill="1" applyBorder="1" applyProtection="1"/>
    <xf numFmtId="37" fontId="78" fillId="0" borderId="0" xfId="24280" applyNumberFormat="1" applyFont="1" applyFill="1" applyBorder="1" applyAlignment="1" applyProtection="1">
      <alignment horizontal="center"/>
    </xf>
    <xf numFmtId="42" fontId="78" fillId="0" borderId="0" xfId="11027" applyNumberFormat="1" applyFont="1" applyFill="1" applyBorder="1" applyAlignment="1" applyProtection="1">
      <alignment horizontal="center"/>
    </xf>
    <xf numFmtId="42" fontId="78" fillId="0" borderId="0" xfId="24280" applyNumberFormat="1" applyFont="1" applyFill="1" applyBorder="1" applyAlignment="1">
      <alignment horizontal="center"/>
    </xf>
    <xf numFmtId="181" fontId="78" fillId="0" borderId="0" xfId="45409" applyNumberFormat="1" applyFont="1" applyFill="1" applyBorder="1" applyAlignment="1" applyProtection="1">
      <alignment horizontal="right"/>
    </xf>
    <xf numFmtId="41" fontId="78" fillId="0" borderId="0" xfId="24280" applyNumberFormat="1" applyFont="1" applyFill="1" applyBorder="1" applyProtection="1"/>
    <xf numFmtId="41" fontId="78" fillId="0" borderId="0" xfId="11027" applyNumberFormat="1" applyFont="1" applyFill="1" applyBorder="1" applyAlignment="1" applyProtection="1">
      <alignment horizontal="center"/>
    </xf>
    <xf numFmtId="41" fontId="78" fillId="0" borderId="0" xfId="11027" applyNumberFormat="1" applyFont="1" applyFill="1" applyBorder="1" applyProtection="1"/>
    <xf numFmtId="0" fontId="78" fillId="0" borderId="0" xfId="24280" applyFont="1" applyFill="1" applyAlignment="1">
      <alignment horizontal="center"/>
    </xf>
    <xf numFmtId="181" fontId="78" fillId="0" borderId="0" xfId="24280" applyNumberFormat="1" applyFont="1" applyFill="1"/>
    <xf numFmtId="37" fontId="78" fillId="0" borderId="0" xfId="24280" applyNumberFormat="1" applyFont="1" applyFill="1" applyBorder="1" applyProtection="1"/>
    <xf numFmtId="181" fontId="81" fillId="0" borderId="0" xfId="45409" applyNumberFormat="1" applyFont="1" applyFill="1" applyBorder="1" applyProtection="1"/>
    <xf numFmtId="180" fontId="78" fillId="0" borderId="0" xfId="24280" applyNumberFormat="1" applyFont="1" applyFill="1" applyBorder="1" applyAlignment="1">
      <alignment horizontal="center"/>
    </xf>
    <xf numFmtId="176" fontId="78" fillId="0" borderId="0" xfId="24280" applyNumberFormat="1" applyFont="1" applyFill="1" applyBorder="1"/>
    <xf numFmtId="41" fontId="78" fillId="0" borderId="0" xfId="24280" applyNumberFormat="1" applyFont="1" applyFill="1" applyBorder="1"/>
    <xf numFmtId="165" fontId="78" fillId="0" borderId="0" xfId="24280" applyNumberFormat="1" applyFont="1" applyFill="1" applyBorder="1"/>
    <xf numFmtId="181" fontId="78" fillId="0" borderId="0" xfId="45409" applyNumberFormat="1" applyFont="1" applyFill="1" applyBorder="1"/>
    <xf numFmtId="181" fontId="78" fillId="0" borderId="0" xfId="24280" applyNumberFormat="1" applyFont="1" applyFill="1" applyBorder="1"/>
    <xf numFmtId="176" fontId="78" fillId="0" borderId="0" xfId="45409" applyNumberFormat="1" applyFont="1" applyFill="1" applyBorder="1" applyProtection="1"/>
    <xf numFmtId="178" fontId="78" fillId="0" borderId="0" xfId="45409" applyNumberFormat="1" applyFont="1" applyFill="1" applyBorder="1" applyProtection="1"/>
    <xf numFmtId="41" fontId="78" fillId="0" borderId="0" xfId="11027" applyNumberFormat="1" applyFont="1" applyFill="1" applyBorder="1"/>
    <xf numFmtId="0" fontId="78" fillId="0" borderId="0" xfId="24280" applyFont="1" applyFill="1" applyBorder="1" applyAlignment="1">
      <alignment horizontal="left"/>
    </xf>
    <xf numFmtId="0" fontId="77" fillId="0" borderId="39" xfId="24280" applyFont="1" applyFill="1" applyBorder="1"/>
    <xf numFmtId="182" fontId="78" fillId="0" borderId="0" xfId="24280" applyNumberFormat="1" applyFont="1" applyFill="1" applyBorder="1" applyProtection="1"/>
    <xf numFmtId="42" fontId="78" fillId="0" borderId="41" xfId="24280" applyNumberFormat="1" applyFont="1" applyFill="1" applyBorder="1" applyAlignment="1" applyProtection="1">
      <alignment horizontal="right"/>
    </xf>
    <xf numFmtId="42" fontId="78" fillId="0" borderId="0" xfId="24280" applyNumberFormat="1" applyFont="1" applyFill="1" applyBorder="1" applyAlignment="1" applyProtection="1">
      <alignment horizontal="right"/>
    </xf>
    <xf numFmtId="42" fontId="77" fillId="0" borderId="0" xfId="24280" applyNumberFormat="1" applyFont="1" applyFill="1" applyBorder="1" applyAlignment="1">
      <alignment horizontal="left"/>
    </xf>
    <xf numFmtId="181" fontId="77" fillId="0" borderId="42" xfId="45409" applyNumberFormat="1" applyFont="1" applyFill="1" applyBorder="1" applyAlignment="1" applyProtection="1">
      <alignment horizontal="center"/>
    </xf>
    <xf numFmtId="0" fontId="77" fillId="0" borderId="0" xfId="24280" applyFont="1" applyFill="1" applyBorder="1" applyAlignment="1">
      <alignment horizontal="left"/>
    </xf>
    <xf numFmtId="181" fontId="78" fillId="0" borderId="0" xfId="24280" applyNumberFormat="1" applyFont="1" applyFill="1" applyBorder="1" applyAlignment="1" applyProtection="1">
      <alignment horizontal="center"/>
    </xf>
    <xf numFmtId="0" fontId="77" fillId="0" borderId="0" xfId="24280" applyFont="1" applyFill="1" applyBorder="1"/>
    <xf numFmtId="42" fontId="78" fillId="0" borderId="0" xfId="11027" applyNumberFormat="1" applyFont="1" applyFill="1" applyBorder="1"/>
    <xf numFmtId="181" fontId="78" fillId="0" borderId="0" xfId="11027" applyNumberFormat="1" applyFont="1" applyFill="1" applyBorder="1"/>
    <xf numFmtId="42" fontId="78" fillId="0" borderId="41" xfId="24280" applyNumberFormat="1" applyFont="1" applyFill="1" applyBorder="1" applyProtection="1"/>
    <xf numFmtId="181" fontId="78" fillId="0" borderId="0" xfId="24280" applyNumberFormat="1" applyFont="1" applyFill="1" applyBorder="1" applyAlignment="1">
      <alignment horizontal="center"/>
    </xf>
    <xf numFmtId="182" fontId="78" fillId="0" borderId="0" xfId="24280" applyNumberFormat="1" applyFont="1" applyFill="1" applyBorder="1" applyAlignment="1" applyProtection="1">
      <alignment horizontal="left"/>
    </xf>
    <xf numFmtId="42" fontId="78" fillId="0" borderId="36" xfId="24280" applyNumberFormat="1" applyFont="1" applyFill="1" applyBorder="1" applyProtection="1"/>
    <xf numFmtId="0" fontId="78" fillId="0" borderId="43" xfId="24280" applyFont="1" applyFill="1" applyBorder="1"/>
    <xf numFmtId="0" fontId="78" fillId="0" borderId="1" xfId="24280" applyFont="1" applyFill="1" applyBorder="1"/>
    <xf numFmtId="182" fontId="78" fillId="0" borderId="1" xfId="24280" applyNumberFormat="1" applyFont="1" applyFill="1" applyBorder="1" applyAlignment="1" applyProtection="1">
      <alignment horizontal="left"/>
    </xf>
    <xf numFmtId="37" fontId="78" fillId="0" borderId="1" xfId="24280" applyNumberFormat="1" applyFont="1" applyFill="1" applyBorder="1" applyProtection="1"/>
    <xf numFmtId="0" fontId="78" fillId="0" borderId="1" xfId="24280" applyFont="1" applyFill="1" applyBorder="1" applyAlignment="1">
      <alignment horizontal="center"/>
    </xf>
    <xf numFmtId="176" fontId="77" fillId="0" borderId="1" xfId="24280" applyNumberFormat="1" applyFont="1" applyFill="1" applyBorder="1" applyAlignment="1" applyProtection="1">
      <alignment horizontal="center"/>
    </xf>
    <xf numFmtId="0" fontId="78" fillId="0" borderId="44" xfId="24280" applyFont="1" applyFill="1" applyBorder="1"/>
    <xf numFmtId="182" fontId="78" fillId="0" borderId="0" xfId="24280" applyNumberFormat="1" applyFont="1" applyFill="1" applyAlignment="1" applyProtection="1">
      <alignment horizontal="left"/>
    </xf>
    <xf numFmtId="37" fontId="78" fillId="0" borderId="0" xfId="24280" applyNumberFormat="1" applyFont="1" applyFill="1" applyProtection="1"/>
    <xf numFmtId="37" fontId="77" fillId="0" borderId="0" xfId="24280" applyNumberFormat="1" applyFont="1" applyFill="1" applyAlignment="1" applyProtection="1">
      <alignment horizontal="right"/>
    </xf>
    <xf numFmtId="37" fontId="78" fillId="0" borderId="0" xfId="24280" applyNumberFormat="1" applyFont="1" applyFill="1" applyAlignment="1" applyProtection="1">
      <alignment horizontal="right"/>
    </xf>
    <xf numFmtId="176" fontId="77" fillId="0" borderId="0" xfId="24280" applyNumberFormat="1" applyFont="1" applyFill="1" applyBorder="1" applyProtection="1"/>
    <xf numFmtId="39" fontId="78" fillId="0" borderId="0" xfId="24280" applyNumberFormat="1" applyFont="1" applyFill="1" applyProtection="1"/>
    <xf numFmtId="165" fontId="78" fillId="0" borderId="0" xfId="11027" applyNumberFormat="1" applyFont="1" applyFill="1"/>
    <xf numFmtId="0" fontId="80" fillId="0" borderId="0" xfId="24280" applyFont="1" applyFill="1" applyBorder="1"/>
    <xf numFmtId="0" fontId="80" fillId="0" borderId="32" xfId="24280" applyFont="1" applyFill="1" applyBorder="1" applyAlignment="1">
      <alignment horizontal="centerContinuous"/>
    </xf>
    <xf numFmtId="176" fontId="78" fillId="0" borderId="0" xfId="24280" applyNumberFormat="1" applyFont="1" applyFill="1" applyBorder="1" applyProtection="1"/>
    <xf numFmtId="5" fontId="78" fillId="0" borderId="0" xfId="11027" applyNumberFormat="1" applyFont="1" applyFill="1" applyBorder="1"/>
    <xf numFmtId="183" fontId="78" fillId="0" borderId="1" xfId="24280" applyNumberFormat="1" applyFont="1" applyFill="1" applyBorder="1"/>
    <xf numFmtId="41" fontId="78" fillId="0" borderId="1" xfId="24280" applyNumberFormat="1" applyFont="1" applyFill="1" applyBorder="1"/>
    <xf numFmtId="41" fontId="78" fillId="0" borderId="1" xfId="24280" applyNumberFormat="1" applyFont="1" applyFill="1" applyBorder="1" applyAlignment="1">
      <alignment horizontal="center"/>
    </xf>
    <xf numFmtId="41" fontId="78" fillId="0" borderId="0" xfId="24280" applyNumberFormat="1" applyFont="1" applyFill="1" applyBorder="1" applyAlignment="1">
      <alignment horizontal="center"/>
    </xf>
    <xf numFmtId="181" fontId="78" fillId="0" borderId="0" xfId="24280" applyNumberFormat="1" applyFont="1" applyFill="1" applyBorder="1" applyProtection="1"/>
    <xf numFmtId="42" fontId="78" fillId="0" borderId="36" xfId="11027" applyNumberFormat="1" applyFont="1" applyFill="1" applyBorder="1"/>
    <xf numFmtId="42" fontId="78" fillId="0" borderId="0" xfId="11027" applyNumberFormat="1" applyFont="1" applyFill="1" applyBorder="1" applyAlignment="1">
      <alignment horizontal="center"/>
    </xf>
    <xf numFmtId="181" fontId="77" fillId="0" borderId="42" xfId="24280" applyNumberFormat="1" applyFont="1" applyFill="1" applyBorder="1"/>
    <xf numFmtId="165" fontId="78" fillId="0" borderId="1" xfId="11027" applyNumberFormat="1" applyFont="1" applyFill="1" applyBorder="1"/>
    <xf numFmtId="181" fontId="78" fillId="0" borderId="1" xfId="24280" applyNumberFormat="1" applyFont="1" applyFill="1" applyBorder="1"/>
    <xf numFmtId="182" fontId="78" fillId="0" borderId="0" xfId="24280" applyNumberFormat="1" applyFont="1" applyFill="1" applyProtection="1"/>
    <xf numFmtId="42" fontId="78" fillId="0" borderId="35" xfId="24280" applyNumberFormat="1" applyFont="1" applyFill="1" applyBorder="1"/>
    <xf numFmtId="42" fontId="78" fillId="0" borderId="0" xfId="24280" applyNumberFormat="1" applyFont="1" applyFill="1"/>
    <xf numFmtId="181" fontId="77" fillId="0" borderId="42" xfId="45409" applyNumberFormat="1" applyFont="1" applyFill="1" applyBorder="1"/>
    <xf numFmtId="184" fontId="78" fillId="0" borderId="0" xfId="24280" applyNumberFormat="1" applyFont="1" applyFill="1"/>
    <xf numFmtId="181" fontId="82" fillId="0" borderId="0" xfId="24280" applyNumberFormat="1" applyFont="1" applyFill="1" applyAlignment="1">
      <alignment horizontal="center"/>
    </xf>
    <xf numFmtId="37" fontId="78" fillId="0" borderId="0" xfId="24280" applyNumberFormat="1" applyFont="1" applyFill="1" applyAlignment="1" applyProtection="1">
      <alignment horizontal="center"/>
    </xf>
    <xf numFmtId="14" fontId="78" fillId="0" borderId="0" xfId="24280" applyNumberFormat="1" applyFont="1" applyFill="1"/>
    <xf numFmtId="176" fontId="78" fillId="0" borderId="0" xfId="24280" applyNumberFormat="1" applyFont="1" applyFill="1"/>
    <xf numFmtId="43" fontId="78" fillId="0" borderId="0" xfId="24280" applyNumberFormat="1" applyFont="1" applyFill="1"/>
    <xf numFmtId="0" fontId="23" fillId="0" borderId="0" xfId="24280" applyFont="1" applyFill="1" applyAlignment="1"/>
    <xf numFmtId="0" fontId="78" fillId="0" borderId="0" xfId="24280" applyFont="1" applyFill="1" applyAlignment="1">
      <alignment horizontal="left"/>
    </xf>
    <xf numFmtId="39" fontId="78" fillId="0" borderId="0" xfId="24280" applyNumberFormat="1" applyFont="1" applyFill="1"/>
    <xf numFmtId="0" fontId="5" fillId="0" borderId="6" xfId="5" quotePrefix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/>
    </xf>
    <xf numFmtId="179" fontId="77" fillId="0" borderId="0" xfId="24280" applyNumberFormat="1" applyFont="1" applyFill="1" applyAlignment="1">
      <alignment horizontal="center"/>
    </xf>
    <xf numFmtId="0" fontId="77" fillId="0" borderId="1" xfId="24280" applyFont="1" applyFill="1" applyBorder="1" applyAlignment="1">
      <alignment horizontal="center"/>
    </xf>
    <xf numFmtId="0" fontId="23" fillId="0" borderId="1" xfId="24280" applyFont="1" applyFill="1" applyBorder="1" applyAlignment="1"/>
    <xf numFmtId="0" fontId="78" fillId="0" borderId="0" xfId="24280" applyFont="1" applyFill="1" applyAlignment="1">
      <alignment wrapText="1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5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6"/>
    <cellStyle name="Normal_LGE Attachment 1 ECR Review (revised) (3)" xfId="57517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KU\2013\J529%20DSM%20Over%20Under\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24"/>
  <sheetViews>
    <sheetView tabSelected="1" view="pageBreakPreview" zoomScale="80" zoomScaleNormal="90" zoomScaleSheetLayoutView="80" workbookViewId="0"/>
  </sheetViews>
  <sheetFormatPr defaultRowHeight="12.75" x14ac:dyDescent="0.2"/>
  <cols>
    <col min="1" max="3" width="16.83203125" style="56" customWidth="1"/>
    <col min="4" max="5" width="21.83203125" style="56" customWidth="1"/>
    <col min="6" max="8" width="16.83203125" style="56" customWidth="1"/>
    <col min="9" max="9" width="23.83203125" style="56" customWidth="1"/>
    <col min="10" max="10" width="2.83203125" style="56" customWidth="1"/>
    <col min="11" max="15" width="16.83203125" style="56" customWidth="1"/>
    <col min="16" max="17" width="21.83203125" style="56" customWidth="1"/>
    <col min="18" max="18" width="16.83203125" style="56" customWidth="1"/>
    <col min="19" max="19" width="23.83203125" style="56" customWidth="1"/>
    <col min="20" max="20" width="2.83203125" style="56" customWidth="1"/>
    <col min="21" max="21" width="16.83203125" style="56" customWidth="1"/>
    <col min="22" max="23" width="21.83203125" style="56" customWidth="1"/>
    <col min="24" max="24" width="16.83203125" style="56" customWidth="1"/>
    <col min="25" max="25" width="21.83203125" style="56" customWidth="1"/>
    <col min="26" max="28" width="16.83203125" style="56" customWidth="1"/>
    <col min="29" max="29" width="24" style="56" customWidth="1"/>
    <col min="30" max="30" width="2.83203125" style="56" customWidth="1"/>
    <col min="31" max="31" width="10.83203125" style="56" customWidth="1"/>
    <col min="32" max="32" width="14.6640625" style="56" customWidth="1"/>
    <col min="33" max="33" width="16" style="56" customWidth="1"/>
    <col min="34" max="34" width="17.6640625" style="56" customWidth="1"/>
    <col min="35" max="36" width="13" style="56" customWidth="1"/>
    <col min="37" max="37" width="17" style="56" customWidth="1"/>
    <col min="38" max="38" width="10.33203125" style="56" customWidth="1"/>
    <col min="39" max="39" width="17.5" style="56" bestFit="1" customWidth="1"/>
    <col min="40" max="40" width="15.83203125" style="56" customWidth="1"/>
    <col min="41" max="41" width="19.6640625" style="56" customWidth="1"/>
    <col min="42" max="42" width="4.5" style="56" customWidth="1"/>
    <col min="43" max="43" width="20.33203125" style="57" customWidth="1"/>
    <col min="44" max="44" width="16.5" style="56" bestFit="1" customWidth="1"/>
    <col min="45" max="46" width="16.83203125" style="56" bestFit="1" customWidth="1"/>
    <col min="47" max="47" width="13.1640625" style="56" bestFit="1" customWidth="1"/>
    <col min="48" max="48" width="16" style="56" bestFit="1" customWidth="1"/>
    <col min="49" max="49" width="14.6640625" style="56" bestFit="1" customWidth="1"/>
    <col min="50" max="50" width="15.5" style="56" bestFit="1" customWidth="1"/>
    <col min="51" max="51" width="14.6640625" style="56" bestFit="1" customWidth="1"/>
    <col min="52" max="52" width="11.83203125" style="56" bestFit="1" customWidth="1"/>
    <col min="53" max="16384" width="9.33203125" style="56"/>
  </cols>
  <sheetData>
    <row r="1" spans="1:52" x14ac:dyDescent="0.2">
      <c r="A1" s="123" t="s">
        <v>46</v>
      </c>
      <c r="B1" s="124"/>
      <c r="C1" s="124"/>
      <c r="D1" s="124"/>
      <c r="E1" s="124"/>
      <c r="F1" s="124"/>
      <c r="G1" s="124"/>
      <c r="H1" s="124"/>
      <c r="I1" s="125" t="s">
        <v>78</v>
      </c>
      <c r="K1" s="123" t="s">
        <v>46</v>
      </c>
      <c r="L1" s="124"/>
      <c r="M1" s="124"/>
      <c r="N1" s="124"/>
      <c r="O1" s="124"/>
      <c r="P1" s="124"/>
      <c r="Q1" s="124"/>
      <c r="R1" s="124"/>
      <c r="S1" s="125" t="s">
        <v>78</v>
      </c>
      <c r="U1" s="123" t="s">
        <v>46</v>
      </c>
      <c r="V1" s="124"/>
      <c r="W1" s="124"/>
      <c r="X1" s="124"/>
      <c r="Y1" s="124"/>
      <c r="Z1" s="124"/>
      <c r="AA1" s="124"/>
      <c r="AB1" s="124"/>
      <c r="AC1" s="125" t="s">
        <v>79</v>
      </c>
      <c r="AE1" s="123" t="s">
        <v>46</v>
      </c>
      <c r="AF1" s="124"/>
      <c r="AG1" s="124"/>
      <c r="AH1" s="124"/>
      <c r="AI1" s="124"/>
      <c r="AJ1" s="124"/>
      <c r="AK1" s="124"/>
      <c r="AL1" s="140"/>
      <c r="AM1" s="124"/>
      <c r="AN1" s="124"/>
      <c r="AO1" s="125" t="s">
        <v>79</v>
      </c>
    </row>
    <row r="2" spans="1:52" x14ac:dyDescent="0.2">
      <c r="A2" s="126" t="s">
        <v>17</v>
      </c>
      <c r="B2" s="113"/>
      <c r="C2" s="113"/>
      <c r="D2" s="113"/>
      <c r="E2" s="113"/>
      <c r="F2" s="113"/>
      <c r="G2" s="113"/>
      <c r="H2" s="113"/>
      <c r="I2" s="127" t="s">
        <v>192</v>
      </c>
      <c r="K2" s="126" t="s">
        <v>18</v>
      </c>
      <c r="L2" s="113"/>
      <c r="M2" s="113"/>
      <c r="N2" s="113"/>
      <c r="O2" s="113"/>
      <c r="P2" s="113"/>
      <c r="Q2" s="113"/>
      <c r="R2" s="113"/>
      <c r="S2" s="127" t="s">
        <v>193</v>
      </c>
      <c r="U2" s="126" t="s">
        <v>23</v>
      </c>
      <c r="V2" s="113"/>
      <c r="W2" s="113"/>
      <c r="X2" s="113"/>
      <c r="Y2" s="113"/>
      <c r="Z2" s="113"/>
      <c r="AA2" s="113"/>
      <c r="AB2" s="113"/>
      <c r="AC2" s="128" t="s">
        <v>75</v>
      </c>
      <c r="AE2" s="126" t="s">
        <v>23</v>
      </c>
      <c r="AF2" s="113"/>
      <c r="AG2" s="113"/>
      <c r="AH2" s="113"/>
      <c r="AI2" s="113"/>
      <c r="AJ2" s="113"/>
      <c r="AK2" s="113"/>
      <c r="AL2" s="141"/>
      <c r="AM2" s="113"/>
      <c r="AN2" s="113"/>
      <c r="AO2" s="128" t="s">
        <v>76</v>
      </c>
    </row>
    <row r="3" spans="1:52" x14ac:dyDescent="0.2">
      <c r="A3" s="126" t="s">
        <v>40</v>
      </c>
      <c r="B3" s="113"/>
      <c r="C3" s="113"/>
      <c r="D3" s="113"/>
      <c r="E3" s="113"/>
      <c r="F3" s="113"/>
      <c r="G3" s="113"/>
      <c r="H3" s="113"/>
      <c r="I3" s="128" t="s">
        <v>194</v>
      </c>
      <c r="K3" s="126" t="str">
        <f>A3</f>
        <v xml:space="preserve">Impact on Calculated E(m) </v>
      </c>
      <c r="L3" s="113"/>
      <c r="M3" s="113"/>
      <c r="N3" s="113"/>
      <c r="O3" s="113"/>
      <c r="P3" s="113"/>
      <c r="Q3" s="113"/>
      <c r="R3" s="113"/>
      <c r="S3" s="128" t="s">
        <v>194</v>
      </c>
      <c r="U3" s="137" t="s">
        <v>80</v>
      </c>
      <c r="V3" s="113"/>
      <c r="W3" s="113"/>
      <c r="X3" s="113"/>
      <c r="Y3" s="113"/>
      <c r="Z3" s="113"/>
      <c r="AA3" s="113"/>
      <c r="AB3" s="113"/>
      <c r="AC3" s="128" t="s">
        <v>194</v>
      </c>
      <c r="AE3" s="137" t="s">
        <v>80</v>
      </c>
      <c r="AF3" s="113"/>
      <c r="AG3" s="113"/>
      <c r="AH3" s="113"/>
      <c r="AI3" s="113"/>
      <c r="AJ3" s="113"/>
      <c r="AK3" s="113"/>
      <c r="AL3" s="141"/>
      <c r="AM3" s="113"/>
      <c r="AN3" s="113"/>
      <c r="AO3" s="128" t="s">
        <v>194</v>
      </c>
    </row>
    <row r="4" spans="1:52" ht="13.5" thickBot="1" x14ac:dyDescent="0.25">
      <c r="A4" s="115"/>
      <c r="B4" s="113"/>
      <c r="C4" s="113"/>
      <c r="D4" s="113"/>
      <c r="E4" s="113"/>
      <c r="F4" s="113"/>
      <c r="G4" s="113"/>
      <c r="H4" s="113"/>
      <c r="I4" s="95"/>
      <c r="K4" s="115"/>
      <c r="L4" s="113"/>
      <c r="M4" s="113"/>
      <c r="N4" s="113"/>
      <c r="O4" s="113"/>
      <c r="P4" s="113"/>
      <c r="Q4" s="113"/>
      <c r="R4" s="113"/>
      <c r="S4" s="95"/>
      <c r="U4" s="115"/>
      <c r="V4" s="113"/>
      <c r="W4" s="113"/>
      <c r="X4" s="113"/>
      <c r="Y4" s="113"/>
      <c r="Z4" s="113"/>
      <c r="AA4" s="113"/>
      <c r="AB4" s="113"/>
      <c r="AC4" s="95"/>
      <c r="AE4" s="115"/>
      <c r="AF4" s="113"/>
      <c r="AG4" s="113"/>
      <c r="AH4" s="113"/>
      <c r="AI4" s="113"/>
      <c r="AJ4" s="113"/>
      <c r="AK4" s="113"/>
      <c r="AL4" s="113"/>
      <c r="AM4" s="113"/>
      <c r="AN4" s="113"/>
      <c r="AO4" s="95"/>
    </row>
    <row r="5" spans="1:52" x14ac:dyDescent="0.2">
      <c r="A5" s="58" t="s">
        <v>6</v>
      </c>
      <c r="B5" s="59" t="s">
        <v>7</v>
      </c>
      <c r="C5" s="59" t="s">
        <v>8</v>
      </c>
      <c r="D5" s="59" t="s">
        <v>9</v>
      </c>
      <c r="E5" s="59" t="s">
        <v>10</v>
      </c>
      <c r="F5" s="59" t="s">
        <v>11</v>
      </c>
      <c r="G5" s="59" t="s">
        <v>12</v>
      </c>
      <c r="H5" s="59" t="s">
        <v>13</v>
      </c>
      <c r="I5" s="60" t="s">
        <v>14</v>
      </c>
      <c r="K5" s="58" t="s">
        <v>6</v>
      </c>
      <c r="L5" s="59" t="s">
        <v>7</v>
      </c>
      <c r="M5" s="59" t="s">
        <v>8</v>
      </c>
      <c r="N5" s="59" t="s">
        <v>9</v>
      </c>
      <c r="O5" s="59" t="s">
        <v>10</v>
      </c>
      <c r="P5" s="59" t="s">
        <v>11</v>
      </c>
      <c r="Q5" s="59" t="s">
        <v>12</v>
      </c>
      <c r="R5" s="59" t="s">
        <v>13</v>
      </c>
      <c r="S5" s="60" t="s">
        <v>14</v>
      </c>
      <c r="U5" s="61" t="s">
        <v>6</v>
      </c>
      <c r="V5" s="62" t="s">
        <v>7</v>
      </c>
      <c r="W5" s="62" t="s">
        <v>8</v>
      </c>
      <c r="X5" s="62" t="s">
        <v>9</v>
      </c>
      <c r="Y5" s="62" t="s">
        <v>10</v>
      </c>
      <c r="Z5" s="59" t="s">
        <v>11</v>
      </c>
      <c r="AA5" s="59" t="s">
        <v>12</v>
      </c>
      <c r="AB5" s="59" t="s">
        <v>13</v>
      </c>
      <c r="AC5" s="63"/>
      <c r="AE5" s="61" t="s">
        <v>6</v>
      </c>
      <c r="AF5" s="62" t="s">
        <v>7</v>
      </c>
      <c r="AG5" s="59" t="s">
        <v>8</v>
      </c>
      <c r="AH5" s="62" t="s">
        <v>9</v>
      </c>
      <c r="AI5" s="62" t="s">
        <v>10</v>
      </c>
      <c r="AJ5" s="62" t="s">
        <v>11</v>
      </c>
      <c r="AK5" s="62" t="s">
        <v>12</v>
      </c>
      <c r="AL5" s="62" t="s">
        <v>13</v>
      </c>
      <c r="AM5" s="62" t="s">
        <v>14</v>
      </c>
      <c r="AN5" s="59" t="s">
        <v>31</v>
      </c>
      <c r="AO5" s="60" t="s">
        <v>54</v>
      </c>
    </row>
    <row r="6" spans="1:52" s="67" customFormat="1" ht="51" x14ac:dyDescent="0.2">
      <c r="A6" s="64" t="s">
        <v>0</v>
      </c>
      <c r="B6" s="65" t="s">
        <v>1</v>
      </c>
      <c r="C6" s="65" t="s">
        <v>2</v>
      </c>
      <c r="D6" s="65" t="s">
        <v>3</v>
      </c>
      <c r="E6" s="65" t="s">
        <v>34</v>
      </c>
      <c r="F6" s="65" t="s">
        <v>4</v>
      </c>
      <c r="G6" s="65" t="s">
        <v>5</v>
      </c>
      <c r="H6" s="65" t="s">
        <v>39</v>
      </c>
      <c r="I6" s="66" t="s">
        <v>47</v>
      </c>
      <c r="K6" s="64" t="s">
        <v>0</v>
      </c>
      <c r="L6" s="65" t="s">
        <v>1</v>
      </c>
      <c r="M6" s="65" t="s">
        <v>2</v>
      </c>
      <c r="N6" s="65" t="s">
        <v>19</v>
      </c>
      <c r="O6" s="65" t="s">
        <v>20</v>
      </c>
      <c r="P6" s="65" t="s">
        <v>28</v>
      </c>
      <c r="Q6" s="65" t="s">
        <v>5</v>
      </c>
      <c r="R6" s="65" t="s">
        <v>39</v>
      </c>
      <c r="S6" s="66" t="s">
        <v>47</v>
      </c>
      <c r="U6" s="64" t="s">
        <v>1</v>
      </c>
      <c r="V6" s="65" t="s">
        <v>28</v>
      </c>
      <c r="W6" s="65" t="s">
        <v>24</v>
      </c>
      <c r="X6" s="65" t="s">
        <v>19</v>
      </c>
      <c r="Y6" s="65" t="s">
        <v>36</v>
      </c>
      <c r="Z6" s="65" t="s">
        <v>29</v>
      </c>
      <c r="AA6" s="65" t="s">
        <v>57</v>
      </c>
      <c r="AB6" s="65" t="s">
        <v>30</v>
      </c>
      <c r="AC6" s="68" t="s">
        <v>38</v>
      </c>
      <c r="AE6" s="64" t="s">
        <v>1</v>
      </c>
      <c r="AF6" s="65" t="s">
        <v>48</v>
      </c>
      <c r="AG6" s="69" t="s">
        <v>58</v>
      </c>
      <c r="AH6" s="65" t="s">
        <v>43</v>
      </c>
      <c r="AI6" s="65" t="s">
        <v>50</v>
      </c>
      <c r="AJ6" s="65" t="s">
        <v>51</v>
      </c>
      <c r="AK6" s="65" t="s">
        <v>32</v>
      </c>
      <c r="AL6" s="65" t="s">
        <v>44</v>
      </c>
      <c r="AM6" s="65" t="s">
        <v>52</v>
      </c>
      <c r="AN6" s="65" t="s">
        <v>53</v>
      </c>
      <c r="AO6" s="70" t="s">
        <v>33</v>
      </c>
      <c r="AQ6" s="71"/>
    </row>
    <row r="7" spans="1:52" ht="35.25" customHeight="1" x14ac:dyDescent="0.2">
      <c r="A7" s="72"/>
      <c r="B7" s="73"/>
      <c r="C7" s="73"/>
      <c r="D7" s="73"/>
      <c r="E7" s="73"/>
      <c r="F7" s="74" t="s">
        <v>15</v>
      </c>
      <c r="G7" s="74" t="s">
        <v>35</v>
      </c>
      <c r="H7" s="75"/>
      <c r="I7" s="76" t="s">
        <v>16</v>
      </c>
      <c r="K7" s="72"/>
      <c r="L7" s="73"/>
      <c r="M7" s="73"/>
      <c r="N7" s="73"/>
      <c r="O7" s="74" t="s">
        <v>21</v>
      </c>
      <c r="P7" s="73"/>
      <c r="Q7" s="74" t="s">
        <v>22</v>
      </c>
      <c r="R7" s="75"/>
      <c r="S7" s="76" t="s">
        <v>16</v>
      </c>
      <c r="U7" s="72"/>
      <c r="V7" s="75" t="s">
        <v>27</v>
      </c>
      <c r="W7" s="74" t="s">
        <v>25</v>
      </c>
      <c r="X7" s="77"/>
      <c r="Y7" s="75" t="s">
        <v>26</v>
      </c>
      <c r="Z7" s="143" t="s">
        <v>41</v>
      </c>
      <c r="AA7" s="75" t="s">
        <v>37</v>
      </c>
      <c r="AB7" s="74" t="s">
        <v>42</v>
      </c>
      <c r="AC7" s="78"/>
      <c r="AE7" s="72"/>
      <c r="AF7" s="75" t="s">
        <v>55</v>
      </c>
      <c r="AG7" s="79" t="s">
        <v>81</v>
      </c>
      <c r="AH7" s="74" t="s">
        <v>49</v>
      </c>
      <c r="AI7" s="75" t="s">
        <v>45</v>
      </c>
      <c r="AJ7" s="75" t="s">
        <v>45</v>
      </c>
      <c r="AK7" s="75" t="s">
        <v>45</v>
      </c>
      <c r="AL7" s="80"/>
      <c r="AM7" s="75" t="s">
        <v>45</v>
      </c>
      <c r="AN7" s="75" t="s">
        <v>45</v>
      </c>
      <c r="AO7" s="81" t="s">
        <v>56</v>
      </c>
    </row>
    <row r="8" spans="1:52" x14ac:dyDescent="0.2">
      <c r="A8" s="102">
        <v>42309</v>
      </c>
      <c r="B8" s="83">
        <v>42248</v>
      </c>
      <c r="C8" s="84">
        <v>9.9500000000000005E-2</v>
      </c>
      <c r="D8" s="85">
        <v>1077476038</v>
      </c>
      <c r="E8" s="86">
        <v>1077476038</v>
      </c>
      <c r="F8" s="87">
        <f t="shared" ref="F8:F13" si="0">E8-D8</f>
        <v>0</v>
      </c>
      <c r="G8" s="87">
        <f t="shared" ref="G8:G13" si="1">(C8*F8)/12</f>
        <v>0</v>
      </c>
      <c r="H8" s="84">
        <v>0.87360000000000004</v>
      </c>
      <c r="I8" s="88">
        <f t="shared" ref="I8:I13" si="2">G8*H8</f>
        <v>0</v>
      </c>
      <c r="K8" s="82">
        <f t="shared" ref="K8:M13" si="3">A8</f>
        <v>42309</v>
      </c>
      <c r="L8" s="83">
        <f t="shared" si="3"/>
        <v>42248</v>
      </c>
      <c r="M8" s="84">
        <f t="shared" si="3"/>
        <v>9.9500000000000005E-2</v>
      </c>
      <c r="N8" s="84">
        <f>+X8</f>
        <v>0.1043</v>
      </c>
      <c r="O8" s="84">
        <f t="shared" ref="O8:O13" si="4">N8-M8</f>
        <v>4.7999999999999987E-3</v>
      </c>
      <c r="P8" s="89">
        <f>E8</f>
        <v>1077476038</v>
      </c>
      <c r="Q8" s="90">
        <f>(O8*P8)/12</f>
        <v>430990.41519999987</v>
      </c>
      <c r="R8" s="91">
        <v>0.87360000000000004</v>
      </c>
      <c r="S8" s="92">
        <f>R8*Q8</f>
        <v>376513.22671871993</v>
      </c>
      <c r="U8" s="93">
        <f t="shared" ref="U8:U13" si="5">L8</f>
        <v>42248</v>
      </c>
      <c r="V8" s="85">
        <f>E8</f>
        <v>1077476038</v>
      </c>
      <c r="W8" s="89">
        <f t="shared" ref="W8:W13" si="6">V8/12</f>
        <v>89789669.833333328</v>
      </c>
      <c r="X8" s="94">
        <f>'Q1 - KU ROR Feb16'!$R$34</f>
        <v>0.1043</v>
      </c>
      <c r="Y8" s="85">
        <v>3454242.3066666666</v>
      </c>
      <c r="Z8" s="89">
        <f>(W8*X8)+Y8</f>
        <v>12819304.870283334</v>
      </c>
      <c r="AA8" s="94">
        <f t="shared" ref="AA8:AA13" si="7">R8</f>
        <v>0.87360000000000004</v>
      </c>
      <c r="AB8" s="89">
        <f t="shared" ref="AB8:AB13" si="8">Z8*AA8</f>
        <v>11198944.73467952</v>
      </c>
      <c r="AC8" s="95"/>
      <c r="AE8" s="93">
        <f t="shared" ref="AE8:AE10" si="9">U8</f>
        <v>42248</v>
      </c>
      <c r="AF8" s="96">
        <f t="shared" ref="AF8:AF10" si="10">AB8</f>
        <v>11198944.73467952</v>
      </c>
      <c r="AG8" s="97">
        <v>0</v>
      </c>
      <c r="AH8" s="89">
        <f t="shared" ref="AH8:AH13" si="11">SUM(AF8:AG8)</f>
        <v>11198944.73467952</v>
      </c>
      <c r="AI8" s="98">
        <v>5.4662059785859106E-2</v>
      </c>
      <c r="AJ8" s="98">
        <v>9.1612755529391618E-2</v>
      </c>
      <c r="AK8" s="85">
        <v>4194845</v>
      </c>
      <c r="AL8" s="99">
        <f>+A8</f>
        <v>42309</v>
      </c>
      <c r="AM8" s="85">
        <v>1990556.09</v>
      </c>
      <c r="AN8" s="85">
        <v>3995282.9199999981</v>
      </c>
      <c r="AO8" s="100">
        <f t="shared" ref="AO8:AO13" si="12">(AK8+AM8+AN8)-AH8</f>
        <v>-1018260.7246795222</v>
      </c>
      <c r="AQ8" s="96"/>
      <c r="AR8" s="101"/>
      <c r="AS8" s="101"/>
      <c r="AT8" s="101"/>
      <c r="AU8" s="101"/>
      <c r="AV8" s="101"/>
      <c r="AW8" s="101"/>
      <c r="AX8" s="101"/>
      <c r="AY8" s="101"/>
      <c r="AZ8" s="101"/>
    </row>
    <row r="9" spans="1:52" x14ac:dyDescent="0.2">
      <c r="A9" s="102">
        <v>42339</v>
      </c>
      <c r="B9" s="103">
        <v>42278</v>
      </c>
      <c r="C9" s="98">
        <v>9.9500000000000005E-2</v>
      </c>
      <c r="D9" s="96">
        <v>1091437848</v>
      </c>
      <c r="E9" s="96">
        <v>1091437848</v>
      </c>
      <c r="F9" s="104">
        <f t="shared" si="0"/>
        <v>0</v>
      </c>
      <c r="G9" s="104">
        <f t="shared" si="1"/>
        <v>0</v>
      </c>
      <c r="H9" s="98">
        <v>0.89580000000000004</v>
      </c>
      <c r="I9" s="105">
        <f t="shared" si="2"/>
        <v>0</v>
      </c>
      <c r="K9" s="102">
        <f t="shared" si="3"/>
        <v>42339</v>
      </c>
      <c r="L9" s="103">
        <f t="shared" si="3"/>
        <v>42278</v>
      </c>
      <c r="M9" s="98">
        <f t="shared" si="3"/>
        <v>9.9500000000000005E-2</v>
      </c>
      <c r="N9" s="98">
        <f>+X9</f>
        <v>0.1043</v>
      </c>
      <c r="O9" s="98">
        <f t="shared" si="4"/>
        <v>4.7999999999999987E-3</v>
      </c>
      <c r="P9" s="96">
        <f t="shared" ref="P9:P13" si="13">E9</f>
        <v>1091437848</v>
      </c>
      <c r="Q9" s="104">
        <f t="shared" ref="Q9:Q13" si="14">(O9*P9)/12</f>
        <v>436575.13919999986</v>
      </c>
      <c r="R9" s="94">
        <v>0.89580000000000004</v>
      </c>
      <c r="S9" s="105">
        <f t="shared" ref="S9:S13" si="15">R9*Q9</f>
        <v>391084.00969535991</v>
      </c>
      <c r="U9" s="93">
        <f t="shared" si="5"/>
        <v>42278</v>
      </c>
      <c r="V9" s="85">
        <f t="shared" ref="V9:V13" si="16">E9</f>
        <v>1091437848</v>
      </c>
      <c r="W9" s="96">
        <f t="shared" si="6"/>
        <v>90953154</v>
      </c>
      <c r="X9" s="94">
        <f>'Q1 - KU ROR Feb16'!$R$34</f>
        <v>0.1043</v>
      </c>
      <c r="Y9" s="96">
        <v>3319390.6566666667</v>
      </c>
      <c r="Z9" s="96">
        <f>(W9*X9)+Y9</f>
        <v>12805804.618866667</v>
      </c>
      <c r="AA9" s="94">
        <f t="shared" si="7"/>
        <v>0.89580000000000004</v>
      </c>
      <c r="AB9" s="96">
        <f t="shared" si="8"/>
        <v>11471439.77758076</v>
      </c>
      <c r="AC9" s="95"/>
      <c r="AE9" s="93">
        <f t="shared" si="9"/>
        <v>42278</v>
      </c>
      <c r="AF9" s="96">
        <f t="shared" si="10"/>
        <v>11471439.77758076</v>
      </c>
      <c r="AG9" s="104">
        <v>0</v>
      </c>
      <c r="AH9" s="96">
        <f t="shared" si="11"/>
        <v>11471439.77758076</v>
      </c>
      <c r="AI9" s="98">
        <v>6.0570699249161863E-2</v>
      </c>
      <c r="AJ9" s="98">
        <v>0.10067080860530379</v>
      </c>
      <c r="AK9" s="96">
        <v>3724595</v>
      </c>
      <c r="AL9" s="99">
        <f>+A9</f>
        <v>42339</v>
      </c>
      <c r="AM9" s="96">
        <v>2825546.4000000008</v>
      </c>
      <c r="AN9" s="96">
        <v>4271351.2300000004</v>
      </c>
      <c r="AO9" s="107">
        <f t="shared" si="12"/>
        <v>-649947.1475807596</v>
      </c>
      <c r="AQ9" s="96"/>
      <c r="AR9" s="101"/>
      <c r="AS9" s="101"/>
      <c r="AT9" s="101"/>
      <c r="AU9" s="101"/>
      <c r="AV9" s="101"/>
      <c r="AW9" s="101"/>
      <c r="AX9" s="101"/>
      <c r="AY9" s="101"/>
      <c r="AZ9" s="101"/>
    </row>
    <row r="10" spans="1:52" x14ac:dyDescent="0.2">
      <c r="A10" s="102">
        <v>42370</v>
      </c>
      <c r="B10" s="103">
        <v>42309</v>
      </c>
      <c r="C10" s="98">
        <v>9.9500000000000005E-2</v>
      </c>
      <c r="D10" s="96">
        <v>1097853060</v>
      </c>
      <c r="E10" s="96">
        <v>1097853060</v>
      </c>
      <c r="F10" s="104">
        <f t="shared" si="0"/>
        <v>0</v>
      </c>
      <c r="G10" s="104">
        <f t="shared" si="1"/>
        <v>0</v>
      </c>
      <c r="H10" s="98">
        <v>0.88770000000000004</v>
      </c>
      <c r="I10" s="105">
        <f t="shared" si="2"/>
        <v>0</v>
      </c>
      <c r="K10" s="102">
        <f t="shared" si="3"/>
        <v>42370</v>
      </c>
      <c r="L10" s="103">
        <f t="shared" si="3"/>
        <v>42309</v>
      </c>
      <c r="M10" s="98">
        <f t="shared" si="3"/>
        <v>9.9500000000000005E-2</v>
      </c>
      <c r="N10" s="98">
        <f t="shared" ref="N10:N13" si="17">+X10</f>
        <v>0.1043</v>
      </c>
      <c r="O10" s="98">
        <f t="shared" si="4"/>
        <v>4.7999999999999987E-3</v>
      </c>
      <c r="P10" s="96">
        <f t="shared" si="13"/>
        <v>1097853060</v>
      </c>
      <c r="Q10" s="104">
        <f t="shared" si="14"/>
        <v>439141.22399999987</v>
      </c>
      <c r="R10" s="94">
        <v>0.88770000000000004</v>
      </c>
      <c r="S10" s="105">
        <f t="shared" si="15"/>
        <v>389825.66454479989</v>
      </c>
      <c r="U10" s="93">
        <f t="shared" si="5"/>
        <v>42309</v>
      </c>
      <c r="V10" s="85">
        <f t="shared" si="16"/>
        <v>1097853060</v>
      </c>
      <c r="W10" s="96">
        <f t="shared" si="6"/>
        <v>91487755</v>
      </c>
      <c r="X10" s="94">
        <f>'Q1 - KU ROR Feb16'!$R$34</f>
        <v>0.1043</v>
      </c>
      <c r="Y10" s="96">
        <v>3264963.2566666668</v>
      </c>
      <c r="Z10" s="96">
        <f t="shared" ref="Z10:Z13" si="18">(W10*X10)+Y10</f>
        <v>12807136.103166666</v>
      </c>
      <c r="AA10" s="94">
        <f t="shared" si="7"/>
        <v>0.88770000000000004</v>
      </c>
      <c r="AB10" s="96">
        <f t="shared" si="8"/>
        <v>11368894.71878105</v>
      </c>
      <c r="AC10" s="95"/>
      <c r="AE10" s="93">
        <f t="shared" si="9"/>
        <v>42309</v>
      </c>
      <c r="AF10" s="96">
        <f t="shared" si="10"/>
        <v>11368894.71878105</v>
      </c>
      <c r="AG10" s="104">
        <v>0</v>
      </c>
      <c r="AH10" s="96">
        <f t="shared" si="11"/>
        <v>11368894.71878105</v>
      </c>
      <c r="AI10" s="98">
        <v>6.0896003615675695E-2</v>
      </c>
      <c r="AJ10" s="98">
        <v>0.10080314316715179</v>
      </c>
      <c r="AK10" s="96">
        <v>3534299</v>
      </c>
      <c r="AL10" s="99">
        <f t="shared" ref="AL10:AL13" si="19">+A10</f>
        <v>42370</v>
      </c>
      <c r="AM10" s="96">
        <v>3673795.93</v>
      </c>
      <c r="AN10" s="96">
        <v>4361169.74</v>
      </c>
      <c r="AO10" s="107">
        <f t="shared" si="12"/>
        <v>200369.95121894963</v>
      </c>
      <c r="AP10" s="108"/>
      <c r="AQ10" s="96"/>
      <c r="AR10" s="101"/>
      <c r="AS10" s="101"/>
      <c r="AT10" s="101"/>
      <c r="AU10" s="101"/>
      <c r="AV10" s="101"/>
      <c r="AW10" s="101"/>
      <c r="AX10" s="101"/>
      <c r="AY10" s="101"/>
      <c r="AZ10" s="101"/>
    </row>
    <row r="11" spans="1:52" x14ac:dyDescent="0.2">
      <c r="A11" s="102">
        <v>42401</v>
      </c>
      <c r="B11" s="103">
        <v>42339</v>
      </c>
      <c r="C11" s="98">
        <v>0.10150000000000001</v>
      </c>
      <c r="D11" s="96">
        <v>1052226585</v>
      </c>
      <c r="E11" s="96">
        <v>1052226585</v>
      </c>
      <c r="F11" s="104">
        <f t="shared" si="0"/>
        <v>0</v>
      </c>
      <c r="G11" s="104">
        <f t="shared" si="1"/>
        <v>0</v>
      </c>
      <c r="H11" s="98">
        <v>0.86360000000000003</v>
      </c>
      <c r="I11" s="105">
        <f t="shared" si="2"/>
        <v>0</v>
      </c>
      <c r="K11" s="102">
        <f t="shared" si="3"/>
        <v>42401</v>
      </c>
      <c r="L11" s="103">
        <f t="shared" si="3"/>
        <v>42339</v>
      </c>
      <c r="M11" s="98">
        <f t="shared" si="3"/>
        <v>0.10150000000000001</v>
      </c>
      <c r="N11" s="98">
        <f t="shared" si="17"/>
        <v>0.1043</v>
      </c>
      <c r="O11" s="98">
        <f t="shared" si="4"/>
        <v>2.7999999999999969E-3</v>
      </c>
      <c r="P11" s="96">
        <f t="shared" si="13"/>
        <v>1052226585</v>
      </c>
      <c r="Q11" s="104">
        <f t="shared" si="14"/>
        <v>245519.53649999973</v>
      </c>
      <c r="R11" s="94">
        <v>0.86360000000000003</v>
      </c>
      <c r="S11" s="105">
        <f t="shared" si="15"/>
        <v>212030.67172139976</v>
      </c>
      <c r="U11" s="93">
        <f t="shared" si="5"/>
        <v>42339</v>
      </c>
      <c r="V11" s="85">
        <f t="shared" si="16"/>
        <v>1052226585</v>
      </c>
      <c r="W11" s="96">
        <f t="shared" si="6"/>
        <v>87685548.75</v>
      </c>
      <c r="X11" s="94">
        <f>'Q1 - KU ROR Feb16'!$R$34</f>
        <v>0.1043</v>
      </c>
      <c r="Y11" s="96">
        <v>3440741.1366666667</v>
      </c>
      <c r="Z11" s="96">
        <f t="shared" si="18"/>
        <v>12586343.871291667</v>
      </c>
      <c r="AA11" s="94">
        <f t="shared" si="7"/>
        <v>0.86360000000000003</v>
      </c>
      <c r="AB11" s="96">
        <f t="shared" si="8"/>
        <v>10869566.567247484</v>
      </c>
      <c r="AC11" s="95"/>
      <c r="AE11" s="93">
        <f>U11</f>
        <v>42339</v>
      </c>
      <c r="AF11" s="96">
        <f>AB11</f>
        <v>10869566.567247484</v>
      </c>
      <c r="AG11" s="104">
        <v>701452</v>
      </c>
      <c r="AH11" s="96">
        <f t="shared" si="11"/>
        <v>11571018.567247484</v>
      </c>
      <c r="AI11" s="98">
        <v>6.1273717590506732E-2</v>
      </c>
      <c r="AJ11" s="98">
        <v>0.10045057281921989</v>
      </c>
      <c r="AK11" s="96">
        <v>3959222</v>
      </c>
      <c r="AL11" s="99">
        <f t="shared" si="19"/>
        <v>42401</v>
      </c>
      <c r="AM11" s="96">
        <v>3982153.0600000019</v>
      </c>
      <c r="AN11" s="96">
        <v>4936460.97</v>
      </c>
      <c r="AO11" s="107">
        <f t="shared" si="12"/>
        <v>1306817.4627525173</v>
      </c>
      <c r="AP11" s="108"/>
      <c r="AQ11" s="96"/>
      <c r="AR11" s="101"/>
      <c r="AS11" s="101"/>
      <c r="AT11" s="101"/>
      <c r="AU11" s="101"/>
      <c r="AV11" s="101"/>
      <c r="AW11" s="101"/>
      <c r="AX11" s="101"/>
      <c r="AY11" s="101"/>
      <c r="AZ11" s="101"/>
    </row>
    <row r="12" spans="1:52" x14ac:dyDescent="0.2">
      <c r="A12" s="102">
        <v>42430</v>
      </c>
      <c r="B12" s="103">
        <v>42370</v>
      </c>
      <c r="C12" s="98">
        <v>0.10150000000000001</v>
      </c>
      <c r="D12" s="96">
        <v>1051678109</v>
      </c>
      <c r="E12" s="96">
        <v>1051678109</v>
      </c>
      <c r="F12" s="104">
        <f t="shared" si="0"/>
        <v>0</v>
      </c>
      <c r="G12" s="104">
        <f t="shared" si="1"/>
        <v>0</v>
      </c>
      <c r="H12" s="98">
        <v>0.87670000000000003</v>
      </c>
      <c r="I12" s="105">
        <f t="shared" si="2"/>
        <v>0</v>
      </c>
      <c r="K12" s="102">
        <f t="shared" si="3"/>
        <v>42430</v>
      </c>
      <c r="L12" s="103">
        <f t="shared" si="3"/>
        <v>42370</v>
      </c>
      <c r="M12" s="98">
        <f t="shared" si="3"/>
        <v>0.10150000000000001</v>
      </c>
      <c r="N12" s="98">
        <f t="shared" si="17"/>
        <v>0.1043</v>
      </c>
      <c r="O12" s="98">
        <f t="shared" si="4"/>
        <v>2.7999999999999969E-3</v>
      </c>
      <c r="P12" s="96">
        <f t="shared" si="13"/>
        <v>1051678109</v>
      </c>
      <c r="Q12" s="104">
        <f t="shared" si="14"/>
        <v>245391.55876666642</v>
      </c>
      <c r="R12" s="94">
        <v>0.87670000000000003</v>
      </c>
      <c r="S12" s="105">
        <f t="shared" si="15"/>
        <v>215134.77957073646</v>
      </c>
      <c r="U12" s="93">
        <f t="shared" si="5"/>
        <v>42370</v>
      </c>
      <c r="V12" s="85">
        <f t="shared" si="16"/>
        <v>1051678109</v>
      </c>
      <c r="W12" s="96">
        <f t="shared" si="6"/>
        <v>87639842.416666672</v>
      </c>
      <c r="X12" s="94">
        <f>'Q1 - KU ROR Feb16'!$R$34</f>
        <v>0.1043</v>
      </c>
      <c r="Y12" s="96">
        <v>3900644.9366666665</v>
      </c>
      <c r="Z12" s="96">
        <f t="shared" si="18"/>
        <v>13041480.500725001</v>
      </c>
      <c r="AA12" s="94">
        <f t="shared" si="7"/>
        <v>0.87670000000000003</v>
      </c>
      <c r="AB12" s="96">
        <f t="shared" si="8"/>
        <v>11433465.954985609</v>
      </c>
      <c r="AC12" s="95"/>
      <c r="AE12" s="93">
        <f>U12</f>
        <v>42370</v>
      </c>
      <c r="AF12" s="96">
        <f>AB12</f>
        <v>11433465.954985609</v>
      </c>
      <c r="AG12" s="104">
        <v>0</v>
      </c>
      <c r="AH12" s="96">
        <f t="shared" si="11"/>
        <v>11433465.954985609</v>
      </c>
      <c r="AI12" s="98">
        <v>5.6408227659657209E-2</v>
      </c>
      <c r="AJ12" s="98">
        <v>9.1289871847542031E-2</v>
      </c>
      <c r="AK12" s="96">
        <v>4490642</v>
      </c>
      <c r="AL12" s="99">
        <f t="shared" si="19"/>
        <v>42430</v>
      </c>
      <c r="AM12" s="96">
        <v>3012921.2</v>
      </c>
      <c r="AN12" s="96">
        <v>4457719.4499999993</v>
      </c>
      <c r="AO12" s="107">
        <f t="shared" si="12"/>
        <v>527816.69501438923</v>
      </c>
      <c r="AP12" s="108"/>
      <c r="AQ12" s="96"/>
      <c r="AR12" s="101"/>
      <c r="AS12" s="101"/>
      <c r="AT12" s="101"/>
      <c r="AU12" s="101"/>
      <c r="AV12" s="101"/>
      <c r="AW12" s="101"/>
      <c r="AX12" s="101"/>
      <c r="AY12" s="101"/>
      <c r="AZ12" s="101"/>
    </row>
    <row r="13" spans="1:52" x14ac:dyDescent="0.2">
      <c r="A13" s="102">
        <v>42461</v>
      </c>
      <c r="B13" s="103">
        <v>42401</v>
      </c>
      <c r="C13" s="98">
        <v>0.10150000000000001</v>
      </c>
      <c r="D13" s="96">
        <v>1053242091</v>
      </c>
      <c r="E13" s="96">
        <v>1053242091</v>
      </c>
      <c r="F13" s="104">
        <f t="shared" si="0"/>
        <v>0</v>
      </c>
      <c r="G13" s="109">
        <f t="shared" si="1"/>
        <v>0</v>
      </c>
      <c r="H13" s="98">
        <v>0.87980000000000003</v>
      </c>
      <c r="I13" s="110">
        <f t="shared" si="2"/>
        <v>0</v>
      </c>
      <c r="K13" s="102">
        <f t="shared" si="3"/>
        <v>42461</v>
      </c>
      <c r="L13" s="103">
        <f t="shared" si="3"/>
        <v>42401</v>
      </c>
      <c r="M13" s="98">
        <f t="shared" si="3"/>
        <v>0.10150000000000001</v>
      </c>
      <c r="N13" s="98">
        <f t="shared" si="17"/>
        <v>0.1043</v>
      </c>
      <c r="O13" s="98">
        <f t="shared" si="4"/>
        <v>2.7999999999999969E-3</v>
      </c>
      <c r="P13" s="96">
        <f t="shared" si="13"/>
        <v>1053242091</v>
      </c>
      <c r="Q13" s="109">
        <f t="shared" si="14"/>
        <v>245756.48789999972</v>
      </c>
      <c r="R13" s="94">
        <v>0.87980000000000003</v>
      </c>
      <c r="S13" s="110">
        <f t="shared" si="15"/>
        <v>216216.55805441976</v>
      </c>
      <c r="U13" s="93">
        <f t="shared" si="5"/>
        <v>42401</v>
      </c>
      <c r="V13" s="85">
        <f t="shared" si="16"/>
        <v>1053242091</v>
      </c>
      <c r="W13" s="96">
        <f t="shared" si="6"/>
        <v>87770174.25</v>
      </c>
      <c r="X13" s="94">
        <f>'Q1 - KU ROR Feb16'!$R$34</f>
        <v>0.1043</v>
      </c>
      <c r="Y13" s="96">
        <v>4307045.0566666666</v>
      </c>
      <c r="Z13" s="96">
        <f t="shared" si="18"/>
        <v>13461474.230941666</v>
      </c>
      <c r="AA13" s="94">
        <f t="shared" si="7"/>
        <v>0.87980000000000003</v>
      </c>
      <c r="AB13" s="96">
        <f t="shared" si="8"/>
        <v>11843405.028382478</v>
      </c>
      <c r="AC13" s="95"/>
      <c r="AE13" s="93">
        <f>U13</f>
        <v>42401</v>
      </c>
      <c r="AF13" s="96">
        <f>AB13</f>
        <v>11843405.028382478</v>
      </c>
      <c r="AG13" s="104">
        <v>0</v>
      </c>
      <c r="AH13" s="96">
        <f t="shared" si="11"/>
        <v>11843405.028382478</v>
      </c>
      <c r="AI13" s="98">
        <v>1.512910802636753E-2</v>
      </c>
      <c r="AJ13" s="98">
        <v>2.4185738784286037E-2</v>
      </c>
      <c r="AK13" s="96">
        <v>9820562</v>
      </c>
      <c r="AL13" s="99">
        <f t="shared" si="19"/>
        <v>42461</v>
      </c>
      <c r="AM13" s="96">
        <v>657436.79000000027</v>
      </c>
      <c r="AN13" s="96">
        <v>1560159.5999999999</v>
      </c>
      <c r="AO13" s="107">
        <f t="shared" si="12"/>
        <v>194753.36161752231</v>
      </c>
      <c r="AP13" s="108"/>
      <c r="AQ13" s="96"/>
      <c r="AR13" s="101"/>
      <c r="AS13" s="101"/>
      <c r="AT13" s="101"/>
      <c r="AU13" s="101"/>
      <c r="AV13" s="101"/>
      <c r="AW13" s="101"/>
      <c r="AX13" s="101"/>
      <c r="AY13" s="101"/>
      <c r="AZ13" s="101"/>
    </row>
    <row r="14" spans="1:52" x14ac:dyDescent="0.2">
      <c r="A14" s="102"/>
      <c r="B14" s="103"/>
      <c r="C14" s="98"/>
      <c r="D14" s="111"/>
      <c r="E14" s="96"/>
      <c r="F14" s="96"/>
      <c r="G14" s="112">
        <f>SUM(G8:G13)</f>
        <v>0</v>
      </c>
      <c r="H14" s="113"/>
      <c r="I14" s="114">
        <f>SUM(I8:I13)</f>
        <v>0</v>
      </c>
      <c r="K14" s="115"/>
      <c r="L14" s="113"/>
      <c r="M14" s="113"/>
      <c r="N14" s="113"/>
      <c r="O14" s="113"/>
      <c r="P14" s="113"/>
      <c r="Q14" s="112">
        <f>SUM(Q8:Q13)</f>
        <v>2043374.3615666656</v>
      </c>
      <c r="R14" s="113"/>
      <c r="S14" s="114">
        <f>SUM(S8:S13)</f>
        <v>1800804.9103054355</v>
      </c>
      <c r="U14" s="93"/>
      <c r="V14" s="96"/>
      <c r="W14" s="113"/>
      <c r="X14" s="113"/>
      <c r="Y14" s="106"/>
      <c r="Z14" s="113"/>
      <c r="AA14" s="113"/>
      <c r="AB14" s="113"/>
      <c r="AC14" s="95"/>
      <c r="AE14" s="115"/>
      <c r="AF14" s="113"/>
      <c r="AG14" s="113"/>
      <c r="AH14" s="116">
        <f>SUM(AH8:AH13)</f>
        <v>68887168.781656891</v>
      </c>
      <c r="AI14" s="113"/>
      <c r="AJ14" s="113"/>
      <c r="AK14" s="116">
        <f>SUM(AK8:AK13)</f>
        <v>29724165</v>
      </c>
      <c r="AL14" s="113"/>
      <c r="AM14" s="116">
        <f>SUM(AM8:AM13)</f>
        <v>16142409.470000004</v>
      </c>
      <c r="AN14" s="116">
        <f>SUM(AN8:AN13)</f>
        <v>23582143.91</v>
      </c>
      <c r="AO14" s="117">
        <f>SUM(AO8:AO13)</f>
        <v>561549.59834309667</v>
      </c>
      <c r="AP14" s="108"/>
      <c r="AQ14" s="118"/>
      <c r="AR14" s="101"/>
      <c r="AS14" s="101"/>
      <c r="AT14" s="101"/>
      <c r="AU14" s="101"/>
      <c r="AV14" s="101"/>
      <c r="AW14" s="101"/>
      <c r="AX14" s="101"/>
      <c r="AY14" s="101"/>
      <c r="AZ14" s="101"/>
    </row>
    <row r="15" spans="1:52" ht="13.5" thickBot="1" x14ac:dyDescent="0.25">
      <c r="A15" s="129"/>
      <c r="B15" s="130"/>
      <c r="C15" s="131"/>
      <c r="D15" s="132"/>
      <c r="E15" s="133"/>
      <c r="F15" s="133"/>
      <c r="G15" s="133"/>
      <c r="H15" s="131"/>
      <c r="I15" s="134"/>
      <c r="K15" s="129"/>
      <c r="L15" s="130"/>
      <c r="M15" s="131"/>
      <c r="N15" s="131"/>
      <c r="O15" s="131"/>
      <c r="P15" s="135"/>
      <c r="Q15" s="135"/>
      <c r="R15" s="136"/>
      <c r="S15" s="134"/>
      <c r="U15" s="138"/>
      <c r="V15" s="133"/>
      <c r="W15" s="139"/>
      <c r="X15" s="139"/>
      <c r="Y15" s="139"/>
      <c r="Z15" s="139"/>
      <c r="AA15" s="139"/>
      <c r="AB15" s="139"/>
      <c r="AC15" s="134"/>
      <c r="AE15" s="138"/>
      <c r="AF15" s="139"/>
      <c r="AG15" s="139"/>
      <c r="AH15" s="139"/>
      <c r="AI15" s="139"/>
      <c r="AJ15" s="139"/>
      <c r="AK15" s="139"/>
      <c r="AL15" s="139"/>
      <c r="AM15" s="139"/>
      <c r="AN15" s="139"/>
      <c r="AO15" s="134"/>
      <c r="AP15" s="108"/>
      <c r="AQ15" s="96"/>
      <c r="AR15" s="101"/>
      <c r="AS15" s="101"/>
      <c r="AT15" s="101"/>
      <c r="AU15" s="101"/>
      <c r="AV15" s="101"/>
      <c r="AW15" s="101"/>
      <c r="AX15" s="101"/>
      <c r="AY15" s="101"/>
      <c r="AZ15" s="101"/>
    </row>
    <row r="16" spans="1:52" x14ac:dyDescent="0.2">
      <c r="A16" s="102"/>
      <c r="E16" s="113"/>
      <c r="W16" s="119"/>
      <c r="X16" s="113"/>
      <c r="Y16" s="96"/>
      <c r="Z16" s="96"/>
      <c r="AA16" s="96"/>
      <c r="AB16" s="96"/>
      <c r="AC16" s="120"/>
    </row>
    <row r="17" spans="1:29" x14ac:dyDescent="0.2">
      <c r="A17" s="102"/>
      <c r="E17" s="113"/>
      <c r="X17" s="113"/>
      <c r="Y17" s="85"/>
      <c r="Z17" s="113"/>
      <c r="AA17" s="113"/>
      <c r="AB17" s="113"/>
      <c r="AC17" s="113"/>
    </row>
    <row r="18" spans="1:29" x14ac:dyDescent="0.2">
      <c r="A18" s="102"/>
      <c r="X18" s="113"/>
      <c r="Y18" s="96"/>
      <c r="Z18" s="113"/>
      <c r="AA18" s="113"/>
      <c r="AB18" s="113"/>
      <c r="AC18" s="113"/>
    </row>
    <row r="19" spans="1:29" x14ac:dyDescent="0.2">
      <c r="A19" s="102"/>
      <c r="X19" s="113"/>
      <c r="Y19" s="96"/>
      <c r="Z19" s="113"/>
      <c r="AA19" s="113"/>
      <c r="AB19" s="113"/>
      <c r="AC19" s="113"/>
    </row>
    <row r="20" spans="1:29" x14ac:dyDescent="0.2">
      <c r="A20" s="102"/>
      <c r="X20" s="113"/>
      <c r="Y20" s="96"/>
      <c r="Z20" s="113"/>
      <c r="AA20" s="113"/>
      <c r="AB20" s="113"/>
      <c r="AC20" s="113"/>
    </row>
    <row r="21" spans="1:29" x14ac:dyDescent="0.2">
      <c r="A21" s="102"/>
      <c r="T21" s="108"/>
      <c r="X21" s="113"/>
      <c r="Y21" s="96"/>
      <c r="Z21" s="113"/>
      <c r="AA21" s="113"/>
      <c r="AB21" s="113"/>
      <c r="AC21" s="113"/>
    </row>
    <row r="22" spans="1:29" x14ac:dyDescent="0.2">
      <c r="A22" s="102"/>
      <c r="X22" s="113"/>
      <c r="Y22" s="96"/>
      <c r="Z22" s="113"/>
      <c r="AA22" s="113"/>
      <c r="AB22" s="113"/>
      <c r="AC22" s="113"/>
    </row>
    <row r="23" spans="1:29" x14ac:dyDescent="0.2">
      <c r="A23" s="102"/>
      <c r="X23" s="113"/>
      <c r="Y23" s="113"/>
      <c r="Z23" s="113"/>
      <c r="AA23" s="113"/>
      <c r="AB23" s="113"/>
      <c r="AC23" s="113"/>
    </row>
    <row r="24" spans="1:29" x14ac:dyDescent="0.2">
      <c r="A24" s="102"/>
    </row>
  </sheetData>
  <phoneticPr fontId="6" type="noConversion"/>
  <printOptions horizontalCentered="1"/>
  <pageMargins left="0.25" right="0.25" top="0.75" bottom="0.5" header="0.5" footer="0.5"/>
  <pageSetup scale="86" orientation="landscape" r:id="rId1"/>
  <headerFooter alignWithMargins="0"/>
  <colBreaks count="3" manualBreakCount="3">
    <brk id="10" max="53" man="1"/>
    <brk id="20" max="53" man="1"/>
    <brk id="30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7"/>
  <sheetViews>
    <sheetView view="pageBreakPreview" zoomScaleNormal="80" zoomScaleSheetLayoutView="100" workbookViewId="0"/>
  </sheetViews>
  <sheetFormatPr defaultRowHeight="12.75" x14ac:dyDescent="0.2"/>
  <cols>
    <col min="1" max="1" width="5.5" style="3" customWidth="1"/>
    <col min="2" max="2" width="11.5" style="3" customWidth="1"/>
    <col min="3" max="3" width="13.33203125" style="3" customWidth="1"/>
    <col min="4" max="4" width="15.1640625" style="3" customWidth="1"/>
    <col min="5" max="5" width="15" style="3" customWidth="1"/>
    <col min="6" max="6" width="14.33203125" style="3" customWidth="1"/>
    <col min="7" max="7" width="16.5" style="3" customWidth="1"/>
    <col min="8" max="8" width="15.33203125" style="3" customWidth="1"/>
    <col min="9" max="9" width="14.33203125" style="3" customWidth="1"/>
    <col min="10" max="10" width="14.83203125" style="3" customWidth="1"/>
    <col min="11" max="11" width="15.1640625" style="3" bestFit="1" customWidth="1"/>
    <col min="12" max="12" width="15.1640625" style="3" customWidth="1"/>
    <col min="13" max="13" width="11" style="3" customWidth="1"/>
    <col min="14" max="14" width="14.33203125" style="3" customWidth="1"/>
    <col min="15" max="15" width="21.6640625" style="3" customWidth="1"/>
    <col min="16" max="16" width="18.83203125" style="3" customWidth="1"/>
    <col min="17" max="17" width="19.33203125" style="3" customWidth="1"/>
    <col min="18" max="18" width="17.33203125" style="3" bestFit="1" customWidth="1"/>
    <col min="19" max="19" width="13.5" style="3" bestFit="1" customWidth="1"/>
    <col min="20" max="22" width="15" style="3" bestFit="1" customWidth="1"/>
    <col min="23" max="23" width="13" style="3" bestFit="1" customWidth="1"/>
    <col min="24" max="24" width="14.6640625" style="3" bestFit="1" customWidth="1"/>
    <col min="25" max="25" width="13.5" style="3" bestFit="1" customWidth="1"/>
    <col min="26" max="26" width="14.6640625" style="3" bestFit="1" customWidth="1"/>
    <col min="27" max="27" width="13.5" style="3" bestFit="1" customWidth="1"/>
    <col min="28" max="28" width="14.6640625" style="3" bestFit="1" customWidth="1"/>
    <col min="29" max="29" width="12.1640625" style="3" bestFit="1" customWidth="1"/>
    <col min="30" max="16384" width="9.33203125" style="3"/>
  </cols>
  <sheetData>
    <row r="1" spans="1:28" ht="12.75" customHeight="1" x14ac:dyDescent="0.3">
      <c r="A1" s="44" t="s">
        <v>46</v>
      </c>
      <c r="B1" s="2"/>
      <c r="J1" s="1" t="s">
        <v>79</v>
      </c>
    </row>
    <row r="2" spans="1:28" ht="12.75" customHeight="1" x14ac:dyDescent="0.3">
      <c r="A2" s="44" t="s">
        <v>59</v>
      </c>
      <c r="B2" s="2"/>
      <c r="J2" s="1" t="s">
        <v>77</v>
      </c>
    </row>
    <row r="3" spans="1:28" ht="12.75" customHeight="1" x14ac:dyDescent="0.3">
      <c r="A3" s="45" t="s">
        <v>80</v>
      </c>
      <c r="B3" s="2"/>
      <c r="J3" s="142" t="s">
        <v>194</v>
      </c>
    </row>
    <row r="5" spans="1:28" s="4" customFormat="1" x14ac:dyDescent="0.2">
      <c r="B5" s="5">
        <v>-1</v>
      </c>
      <c r="C5" s="5">
        <f t="shared" ref="C5:J5" si="0">+B5-1</f>
        <v>-2</v>
      </c>
      <c r="D5" s="5">
        <f t="shared" si="0"/>
        <v>-3</v>
      </c>
      <c r="E5" s="5">
        <f t="shared" si="0"/>
        <v>-4</v>
      </c>
      <c r="F5" s="5">
        <f t="shared" si="0"/>
        <v>-5</v>
      </c>
      <c r="G5" s="5">
        <f t="shared" si="0"/>
        <v>-6</v>
      </c>
      <c r="H5" s="5">
        <f t="shared" si="0"/>
        <v>-7</v>
      </c>
      <c r="I5" s="5">
        <f t="shared" si="0"/>
        <v>-8</v>
      </c>
      <c r="J5" s="5">
        <f t="shared" si="0"/>
        <v>-9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8" ht="38.25" x14ac:dyDescent="0.2">
      <c r="B6" s="7" t="s">
        <v>0</v>
      </c>
      <c r="C6" s="7" t="s">
        <v>1</v>
      </c>
      <c r="D6" s="7" t="s">
        <v>2</v>
      </c>
      <c r="E6" s="7" t="s">
        <v>19</v>
      </c>
      <c r="F6" s="7" t="s">
        <v>20</v>
      </c>
      <c r="G6" s="7" t="s">
        <v>28</v>
      </c>
      <c r="H6" s="7" t="s">
        <v>60</v>
      </c>
      <c r="I6" s="8" t="s">
        <v>61</v>
      </c>
      <c r="J6" s="8" t="s">
        <v>62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8" x14ac:dyDescent="0.2">
      <c r="B7" s="9"/>
      <c r="C7" s="9"/>
      <c r="D7" s="10"/>
      <c r="E7" s="4"/>
      <c r="F7" s="11" t="s">
        <v>21</v>
      </c>
      <c r="G7" s="9"/>
      <c r="H7" s="4" t="s">
        <v>22</v>
      </c>
      <c r="I7" s="9"/>
      <c r="J7" s="4" t="s">
        <v>16</v>
      </c>
      <c r="R7" s="6"/>
      <c r="S7" s="6"/>
      <c r="T7" s="6"/>
      <c r="U7" s="6"/>
      <c r="V7" s="6"/>
      <c r="W7" s="6"/>
      <c r="X7" s="6"/>
    </row>
    <row r="8" spans="1:28" x14ac:dyDescent="0.2">
      <c r="B8" s="9"/>
      <c r="C8" s="9"/>
      <c r="D8" s="10"/>
      <c r="E8" s="4"/>
      <c r="F8" s="11"/>
      <c r="G8" s="9"/>
      <c r="H8" s="4"/>
      <c r="I8" s="9"/>
      <c r="J8" s="4"/>
      <c r="R8" s="6"/>
      <c r="S8" s="6"/>
      <c r="T8" s="6"/>
      <c r="U8" s="6"/>
      <c r="V8" s="6"/>
      <c r="W8" s="6"/>
      <c r="X8" s="6"/>
    </row>
    <row r="9" spans="1:28" x14ac:dyDescent="0.2">
      <c r="B9" s="12">
        <f>'Q1-Q2 KU Over-Under Calc'!A8</f>
        <v>42309</v>
      </c>
      <c r="C9" s="12">
        <f>'Q1-Q2 KU Over-Under Calc'!B8</f>
        <v>42248</v>
      </c>
      <c r="D9" s="13">
        <f>'Q1-Q2 KU Over-Under Calc'!C8</f>
        <v>9.9500000000000005E-2</v>
      </c>
      <c r="E9" s="14">
        <f>'Q1-Q2 KU Over-Under Calc'!N8</f>
        <v>0.1043</v>
      </c>
      <c r="F9" s="15">
        <f t="shared" ref="F9" si="1">E9-D9</f>
        <v>4.7999999999999987E-3</v>
      </c>
      <c r="G9" s="49">
        <f>'Q1-Q2 KU Over-Under Calc'!E8</f>
        <v>1077476038</v>
      </c>
      <c r="H9" s="49">
        <f t="shared" ref="H9" si="2">(F9*G9)/12</f>
        <v>430990.41519999987</v>
      </c>
      <c r="I9" s="13">
        <f>'Q1-Q2 KU Over-Under Calc'!H8</f>
        <v>0.87360000000000004</v>
      </c>
      <c r="J9" s="49">
        <f t="shared" ref="J9" si="3">+H9*I9</f>
        <v>376513.22671871993</v>
      </c>
      <c r="R9" s="6"/>
      <c r="S9" s="6"/>
      <c r="T9" s="6"/>
      <c r="U9" s="6"/>
      <c r="V9" s="6"/>
      <c r="W9" s="6"/>
      <c r="X9" s="6"/>
    </row>
    <row r="10" spans="1:28" x14ac:dyDescent="0.2">
      <c r="B10" s="12">
        <f>'Q1-Q2 KU Over-Under Calc'!A9</f>
        <v>42339</v>
      </c>
      <c r="C10" s="12">
        <f>'Q1-Q2 KU Over-Under Calc'!B9</f>
        <v>42278</v>
      </c>
      <c r="D10" s="13">
        <f>'Q1-Q2 KU Over-Under Calc'!C9</f>
        <v>9.9500000000000005E-2</v>
      </c>
      <c r="E10" s="14">
        <f>'Q1-Q2 KU Over-Under Calc'!N9</f>
        <v>0.1043</v>
      </c>
      <c r="F10" s="15">
        <f t="shared" ref="F10:F14" si="4">E10-D10</f>
        <v>4.7999999999999987E-3</v>
      </c>
      <c r="G10" s="50">
        <f>'Q1-Q2 KU Over-Under Calc'!E9</f>
        <v>1091437848</v>
      </c>
      <c r="H10" s="50">
        <f t="shared" ref="H10:H14" si="5">(F10*G10)/12</f>
        <v>436575.13919999986</v>
      </c>
      <c r="I10" s="13">
        <f>'Q1-Q2 KU Over-Under Calc'!H9</f>
        <v>0.89580000000000004</v>
      </c>
      <c r="J10" s="50">
        <f t="shared" ref="J10:J14" si="6">+H10*I10</f>
        <v>391084.00969535991</v>
      </c>
      <c r="R10" s="6"/>
      <c r="S10" s="6"/>
      <c r="T10" s="6"/>
      <c r="U10" s="6"/>
      <c r="V10" s="6"/>
      <c r="W10" s="6"/>
      <c r="X10" s="6"/>
    </row>
    <row r="11" spans="1:28" x14ac:dyDescent="0.2">
      <c r="B11" s="12">
        <f>'Q1-Q2 KU Over-Under Calc'!A10</f>
        <v>42370</v>
      </c>
      <c r="C11" s="12">
        <f>'Q1-Q2 KU Over-Under Calc'!B10</f>
        <v>42309</v>
      </c>
      <c r="D11" s="13">
        <f>'Q1-Q2 KU Over-Under Calc'!C10</f>
        <v>9.9500000000000005E-2</v>
      </c>
      <c r="E11" s="14">
        <f>'Q1-Q2 KU Over-Under Calc'!N10</f>
        <v>0.1043</v>
      </c>
      <c r="F11" s="15">
        <f t="shared" si="4"/>
        <v>4.7999999999999987E-3</v>
      </c>
      <c r="G11" s="50">
        <f>'Q1-Q2 KU Over-Under Calc'!E10</f>
        <v>1097853060</v>
      </c>
      <c r="H11" s="50">
        <f t="shared" si="5"/>
        <v>439141.22399999987</v>
      </c>
      <c r="I11" s="13">
        <f>'Q1-Q2 KU Over-Under Calc'!H10</f>
        <v>0.88770000000000004</v>
      </c>
      <c r="J11" s="50">
        <f t="shared" si="6"/>
        <v>389825.66454479989</v>
      </c>
      <c r="R11" s="6"/>
      <c r="S11" s="6"/>
      <c r="T11" s="6"/>
      <c r="U11" s="6"/>
      <c r="V11" s="6"/>
      <c r="W11" s="6"/>
      <c r="X11" s="6"/>
    </row>
    <row r="12" spans="1:28" x14ac:dyDescent="0.2">
      <c r="B12" s="12">
        <f>'Q1-Q2 KU Over-Under Calc'!A11</f>
        <v>42401</v>
      </c>
      <c r="C12" s="12">
        <f>'Q1-Q2 KU Over-Under Calc'!B11</f>
        <v>42339</v>
      </c>
      <c r="D12" s="13">
        <f>'Q1-Q2 KU Over-Under Calc'!C11</f>
        <v>0.10150000000000001</v>
      </c>
      <c r="E12" s="14">
        <f>'Q1-Q2 KU Over-Under Calc'!N11</f>
        <v>0.1043</v>
      </c>
      <c r="F12" s="15">
        <f t="shared" si="4"/>
        <v>2.7999999999999969E-3</v>
      </c>
      <c r="G12" s="50">
        <f>'Q1-Q2 KU Over-Under Calc'!E11</f>
        <v>1052226585</v>
      </c>
      <c r="H12" s="50">
        <f t="shared" si="5"/>
        <v>245519.53649999973</v>
      </c>
      <c r="I12" s="13">
        <f>'Q1-Q2 KU Over-Under Calc'!H11</f>
        <v>0.86360000000000003</v>
      </c>
      <c r="J12" s="50">
        <f t="shared" si="6"/>
        <v>212030.67172139976</v>
      </c>
      <c r="R12" s="6"/>
      <c r="S12" s="6"/>
      <c r="T12" s="6"/>
      <c r="U12" s="6"/>
      <c r="V12" s="6"/>
      <c r="W12" s="6"/>
      <c r="X12" s="6"/>
    </row>
    <row r="13" spans="1:28" x14ac:dyDescent="0.2">
      <c r="B13" s="12">
        <f>'Q1-Q2 KU Over-Under Calc'!A12</f>
        <v>42430</v>
      </c>
      <c r="C13" s="12">
        <f>'Q1-Q2 KU Over-Under Calc'!B12</f>
        <v>42370</v>
      </c>
      <c r="D13" s="13">
        <f>'Q1-Q2 KU Over-Under Calc'!C12</f>
        <v>0.10150000000000001</v>
      </c>
      <c r="E13" s="14">
        <f>'Q1-Q2 KU Over-Under Calc'!N12</f>
        <v>0.1043</v>
      </c>
      <c r="F13" s="15">
        <f t="shared" si="4"/>
        <v>2.7999999999999969E-3</v>
      </c>
      <c r="G13" s="50">
        <f>'Q1-Q2 KU Over-Under Calc'!E12</f>
        <v>1051678109</v>
      </c>
      <c r="H13" s="50">
        <f t="shared" si="5"/>
        <v>245391.55876666642</v>
      </c>
      <c r="I13" s="13">
        <f>'Q1-Q2 KU Over-Under Calc'!H12</f>
        <v>0.87670000000000003</v>
      </c>
      <c r="J13" s="50">
        <f t="shared" si="6"/>
        <v>215134.77957073646</v>
      </c>
      <c r="R13" s="6"/>
      <c r="S13" s="6"/>
      <c r="T13" s="6"/>
      <c r="U13" s="6"/>
      <c r="V13" s="6"/>
      <c r="W13" s="6"/>
      <c r="X13" s="6"/>
    </row>
    <row r="14" spans="1:28" x14ac:dyDescent="0.2">
      <c r="B14" s="12">
        <f>'Q1-Q2 KU Over-Under Calc'!A13</f>
        <v>42461</v>
      </c>
      <c r="C14" s="12">
        <f>'Q1-Q2 KU Over-Under Calc'!B13</f>
        <v>42401</v>
      </c>
      <c r="D14" s="13">
        <f>'Q1-Q2 KU Over-Under Calc'!C13</f>
        <v>0.10150000000000001</v>
      </c>
      <c r="E14" s="14">
        <f>'Q1-Q2 KU Over-Under Calc'!N13</f>
        <v>0.1043</v>
      </c>
      <c r="F14" s="15">
        <f t="shared" si="4"/>
        <v>2.7999999999999969E-3</v>
      </c>
      <c r="G14" s="50">
        <f>'Q1-Q2 KU Over-Under Calc'!E13</f>
        <v>1053242091</v>
      </c>
      <c r="H14" s="51">
        <f t="shared" si="5"/>
        <v>245756.48789999972</v>
      </c>
      <c r="I14" s="13">
        <f>'Q1-Q2 KU Over-Under Calc'!H13</f>
        <v>0.87980000000000003</v>
      </c>
      <c r="J14" s="51">
        <f t="shared" si="6"/>
        <v>216216.55805441976</v>
      </c>
      <c r="R14" s="6"/>
      <c r="S14" s="6"/>
      <c r="T14" s="6"/>
      <c r="U14" s="6"/>
      <c r="V14" s="6"/>
      <c r="W14" s="6"/>
      <c r="X14" s="6"/>
    </row>
    <row r="15" spans="1:28" x14ac:dyDescent="0.2">
      <c r="B15" s="9"/>
      <c r="C15" s="9"/>
      <c r="D15" s="10"/>
      <c r="E15" s="46"/>
      <c r="F15" s="47"/>
      <c r="G15" s="9"/>
      <c r="H15" s="49">
        <f>SUM(H9:H14)</f>
        <v>2043374.3615666656</v>
      </c>
      <c r="J15" s="49">
        <f>SUM(J9:J14)</f>
        <v>1800804.9103054355</v>
      </c>
      <c r="R15" s="6"/>
      <c r="S15" s="6"/>
      <c r="T15" s="6"/>
      <c r="U15" s="6"/>
      <c r="V15" s="6"/>
      <c r="W15" s="6"/>
      <c r="X15" s="6"/>
    </row>
    <row r="16" spans="1:28" x14ac:dyDescent="0.2">
      <c r="B16" s="12"/>
      <c r="C16" s="12"/>
      <c r="R16" s="6"/>
      <c r="S16" s="6"/>
      <c r="T16" s="6"/>
      <c r="U16" s="6"/>
      <c r="V16" s="6"/>
      <c r="W16" s="6"/>
      <c r="X16" s="6"/>
      <c r="AA16" s="18"/>
      <c r="AB16" s="18"/>
    </row>
    <row r="17" spans="2:31" x14ac:dyDescent="0.2">
      <c r="R17" s="6"/>
      <c r="S17" s="6"/>
      <c r="T17" s="6"/>
      <c r="U17" s="6"/>
      <c r="V17" s="6"/>
      <c r="W17" s="6"/>
      <c r="X17" s="6"/>
    </row>
    <row r="18" spans="2:31" s="4" customFormat="1" x14ac:dyDescent="0.2">
      <c r="B18" s="5">
        <v>-1</v>
      </c>
      <c r="C18" s="5">
        <f t="shared" ref="C18:F18" si="7">+B18-1</f>
        <v>-2</v>
      </c>
      <c r="D18" s="5">
        <f t="shared" si="7"/>
        <v>-3</v>
      </c>
      <c r="E18" s="5">
        <f t="shared" si="7"/>
        <v>-4</v>
      </c>
      <c r="F18" s="5">
        <f t="shared" si="7"/>
        <v>-5</v>
      </c>
      <c r="H18" s="5"/>
      <c r="I18" s="5"/>
      <c r="J18" s="12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0"/>
      <c r="X18" s="10"/>
    </row>
    <row r="19" spans="2:31" x14ac:dyDescent="0.2">
      <c r="C19" s="20"/>
      <c r="D19" s="307" t="s">
        <v>63</v>
      </c>
      <c r="E19" s="307"/>
      <c r="F19" s="307"/>
      <c r="G19" s="307"/>
      <c r="H19" s="4"/>
      <c r="J19" s="12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31" ht="51" x14ac:dyDescent="0.2">
      <c r="B20" s="8" t="s">
        <v>64</v>
      </c>
      <c r="C20" s="8" t="s">
        <v>65</v>
      </c>
      <c r="D20" s="21" t="s">
        <v>33</v>
      </c>
      <c r="E20" s="8" t="s">
        <v>73</v>
      </c>
      <c r="F20" s="7" t="s">
        <v>66</v>
      </c>
      <c r="H20" s="4"/>
      <c r="I20" s="4"/>
      <c r="J20" s="12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31" x14ac:dyDescent="0.2">
      <c r="B21" s="4"/>
      <c r="C21" s="4"/>
      <c r="D21" s="11" t="s">
        <v>67</v>
      </c>
      <c r="E21" s="4"/>
      <c r="F21" s="4"/>
      <c r="H21" s="4"/>
      <c r="I21" s="4"/>
      <c r="J21" s="6"/>
      <c r="K21" s="6"/>
      <c r="L21" s="6"/>
      <c r="M21" s="6"/>
      <c r="N21" s="19"/>
      <c r="O21" s="6"/>
      <c r="P21" s="6"/>
      <c r="Q21" s="6"/>
      <c r="R21" s="6"/>
      <c r="S21" s="6"/>
      <c r="T21" s="6"/>
      <c r="U21" s="6"/>
      <c r="V21" s="6"/>
    </row>
    <row r="22" spans="2:31" x14ac:dyDescent="0.2">
      <c r="B22" s="22"/>
      <c r="C22" s="4"/>
      <c r="D22" s="4"/>
      <c r="H22" s="4"/>
      <c r="I22" s="4"/>
      <c r="J22" s="23"/>
      <c r="K22" s="19"/>
      <c r="L22" s="19"/>
      <c r="M22" s="19"/>
      <c r="N22" s="19"/>
      <c r="O22" s="6"/>
      <c r="P22" s="6"/>
      <c r="Q22" s="6"/>
      <c r="R22" s="6"/>
      <c r="S22" s="6"/>
      <c r="T22" s="6"/>
      <c r="U22" s="6"/>
      <c r="V22" s="6"/>
    </row>
    <row r="23" spans="2:31" x14ac:dyDescent="0.2">
      <c r="B23" s="22">
        <f>B9</f>
        <v>42309</v>
      </c>
      <c r="C23" s="22">
        <f>+C9</f>
        <v>42248</v>
      </c>
      <c r="D23" s="52">
        <f>'Q1-Q2 KU Over-Under Calc'!AO8</f>
        <v>-1018260.7246795222</v>
      </c>
      <c r="E23" s="49">
        <f>-J9</f>
        <v>-376513.22671871993</v>
      </c>
      <c r="F23" s="49">
        <f t="shared" ref="F23:F28" si="8">D23-E23</f>
        <v>-641747.49796080228</v>
      </c>
      <c r="H23" s="46"/>
      <c r="I23" s="46"/>
      <c r="J23" s="23"/>
      <c r="K23" s="19"/>
      <c r="L23" s="19"/>
      <c r="M23" s="19"/>
      <c r="N23" s="19"/>
      <c r="O23" s="6"/>
      <c r="P23" s="6"/>
      <c r="Q23" s="6"/>
      <c r="R23" s="6"/>
      <c r="S23" s="6"/>
      <c r="T23" s="6"/>
      <c r="U23" s="6"/>
      <c r="V23" s="6"/>
    </row>
    <row r="24" spans="2:31" x14ac:dyDescent="0.2">
      <c r="B24" s="22">
        <f t="shared" ref="B24:B28" si="9">B10</f>
        <v>42339</v>
      </c>
      <c r="C24" s="22">
        <f t="shared" ref="C24:C28" si="10">+C10</f>
        <v>42278</v>
      </c>
      <c r="D24" s="53">
        <f>'Q1-Q2 KU Over-Under Calc'!AO9</f>
        <v>-649947.1475807596</v>
      </c>
      <c r="E24" s="50">
        <f t="shared" ref="E24:E28" si="11">-J10</f>
        <v>-391084.00969535991</v>
      </c>
      <c r="F24" s="50">
        <f t="shared" si="8"/>
        <v>-258863.13788539969</v>
      </c>
      <c r="H24" s="46"/>
      <c r="I24" s="46"/>
      <c r="J24" s="23"/>
      <c r="K24" s="19"/>
      <c r="L24" s="19"/>
      <c r="M24" s="19"/>
      <c r="N24" s="19"/>
      <c r="O24" s="6"/>
      <c r="P24" s="6"/>
      <c r="Q24" s="6"/>
      <c r="R24" s="6"/>
      <c r="S24" s="6"/>
      <c r="T24" s="6"/>
      <c r="U24" s="6"/>
      <c r="V24" s="6"/>
    </row>
    <row r="25" spans="2:31" x14ac:dyDescent="0.2">
      <c r="B25" s="22">
        <f t="shared" si="9"/>
        <v>42370</v>
      </c>
      <c r="C25" s="22">
        <f t="shared" si="10"/>
        <v>42309</v>
      </c>
      <c r="D25" s="53">
        <f>'Q1-Q2 KU Over-Under Calc'!AO10</f>
        <v>200369.95121894963</v>
      </c>
      <c r="E25" s="50">
        <f t="shared" si="11"/>
        <v>-389825.66454479989</v>
      </c>
      <c r="F25" s="50">
        <f t="shared" si="8"/>
        <v>590195.61576374946</v>
      </c>
      <c r="H25" s="46"/>
      <c r="I25" s="46"/>
      <c r="J25" s="23"/>
      <c r="K25" s="19"/>
      <c r="L25" s="19"/>
      <c r="M25" s="19"/>
      <c r="N25" s="19"/>
      <c r="O25" s="6"/>
      <c r="P25" s="6"/>
      <c r="Q25" s="6"/>
      <c r="R25" s="6"/>
      <c r="S25" s="6"/>
      <c r="T25" s="6"/>
      <c r="U25" s="6"/>
      <c r="V25" s="6"/>
    </row>
    <row r="26" spans="2:31" x14ac:dyDescent="0.2">
      <c r="B26" s="22">
        <f t="shared" si="9"/>
        <v>42401</v>
      </c>
      <c r="C26" s="22">
        <f t="shared" si="10"/>
        <v>42339</v>
      </c>
      <c r="D26" s="53">
        <f>'Q1-Q2 KU Over-Under Calc'!AO11</f>
        <v>1306817.4627525173</v>
      </c>
      <c r="E26" s="50">
        <f t="shared" si="11"/>
        <v>-212030.67172139976</v>
      </c>
      <c r="F26" s="50">
        <f t="shared" si="8"/>
        <v>1518848.1344739171</v>
      </c>
      <c r="H26" s="46"/>
      <c r="I26" s="46"/>
      <c r="J26" s="23"/>
      <c r="K26" s="19"/>
      <c r="L26" s="19"/>
      <c r="M26" s="19"/>
      <c r="N26" s="19"/>
      <c r="O26" s="6"/>
      <c r="P26" s="6"/>
      <c r="Q26" s="6"/>
      <c r="R26" s="6"/>
      <c r="S26" s="6"/>
      <c r="T26" s="6"/>
      <c r="U26" s="6"/>
      <c r="V26" s="6"/>
    </row>
    <row r="27" spans="2:31" x14ac:dyDescent="0.2">
      <c r="B27" s="22">
        <f t="shared" si="9"/>
        <v>42430</v>
      </c>
      <c r="C27" s="22">
        <f t="shared" si="10"/>
        <v>42370</v>
      </c>
      <c r="D27" s="53">
        <f>'Q1-Q2 KU Over-Under Calc'!AO12</f>
        <v>527816.69501438923</v>
      </c>
      <c r="E27" s="50">
        <f t="shared" si="11"/>
        <v>-215134.77957073646</v>
      </c>
      <c r="F27" s="50">
        <f t="shared" si="8"/>
        <v>742951.47458512569</v>
      </c>
      <c r="H27" s="46"/>
      <c r="I27" s="46"/>
      <c r="J27" s="23"/>
      <c r="K27" s="19"/>
      <c r="L27" s="19"/>
      <c r="M27" s="19"/>
      <c r="N27" s="19"/>
      <c r="O27" s="6"/>
      <c r="P27" s="6"/>
      <c r="Q27" s="6"/>
      <c r="R27" s="6"/>
      <c r="S27" s="6"/>
      <c r="T27" s="6"/>
      <c r="U27" s="6"/>
      <c r="V27" s="6"/>
    </row>
    <row r="28" spans="2:31" x14ac:dyDescent="0.2">
      <c r="B28" s="43">
        <f t="shared" si="9"/>
        <v>42461</v>
      </c>
      <c r="C28" s="43">
        <f t="shared" si="10"/>
        <v>42401</v>
      </c>
      <c r="D28" s="54">
        <f>'Q1-Q2 KU Over-Under Calc'!AO13</f>
        <v>194753.36161752231</v>
      </c>
      <c r="E28" s="51">
        <f t="shared" si="11"/>
        <v>-216216.55805441976</v>
      </c>
      <c r="F28" s="51">
        <f t="shared" si="8"/>
        <v>410969.91967194207</v>
      </c>
      <c r="H28" s="46"/>
      <c r="I28" s="46"/>
      <c r="J28" s="23"/>
      <c r="K28" s="19"/>
      <c r="L28" s="19"/>
      <c r="M28" s="19"/>
      <c r="N28" s="19"/>
      <c r="O28" s="6"/>
      <c r="P28" s="6"/>
      <c r="Q28" s="6"/>
      <c r="R28" s="6"/>
      <c r="S28" s="6"/>
      <c r="T28" s="6"/>
      <c r="U28" s="6"/>
      <c r="V28" s="6"/>
    </row>
    <row r="29" spans="2:31" x14ac:dyDescent="0.2">
      <c r="B29" s="3" t="s">
        <v>72</v>
      </c>
      <c r="D29" s="49">
        <f>SUM(D23:D28)</f>
        <v>561549.59834309667</v>
      </c>
      <c r="E29" s="49">
        <f>SUM(E23:E28)</f>
        <v>-1800804.9103054355</v>
      </c>
      <c r="F29" s="49">
        <f>SUM(F23:F28)</f>
        <v>2362354.5086485324</v>
      </c>
      <c r="H29" s="46"/>
      <c r="I29" s="46"/>
      <c r="J29" s="23"/>
      <c r="K29" s="19"/>
      <c r="L29" s="19"/>
      <c r="M29" s="19"/>
      <c r="N29" s="19"/>
      <c r="O29" s="6"/>
      <c r="P29" s="6"/>
      <c r="Q29" s="6"/>
      <c r="R29" s="6"/>
      <c r="S29" s="6"/>
      <c r="T29" s="6"/>
      <c r="U29" s="6"/>
      <c r="V29" s="6"/>
    </row>
    <row r="30" spans="2:31" x14ac:dyDescent="0.2">
      <c r="G30" s="9"/>
      <c r="H30" s="17"/>
      <c r="I30" s="17"/>
      <c r="J30" s="6"/>
      <c r="K30" s="16"/>
      <c r="L30" s="16"/>
      <c r="M30" s="16"/>
      <c r="N30" s="16"/>
      <c r="O30" s="25"/>
      <c r="X30" s="18"/>
      <c r="Y30" s="18"/>
      <c r="Z30" s="18"/>
      <c r="AB30" s="26"/>
      <c r="AC30" s="18"/>
      <c r="AD30" s="27"/>
      <c r="AE30" s="17"/>
    </row>
    <row r="31" spans="2:31" ht="13.5" thickBot="1" x14ac:dyDescent="0.25"/>
    <row r="32" spans="2:31" x14ac:dyDescent="0.2">
      <c r="D32" s="28"/>
      <c r="E32" s="29"/>
      <c r="F32" s="29"/>
      <c r="G32" s="29"/>
      <c r="H32" s="30"/>
    </row>
    <row r="33" spans="4:19" x14ac:dyDescent="0.2">
      <c r="D33" s="304" t="s">
        <v>68</v>
      </c>
      <c r="E33" s="305"/>
      <c r="F33" s="305"/>
      <c r="G33" s="305"/>
      <c r="H33" s="306"/>
      <c r="J33" s="9"/>
    </row>
    <row r="34" spans="4:19" x14ac:dyDescent="0.2">
      <c r="D34" s="31"/>
      <c r="E34" s="32"/>
      <c r="F34" s="9"/>
      <c r="G34" s="9"/>
      <c r="H34" s="33"/>
      <c r="J34" s="9"/>
    </row>
    <row r="35" spans="4:19" x14ac:dyDescent="0.2">
      <c r="D35" s="31"/>
      <c r="E35" s="9"/>
      <c r="F35" s="34" t="s">
        <v>69</v>
      </c>
      <c r="G35" s="9"/>
      <c r="H35" s="48">
        <f>D29</f>
        <v>561549.59834309667</v>
      </c>
      <c r="J35" s="24"/>
    </row>
    <row r="36" spans="4:19" x14ac:dyDescent="0.2">
      <c r="D36" s="31"/>
      <c r="E36" s="9"/>
      <c r="F36" s="9"/>
      <c r="G36" s="9"/>
      <c r="H36" s="33"/>
      <c r="J36" s="9"/>
    </row>
    <row r="37" spans="4:19" x14ac:dyDescent="0.2">
      <c r="D37" s="35"/>
      <c r="E37" s="9"/>
      <c r="F37" s="34" t="s">
        <v>74</v>
      </c>
      <c r="G37" s="49">
        <f>E29</f>
        <v>-1800804.9103054355</v>
      </c>
      <c r="H37" s="33"/>
      <c r="J37" s="9"/>
      <c r="N37" s="24"/>
      <c r="O37" s="4"/>
      <c r="P37" s="24"/>
      <c r="Q37" s="17"/>
      <c r="S37" s="24"/>
    </row>
    <row r="38" spans="4:19" x14ac:dyDescent="0.2">
      <c r="D38" s="35"/>
      <c r="E38" s="9"/>
      <c r="F38" s="36" t="s">
        <v>66</v>
      </c>
      <c r="G38" s="55">
        <f>F29</f>
        <v>2362354.5086485324</v>
      </c>
      <c r="H38" s="33"/>
      <c r="J38" s="9"/>
      <c r="N38" s="24"/>
      <c r="O38" s="4"/>
      <c r="P38" s="24"/>
      <c r="Q38" s="17"/>
      <c r="S38" s="24"/>
    </row>
    <row r="39" spans="4:19" x14ac:dyDescent="0.2">
      <c r="D39" s="31"/>
      <c r="E39" s="9"/>
      <c r="F39" s="36"/>
      <c r="G39" s="24"/>
      <c r="H39" s="37"/>
      <c r="J39" s="9"/>
      <c r="N39" s="24"/>
      <c r="O39" s="4"/>
      <c r="P39" s="24"/>
      <c r="Q39" s="17"/>
      <c r="S39" s="24"/>
    </row>
    <row r="40" spans="4:19" x14ac:dyDescent="0.2">
      <c r="D40" s="31"/>
      <c r="E40" s="10"/>
      <c r="F40" s="36" t="s">
        <v>70</v>
      </c>
      <c r="G40" s="9"/>
      <c r="H40" s="48">
        <f>SUM(G37:G38)</f>
        <v>561549.59834309691</v>
      </c>
      <c r="N40" s="24"/>
      <c r="O40" s="4"/>
      <c r="S40" s="24"/>
    </row>
    <row r="41" spans="4:19" x14ac:dyDescent="0.2">
      <c r="D41" s="31"/>
      <c r="E41" s="9"/>
      <c r="F41" s="36"/>
      <c r="G41" s="24"/>
      <c r="H41" s="33"/>
      <c r="N41" s="24"/>
      <c r="O41" s="4"/>
      <c r="S41" s="24"/>
    </row>
    <row r="42" spans="4:19" x14ac:dyDescent="0.2">
      <c r="D42" s="31"/>
      <c r="E42" s="9"/>
      <c r="F42" s="36" t="s">
        <v>71</v>
      </c>
      <c r="G42" s="9"/>
      <c r="H42" s="48">
        <f>+H35-H40</f>
        <v>0</v>
      </c>
      <c r="N42" s="24"/>
      <c r="O42" s="4"/>
    </row>
    <row r="43" spans="4:19" ht="13.5" thickBot="1" x14ac:dyDescent="0.25">
      <c r="D43" s="38"/>
      <c r="E43" s="39"/>
      <c r="F43" s="40"/>
      <c r="G43" s="39"/>
      <c r="H43" s="41"/>
      <c r="O43" s="4"/>
    </row>
    <row r="44" spans="4:19" x14ac:dyDescent="0.2">
      <c r="D44" s="9"/>
      <c r="E44" s="9"/>
      <c r="F44" s="42"/>
      <c r="G44" s="9"/>
      <c r="H44" s="9"/>
      <c r="O44" s="4"/>
    </row>
    <row r="45" spans="4:19" x14ac:dyDescent="0.2">
      <c r="D45" s="9"/>
      <c r="E45" s="9"/>
      <c r="F45" s="42"/>
      <c r="G45" s="9"/>
      <c r="H45" s="9"/>
      <c r="O45" s="4"/>
    </row>
    <row r="46" spans="4:19" x14ac:dyDescent="0.2">
      <c r="D46" s="9"/>
      <c r="E46" s="9"/>
      <c r="F46" s="42"/>
      <c r="G46" s="9"/>
      <c r="H46" s="9"/>
      <c r="O46" s="4"/>
    </row>
    <row r="47" spans="4:19" x14ac:dyDescent="0.2">
      <c r="D47" s="9"/>
      <c r="E47" s="9"/>
      <c r="F47" s="42"/>
      <c r="G47" s="9"/>
      <c r="H47" s="9"/>
      <c r="O47" s="4"/>
    </row>
  </sheetData>
  <mergeCells count="2">
    <mergeCell ref="D33:H33"/>
    <mergeCell ref="D19:G19"/>
  </mergeCells>
  <pageMargins left="1" right="0.75" top="1" bottom="0.55000000000000004" header="0.5" footer="0.5"/>
  <pageSetup scale="7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41"/>
  <sheetViews>
    <sheetView showGridLines="0" zoomScale="70" zoomScaleNormal="70" workbookViewId="0"/>
  </sheetViews>
  <sheetFormatPr defaultColWidth="20.83203125" defaultRowHeight="15.75" x14ac:dyDescent="0.25"/>
  <cols>
    <col min="1" max="1" width="6.33203125" style="147" customWidth="1"/>
    <col min="2" max="2" width="38.83203125" style="147" customWidth="1"/>
    <col min="3" max="3" width="22.1640625" style="147" customWidth="1"/>
    <col min="4" max="4" width="4.6640625" style="147" bestFit="1" customWidth="1"/>
    <col min="5" max="5" width="2" style="147" customWidth="1"/>
    <col min="6" max="6" width="18.6640625" style="147" bestFit="1" customWidth="1"/>
    <col min="7" max="7" width="2.33203125" style="147" customWidth="1"/>
    <col min="8" max="8" width="29.83203125" style="147" bestFit="1" customWidth="1"/>
    <col min="9" max="9" width="2.33203125" style="147" customWidth="1"/>
    <col min="10" max="10" width="22.1640625" style="147" customWidth="1"/>
    <col min="11" max="11" width="2.33203125" style="147" customWidth="1"/>
    <col min="12" max="12" width="22.1640625" style="147" customWidth="1"/>
    <col min="13" max="13" width="2.6640625" style="147" customWidth="1"/>
    <col min="14" max="14" width="22.1640625" style="147" customWidth="1"/>
    <col min="15" max="15" width="2.6640625" style="147" customWidth="1"/>
    <col min="16" max="16" width="22.1640625" style="147" customWidth="1"/>
    <col min="17" max="17" width="2.1640625" style="147" customWidth="1"/>
    <col min="18" max="18" width="22.1640625" style="147" customWidth="1"/>
    <col min="19" max="20" width="2.1640625" style="147" customWidth="1"/>
    <col min="21" max="21" width="22.1640625" style="147" customWidth="1"/>
    <col min="22" max="22" width="2.6640625" style="147" customWidth="1"/>
    <col min="23" max="23" width="21.33203125" style="147" customWidth="1"/>
    <col min="24" max="24" width="2.83203125" style="147" customWidth="1"/>
    <col min="25" max="25" width="19.1640625" style="147" customWidth="1"/>
    <col min="26" max="26" width="3.33203125" style="147" customWidth="1"/>
    <col min="27" max="27" width="21.1640625" style="147" customWidth="1"/>
    <col min="28" max="16384" width="20.83203125" style="147"/>
  </cols>
  <sheetData>
    <row r="1" spans="1:27" x14ac:dyDescent="0.25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V1" s="146"/>
      <c r="X1" s="146"/>
      <c r="Y1" s="146"/>
      <c r="Z1" s="146"/>
    </row>
    <row r="2" spans="1:27" x14ac:dyDescent="0.25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V2" s="146"/>
      <c r="X2" s="146"/>
      <c r="Y2" s="146"/>
      <c r="Z2" s="146"/>
    </row>
    <row r="3" spans="1:27" x14ac:dyDescent="0.25">
      <c r="A3" s="145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X3" s="146"/>
      <c r="Y3" s="146"/>
    </row>
    <row r="4" spans="1:27" x14ac:dyDescent="0.25">
      <c r="A4" s="148" t="s">
        <v>82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9"/>
      <c r="U4" s="149"/>
      <c r="V4" s="149"/>
      <c r="W4" s="150"/>
      <c r="X4" s="151"/>
      <c r="Y4" s="151"/>
      <c r="Z4" s="151"/>
      <c r="AA4" s="151"/>
    </row>
    <row r="5" spans="1:27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46"/>
      <c r="Y5" s="146"/>
      <c r="Z5" s="146"/>
      <c r="AA5" s="146"/>
    </row>
    <row r="6" spans="1:27" x14ac:dyDescent="0.25">
      <c r="A6" s="148" t="s">
        <v>83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50"/>
      <c r="U6" s="150"/>
      <c r="V6" s="150"/>
      <c r="W6" s="150"/>
      <c r="X6" s="151"/>
      <c r="Y6" s="151"/>
      <c r="Z6" s="151"/>
      <c r="AA6" s="151"/>
    </row>
    <row r="7" spans="1:27" x14ac:dyDescent="0.25">
      <c r="A7" s="153" t="s">
        <v>84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50"/>
      <c r="U7" s="150"/>
      <c r="V7" s="150"/>
      <c r="W7" s="152"/>
    </row>
    <row r="8" spans="1:27" x14ac:dyDescent="0.25">
      <c r="A8" s="154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5"/>
      <c r="S8" s="150"/>
      <c r="T8" s="150"/>
      <c r="U8" s="150"/>
      <c r="V8" s="150"/>
      <c r="W8" s="152"/>
    </row>
    <row r="9" spans="1:27" ht="18" x14ac:dyDescent="0.4">
      <c r="A9" s="14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</row>
    <row r="10" spans="1:27" x14ac:dyDescent="0.25">
      <c r="A10" s="145"/>
      <c r="B10" s="145"/>
      <c r="C10" s="146"/>
      <c r="D10" s="146"/>
      <c r="E10" s="146"/>
      <c r="H10" s="146"/>
      <c r="I10" s="146"/>
      <c r="J10" s="146"/>
      <c r="K10" s="146"/>
      <c r="L10" s="157" t="s">
        <v>85</v>
      </c>
      <c r="O10" s="146"/>
      <c r="P10" s="146"/>
      <c r="Q10" s="146"/>
      <c r="R10" s="146"/>
      <c r="T10" s="157"/>
    </row>
    <row r="11" spans="1:27" x14ac:dyDescent="0.25">
      <c r="A11" s="145"/>
      <c r="B11" s="145"/>
      <c r="C11" s="157"/>
      <c r="D11" s="157"/>
      <c r="E11" s="157"/>
      <c r="H11" s="157"/>
      <c r="I11" s="157"/>
      <c r="J11" s="157"/>
      <c r="K11" s="157"/>
      <c r="L11" s="157" t="s">
        <v>86</v>
      </c>
      <c r="M11" s="157"/>
      <c r="N11" s="157" t="s">
        <v>87</v>
      </c>
      <c r="Q11" s="157"/>
      <c r="R11" s="158" t="s">
        <v>88</v>
      </c>
      <c r="T11" s="158"/>
      <c r="V11" s="157"/>
      <c r="W11" s="157"/>
    </row>
    <row r="12" spans="1:27" x14ac:dyDescent="0.25">
      <c r="A12" s="145"/>
      <c r="B12" s="145"/>
      <c r="C12" s="157"/>
      <c r="D12" s="157"/>
      <c r="E12" s="157"/>
      <c r="F12" s="157"/>
      <c r="H12" s="157"/>
      <c r="I12" s="157"/>
      <c r="J12" s="157" t="s">
        <v>89</v>
      </c>
      <c r="K12" s="157"/>
      <c r="L12" s="157" t="s">
        <v>90</v>
      </c>
      <c r="M12" s="157"/>
      <c r="N12" s="157" t="s">
        <v>91</v>
      </c>
      <c r="O12" s="158"/>
      <c r="P12" s="157" t="s">
        <v>92</v>
      </c>
      <c r="Q12" s="157"/>
      <c r="R12" s="157" t="s">
        <v>92</v>
      </c>
    </row>
    <row r="13" spans="1:27" x14ac:dyDescent="0.25">
      <c r="A13" s="145"/>
      <c r="B13" s="146"/>
      <c r="C13" s="157" t="s">
        <v>93</v>
      </c>
      <c r="D13" s="157"/>
      <c r="E13" s="157"/>
      <c r="F13" s="158" t="s">
        <v>94</v>
      </c>
      <c r="H13" s="157"/>
      <c r="I13" s="157"/>
      <c r="J13" s="157" t="s">
        <v>95</v>
      </c>
      <c r="K13" s="157"/>
      <c r="L13" s="157" t="s">
        <v>96</v>
      </c>
      <c r="M13" s="157"/>
      <c r="N13" s="157" t="s">
        <v>96</v>
      </c>
      <c r="O13" s="158"/>
      <c r="P13" s="157" t="s">
        <v>97</v>
      </c>
      <c r="Q13" s="157"/>
      <c r="R13" s="158" t="s">
        <v>96</v>
      </c>
    </row>
    <row r="14" spans="1:27" x14ac:dyDescent="0.25">
      <c r="A14" s="146"/>
      <c r="B14" s="146"/>
      <c r="C14" s="159" t="s">
        <v>98</v>
      </c>
      <c r="D14" s="157"/>
      <c r="E14" s="157"/>
      <c r="F14" s="158" t="s">
        <v>99</v>
      </c>
      <c r="H14" s="157" t="s">
        <v>100</v>
      </c>
      <c r="I14" s="157"/>
      <c r="J14" s="160" t="s">
        <v>101</v>
      </c>
      <c r="K14" s="157"/>
      <c r="L14" s="160" t="s">
        <v>102</v>
      </c>
      <c r="M14" s="157"/>
      <c r="N14" s="161" t="s">
        <v>103</v>
      </c>
      <c r="O14" s="158"/>
      <c r="P14" s="157" t="s">
        <v>104</v>
      </c>
      <c r="Q14" s="157"/>
      <c r="R14" s="160" t="s">
        <v>105</v>
      </c>
    </row>
    <row r="15" spans="1:27" x14ac:dyDescent="0.25">
      <c r="A15" s="146"/>
      <c r="B15" s="146"/>
      <c r="C15" s="162">
        <v>-1</v>
      </c>
      <c r="D15" s="157"/>
      <c r="E15" s="158"/>
      <c r="F15" s="162">
        <v>-2</v>
      </c>
      <c r="H15" s="162">
        <v>-3</v>
      </c>
      <c r="I15" s="157"/>
      <c r="J15" s="163">
        <v>-4</v>
      </c>
      <c r="K15" s="157"/>
      <c r="L15" s="163">
        <v>-5</v>
      </c>
      <c r="M15" s="157"/>
      <c r="N15" s="162">
        <v>-6</v>
      </c>
      <c r="O15" s="157"/>
      <c r="P15" s="162">
        <v>-7</v>
      </c>
      <c r="Q15" s="157"/>
      <c r="R15" s="162">
        <v>-8</v>
      </c>
    </row>
    <row r="16" spans="1:27" ht="30" customHeight="1" x14ac:dyDescent="0.25">
      <c r="A16" s="164" t="s">
        <v>106</v>
      </c>
      <c r="B16" s="146" t="s">
        <v>107</v>
      </c>
      <c r="C16" s="165">
        <f>'Q1 - KU ECC Feb16'!F67</f>
        <v>41104835.920000002</v>
      </c>
      <c r="D16" s="166" t="s">
        <v>108</v>
      </c>
      <c r="E16" s="146"/>
      <c r="F16" s="167">
        <f>ROUND(C16/$C$19,4)</f>
        <v>8.0999999999999996E-3</v>
      </c>
      <c r="H16" s="165">
        <v>0</v>
      </c>
      <c r="I16" s="146"/>
      <c r="J16" s="165">
        <f>ROUND(+F16*$J$19,0)</f>
        <v>-9893</v>
      </c>
      <c r="K16" s="146"/>
      <c r="L16" s="165">
        <f>SUM(H16:K16)</f>
        <v>-9893</v>
      </c>
      <c r="M16" s="146"/>
      <c r="N16" s="168">
        <f>+C16+L16</f>
        <v>41094942.920000002</v>
      </c>
      <c r="P16" s="169">
        <v>0.88890000000000002</v>
      </c>
      <c r="Q16" s="146"/>
      <c r="R16" s="168">
        <f>ROUND(+N16*P16,0)</f>
        <v>36529295</v>
      </c>
    </row>
    <row r="17" spans="1:28" ht="30" customHeight="1" x14ac:dyDescent="0.25">
      <c r="A17" s="164" t="s">
        <v>109</v>
      </c>
      <c r="B17" s="146" t="s">
        <v>110</v>
      </c>
      <c r="C17" s="170">
        <f>'Q1 - KU ECC Feb16'!F51</f>
        <v>2352138840.7716117</v>
      </c>
      <c r="D17" s="166" t="s">
        <v>108</v>
      </c>
      <c r="E17" s="146"/>
      <c r="F17" s="167">
        <f>ROUND(C17/$C$19,4)</f>
        <v>0.46410000000000001</v>
      </c>
      <c r="H17" s="171">
        <v>0</v>
      </c>
      <c r="I17" s="146"/>
      <c r="J17" s="170">
        <f>ROUND(+F17*$J$19,0)</f>
        <v>-566811</v>
      </c>
      <c r="K17" s="146"/>
      <c r="L17" s="170">
        <f>SUM(H17:K17)</f>
        <v>-566811</v>
      </c>
      <c r="M17" s="146"/>
      <c r="N17" s="172">
        <f>+C17+L17</f>
        <v>2351572029.7716117</v>
      </c>
      <c r="P17" s="173">
        <f>+P16</f>
        <v>0.88890000000000002</v>
      </c>
      <c r="Q17" s="146"/>
      <c r="R17" s="172">
        <f>ROUND(+N17*P17,0)</f>
        <v>2090312377</v>
      </c>
    </row>
    <row r="18" spans="1:28" ht="30" customHeight="1" x14ac:dyDescent="0.25">
      <c r="A18" s="164" t="s">
        <v>111</v>
      </c>
      <c r="B18" s="146" t="s">
        <v>112</v>
      </c>
      <c r="C18" s="170">
        <v>2674993114</v>
      </c>
      <c r="D18" s="146"/>
      <c r="E18" s="146"/>
      <c r="F18" s="167">
        <f>ROUND(1-F16-F17,4)</f>
        <v>0.52780000000000005</v>
      </c>
      <c r="H18" s="171">
        <f>H19</f>
        <v>-504066</v>
      </c>
      <c r="I18" s="146"/>
      <c r="J18" s="171">
        <f>+J19-J16-J17</f>
        <v>-644609</v>
      </c>
      <c r="K18" s="146"/>
      <c r="L18" s="171">
        <f>SUM(H18:K18)</f>
        <v>-1148675</v>
      </c>
      <c r="M18" s="146"/>
      <c r="N18" s="172">
        <f>+C18+L18</f>
        <v>2673844439</v>
      </c>
      <c r="P18" s="173">
        <f>+P16</f>
        <v>0.88890000000000002</v>
      </c>
      <c r="Q18" s="146"/>
      <c r="R18" s="172">
        <f>ROUND(+N18*P18,0)</f>
        <v>2376780322</v>
      </c>
    </row>
    <row r="19" spans="1:28" ht="30" customHeight="1" thickBot="1" x14ac:dyDescent="0.3">
      <c r="A19" s="164" t="s">
        <v>113</v>
      </c>
      <c r="B19" s="146" t="s">
        <v>114</v>
      </c>
      <c r="C19" s="174">
        <f>SUM(C16:C18)</f>
        <v>5068236790.6916122</v>
      </c>
      <c r="D19" s="146"/>
      <c r="E19" s="146"/>
      <c r="F19" s="175">
        <f>SUM(F16:F18)</f>
        <v>1</v>
      </c>
      <c r="H19" s="174">
        <v>-504066</v>
      </c>
      <c r="I19" s="146"/>
      <c r="J19" s="174">
        <v>-1221313</v>
      </c>
      <c r="K19" s="146"/>
      <c r="L19" s="174">
        <f>SUM(L16:L18)</f>
        <v>-1725379</v>
      </c>
      <c r="M19" s="146"/>
      <c r="N19" s="174">
        <f>SUM(N16:N18)</f>
        <v>5066511411.6916122</v>
      </c>
      <c r="Q19" s="146"/>
      <c r="R19" s="174">
        <f>SUM(R16:R18)</f>
        <v>4503621994</v>
      </c>
    </row>
    <row r="20" spans="1:28" ht="16.5" thickTop="1" x14ac:dyDescent="0.25">
      <c r="A20" s="146"/>
      <c r="B20" s="146"/>
      <c r="C20" s="146"/>
      <c r="D20" s="146"/>
      <c r="E20" s="146"/>
      <c r="F20" s="170"/>
      <c r="H20" s="146"/>
      <c r="I20" s="146"/>
      <c r="J20" s="146"/>
      <c r="K20" s="146"/>
      <c r="L20" s="146"/>
      <c r="M20" s="146"/>
      <c r="N20" s="146"/>
      <c r="O20" s="146"/>
      <c r="Q20" s="146"/>
      <c r="S20" s="146"/>
    </row>
    <row r="21" spans="1:28" x14ac:dyDescent="0.25">
      <c r="A21" s="146"/>
      <c r="B21" s="146"/>
      <c r="C21" s="176"/>
      <c r="D21" s="146"/>
      <c r="E21" s="146"/>
      <c r="F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T21" s="146"/>
    </row>
    <row r="22" spans="1:28" ht="18" x14ac:dyDescent="0.4">
      <c r="A22" s="146"/>
      <c r="B22" s="14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46"/>
    </row>
    <row r="23" spans="1:28" ht="18" x14ac:dyDescent="0.4">
      <c r="A23" s="146"/>
      <c r="B23" s="14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46"/>
    </row>
    <row r="24" spans="1:28" ht="18" x14ac:dyDescent="0.4">
      <c r="A24" s="146"/>
      <c r="B24" s="146"/>
      <c r="C24" s="156"/>
      <c r="D24" s="156"/>
      <c r="E24" s="156"/>
      <c r="F24" s="156"/>
      <c r="G24" s="156"/>
      <c r="H24" s="177"/>
      <c r="I24" s="156"/>
      <c r="J24" s="177"/>
      <c r="K24" s="156"/>
      <c r="L24" s="177" t="s">
        <v>115</v>
      </c>
      <c r="M24" s="156"/>
      <c r="N24" s="156"/>
      <c r="O24" s="156"/>
      <c r="R24" s="146"/>
      <c r="S24" s="146"/>
      <c r="X24" s="146"/>
      <c r="AB24" s="158"/>
    </row>
    <row r="25" spans="1:28" ht="18" x14ac:dyDescent="0.4">
      <c r="A25" s="146"/>
      <c r="B25" s="146"/>
      <c r="C25" s="156"/>
      <c r="D25" s="156"/>
      <c r="E25" s="156"/>
      <c r="F25" s="156"/>
      <c r="G25" s="156"/>
      <c r="H25" s="177"/>
      <c r="I25" s="156"/>
      <c r="J25" s="177"/>
      <c r="K25" s="156"/>
      <c r="L25" s="158" t="s">
        <v>88</v>
      </c>
      <c r="M25" s="156"/>
      <c r="P25" s="157"/>
      <c r="Q25" s="157"/>
      <c r="R25" s="157" t="s">
        <v>116</v>
      </c>
      <c r="X25" s="146"/>
      <c r="AB25" s="158"/>
    </row>
    <row r="26" spans="1:28" x14ac:dyDescent="0.25">
      <c r="A26" s="146"/>
      <c r="B26" s="146"/>
      <c r="C26" s="158" t="s">
        <v>88</v>
      </c>
      <c r="D26" s="146"/>
      <c r="E26" s="146"/>
      <c r="F26" s="146"/>
      <c r="H26" s="177" t="s">
        <v>117</v>
      </c>
      <c r="J26" s="178" t="s">
        <v>118</v>
      </c>
      <c r="L26" s="157" t="s">
        <v>92</v>
      </c>
      <c r="M26" s="146"/>
      <c r="N26" s="158" t="s">
        <v>115</v>
      </c>
      <c r="P26" s="157" t="s">
        <v>119</v>
      </c>
      <c r="Q26" s="157"/>
      <c r="R26" s="157" t="s">
        <v>120</v>
      </c>
      <c r="X26" s="146"/>
      <c r="AA26" s="158"/>
      <c r="AB26" s="158"/>
    </row>
    <row r="27" spans="1:28" ht="18" x14ac:dyDescent="0.4">
      <c r="C27" s="157" t="s">
        <v>92</v>
      </c>
      <c r="D27" s="179"/>
      <c r="E27" s="179"/>
      <c r="F27" s="158" t="s">
        <v>94</v>
      </c>
      <c r="H27" s="157" t="s">
        <v>121</v>
      </c>
      <c r="J27" s="178" t="s">
        <v>97</v>
      </c>
      <c r="L27" s="158" t="s">
        <v>96</v>
      </c>
      <c r="M27" s="179"/>
      <c r="N27" s="158" t="s">
        <v>94</v>
      </c>
      <c r="P27" s="157" t="s">
        <v>116</v>
      </c>
      <c r="Q27" s="157"/>
      <c r="R27" s="157" t="s">
        <v>122</v>
      </c>
      <c r="X27" s="179"/>
      <c r="AA27" s="158"/>
      <c r="AB27" s="180"/>
    </row>
    <row r="28" spans="1:28" x14ac:dyDescent="0.25">
      <c r="A28" s="181"/>
      <c r="B28" s="182"/>
      <c r="C28" s="158" t="s">
        <v>96</v>
      </c>
      <c r="F28" s="158" t="s">
        <v>99</v>
      </c>
      <c r="H28" s="160" t="s">
        <v>123</v>
      </c>
      <c r="J28" s="160" t="s">
        <v>124</v>
      </c>
      <c r="L28" s="160" t="s">
        <v>125</v>
      </c>
      <c r="N28" s="158" t="s">
        <v>99</v>
      </c>
      <c r="P28" s="157" t="s">
        <v>126</v>
      </c>
      <c r="Q28" s="157"/>
      <c r="R28" s="161" t="s">
        <v>127</v>
      </c>
      <c r="X28" s="158"/>
      <c r="AA28" s="158"/>
      <c r="AB28" s="180"/>
    </row>
    <row r="29" spans="1:28" x14ac:dyDescent="0.25">
      <c r="A29" s="182"/>
      <c r="B29" s="182"/>
      <c r="C29" s="162">
        <v>-8</v>
      </c>
      <c r="D29" s="158"/>
      <c r="E29" s="158"/>
      <c r="F29" s="162">
        <v>-9</v>
      </c>
      <c r="H29" s="162">
        <v>-10</v>
      </c>
      <c r="J29" s="163">
        <v>-11</v>
      </c>
      <c r="L29" s="162">
        <v>-12</v>
      </c>
      <c r="M29" s="158"/>
      <c r="N29" s="162">
        <v>-13</v>
      </c>
      <c r="P29" s="162">
        <v>-14</v>
      </c>
      <c r="Q29" s="157"/>
      <c r="R29" s="162">
        <v>-15</v>
      </c>
      <c r="X29" s="158"/>
      <c r="AA29" s="158"/>
      <c r="AB29" s="158"/>
    </row>
    <row r="30" spans="1:28" ht="30" customHeight="1" x14ac:dyDescent="0.25">
      <c r="A30" s="164" t="s">
        <v>106</v>
      </c>
      <c r="B30" s="146" t="s">
        <v>107</v>
      </c>
      <c r="C30" s="165">
        <f>+R16</f>
        <v>36529295</v>
      </c>
      <c r="D30" s="170"/>
      <c r="E30" s="146"/>
      <c r="F30" s="167">
        <f>ROUND(+C30/$C$33,4)</f>
        <v>8.0999999999999996E-3</v>
      </c>
      <c r="H30" s="165">
        <f>ROUND(+F30*$H$33,0)</f>
        <v>-7583438</v>
      </c>
      <c r="J30" s="165">
        <f>ROUND(+F30*$J$33,0)</f>
        <v>-39020</v>
      </c>
      <c r="L30" s="183">
        <f>+C30+H30+J30</f>
        <v>28906837</v>
      </c>
      <c r="M30" s="158"/>
      <c r="N30" s="184">
        <f>ROUND(+L30/$L$33,4)</f>
        <v>8.0999999999999996E-3</v>
      </c>
      <c r="O30" s="185"/>
      <c r="P30" s="169">
        <f>'Q1 - KU ECC Feb16'!T67</f>
        <v>5.11E-3</v>
      </c>
      <c r="Q30" s="186"/>
      <c r="R30" s="169">
        <f>ROUND(+$N$30*$P$30,4)</f>
        <v>0</v>
      </c>
      <c r="X30" s="158"/>
      <c r="AA30" s="187"/>
      <c r="AB30" s="188"/>
    </row>
    <row r="31" spans="1:28" ht="30" customHeight="1" x14ac:dyDescent="0.25">
      <c r="A31" s="164" t="s">
        <v>109</v>
      </c>
      <c r="B31" s="146" t="s">
        <v>110</v>
      </c>
      <c r="C31" s="170">
        <f>+R17</f>
        <v>2090312377</v>
      </c>
      <c r="D31" s="170"/>
      <c r="E31" s="146"/>
      <c r="F31" s="167">
        <f>ROUND(+C31/$C$33,4)</f>
        <v>0.46410000000000001</v>
      </c>
      <c r="H31" s="170">
        <f>ROUND(+F31*$H$33,0)</f>
        <v>-434502902</v>
      </c>
      <c r="J31" s="170">
        <f>ROUND(+F31*$J$33,0)</f>
        <v>-2235682</v>
      </c>
      <c r="L31" s="189">
        <f>+C31+H31+J31</f>
        <v>1653573793</v>
      </c>
      <c r="M31" s="158"/>
      <c r="N31" s="184">
        <f>ROUND(+L31/$L$33,4)</f>
        <v>0.4642</v>
      </c>
      <c r="O31" s="185"/>
      <c r="P31" s="169">
        <f>'Q1 - KU ECC Feb16'!T51</f>
        <v>3.9210000000000002E-2</v>
      </c>
      <c r="Q31" s="186"/>
      <c r="R31" s="169">
        <f>ROUND(+$N$31*$P$31,4)</f>
        <v>1.8200000000000001E-2</v>
      </c>
      <c r="U31" s="190"/>
      <c r="V31" s="190"/>
      <c r="W31" s="190"/>
      <c r="X31" s="190"/>
      <c r="Z31" s="190"/>
      <c r="AA31" s="187"/>
      <c r="AB31" s="188"/>
    </row>
    <row r="32" spans="1:28" ht="30" customHeight="1" x14ac:dyDescent="0.25">
      <c r="A32" s="164" t="s">
        <v>111</v>
      </c>
      <c r="B32" s="146" t="s">
        <v>112</v>
      </c>
      <c r="C32" s="170">
        <f>+R18</f>
        <v>2376780322</v>
      </c>
      <c r="D32" s="170"/>
      <c r="E32" s="146"/>
      <c r="F32" s="167">
        <f>ROUND(1-F30-F31,4)</f>
        <v>0.52780000000000005</v>
      </c>
      <c r="H32" s="170">
        <f>+H33-H30-H31</f>
        <v>-494140555</v>
      </c>
      <c r="J32" s="170">
        <f>+J33-J30-J31</f>
        <v>-2542539</v>
      </c>
      <c r="L32" s="189">
        <f>+C32+H32+J32</f>
        <v>1880097228</v>
      </c>
      <c r="N32" s="167">
        <f>ROUND(1-N30-N31,4)</f>
        <v>0.52769999999999995</v>
      </c>
      <c r="O32" s="185"/>
      <c r="P32" s="169">
        <v>0.1</v>
      </c>
      <c r="Q32" s="186"/>
      <c r="R32" s="169">
        <f>ROUND(+$N$32*$P$32,4)</f>
        <v>5.28E-2</v>
      </c>
      <c r="AA32" s="191"/>
      <c r="AB32" s="188"/>
    </row>
    <row r="33" spans="1:28" ht="30" customHeight="1" thickBot="1" x14ac:dyDescent="0.3">
      <c r="A33" s="164" t="s">
        <v>113</v>
      </c>
      <c r="B33" s="146" t="s">
        <v>114</v>
      </c>
      <c r="C33" s="174">
        <f>SUM(C30:C32)</f>
        <v>4503621994</v>
      </c>
      <c r="D33" s="170"/>
      <c r="E33" s="146"/>
      <c r="F33" s="175">
        <f>SUM(F30:F32)</f>
        <v>1</v>
      </c>
      <c r="H33" s="174">
        <v>-936226895</v>
      </c>
      <c r="J33" s="174">
        <v>-4817241</v>
      </c>
      <c r="L33" s="174">
        <f>SUM(L30:L32)</f>
        <v>3562577858</v>
      </c>
      <c r="N33" s="175">
        <f>SUM(N30:N32)</f>
        <v>1</v>
      </c>
      <c r="P33" s="188"/>
      <c r="Q33" s="146"/>
      <c r="R33" s="192">
        <f>ROUND(SUM(R30:R32),4)</f>
        <v>7.0999999999999994E-2</v>
      </c>
      <c r="AB33" s="188"/>
    </row>
    <row r="34" spans="1:28" ht="35.1" customHeight="1" thickTop="1" thickBot="1" x14ac:dyDescent="0.3">
      <c r="A34" s="164" t="s">
        <v>128</v>
      </c>
      <c r="B34" s="146" t="s">
        <v>129</v>
      </c>
      <c r="R34" s="193">
        <f>ROUND(R33+(R33-R31-R30)*(38.666%/(1-38.666%)),4)</f>
        <v>0.1043</v>
      </c>
    </row>
    <row r="35" spans="1:28" ht="16.5" thickTop="1" x14ac:dyDescent="0.25"/>
    <row r="37" spans="1:28" x14ac:dyDescent="0.25">
      <c r="A37" s="147" t="s">
        <v>108</v>
      </c>
      <c r="B37" s="194" t="s">
        <v>130</v>
      </c>
    </row>
    <row r="40" spans="1:28" x14ac:dyDescent="0.25">
      <c r="L40" s="195"/>
      <c r="N40" s="196"/>
      <c r="P40" s="197"/>
    </row>
    <row r="41" spans="1:28" x14ac:dyDescent="0.25">
      <c r="L41" s="195"/>
      <c r="N41" s="196"/>
    </row>
  </sheetData>
  <printOptions horizontalCentered="1" gridLinesSet="0"/>
  <pageMargins left="0.32" right="0.33" top="0.75" bottom="0.5" header="0.5" footer="0"/>
  <pageSetup scale="59" orientation="landscape" r:id="rId1"/>
  <headerFooter scaleWithDoc="0">
    <oddFooter xml:space="preserve">&amp;R&amp;"Times New Roman,Bold"&amp;8Attachment to Response to Question No. 1
Page 3 of 4
Garrett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zoomScale="70" zoomScaleNormal="70" zoomScaleSheetLayoutView="95" workbookViewId="0"/>
  </sheetViews>
  <sheetFormatPr defaultColWidth="11.33203125" defaultRowHeight="15" x14ac:dyDescent="0.2"/>
  <cols>
    <col min="1" max="1" width="54.5" style="201" customWidth="1"/>
    <col min="2" max="2" width="14.83203125" style="201" customWidth="1"/>
    <col min="3" max="3" width="11.5" style="201" bestFit="1" customWidth="1"/>
    <col min="4" max="4" width="16" style="201" bestFit="1" customWidth="1"/>
    <col min="5" max="5" width="6.33203125" style="201" customWidth="1"/>
    <col min="6" max="6" width="21.33203125" style="201" customWidth="1"/>
    <col min="7" max="7" width="7.33203125" style="201" bestFit="1" customWidth="1"/>
    <col min="8" max="8" width="22.1640625" style="201" customWidth="1"/>
    <col min="9" max="9" width="7.33203125" style="201" bestFit="1" customWidth="1"/>
    <col min="10" max="10" width="19.83203125" style="201" bestFit="1" customWidth="1"/>
    <col min="11" max="11" width="7.33203125" style="201" bestFit="1" customWidth="1"/>
    <col min="12" max="12" width="3" style="201" bestFit="1" customWidth="1"/>
    <col min="13" max="13" width="21.6640625" style="201" bestFit="1" customWidth="1"/>
    <col min="14" max="14" width="9" style="201" customWidth="1"/>
    <col min="15" max="15" width="18.5" style="201" customWidth="1"/>
    <col min="16" max="16" width="2.6640625" style="201" customWidth="1"/>
    <col min="17" max="17" width="18.33203125" style="201" customWidth="1"/>
    <col min="18" max="18" width="2" style="201" customWidth="1"/>
    <col min="19" max="19" width="3.1640625" style="201" customWidth="1"/>
    <col min="20" max="20" width="17.5" style="299" bestFit="1" customWidth="1"/>
    <col min="21" max="21" width="0.83203125" style="201" customWidth="1"/>
    <col min="22" max="22" width="12" style="201" customWidth="1"/>
    <col min="23" max="23" width="12.6640625" style="201" bestFit="1" customWidth="1"/>
    <col min="24" max="16384" width="11.33203125" style="201"/>
  </cols>
  <sheetData>
    <row r="1" spans="1:21" ht="15.75" x14ac:dyDescent="0.25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00"/>
      <c r="U1" s="199"/>
    </row>
    <row r="2" spans="1:21" ht="15.75" x14ac:dyDescent="0.25">
      <c r="A2" s="198" t="s">
        <v>132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200"/>
      <c r="U2" s="199"/>
    </row>
    <row r="3" spans="1:21" ht="15.75" x14ac:dyDescent="0.25">
      <c r="A3" s="308" t="s">
        <v>133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ht="15.75" x14ac:dyDescent="0.25">
      <c r="A4" s="198"/>
      <c r="B4" s="199"/>
      <c r="C4" s="199"/>
      <c r="D4" s="199"/>
      <c r="E4" s="199"/>
      <c r="F4" s="202"/>
      <c r="G4" s="202"/>
      <c r="H4" s="203"/>
      <c r="I4" s="202"/>
      <c r="J4" s="202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199"/>
    </row>
    <row r="5" spans="1:21" ht="15.75" x14ac:dyDescent="0.25">
      <c r="A5" s="309" t="s">
        <v>134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200"/>
      <c r="U5" s="199"/>
    </row>
    <row r="6" spans="1:21" ht="15.75" x14ac:dyDescent="0.25">
      <c r="A6" s="204" t="s">
        <v>135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6"/>
      <c r="U6" s="207"/>
    </row>
    <row r="7" spans="1:21" ht="15.75" x14ac:dyDescent="0.2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10"/>
      <c r="U7" s="211"/>
    </row>
    <row r="8" spans="1:21" x14ac:dyDescent="0.2">
      <c r="A8" s="212"/>
      <c r="B8" s="213"/>
      <c r="C8" s="213"/>
      <c r="D8" s="213"/>
      <c r="E8" s="213"/>
      <c r="F8" s="213"/>
      <c r="G8" s="213"/>
      <c r="H8" s="214" t="s">
        <v>136</v>
      </c>
      <c r="I8" s="214"/>
      <c r="J8" s="214"/>
      <c r="K8" s="214"/>
      <c r="L8" s="214"/>
      <c r="M8" s="214"/>
      <c r="N8" s="214"/>
      <c r="O8" s="214"/>
      <c r="P8" s="214"/>
      <c r="Q8" s="214"/>
      <c r="R8" s="213"/>
      <c r="S8" s="213"/>
      <c r="T8" s="215"/>
      <c r="U8" s="211"/>
    </row>
    <row r="9" spans="1:21" x14ac:dyDescent="0.2">
      <c r="A9" s="212"/>
      <c r="B9" s="213"/>
      <c r="C9" s="213"/>
      <c r="D9" s="213"/>
      <c r="E9" s="213"/>
      <c r="F9" s="213"/>
      <c r="G9" s="213"/>
      <c r="H9" s="213"/>
      <c r="I9" s="213"/>
      <c r="J9" s="216" t="s">
        <v>137</v>
      </c>
      <c r="K9" s="213"/>
      <c r="L9" s="213"/>
      <c r="M9" s="216" t="s">
        <v>138</v>
      </c>
      <c r="N9" s="216"/>
      <c r="O9" s="216" t="s">
        <v>139</v>
      </c>
      <c r="P9" s="213"/>
      <c r="Q9" s="213"/>
      <c r="R9" s="213"/>
      <c r="S9" s="213"/>
      <c r="T9" s="215" t="s">
        <v>140</v>
      </c>
      <c r="U9" s="217"/>
    </row>
    <row r="10" spans="1:21" ht="30" x14ac:dyDescent="0.2">
      <c r="A10" s="212"/>
      <c r="B10" s="218" t="s">
        <v>141</v>
      </c>
      <c r="C10" s="216"/>
      <c r="D10" s="218" t="s">
        <v>126</v>
      </c>
      <c r="E10" s="216"/>
      <c r="F10" s="218" t="s">
        <v>142</v>
      </c>
      <c r="G10" s="216"/>
      <c r="H10" s="218" t="s">
        <v>143</v>
      </c>
      <c r="I10" s="213"/>
      <c r="J10" s="219" t="s">
        <v>144</v>
      </c>
      <c r="K10" s="213"/>
      <c r="L10" s="213"/>
      <c r="M10" s="218" t="s">
        <v>145</v>
      </c>
      <c r="N10" s="218"/>
      <c r="O10" s="218" t="s">
        <v>146</v>
      </c>
      <c r="P10" s="213"/>
      <c r="Q10" s="218" t="s">
        <v>147</v>
      </c>
      <c r="R10" s="213"/>
      <c r="S10" s="213"/>
      <c r="T10" s="220" t="s">
        <v>148</v>
      </c>
      <c r="U10" s="217"/>
    </row>
    <row r="11" spans="1:21" x14ac:dyDescent="0.2">
      <c r="A11" s="212" t="s">
        <v>149</v>
      </c>
      <c r="B11" s="218"/>
      <c r="C11" s="216"/>
      <c r="D11" s="218"/>
      <c r="E11" s="216"/>
      <c r="F11" s="218"/>
      <c r="G11" s="216"/>
      <c r="H11" s="218"/>
      <c r="I11" s="213"/>
      <c r="J11" s="218"/>
      <c r="K11" s="213"/>
      <c r="L11" s="213"/>
      <c r="M11" s="218"/>
      <c r="N11" s="218"/>
      <c r="O11" s="218"/>
      <c r="P11" s="213"/>
      <c r="Q11" s="218"/>
      <c r="R11" s="213"/>
      <c r="S11" s="213"/>
      <c r="T11" s="220"/>
      <c r="U11" s="217"/>
    </row>
    <row r="12" spans="1:21" x14ac:dyDescent="0.2">
      <c r="A12" s="221" t="s">
        <v>150</v>
      </c>
      <c r="B12" s="222">
        <v>45047</v>
      </c>
      <c r="C12" s="216"/>
      <c r="D12" s="223">
        <v>1.3131868131868095E-4</v>
      </c>
      <c r="E12" s="213" t="s">
        <v>151</v>
      </c>
      <c r="F12" s="224">
        <v>12900000</v>
      </c>
      <c r="G12" s="225"/>
      <c r="H12" s="224">
        <f t="shared" ref="H12:H22" si="0">ROUND(D12*F12,0)</f>
        <v>1694</v>
      </c>
      <c r="I12" s="216"/>
      <c r="J12" s="226">
        <v>11011.380000000003</v>
      </c>
      <c r="K12" s="216"/>
      <c r="L12" s="227"/>
      <c r="M12" s="224">
        <v>35790.676483516479</v>
      </c>
      <c r="N12" s="216"/>
      <c r="O12" s="228">
        <v>97487.820150879881</v>
      </c>
      <c r="P12" s="229"/>
      <c r="Q12" s="224">
        <f t="shared" ref="Q12:Q23" si="1">H12+J12+M12+O12</f>
        <v>145983.87663439638</v>
      </c>
      <c r="R12" s="213"/>
      <c r="S12" s="213"/>
      <c r="T12" s="230">
        <f t="shared" ref="T12:T22" si="2">ROUND((Q12/F12),5)</f>
        <v>1.132E-2</v>
      </c>
      <c r="U12" s="217"/>
    </row>
    <row r="13" spans="1:21" x14ac:dyDescent="0.2">
      <c r="A13" s="221" t="s">
        <v>152</v>
      </c>
      <c r="B13" s="222">
        <v>11720</v>
      </c>
      <c r="C13" s="216"/>
      <c r="D13" s="223">
        <v>2.8049450549450456E-3</v>
      </c>
      <c r="E13" s="213" t="s">
        <v>151</v>
      </c>
      <c r="F13" s="231">
        <v>20930000</v>
      </c>
      <c r="G13" s="213"/>
      <c r="H13" s="231">
        <f t="shared" si="0"/>
        <v>58707</v>
      </c>
      <c r="I13" s="216"/>
      <c r="J13" s="232">
        <v>3992.9327472527466</v>
      </c>
      <c r="K13" s="216"/>
      <c r="L13" s="227"/>
      <c r="M13" s="231">
        <v>36200.144175824185</v>
      </c>
      <c r="N13" s="216"/>
      <c r="O13" s="232">
        <v>20866.645407590389</v>
      </c>
      <c r="P13" s="213"/>
      <c r="Q13" s="231">
        <f t="shared" si="1"/>
        <v>119766.72233066733</v>
      </c>
      <c r="R13" s="213"/>
      <c r="S13" s="213"/>
      <c r="T13" s="230">
        <f t="shared" si="2"/>
        <v>5.7200000000000003E-3</v>
      </c>
      <c r="U13" s="217"/>
    </row>
    <row r="14" spans="1:21" x14ac:dyDescent="0.2">
      <c r="A14" s="212" t="s">
        <v>153</v>
      </c>
      <c r="B14" s="222">
        <v>11720</v>
      </c>
      <c r="C14" s="216"/>
      <c r="D14" s="223">
        <v>2.8049450549450456E-3</v>
      </c>
      <c r="E14" s="213" t="s">
        <v>151</v>
      </c>
      <c r="F14" s="231">
        <v>2400000</v>
      </c>
      <c r="G14" s="213"/>
      <c r="H14" s="231">
        <f t="shared" si="0"/>
        <v>6732</v>
      </c>
      <c r="I14" s="216"/>
      <c r="J14" s="232">
        <v>2770.2982417582416</v>
      </c>
      <c r="K14" s="216"/>
      <c r="L14" s="227"/>
      <c r="M14" s="231">
        <v>4144.2210989010991</v>
      </c>
      <c r="N14" s="216"/>
      <c r="O14" s="232">
        <v>2392.7352593510236</v>
      </c>
      <c r="P14" s="213"/>
      <c r="Q14" s="231">
        <f t="shared" si="1"/>
        <v>16039.254600010367</v>
      </c>
      <c r="R14" s="213"/>
      <c r="S14" s="213"/>
      <c r="T14" s="230">
        <f t="shared" si="2"/>
        <v>6.6800000000000002E-3</v>
      </c>
      <c r="U14" s="217"/>
    </row>
    <row r="15" spans="1:21" x14ac:dyDescent="0.2">
      <c r="A15" s="212" t="s">
        <v>154</v>
      </c>
      <c r="B15" s="222">
        <v>11720</v>
      </c>
      <c r="C15" s="216"/>
      <c r="D15" s="223">
        <v>2.8412087912087843E-3</v>
      </c>
      <c r="E15" s="213" t="s">
        <v>151</v>
      </c>
      <c r="F15" s="231">
        <v>2400000</v>
      </c>
      <c r="G15" s="213"/>
      <c r="H15" s="231">
        <f t="shared" si="0"/>
        <v>6819</v>
      </c>
      <c r="I15" s="216"/>
      <c r="J15" s="232">
        <v>1112.9432967032969</v>
      </c>
      <c r="K15" s="216"/>
      <c r="L15" s="227"/>
      <c r="M15" s="231">
        <v>12868.906153846154</v>
      </c>
      <c r="N15" s="216"/>
      <c r="O15" s="232">
        <v>2392.7352593510236</v>
      </c>
      <c r="P15" s="213"/>
      <c r="Q15" s="231">
        <f t="shared" si="1"/>
        <v>23193.584709900475</v>
      </c>
      <c r="R15" s="213"/>
      <c r="S15" s="213"/>
      <c r="T15" s="230">
        <f t="shared" si="2"/>
        <v>9.6600000000000002E-3</v>
      </c>
      <c r="U15" s="217"/>
    </row>
    <row r="16" spans="1:21" x14ac:dyDescent="0.2">
      <c r="A16" s="221" t="s">
        <v>155</v>
      </c>
      <c r="B16" s="222">
        <v>11720</v>
      </c>
      <c r="C16" s="216"/>
      <c r="D16" s="223">
        <v>2.8412087912087843E-3</v>
      </c>
      <c r="E16" s="213" t="s">
        <v>151</v>
      </c>
      <c r="F16" s="231">
        <v>7400000</v>
      </c>
      <c r="G16" s="213"/>
      <c r="H16" s="231">
        <f t="shared" si="0"/>
        <v>21025</v>
      </c>
      <c r="I16" s="216"/>
      <c r="J16" s="232">
        <v>3081.9593406593413</v>
      </c>
      <c r="K16" s="216"/>
      <c r="L16" s="227"/>
      <c r="M16" s="231">
        <v>12718.475604395604</v>
      </c>
      <c r="N16" s="216"/>
      <c r="O16" s="232">
        <v>7377.6003829989895</v>
      </c>
      <c r="P16" s="213"/>
      <c r="Q16" s="231">
        <f t="shared" si="1"/>
        <v>44203.035328053942</v>
      </c>
      <c r="R16" s="213"/>
      <c r="S16" s="213"/>
      <c r="T16" s="230">
        <f t="shared" si="2"/>
        <v>5.9699999999999996E-3</v>
      </c>
      <c r="U16" s="217"/>
    </row>
    <row r="17" spans="1:21" x14ac:dyDescent="0.2">
      <c r="A17" s="221" t="s">
        <v>156</v>
      </c>
      <c r="B17" s="222">
        <v>11963</v>
      </c>
      <c r="C17" s="216"/>
      <c r="D17" s="223">
        <v>4.4806593406593416E-3</v>
      </c>
      <c r="E17" s="213" t="s">
        <v>151</v>
      </c>
      <c r="F17" s="231">
        <v>96000000</v>
      </c>
      <c r="G17" s="213"/>
      <c r="H17" s="231">
        <f t="shared" si="0"/>
        <v>430143</v>
      </c>
      <c r="I17" s="216"/>
      <c r="J17" s="232">
        <v>72464.017582417582</v>
      </c>
      <c r="K17" s="216"/>
      <c r="L17" s="227"/>
      <c r="M17" s="231">
        <v>185541.68175824176</v>
      </c>
      <c r="N17" s="216"/>
      <c r="O17" s="232">
        <v>231721.17452365736</v>
      </c>
      <c r="P17" s="213"/>
      <c r="Q17" s="231">
        <f t="shared" si="1"/>
        <v>919869.87386431661</v>
      </c>
      <c r="R17" s="213"/>
      <c r="S17" s="213"/>
      <c r="T17" s="230">
        <f t="shared" si="2"/>
        <v>9.58E-3</v>
      </c>
      <c r="U17" s="217"/>
    </row>
    <row r="18" spans="1:21" x14ac:dyDescent="0.2">
      <c r="A18" s="221" t="s">
        <v>157</v>
      </c>
      <c r="B18" s="222">
        <v>49218</v>
      </c>
      <c r="C18" s="216"/>
      <c r="D18" s="223">
        <v>1.3076923076923072E-4</v>
      </c>
      <c r="E18" s="213" t="s">
        <v>151</v>
      </c>
      <c r="F18" s="231">
        <v>50000000</v>
      </c>
      <c r="G18" s="213"/>
      <c r="H18" s="231">
        <f t="shared" si="0"/>
        <v>6538</v>
      </c>
      <c r="I18" s="216"/>
      <c r="J18" s="226">
        <v>10104.871648351649</v>
      </c>
      <c r="K18" s="216"/>
      <c r="L18" s="227"/>
      <c r="M18" s="231">
        <v>94677.211648351644</v>
      </c>
      <c r="N18" s="216"/>
      <c r="O18" s="232">
        <v>379457.49189582031</v>
      </c>
      <c r="P18" s="213"/>
      <c r="Q18" s="231">
        <f t="shared" si="1"/>
        <v>490777.5751925236</v>
      </c>
      <c r="R18" s="213"/>
      <c r="S18" s="213"/>
      <c r="T18" s="230">
        <f t="shared" si="2"/>
        <v>9.8200000000000006E-3</v>
      </c>
      <c r="U18" s="217"/>
    </row>
    <row r="19" spans="1:21" x14ac:dyDescent="0.2">
      <c r="A19" s="221" t="s">
        <v>158</v>
      </c>
      <c r="B19" s="222">
        <v>49218</v>
      </c>
      <c r="C19" s="216"/>
      <c r="D19" s="223">
        <v>1.3076923076923066E-4</v>
      </c>
      <c r="E19" s="213" t="s">
        <v>151</v>
      </c>
      <c r="F19" s="231">
        <v>54000000</v>
      </c>
      <c r="G19" s="213"/>
      <c r="H19" s="231">
        <f t="shared" si="0"/>
        <v>7062</v>
      </c>
      <c r="I19" s="216"/>
      <c r="J19" s="232">
        <v>47595.652747252738</v>
      </c>
      <c r="K19" s="216"/>
      <c r="L19" s="227"/>
      <c r="M19" s="231">
        <v>13204.087252747253</v>
      </c>
      <c r="N19" s="216"/>
      <c r="O19" s="232">
        <v>410245.64223649696</v>
      </c>
      <c r="P19" s="213"/>
      <c r="Q19" s="231">
        <f t="shared" si="1"/>
        <v>478107.38223649695</v>
      </c>
      <c r="R19" s="213"/>
      <c r="S19" s="213"/>
      <c r="T19" s="230">
        <f t="shared" si="2"/>
        <v>8.8500000000000002E-3</v>
      </c>
      <c r="U19" s="217"/>
    </row>
    <row r="20" spans="1:21" x14ac:dyDescent="0.2">
      <c r="A20" s="221" t="s">
        <v>159</v>
      </c>
      <c r="B20" s="222">
        <v>46054</v>
      </c>
      <c r="C20" s="216"/>
      <c r="D20" s="223">
        <v>5.7500000000000002E-2</v>
      </c>
      <c r="E20" s="213"/>
      <c r="F20" s="231">
        <v>17875000</v>
      </c>
      <c r="G20" s="213"/>
      <c r="H20" s="231">
        <f t="shared" si="0"/>
        <v>1027813</v>
      </c>
      <c r="I20" s="216"/>
      <c r="J20" s="232">
        <v>10906.521758241759</v>
      </c>
      <c r="K20" s="216"/>
      <c r="L20" s="227"/>
      <c r="M20" s="231">
        <v>22342.302197802197</v>
      </c>
      <c r="N20" s="233"/>
      <c r="O20" s="232">
        <v>0</v>
      </c>
      <c r="P20" s="213"/>
      <c r="Q20" s="231">
        <f t="shared" si="1"/>
        <v>1061061.8239560439</v>
      </c>
      <c r="R20" s="213"/>
      <c r="S20" s="213"/>
      <c r="T20" s="230">
        <f t="shared" si="2"/>
        <v>5.9360000000000003E-2</v>
      </c>
      <c r="U20" s="217"/>
    </row>
    <row r="21" spans="1:21" x14ac:dyDescent="0.2">
      <c r="A21" s="221" t="s">
        <v>160</v>
      </c>
      <c r="B21" s="222">
        <v>50100</v>
      </c>
      <c r="C21" s="216"/>
      <c r="D21" s="223">
        <v>0.06</v>
      </c>
      <c r="E21" s="213"/>
      <c r="F21" s="231">
        <v>8927000</v>
      </c>
      <c r="G21" s="213"/>
      <c r="H21" s="231">
        <f t="shared" si="0"/>
        <v>535620</v>
      </c>
      <c r="I21" s="216"/>
      <c r="J21" s="232">
        <v>5256.5314285714294</v>
      </c>
      <c r="K21" s="216"/>
      <c r="L21" s="227"/>
      <c r="M21" s="231">
        <v>10774.141978021979</v>
      </c>
      <c r="N21" s="233"/>
      <c r="O21" s="232">
        <v>0</v>
      </c>
      <c r="P21" s="213"/>
      <c r="Q21" s="231">
        <f t="shared" si="1"/>
        <v>551650.67340659339</v>
      </c>
      <c r="R21" s="213"/>
      <c r="S21" s="213"/>
      <c r="T21" s="230">
        <f t="shared" si="2"/>
        <v>6.1800000000000001E-2</v>
      </c>
      <c r="U21" s="217"/>
    </row>
    <row r="22" spans="1:21" x14ac:dyDescent="0.2">
      <c r="A22" s="221" t="s">
        <v>161</v>
      </c>
      <c r="B22" s="222">
        <v>11720</v>
      </c>
      <c r="C22" s="216"/>
      <c r="D22" s="223">
        <v>1.1153846153846161E-4</v>
      </c>
      <c r="E22" s="213" t="s">
        <v>151</v>
      </c>
      <c r="F22" s="231">
        <v>77947405</v>
      </c>
      <c r="G22" s="213"/>
      <c r="H22" s="231">
        <f t="shared" si="0"/>
        <v>8694</v>
      </c>
      <c r="I22" s="216"/>
      <c r="J22" s="232">
        <v>34230.795824175824</v>
      </c>
      <c r="K22" s="216"/>
      <c r="L22" s="227"/>
      <c r="M22" s="231">
        <v>90961.888351648347</v>
      </c>
      <c r="N22" s="216"/>
      <c r="O22" s="232">
        <v>592177.09749531012</v>
      </c>
      <c r="P22" s="213"/>
      <c r="Q22" s="231">
        <f t="shared" si="1"/>
        <v>726063.78167113429</v>
      </c>
      <c r="R22" s="213"/>
      <c r="S22" s="213"/>
      <c r="T22" s="230">
        <f t="shared" si="2"/>
        <v>9.3100000000000006E-3</v>
      </c>
      <c r="U22" s="217"/>
    </row>
    <row r="23" spans="1:21" x14ac:dyDescent="0.2">
      <c r="A23" s="221" t="s">
        <v>162</v>
      </c>
      <c r="B23" s="222"/>
      <c r="C23" s="216"/>
      <c r="D23" s="223"/>
      <c r="E23" s="213"/>
      <c r="F23" s="233"/>
      <c r="G23" s="213"/>
      <c r="H23" s="233">
        <v>0</v>
      </c>
      <c r="I23" s="216"/>
      <c r="J23" s="233">
        <v>0</v>
      </c>
      <c r="K23" s="216"/>
      <c r="L23" s="216">
        <v>1</v>
      </c>
      <c r="M23" s="231">
        <v>5808.845274725275</v>
      </c>
      <c r="N23" s="216"/>
      <c r="O23" s="232"/>
      <c r="P23" s="213"/>
      <c r="Q23" s="231">
        <f t="shared" si="1"/>
        <v>5808.845274725275</v>
      </c>
      <c r="R23" s="213"/>
      <c r="S23" s="213"/>
      <c r="T23" s="230"/>
      <c r="U23" s="217"/>
    </row>
    <row r="24" spans="1:21" x14ac:dyDescent="0.2">
      <c r="A24" s="212"/>
      <c r="C24" s="234"/>
      <c r="D24" s="235"/>
      <c r="I24" s="234"/>
      <c r="T24" s="235"/>
      <c r="U24" s="217"/>
    </row>
    <row r="25" spans="1:21" x14ac:dyDescent="0.2">
      <c r="A25" s="221" t="s">
        <v>163</v>
      </c>
      <c r="B25" s="222"/>
      <c r="C25" s="216"/>
      <c r="D25" s="223"/>
      <c r="E25" s="213"/>
      <c r="F25" s="231"/>
      <c r="G25" s="213"/>
      <c r="H25" s="231"/>
      <c r="I25" s="216"/>
      <c r="J25" s="232"/>
      <c r="K25" s="236"/>
      <c r="L25" s="236"/>
      <c r="M25" s="233"/>
      <c r="N25" s="233"/>
      <c r="O25" s="232"/>
      <c r="P25" s="213"/>
      <c r="Q25" s="231"/>
      <c r="R25" s="213"/>
      <c r="S25" s="213"/>
      <c r="T25" s="230"/>
      <c r="U25" s="217"/>
    </row>
    <row r="26" spans="1:21" x14ac:dyDescent="0.2">
      <c r="A26" s="221" t="s">
        <v>164</v>
      </c>
      <c r="B26" s="222">
        <v>42309</v>
      </c>
      <c r="C26" s="216"/>
      <c r="D26" s="237">
        <v>1.6250000000000001E-2</v>
      </c>
      <c r="E26" s="216"/>
      <c r="F26" s="231">
        <v>85164835.16483517</v>
      </c>
      <c r="G26" s="213"/>
      <c r="H26" s="231">
        <f t="shared" ref="H26:H30" si="3">ROUND(D26*F26,0)</f>
        <v>1383929</v>
      </c>
      <c r="I26" s="216"/>
      <c r="J26" s="232">
        <v>157457.41186813189</v>
      </c>
      <c r="K26" s="236" t="s">
        <v>165</v>
      </c>
      <c r="L26" s="236"/>
      <c r="M26" s="233"/>
      <c r="N26" s="233"/>
      <c r="O26" s="232">
        <v>0</v>
      </c>
      <c r="P26" s="213"/>
      <c r="Q26" s="231">
        <f t="shared" ref="Q26:Q40" si="4">H26+J26+M26+O26</f>
        <v>1541386.411868132</v>
      </c>
      <c r="R26" s="213"/>
      <c r="S26" s="213"/>
      <c r="T26" s="230">
        <f t="shared" ref="T26:T33" si="5">ROUND((Q26/F26),5)</f>
        <v>1.8100000000000002E-2</v>
      </c>
      <c r="U26" s="217"/>
    </row>
    <row r="27" spans="1:21" x14ac:dyDescent="0.2">
      <c r="A27" s="212" t="s">
        <v>166</v>
      </c>
      <c r="B27" s="222">
        <v>42309</v>
      </c>
      <c r="C27" s="216"/>
      <c r="D27" s="237">
        <v>1.6250000000000001E-2</v>
      </c>
      <c r="E27" s="216"/>
      <c r="F27" s="231">
        <v>-4122.0002380952428</v>
      </c>
      <c r="H27" s="231"/>
      <c r="I27" s="216"/>
      <c r="J27" s="232">
        <v>59610.346153846156</v>
      </c>
      <c r="K27" s="236" t="s">
        <v>165</v>
      </c>
      <c r="L27" s="236"/>
      <c r="M27" s="233"/>
      <c r="N27" s="233"/>
      <c r="O27" s="232"/>
      <c r="P27" s="213"/>
      <c r="Q27" s="231">
        <f t="shared" si="4"/>
        <v>59610.346153846156</v>
      </c>
      <c r="R27" s="213"/>
      <c r="S27" s="213"/>
      <c r="T27" s="230">
        <f>ROUND((Q27/F27),5)</f>
        <v>-14.461510000000001</v>
      </c>
      <c r="U27" s="217"/>
    </row>
    <row r="28" spans="1:21" x14ac:dyDescent="0.2">
      <c r="A28" s="221" t="s">
        <v>167</v>
      </c>
      <c r="B28" s="222">
        <v>44136</v>
      </c>
      <c r="C28" s="216"/>
      <c r="D28" s="237">
        <v>3.2500000000000001E-2</v>
      </c>
      <c r="E28" s="213"/>
      <c r="F28" s="231">
        <v>500000000</v>
      </c>
      <c r="H28" s="231">
        <f t="shared" si="3"/>
        <v>16250000</v>
      </c>
      <c r="I28" s="216"/>
      <c r="J28" s="232">
        <v>419032.77626373625</v>
      </c>
      <c r="K28" s="236" t="s">
        <v>165</v>
      </c>
      <c r="L28" s="236"/>
      <c r="M28" s="233"/>
      <c r="N28" s="233"/>
      <c r="O28" s="232">
        <v>0</v>
      </c>
      <c r="P28" s="213"/>
      <c r="Q28" s="231">
        <f t="shared" si="4"/>
        <v>16669032.776263736</v>
      </c>
      <c r="R28" s="213"/>
      <c r="S28" s="213"/>
      <c r="T28" s="230">
        <f t="shared" si="5"/>
        <v>3.3340000000000002E-2</v>
      </c>
      <c r="U28" s="217"/>
    </row>
    <row r="29" spans="1:21" x14ac:dyDescent="0.2">
      <c r="A29" s="212" t="s">
        <v>166</v>
      </c>
      <c r="B29" s="222">
        <v>44136</v>
      </c>
      <c r="C29" s="216"/>
      <c r="D29" s="237">
        <v>3.2500000000000001E-2</v>
      </c>
      <c r="E29" s="216"/>
      <c r="F29" s="231">
        <v>-928046.0262637363</v>
      </c>
      <c r="H29" s="231"/>
      <c r="I29" s="216"/>
      <c r="J29" s="232">
        <v>189218.0789010989</v>
      </c>
      <c r="K29" s="236" t="s">
        <v>165</v>
      </c>
      <c r="L29" s="236"/>
      <c r="M29" s="233"/>
      <c r="N29" s="233"/>
      <c r="O29" s="232"/>
      <c r="P29" s="213"/>
      <c r="Q29" s="231">
        <f t="shared" si="4"/>
        <v>189218.0789010989</v>
      </c>
      <c r="R29" s="213"/>
      <c r="S29" s="213"/>
      <c r="T29" s="230">
        <f t="shared" si="5"/>
        <v>-0.20388999999999999</v>
      </c>
      <c r="U29" s="217"/>
    </row>
    <row r="30" spans="1:21" x14ac:dyDescent="0.2">
      <c r="A30" s="221" t="s">
        <v>168</v>
      </c>
      <c r="B30" s="222">
        <v>51441</v>
      </c>
      <c r="C30" s="216"/>
      <c r="D30" s="237">
        <v>5.1249999999999997E-2</v>
      </c>
      <c r="E30" s="213"/>
      <c r="F30" s="231">
        <v>750000000</v>
      </c>
      <c r="H30" s="231">
        <f t="shared" si="3"/>
        <v>38437500</v>
      </c>
      <c r="I30" s="216"/>
      <c r="J30" s="232">
        <v>249252.64549450553</v>
      </c>
      <c r="K30" s="236" t="s">
        <v>165</v>
      </c>
      <c r="L30" s="236"/>
      <c r="M30" s="233"/>
      <c r="N30" s="233"/>
      <c r="O30" s="232">
        <v>0</v>
      </c>
      <c r="P30" s="213"/>
      <c r="Q30" s="231">
        <f t="shared" si="4"/>
        <v>38686752.645494506</v>
      </c>
      <c r="R30" s="213"/>
      <c r="S30" s="213"/>
      <c r="T30" s="230">
        <f t="shared" si="5"/>
        <v>5.1580000000000001E-2</v>
      </c>
      <c r="U30" s="217"/>
    </row>
    <row r="31" spans="1:21" x14ac:dyDescent="0.2">
      <c r="A31" s="212" t="s">
        <v>166</v>
      </c>
      <c r="B31" s="222">
        <v>51441</v>
      </c>
      <c r="C31" s="216"/>
      <c r="D31" s="237">
        <v>5.1249999999999997E-2</v>
      </c>
      <c r="E31" s="216"/>
      <c r="F31" s="231">
        <v>-6758030.6577655571</v>
      </c>
      <c r="H31" s="231"/>
      <c r="I31" s="216"/>
      <c r="J31" s="232">
        <v>270843.31516483513</v>
      </c>
      <c r="K31" s="236" t="s">
        <v>165</v>
      </c>
      <c r="L31" s="236"/>
      <c r="M31" s="233"/>
      <c r="N31" s="233"/>
      <c r="O31" s="232"/>
      <c r="P31" s="213"/>
      <c r="Q31" s="231">
        <f t="shared" si="4"/>
        <v>270843.31516483513</v>
      </c>
      <c r="R31" s="213"/>
      <c r="S31" s="213"/>
      <c r="T31" s="230">
        <f t="shared" si="5"/>
        <v>-4.0079999999999998E-2</v>
      </c>
      <c r="U31" s="217"/>
    </row>
    <row r="32" spans="1:21" x14ac:dyDescent="0.2">
      <c r="A32" s="221" t="s">
        <v>169</v>
      </c>
      <c r="B32" s="222">
        <v>52550</v>
      </c>
      <c r="C32" s="216"/>
      <c r="D32" s="237">
        <v>4.65E-2</v>
      </c>
      <c r="E32" s="216"/>
      <c r="F32" s="231">
        <v>250000000</v>
      </c>
      <c r="H32" s="231">
        <f>ROUND(D32*F32,0)</f>
        <v>11625000</v>
      </c>
      <c r="I32" s="216"/>
      <c r="J32" s="232">
        <v>92048.084175824173</v>
      </c>
      <c r="K32" s="236" t="s">
        <v>165</v>
      </c>
      <c r="L32" s="236"/>
      <c r="M32" s="233"/>
      <c r="N32" s="233"/>
      <c r="O32" s="232"/>
      <c r="P32" s="213"/>
      <c r="Q32" s="231">
        <f t="shared" si="4"/>
        <v>11717048.084175823</v>
      </c>
      <c r="R32" s="213"/>
      <c r="S32" s="213"/>
      <c r="T32" s="230">
        <f t="shared" si="5"/>
        <v>4.6870000000000002E-2</v>
      </c>
      <c r="U32" s="217"/>
    </row>
    <row r="33" spans="1:21" x14ac:dyDescent="0.2">
      <c r="A33" s="212" t="s">
        <v>166</v>
      </c>
      <c r="B33" s="222">
        <v>52550</v>
      </c>
      <c r="C33" s="216"/>
      <c r="D33" s="237">
        <v>4.65E-2</v>
      </c>
      <c r="E33" s="216"/>
      <c r="F33" s="231">
        <v>-1674948.9619780222</v>
      </c>
      <c r="H33" s="231"/>
      <c r="I33" s="216"/>
      <c r="J33" s="232">
        <v>59828.041318681317</v>
      </c>
      <c r="K33" s="236" t="s">
        <v>165</v>
      </c>
      <c r="L33" s="236"/>
      <c r="M33" s="233"/>
      <c r="N33" s="233"/>
      <c r="O33" s="232"/>
      <c r="P33" s="213"/>
      <c r="Q33" s="231">
        <f t="shared" si="4"/>
        <v>59828.041318681317</v>
      </c>
      <c r="R33" s="213"/>
      <c r="S33" s="213"/>
      <c r="T33" s="230">
        <f t="shared" si="5"/>
        <v>-3.5720000000000002E-2</v>
      </c>
      <c r="U33" s="217"/>
    </row>
    <row r="34" spans="1:21" ht="17.25" customHeight="1" x14ac:dyDescent="0.2">
      <c r="A34" s="212" t="s">
        <v>170</v>
      </c>
      <c r="B34" s="238">
        <v>52550</v>
      </c>
      <c r="D34" s="239"/>
      <c r="E34" s="213"/>
      <c r="F34" s="240"/>
      <c r="G34" s="216"/>
      <c r="H34" s="240">
        <v>-1430639.2661538459</v>
      </c>
      <c r="I34" s="216"/>
      <c r="J34" s="240"/>
      <c r="K34" s="241"/>
      <c r="L34" s="241"/>
      <c r="M34" s="240"/>
      <c r="N34" s="240"/>
      <c r="O34" s="240"/>
      <c r="P34" s="213"/>
      <c r="Q34" s="231">
        <f t="shared" si="4"/>
        <v>-1430639.2661538459</v>
      </c>
      <c r="R34" s="213"/>
      <c r="T34" s="242">
        <f>ROUND((Q34/43027967.76),5)</f>
        <v>-3.3250000000000002E-2</v>
      </c>
      <c r="U34" s="217"/>
    </row>
    <row r="35" spans="1:21" ht="17.25" customHeight="1" x14ac:dyDescent="0.2">
      <c r="A35" s="221" t="s">
        <v>171</v>
      </c>
      <c r="B35" s="222">
        <v>45931</v>
      </c>
      <c r="C35" s="216"/>
      <c r="D35" s="237">
        <v>3.3000000000000002E-2</v>
      </c>
      <c r="E35" s="216"/>
      <c r="F35" s="231">
        <v>212912087.91208792</v>
      </c>
      <c r="H35" s="231">
        <f>ROUND(D35*F35,0)</f>
        <v>7026099</v>
      </c>
      <c r="I35" s="216"/>
      <c r="J35" s="232">
        <v>162907.71164835166</v>
      </c>
      <c r="K35" s="236" t="s">
        <v>165</v>
      </c>
      <c r="L35" s="241"/>
      <c r="M35" s="240"/>
      <c r="N35" s="240"/>
      <c r="O35" s="240"/>
      <c r="P35" s="213"/>
      <c r="Q35" s="231">
        <f t="shared" si="4"/>
        <v>7189006.7116483515</v>
      </c>
      <c r="R35" s="213"/>
      <c r="S35" s="213"/>
      <c r="T35" s="230">
        <f t="shared" ref="T35:T36" si="6">ROUND((Q35/F35),5)</f>
        <v>3.3770000000000001E-2</v>
      </c>
      <c r="U35" s="217"/>
    </row>
    <row r="36" spans="1:21" ht="17.25" customHeight="1" x14ac:dyDescent="0.2">
      <c r="A36" s="212" t="s">
        <v>166</v>
      </c>
      <c r="B36" s="222">
        <v>45931</v>
      </c>
      <c r="C36" s="216"/>
      <c r="D36" s="237">
        <v>3.3000000000000002E-2</v>
      </c>
      <c r="E36" s="216"/>
      <c r="F36" s="231">
        <v>-89225.535274725262</v>
      </c>
      <c r="H36" s="231"/>
      <c r="I36" s="216"/>
      <c r="J36" s="232">
        <v>9010.6325274725259</v>
      </c>
      <c r="K36" s="236" t="s">
        <v>165</v>
      </c>
      <c r="L36" s="241"/>
      <c r="M36" s="240"/>
      <c r="N36" s="240"/>
      <c r="O36" s="240"/>
      <c r="P36" s="213"/>
      <c r="Q36" s="231">
        <f t="shared" si="4"/>
        <v>9010.6325274725259</v>
      </c>
      <c r="R36" s="213"/>
      <c r="S36" s="213"/>
      <c r="T36" s="230">
        <f t="shared" si="6"/>
        <v>-0.10099</v>
      </c>
      <c r="U36" s="217"/>
    </row>
    <row r="37" spans="1:21" ht="17.25" customHeight="1" x14ac:dyDescent="0.2">
      <c r="A37" s="212" t="s">
        <v>172</v>
      </c>
      <c r="B37" s="222">
        <v>45931</v>
      </c>
      <c r="D37" s="243"/>
      <c r="E37" s="213"/>
      <c r="F37" s="240"/>
      <c r="G37" s="216"/>
      <c r="H37" s="240">
        <v>1176110.4270879121</v>
      </c>
      <c r="I37" s="216"/>
      <c r="J37" s="240"/>
      <c r="K37" s="241"/>
      <c r="L37" s="241"/>
      <c r="M37" s="240"/>
      <c r="N37" s="240"/>
      <c r="O37" s="240"/>
      <c r="P37" s="213"/>
      <c r="Q37" s="231">
        <f t="shared" si="4"/>
        <v>1176110.4270879121</v>
      </c>
      <c r="R37" s="213"/>
      <c r="T37" s="242">
        <f>ROUND((Q37/14076899),5)</f>
        <v>8.3549999999999999E-2</v>
      </c>
      <c r="U37" s="217"/>
    </row>
    <row r="38" spans="1:21" ht="17.25" customHeight="1" x14ac:dyDescent="0.2">
      <c r="A38" s="221" t="s">
        <v>173</v>
      </c>
      <c r="B38" s="222">
        <v>53236</v>
      </c>
      <c r="C38" s="216"/>
      <c r="D38" s="237">
        <v>4.3749999999999997E-2</v>
      </c>
      <c r="E38" s="216"/>
      <c r="F38" s="231">
        <v>212912087.91208792</v>
      </c>
      <c r="H38" s="231">
        <f>ROUND(D38*F38,0)</f>
        <v>9314904</v>
      </c>
      <c r="I38" s="216"/>
      <c r="J38" s="232">
        <v>69979.416923076933</v>
      </c>
      <c r="K38" s="236" t="s">
        <v>165</v>
      </c>
      <c r="L38" s="241"/>
      <c r="M38" s="240"/>
      <c r="N38" s="240"/>
      <c r="O38" s="240"/>
      <c r="P38" s="213"/>
      <c r="Q38" s="231">
        <f t="shared" si="4"/>
        <v>9384883.4169230778</v>
      </c>
      <c r="R38" s="213"/>
      <c r="S38" s="213"/>
      <c r="T38" s="230">
        <f t="shared" ref="T38:T39" si="7">ROUND((Q38/F38),5)</f>
        <v>4.4080000000000001E-2</v>
      </c>
      <c r="U38" s="217"/>
    </row>
    <row r="39" spans="1:21" ht="17.25" customHeight="1" x14ac:dyDescent="0.2">
      <c r="A39" s="212" t="s">
        <v>166</v>
      </c>
      <c r="B39" s="222">
        <v>53236</v>
      </c>
      <c r="C39" s="216"/>
      <c r="D39" s="237">
        <v>4.3749999999999997E-2</v>
      </c>
      <c r="E39" s="216"/>
      <c r="F39" s="231">
        <v>-175202.0358791209</v>
      </c>
      <c r="H39" s="231"/>
      <c r="I39" s="216"/>
      <c r="J39" s="232">
        <v>5842.9490109890112</v>
      </c>
      <c r="K39" s="236" t="s">
        <v>165</v>
      </c>
      <c r="L39" s="241"/>
      <c r="M39" s="240"/>
      <c r="N39" s="240"/>
      <c r="O39" s="240"/>
      <c r="P39" s="213"/>
      <c r="Q39" s="231">
        <f t="shared" si="4"/>
        <v>5842.9490109890112</v>
      </c>
      <c r="R39" s="213"/>
      <c r="S39" s="213"/>
      <c r="T39" s="230">
        <f t="shared" si="7"/>
        <v>-3.3349999999999998E-2</v>
      </c>
      <c r="U39" s="217"/>
    </row>
    <row r="40" spans="1:21" ht="17.25" customHeight="1" x14ac:dyDescent="0.2">
      <c r="A40" s="212" t="s">
        <v>172</v>
      </c>
      <c r="B40" s="222">
        <v>53236</v>
      </c>
      <c r="D40" s="239"/>
      <c r="E40" s="213"/>
      <c r="F40" s="240"/>
      <c r="G40" s="216"/>
      <c r="H40" s="240">
        <v>825225.56615709409</v>
      </c>
      <c r="I40" s="216"/>
      <c r="J40" s="240"/>
      <c r="K40" s="241"/>
      <c r="L40" s="241"/>
      <c r="M40" s="240"/>
      <c r="N40" s="240"/>
      <c r="O40" s="240"/>
      <c r="P40" s="213"/>
      <c r="Q40" s="231">
        <f t="shared" si="4"/>
        <v>825225.56615709409</v>
      </c>
      <c r="R40" s="213"/>
      <c r="T40" s="242">
        <f>ROUND((Q40/29611403),5)</f>
        <v>2.7869999999999999E-2</v>
      </c>
      <c r="U40" s="217"/>
    </row>
    <row r="41" spans="1:21" x14ac:dyDescent="0.2">
      <c r="A41" s="212"/>
      <c r="B41" s="222"/>
      <c r="C41" s="216"/>
      <c r="D41" s="244"/>
      <c r="E41" s="213"/>
      <c r="F41" s="231"/>
      <c r="G41" s="216"/>
      <c r="H41" s="231"/>
      <c r="I41" s="216"/>
      <c r="J41" s="232"/>
      <c r="K41" s="236"/>
      <c r="L41" s="236"/>
      <c r="M41" s="233"/>
      <c r="N41" s="233"/>
      <c r="O41" s="232"/>
      <c r="P41" s="213"/>
      <c r="Q41" s="231"/>
      <c r="R41" s="213"/>
      <c r="S41" s="213"/>
      <c r="T41" s="230"/>
      <c r="U41" s="217"/>
    </row>
    <row r="42" spans="1:21" x14ac:dyDescent="0.2">
      <c r="A42" s="221" t="s">
        <v>174</v>
      </c>
      <c r="B42" s="222">
        <v>44196</v>
      </c>
      <c r="C42" s="213"/>
      <c r="D42" s="245"/>
      <c r="E42" s="213"/>
      <c r="F42" s="231"/>
      <c r="G42" s="213"/>
      <c r="H42" s="231"/>
      <c r="I42" s="216"/>
      <c r="J42" s="246">
        <v>504647.84109890112</v>
      </c>
      <c r="K42" s="216"/>
      <c r="L42" s="247">
        <v>2</v>
      </c>
      <c r="M42" s="233">
        <v>50686.074725274724</v>
      </c>
      <c r="N42" s="216"/>
      <c r="O42" s="232">
        <v>404688.64468864474</v>
      </c>
      <c r="P42" s="213"/>
      <c r="Q42" s="231">
        <f>H42+J42+M42+O42</f>
        <v>960022.56051282049</v>
      </c>
      <c r="R42" s="213"/>
      <c r="S42" s="213"/>
      <c r="T42" s="230"/>
      <c r="U42" s="217"/>
    </row>
    <row r="43" spans="1:21" x14ac:dyDescent="0.2">
      <c r="A43" s="221" t="s">
        <v>175</v>
      </c>
      <c r="B43" s="222">
        <v>43009</v>
      </c>
      <c r="C43" s="213"/>
      <c r="D43" s="245"/>
      <c r="E43" s="213"/>
      <c r="F43" s="231"/>
      <c r="G43" s="213"/>
      <c r="H43" s="231"/>
      <c r="I43" s="216"/>
      <c r="J43" s="246">
        <v>220656.07714285713</v>
      </c>
      <c r="K43" s="216"/>
      <c r="L43" s="213"/>
      <c r="M43" s="233">
        <v>103710.88285714286</v>
      </c>
      <c r="N43" s="233"/>
      <c r="O43" s="232"/>
      <c r="P43" s="213"/>
      <c r="Q43" s="231">
        <f>H43+J43+M43+O43</f>
        <v>324366.95999999996</v>
      </c>
      <c r="R43" s="213"/>
      <c r="S43" s="213"/>
      <c r="T43" s="230"/>
      <c r="U43" s="217"/>
    </row>
    <row r="44" spans="1:21" ht="15.75" thickBot="1" x14ac:dyDescent="0.25">
      <c r="A44" s="221"/>
      <c r="B44" s="222"/>
      <c r="C44" s="213"/>
      <c r="D44" s="245"/>
      <c r="E44" s="213"/>
      <c r="F44" s="231"/>
      <c r="G44" s="213"/>
      <c r="H44" s="231"/>
      <c r="I44" s="213"/>
      <c r="J44" s="232"/>
      <c r="K44" s="236"/>
      <c r="L44" s="236"/>
      <c r="M44" s="233"/>
      <c r="N44" s="233"/>
      <c r="O44" s="232"/>
      <c r="P44" s="213"/>
      <c r="Q44" s="231"/>
      <c r="R44" s="213"/>
      <c r="S44" s="213"/>
      <c r="T44" s="230"/>
      <c r="U44" s="217"/>
    </row>
    <row r="45" spans="1:21" ht="16.5" thickBot="1" x14ac:dyDescent="0.3">
      <c r="A45" s="248" t="s">
        <v>176</v>
      </c>
      <c r="B45" s="213"/>
      <c r="C45" s="213"/>
      <c r="D45" s="249"/>
      <c r="E45" s="213"/>
      <c r="F45" s="250">
        <f>SUM(F12:F44)</f>
        <v>2352138840.7716117</v>
      </c>
      <c r="G45" s="225"/>
      <c r="H45" s="250">
        <f>SUM(H12:H44)</f>
        <v>86718975.727091163</v>
      </c>
      <c r="I45" s="225"/>
      <c r="J45" s="250">
        <f>SUM(J12:J44)</f>
        <v>2672863.2323076921</v>
      </c>
      <c r="K45" s="224"/>
      <c r="L45" s="224"/>
      <c r="M45" s="250">
        <f>SUM(M12:M44)</f>
        <v>679429.53956043941</v>
      </c>
      <c r="N45" s="251"/>
      <c r="O45" s="250">
        <f>SUM(O12:O44)</f>
        <v>2148807.5873001008</v>
      </c>
      <c r="P45" s="252"/>
      <c r="Q45" s="250">
        <f>SUM(Q12:Q44)</f>
        <v>92220076.08625938</v>
      </c>
      <c r="R45" s="213"/>
      <c r="S45" s="213"/>
      <c r="T45" s="253">
        <f>ROUND((Q45/F51),5)</f>
        <v>3.9210000000000002E-2</v>
      </c>
      <c r="U45" s="217"/>
    </row>
    <row r="46" spans="1:21" ht="15.75" x14ac:dyDescent="0.25">
      <c r="A46" s="221"/>
      <c r="B46" s="213"/>
      <c r="C46" s="213"/>
      <c r="D46" s="249"/>
      <c r="E46" s="213"/>
      <c r="F46" s="227"/>
      <c r="G46" s="213"/>
      <c r="H46" s="227"/>
      <c r="I46" s="213"/>
      <c r="J46" s="227"/>
      <c r="K46" s="236"/>
      <c r="L46" s="236"/>
      <c r="M46" s="236"/>
      <c r="N46" s="236"/>
      <c r="O46" s="236"/>
      <c r="P46" s="254"/>
      <c r="Q46" s="236"/>
      <c r="R46" s="213"/>
      <c r="S46" s="213"/>
      <c r="T46" s="255"/>
      <c r="U46" s="217"/>
    </row>
    <row r="47" spans="1:21" ht="15.75" x14ac:dyDescent="0.25">
      <c r="A47" s="212" t="s">
        <v>177</v>
      </c>
      <c r="B47" s="213"/>
      <c r="C47" s="256"/>
      <c r="D47" s="249"/>
      <c r="E47" s="213"/>
      <c r="F47" s="257">
        <v>0</v>
      </c>
      <c r="G47" s="225"/>
      <c r="H47" s="224">
        <v>0</v>
      </c>
      <c r="I47" s="225"/>
      <c r="J47" s="257">
        <v>0</v>
      </c>
      <c r="K47" s="257"/>
      <c r="L47" s="257"/>
      <c r="M47" s="257">
        <v>0</v>
      </c>
      <c r="N47" s="257"/>
      <c r="O47" s="257">
        <v>0</v>
      </c>
      <c r="P47" s="225"/>
      <c r="Q47" s="224">
        <v>0</v>
      </c>
      <c r="R47" s="213"/>
      <c r="S47" s="213"/>
      <c r="T47" s="258"/>
      <c r="U47" s="217"/>
    </row>
    <row r="48" spans="1:21" ht="15.75" thickBot="1" x14ac:dyDescent="0.25">
      <c r="A48" s="212"/>
      <c r="B48" s="222"/>
      <c r="C48" s="213"/>
      <c r="D48" s="244"/>
      <c r="E48" s="213"/>
      <c r="F48" s="246"/>
      <c r="G48" s="240"/>
      <c r="H48" s="231"/>
      <c r="I48" s="240"/>
      <c r="J48" s="246"/>
      <c r="K48" s="246"/>
      <c r="L48" s="246"/>
      <c r="M48" s="246"/>
      <c r="N48" s="246"/>
      <c r="O48" s="246"/>
      <c r="P48" s="240"/>
      <c r="Q48" s="231"/>
      <c r="R48" s="213"/>
      <c r="S48" s="213"/>
      <c r="T48" s="230"/>
      <c r="U48" s="217"/>
    </row>
    <row r="49" spans="1:21" ht="16.5" thickBot="1" x14ac:dyDescent="0.3">
      <c r="A49" s="248" t="s">
        <v>178</v>
      </c>
      <c r="B49" s="213"/>
      <c r="C49" s="213"/>
      <c r="D49" s="249"/>
      <c r="E49" s="213"/>
      <c r="F49" s="259">
        <f>SUM(F47:F48)</f>
        <v>0</v>
      </c>
      <c r="G49" s="225"/>
      <c r="H49" s="259">
        <f>SUM(H47:H48)</f>
        <v>0</v>
      </c>
      <c r="I49" s="225"/>
      <c r="J49" s="259">
        <f>SUM(J47:J48)</f>
        <v>0</v>
      </c>
      <c r="K49" s="224"/>
      <c r="L49" s="224"/>
      <c r="M49" s="259">
        <f>SUM(M47:M48)</f>
        <v>0</v>
      </c>
      <c r="N49" s="224"/>
      <c r="O49" s="259">
        <f>SUM(O47:O48)</f>
        <v>0</v>
      </c>
      <c r="P49" s="224"/>
      <c r="Q49" s="259">
        <f>SUM(Q47:Q48)</f>
        <v>0</v>
      </c>
      <c r="R49" s="213"/>
      <c r="S49" s="213"/>
      <c r="T49" s="253">
        <f>ROUND(+Q49/F51,5)</f>
        <v>0</v>
      </c>
      <c r="U49" s="217"/>
    </row>
    <row r="50" spans="1:21" ht="15.75" thickBot="1" x14ac:dyDescent="0.25">
      <c r="A50" s="212"/>
      <c r="B50" s="213"/>
      <c r="C50" s="213"/>
      <c r="D50" s="249"/>
      <c r="E50" s="213"/>
      <c r="F50" s="236"/>
      <c r="G50" s="213"/>
      <c r="H50" s="236"/>
      <c r="I50" s="213"/>
      <c r="J50" s="227"/>
      <c r="K50" s="236"/>
      <c r="L50" s="236"/>
      <c r="M50" s="236"/>
      <c r="N50" s="236"/>
      <c r="O50" s="236"/>
      <c r="P50" s="236"/>
      <c r="Q50" s="236"/>
      <c r="R50" s="213"/>
      <c r="S50" s="213"/>
      <c r="T50" s="260"/>
      <c r="U50" s="217"/>
    </row>
    <row r="51" spans="1:21" ht="16.5" thickBot="1" x14ac:dyDescent="0.3">
      <c r="A51" s="212"/>
      <c r="B51" s="213"/>
      <c r="C51" s="213"/>
      <c r="D51" s="261" t="s">
        <v>147</v>
      </c>
      <c r="E51" s="213"/>
      <c r="F51" s="262">
        <f>F45+F49</f>
        <v>2352138840.7716117</v>
      </c>
      <c r="G51" s="225"/>
      <c r="H51" s="262">
        <f>H45+H49</f>
        <v>86718975.727091163</v>
      </c>
      <c r="I51" s="225"/>
      <c r="J51" s="262">
        <f>J45+J49</f>
        <v>2672863.2323076921</v>
      </c>
      <c r="K51" s="224"/>
      <c r="L51" s="224"/>
      <c r="M51" s="262">
        <f>M45+M49</f>
        <v>679429.53956043941</v>
      </c>
      <c r="N51" s="224"/>
      <c r="O51" s="262">
        <f>O45+O49</f>
        <v>2148807.5873001008</v>
      </c>
      <c r="P51" s="224"/>
      <c r="Q51" s="262">
        <f>Q45+Q49</f>
        <v>92220076.08625938</v>
      </c>
      <c r="R51" s="213"/>
      <c r="S51" s="213"/>
      <c r="T51" s="253">
        <f>ROUND(Q51/F51,5)</f>
        <v>3.9210000000000002E-2</v>
      </c>
      <c r="U51" s="217"/>
    </row>
    <row r="52" spans="1:21" ht="16.5" thickTop="1" x14ac:dyDescent="0.25">
      <c r="A52" s="263"/>
      <c r="B52" s="264"/>
      <c r="C52" s="264"/>
      <c r="D52" s="265"/>
      <c r="E52" s="264"/>
      <c r="F52" s="266"/>
      <c r="G52" s="264"/>
      <c r="H52" s="266"/>
      <c r="I52" s="264"/>
      <c r="J52" s="266"/>
      <c r="K52" s="266"/>
      <c r="L52" s="266"/>
      <c r="M52" s="267"/>
      <c r="N52" s="216"/>
      <c r="O52" s="266"/>
      <c r="P52" s="266"/>
      <c r="Q52" s="266"/>
      <c r="R52" s="264"/>
      <c r="S52" s="264"/>
      <c r="T52" s="268"/>
      <c r="U52" s="269"/>
    </row>
    <row r="53" spans="1:21" ht="15.75" x14ac:dyDescent="0.25">
      <c r="D53" s="270"/>
      <c r="F53" s="271"/>
      <c r="H53" s="271"/>
      <c r="J53" s="271"/>
      <c r="K53" s="272"/>
      <c r="L53" s="273"/>
      <c r="M53" s="271"/>
      <c r="N53" s="271"/>
      <c r="O53" s="247"/>
      <c r="P53" s="271"/>
      <c r="Q53" s="271"/>
      <c r="T53" s="274"/>
    </row>
    <row r="54" spans="1:21" ht="15.75" x14ac:dyDescent="0.25">
      <c r="D54" s="270"/>
      <c r="F54" s="275"/>
      <c r="H54" s="271"/>
      <c r="J54" s="271"/>
      <c r="K54" s="272"/>
      <c r="L54" s="273"/>
      <c r="M54" s="271"/>
      <c r="N54" s="271"/>
      <c r="O54" s="247"/>
      <c r="P54" s="271"/>
      <c r="Q54" s="271"/>
      <c r="T54" s="274"/>
    </row>
    <row r="55" spans="1:21" ht="15.75" x14ac:dyDescent="0.25">
      <c r="D55" s="270"/>
      <c r="F55" s="275"/>
      <c r="H55" s="271"/>
      <c r="J55" s="271"/>
      <c r="K55" s="272"/>
      <c r="M55" s="276"/>
      <c r="N55" s="271"/>
      <c r="O55" s="247"/>
      <c r="P55" s="271"/>
      <c r="Q55" s="271"/>
      <c r="T55" s="274"/>
    </row>
    <row r="56" spans="1:21" ht="15.75" x14ac:dyDescent="0.25">
      <c r="A56" s="204" t="s">
        <v>179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6"/>
      <c r="U56" s="207"/>
    </row>
    <row r="57" spans="1:21" x14ac:dyDescent="0.2">
      <c r="A57" s="212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39"/>
      <c r="U57" s="217"/>
    </row>
    <row r="58" spans="1:21" x14ac:dyDescent="0.2">
      <c r="A58" s="212"/>
      <c r="B58" s="213"/>
      <c r="C58" s="213"/>
      <c r="D58" s="213"/>
      <c r="E58" s="213"/>
      <c r="F58" s="213"/>
      <c r="G58" s="213"/>
      <c r="H58" s="214" t="s">
        <v>136</v>
      </c>
      <c r="I58" s="214"/>
      <c r="J58" s="214"/>
      <c r="K58" s="214"/>
      <c r="L58" s="214"/>
      <c r="M58" s="214"/>
      <c r="N58" s="214"/>
      <c r="O58" s="214"/>
      <c r="P58" s="214"/>
      <c r="Q58" s="214"/>
      <c r="R58" s="213"/>
      <c r="S58" s="213"/>
      <c r="T58" s="239"/>
      <c r="U58" s="217"/>
    </row>
    <row r="59" spans="1:21" x14ac:dyDescent="0.2">
      <c r="A59" s="212"/>
      <c r="B59" s="213"/>
      <c r="C59" s="213"/>
      <c r="D59" s="213"/>
      <c r="E59" s="213"/>
      <c r="F59" s="213"/>
      <c r="G59" s="213"/>
      <c r="H59" s="213"/>
      <c r="I59" s="213"/>
      <c r="J59" s="216"/>
      <c r="K59" s="213"/>
      <c r="L59" s="213"/>
      <c r="M59" s="216"/>
      <c r="N59" s="216"/>
      <c r="O59" s="216"/>
      <c r="P59" s="213"/>
      <c r="Q59" s="213"/>
      <c r="R59" s="213"/>
      <c r="T59" s="215" t="s">
        <v>140</v>
      </c>
      <c r="U59" s="211"/>
    </row>
    <row r="60" spans="1:21" x14ac:dyDescent="0.2">
      <c r="A60" s="212"/>
      <c r="B60" s="213"/>
      <c r="C60" s="277"/>
      <c r="D60" s="218" t="s">
        <v>126</v>
      </c>
      <c r="E60" s="277"/>
      <c r="F60" s="218" t="s">
        <v>142</v>
      </c>
      <c r="G60" s="218"/>
      <c r="H60" s="218" t="s">
        <v>143</v>
      </c>
      <c r="I60" s="216"/>
      <c r="J60" s="218" t="s">
        <v>180</v>
      </c>
      <c r="K60" s="216"/>
      <c r="L60" s="216"/>
      <c r="M60" s="218" t="s">
        <v>181</v>
      </c>
      <c r="N60" s="218"/>
      <c r="O60" s="218" t="s">
        <v>182</v>
      </c>
      <c r="P60" s="216"/>
      <c r="Q60" s="218" t="s">
        <v>147</v>
      </c>
      <c r="R60" s="213"/>
      <c r="T60" s="220" t="s">
        <v>116</v>
      </c>
      <c r="U60" s="278"/>
    </row>
    <row r="61" spans="1:21" x14ac:dyDescent="0.2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79"/>
      <c r="U61" s="217"/>
    </row>
    <row r="62" spans="1:21" x14ac:dyDescent="0.2">
      <c r="A62" s="212" t="s">
        <v>183</v>
      </c>
      <c r="B62" s="213"/>
      <c r="C62" s="216"/>
      <c r="D62" s="242">
        <v>0</v>
      </c>
      <c r="E62" s="213" t="s">
        <v>151</v>
      </c>
      <c r="F62" s="280">
        <v>0</v>
      </c>
      <c r="G62" s="225"/>
      <c r="H62" s="224">
        <f>ROUND(F62*D62,0)</f>
        <v>0</v>
      </c>
      <c r="I62" s="225"/>
      <c r="J62" s="257">
        <v>0</v>
      </c>
      <c r="K62" s="257"/>
      <c r="L62" s="257"/>
      <c r="M62" s="257">
        <v>0</v>
      </c>
      <c r="N62" s="257"/>
      <c r="O62" s="257">
        <v>0</v>
      </c>
      <c r="P62" s="225"/>
      <c r="Q62" s="224">
        <f>SUM(H62:O62)</f>
        <v>0</v>
      </c>
      <c r="R62" s="213"/>
      <c r="S62" s="213"/>
      <c r="T62" s="242">
        <f>IF(F62=0,0,(ROUND((Q62/F62),5)))</f>
        <v>0</v>
      </c>
      <c r="U62" s="217"/>
    </row>
    <row r="63" spans="1:21" x14ac:dyDescent="0.2">
      <c r="A63" s="212" t="s">
        <v>184</v>
      </c>
      <c r="B63" s="222"/>
      <c r="C63" s="213"/>
      <c r="D63" s="223"/>
      <c r="E63" s="213"/>
      <c r="F63" s="231">
        <v>0</v>
      </c>
      <c r="G63" s="213"/>
      <c r="H63" s="231">
        <f>ROUND(D63*F63,0)</f>
        <v>0</v>
      </c>
      <c r="I63" s="213"/>
      <c r="J63" s="246">
        <v>0</v>
      </c>
      <c r="K63" s="246"/>
      <c r="L63" s="246"/>
      <c r="M63" s="246">
        <v>0</v>
      </c>
      <c r="N63" s="246"/>
      <c r="O63" s="246">
        <v>0</v>
      </c>
      <c r="P63" s="240"/>
      <c r="Q63" s="231">
        <f>SUM(H63,J63,M63)</f>
        <v>0</v>
      </c>
      <c r="R63" s="213"/>
      <c r="S63" s="213"/>
      <c r="T63" s="242">
        <f>IF(F63=0,0,(ROUND((Q63/F63),5)))</f>
        <v>0</v>
      </c>
      <c r="U63" s="217"/>
    </row>
    <row r="64" spans="1:21" x14ac:dyDescent="0.2">
      <c r="A64" s="212" t="s">
        <v>185</v>
      </c>
      <c r="B64" s="216" t="s">
        <v>186</v>
      </c>
      <c r="C64" s="216"/>
      <c r="D64" s="243">
        <v>5.11E-3</v>
      </c>
      <c r="E64" s="213"/>
      <c r="F64" s="281">
        <v>41104835.920000002</v>
      </c>
      <c r="G64" s="213"/>
      <c r="H64" s="282">
        <f>D64*F64</f>
        <v>210045.71155120002</v>
      </c>
      <c r="I64" s="213"/>
      <c r="J64" s="283">
        <v>0</v>
      </c>
      <c r="K64" s="213"/>
      <c r="L64" s="213"/>
      <c r="M64" s="283">
        <v>0</v>
      </c>
      <c r="N64" s="284"/>
      <c r="O64" s="283">
        <v>0</v>
      </c>
      <c r="P64" s="213"/>
      <c r="Q64" s="282">
        <f>SUM(H64:O64)</f>
        <v>210045.71155120002</v>
      </c>
      <c r="R64" s="213"/>
      <c r="T64" s="242">
        <f>IF(F64=0,0,(ROUND((Q64/F64),5)))</f>
        <v>5.11E-3</v>
      </c>
      <c r="U64" s="217"/>
    </row>
    <row r="65" spans="1:23" x14ac:dyDescent="0.2">
      <c r="A65" s="212"/>
      <c r="B65" s="216"/>
      <c r="C65" s="216"/>
      <c r="D65" s="239"/>
      <c r="E65" s="213"/>
      <c r="F65" s="240"/>
      <c r="G65" s="213"/>
      <c r="H65" s="240"/>
      <c r="I65" s="213"/>
      <c r="J65" s="284"/>
      <c r="K65" s="213"/>
      <c r="L65" s="213"/>
      <c r="M65" s="284"/>
      <c r="N65" s="284"/>
      <c r="O65" s="284"/>
      <c r="P65" s="213"/>
      <c r="Q65" s="240"/>
      <c r="R65" s="213"/>
      <c r="T65" s="242"/>
      <c r="U65" s="217"/>
    </row>
    <row r="66" spans="1:23" ht="15.75" thickBot="1" x14ac:dyDescent="0.25">
      <c r="A66" s="212"/>
      <c r="B66" s="222"/>
      <c r="C66" s="213"/>
      <c r="D66" s="244"/>
      <c r="E66" s="213"/>
      <c r="F66" s="236"/>
      <c r="G66" s="213"/>
      <c r="H66" s="236"/>
      <c r="I66" s="213"/>
      <c r="J66" s="232"/>
      <c r="K66" s="236"/>
      <c r="L66" s="236"/>
      <c r="M66" s="236"/>
      <c r="N66" s="236"/>
      <c r="O66" s="236"/>
      <c r="P66" s="236"/>
      <c r="Q66" s="236"/>
      <c r="R66" s="213"/>
      <c r="S66" s="213"/>
      <c r="T66" s="285"/>
      <c r="U66" s="217"/>
    </row>
    <row r="67" spans="1:23" ht="16.5" thickBot="1" x14ac:dyDescent="0.3">
      <c r="A67" s="212"/>
      <c r="B67" s="213"/>
      <c r="C67" s="213"/>
      <c r="D67" s="213" t="s">
        <v>147</v>
      </c>
      <c r="E67" s="213"/>
      <c r="F67" s="286">
        <f>SUM(F62:F64)</f>
        <v>41104835.920000002</v>
      </c>
      <c r="G67" s="225"/>
      <c r="H67" s="286">
        <f>SUM(H62:H64)</f>
        <v>210045.71155120002</v>
      </c>
      <c r="I67" s="225"/>
      <c r="J67" s="286">
        <f>SUM(J62:J64)</f>
        <v>0</v>
      </c>
      <c r="K67" s="287"/>
      <c r="L67" s="287"/>
      <c r="M67" s="286">
        <f>SUM(M62:M64)</f>
        <v>0</v>
      </c>
      <c r="N67" s="257"/>
      <c r="O67" s="286">
        <f>SUM(O62:O64)</f>
        <v>0</v>
      </c>
      <c r="P67" s="225"/>
      <c r="Q67" s="286">
        <f>SUM(Q62:Q64)</f>
        <v>210045.71155120002</v>
      </c>
      <c r="R67" s="213"/>
      <c r="S67" s="213"/>
      <c r="T67" s="288">
        <f>IF(F67=0,0,(ROUND(Q67/F67,5)))</f>
        <v>5.11E-3</v>
      </c>
      <c r="U67" s="217"/>
    </row>
    <row r="68" spans="1:23" ht="15.75" thickTop="1" x14ac:dyDescent="0.2">
      <c r="A68" s="263"/>
      <c r="B68" s="264"/>
      <c r="C68" s="264"/>
      <c r="D68" s="264"/>
      <c r="E68" s="264"/>
      <c r="F68" s="264"/>
      <c r="G68" s="264"/>
      <c r="H68" s="289"/>
      <c r="I68" s="264"/>
      <c r="J68" s="264"/>
      <c r="K68" s="264"/>
      <c r="L68" s="264"/>
      <c r="M68" s="289"/>
      <c r="N68" s="289"/>
      <c r="O68" s="289"/>
      <c r="P68" s="264"/>
      <c r="Q68" s="264"/>
      <c r="R68" s="264"/>
      <c r="S68" s="264"/>
      <c r="T68" s="290"/>
      <c r="U68" s="269"/>
    </row>
    <row r="69" spans="1:23" ht="15.75" thickBot="1" x14ac:dyDescent="0.25">
      <c r="D69" s="291"/>
      <c r="F69" s="271"/>
      <c r="H69" s="271"/>
      <c r="Q69" s="271"/>
      <c r="T69" s="235"/>
    </row>
    <row r="70" spans="1:23" ht="16.5" thickBot="1" x14ac:dyDescent="0.3">
      <c r="A70" s="201" t="s">
        <v>187</v>
      </c>
      <c r="D70" s="291"/>
      <c r="F70" s="292">
        <f>F51+F67</f>
        <v>2393243676.6916118</v>
      </c>
      <c r="G70" s="293"/>
      <c r="H70" s="292">
        <f>H51+H67</f>
        <v>86929021.438642368</v>
      </c>
      <c r="I70" s="293"/>
      <c r="J70" s="292">
        <f>J51+J67</f>
        <v>2672863.2323076921</v>
      </c>
      <c r="K70" s="293"/>
      <c r="L70" s="293"/>
      <c r="M70" s="292">
        <f>M51+M67</f>
        <v>679429.53956043941</v>
      </c>
      <c r="N70" s="225"/>
      <c r="O70" s="292">
        <f>O51+O67</f>
        <v>2148807.5873001008</v>
      </c>
      <c r="P70" s="293"/>
      <c r="Q70" s="292">
        <f>Q51+Q67</f>
        <v>92430121.797810584</v>
      </c>
      <c r="T70" s="294">
        <f>ROUND(Q70/(F51+F67),5)</f>
        <v>3.8620000000000002E-2</v>
      </c>
      <c r="W70" s="295"/>
    </row>
    <row r="71" spans="1:23" ht="15" customHeight="1" thickTop="1" x14ac:dyDescent="0.25">
      <c r="D71" s="291"/>
      <c r="F71" s="271"/>
      <c r="H71" s="271"/>
      <c r="Q71" s="271"/>
      <c r="T71" s="296"/>
    </row>
    <row r="72" spans="1:23" x14ac:dyDescent="0.2">
      <c r="A72" s="201" t="s">
        <v>188</v>
      </c>
      <c r="D72" s="291"/>
      <c r="F72" s="271"/>
      <c r="H72" s="271"/>
      <c r="Q72" s="297"/>
      <c r="T72" s="235"/>
    </row>
    <row r="73" spans="1:23" x14ac:dyDescent="0.2">
      <c r="A73" s="201" t="s">
        <v>189</v>
      </c>
      <c r="D73" s="291"/>
      <c r="F73" s="271"/>
      <c r="H73" s="271"/>
      <c r="M73" s="298"/>
      <c r="N73" s="298"/>
      <c r="O73" s="298"/>
      <c r="Q73" s="271"/>
    </row>
    <row r="74" spans="1:23" x14ac:dyDescent="0.2">
      <c r="F74" s="298"/>
      <c r="H74" s="298"/>
      <c r="M74" s="300"/>
      <c r="N74" s="300"/>
    </row>
    <row r="75" spans="1:23" x14ac:dyDescent="0.2">
      <c r="A75" s="311" t="s">
        <v>190</v>
      </c>
      <c r="B75" s="311"/>
      <c r="C75" s="311"/>
      <c r="D75" s="311"/>
      <c r="E75" s="311"/>
      <c r="F75" s="311"/>
      <c r="G75" s="301"/>
      <c r="H75" s="301"/>
    </row>
    <row r="76" spans="1:23" x14ac:dyDescent="0.2">
      <c r="A76" s="311" t="s">
        <v>191</v>
      </c>
      <c r="B76" s="311"/>
      <c r="C76" s="311"/>
      <c r="D76" s="311"/>
      <c r="E76" s="311"/>
      <c r="F76" s="311"/>
      <c r="G76" s="311"/>
      <c r="H76" s="301"/>
    </row>
    <row r="77" spans="1:23" ht="13.5" customHeight="1" x14ac:dyDescent="0.2">
      <c r="A77" s="302"/>
      <c r="D77" s="291"/>
      <c r="F77" s="271"/>
      <c r="H77" s="271"/>
    </row>
    <row r="89" spans="8:8" x14ac:dyDescent="0.2">
      <c r="H89" s="303"/>
    </row>
  </sheetData>
  <mergeCells count="4">
    <mergeCell ref="A3:U3"/>
    <mergeCell ref="A5:S5"/>
    <mergeCell ref="A75:F75"/>
    <mergeCell ref="A76:G76"/>
  </mergeCells>
  <pageMargins left="0.5" right="0" top="0.75" bottom="0.75" header="0.5" footer="0.5"/>
  <pageSetup scale="39" orientation="portrait" r:id="rId1"/>
  <headerFooter scaleWithDoc="0">
    <oddHeader xml:space="preserve">&amp;R&amp;"Times New Roman,Bold"&amp;8Attachment to Response to Question No. 1
Page 4 of 4
Garrett&amp;"Times New Roman,Regular"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Q1-Q2 KU Over-Under Calc</vt:lpstr>
      <vt:lpstr>Q2 KU Summary Over-Under</vt:lpstr>
      <vt:lpstr>Q1 - KU ROR Feb16</vt:lpstr>
      <vt:lpstr>Q1 - KU ECC Feb16</vt:lpstr>
      <vt:lpstr>'Q1 - KU ROR Feb16'!Print_Area</vt:lpstr>
      <vt:lpstr>'Q1-Q2 KU Over-Under Calc'!Print_Area</vt:lpstr>
      <vt:lpstr>'Q2 KU Summary Over-Under'!Print_Area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2016-07-20T15:04:19Z</dcterms:created>
  <dcterms:modified xsi:type="dcterms:W3CDTF">2016-07-27T17:47:05Z</dcterms:modified>
</cp:coreProperties>
</file>