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15"/>
  </bookViews>
  <sheets>
    <sheet name="Cover" sheetId="1" r:id="rId1"/>
    <sheet name="Outline" sheetId="2" r:id="rId2"/>
    <sheet name="TY-Act&amp;Adj" sheetId="3" r:id="rId3"/>
    <sheet name="Functionalization" sheetId="4" r:id="rId4"/>
    <sheet name="Func. Footnotes" sheetId="5" r:id="rId5"/>
    <sheet name="Rate Base" sheetId="6" r:id="rId6"/>
    <sheet name="Classification 1" sheetId="7" r:id="rId7"/>
    <sheet name="Classification 2" sheetId="8" r:id="rId8"/>
    <sheet name="Allocation Cost" sheetId="9" r:id="rId9"/>
    <sheet name=" Energy &amp; Demand Allocations" sheetId="10" r:id="rId10"/>
    <sheet name="Consume Allocations" sheetId="11" r:id="rId11"/>
    <sheet name="StmtOper-Unbund" sheetId="12" r:id="rId12"/>
    <sheet name="Increase" sheetId="13" r:id="rId13"/>
    <sheet name="RateBase-Rate Class" sheetId="14" r:id="rId14"/>
    <sheet name="Misc StmtOper-O" sheetId="15" r:id="rId15"/>
    <sheet name="Misc Rev.Anal.Summary" sheetId="16" r:id="rId16"/>
    <sheet name="Misc Purchased Power" sheetId="17" r:id="rId17"/>
    <sheet name="Misc RateBase -Develop" sheetId="18" r:id="rId18"/>
    <sheet name="Misc Allocation Rev Req." sheetId="19" r:id="rId19"/>
    <sheet name="Misc  RevReq-Rate Class" sheetId="20" r:id="rId20"/>
    <sheet name="Misc  TY Adjustments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9">' Energy &amp; Demand Allocations'!$A$1:$K$94</definedName>
    <definedName name="_xlnm.Print_Area" localSheetId="8">'Allocation Cost'!$A$1:$M$38</definedName>
    <definedName name="_xlnm.Print_Area" localSheetId="6">'Classification 1'!$A$1:$Q$82</definedName>
    <definedName name="_xlnm.Print_Area" localSheetId="7">'Classification 2'!$A$1:$H$151</definedName>
    <definedName name="_xlnm.Print_Area" localSheetId="10">'Consume Allocations'!$A$1:$I$123</definedName>
    <definedName name="_xlnm.Print_Area" localSheetId="3">'Functionalization'!$A$1:$N$70</definedName>
    <definedName name="_xlnm.Print_Area" localSheetId="12">'Increase'!$A$1:$L$31</definedName>
    <definedName name="_xlnm.Print_Area" localSheetId="19">'Misc  RevReq-Rate Class'!$A$1:$AE$106</definedName>
    <definedName name="_xlnm.Print_Area" localSheetId="18">'Misc Allocation Rev Req.'!$A$1:$L$35</definedName>
    <definedName name="_xlnm.Print_Area" localSheetId="14">'Misc StmtOper-O'!$A$1:$M$32</definedName>
    <definedName name="_xlnm.Print_Area" localSheetId="5">'Rate Base'!$A$1:$L$43</definedName>
    <definedName name="_xlnm.Print_Area" localSheetId="13">'RateBase-Rate Class'!$A$1:$L$27</definedName>
    <definedName name="_xlnm.Print_Area" localSheetId="11">'StmtOper-Unbund'!$A$1:$O$35</definedName>
    <definedName name="_xlnm.Print_Area" localSheetId="2">'TY-Act&amp;Adj'!$A$1:$J$79</definedName>
    <definedName name="_xlnm.Print_Titles" localSheetId="8">'Allocation Cost'!$B:$C</definedName>
    <definedName name="_xlnm.Print_Titles" localSheetId="6">'Classification 1'!$B:$E,'Classification 1'!$3:$4</definedName>
    <definedName name="_xlnm.Print_Titles" localSheetId="3">'Functionalization'!$B:$D,'Functionalization'!$1:$3</definedName>
    <definedName name="_xlnm.Print_Titles" localSheetId="12">'Increase'!$A:$B</definedName>
    <definedName name="_xlnm.Print_Titles" localSheetId="19">'Misc  RevReq-Rate Class'!$C:$C,'Misc  RevReq-Rate Class'!$2:$4</definedName>
    <definedName name="_xlnm.Print_Titles" localSheetId="18">'Misc Allocation Rev Req.'!$B:$C</definedName>
    <definedName name="_xlnm.Print_Titles" localSheetId="13">'RateBase-Rate Class'!$A:$B</definedName>
    <definedName name="_xlnm.Print_Titles" localSheetId="11">'StmtOper-Unbund'!$A:$C</definedName>
    <definedName name="_xlnm.Print_Titles" localSheetId="2">'TY-Act&amp;Adj'!$1:$3</definedName>
  </definedNames>
  <calcPr fullCalcOnLoad="1"/>
</workbook>
</file>

<file path=xl/sharedStrings.xml><?xml version="1.0" encoding="utf-8"?>
<sst xmlns="http://schemas.openxmlformats.org/spreadsheetml/2006/main" count="2483" uniqueCount="661">
  <si>
    <t>Description</t>
  </si>
  <si>
    <t>Total Distribution Plant</t>
  </si>
  <si>
    <t>Total General Plant</t>
  </si>
  <si>
    <t>Cash Working Capital</t>
  </si>
  <si>
    <t>Prepayments</t>
  </si>
  <si>
    <t>Net Plant</t>
  </si>
  <si>
    <t>Materials &amp; Supplies</t>
  </si>
  <si>
    <t>Allocation</t>
  </si>
  <si>
    <t>Basis</t>
  </si>
  <si>
    <t>$$$$</t>
  </si>
  <si>
    <t>Demand</t>
  </si>
  <si>
    <t>Consumer</t>
  </si>
  <si>
    <t>Line Transformers</t>
  </si>
  <si>
    <t>Services</t>
  </si>
  <si>
    <t>Meters</t>
  </si>
  <si>
    <t>&amp; Accounting</t>
  </si>
  <si>
    <t>Outdoor</t>
  </si>
  <si>
    <t>Lighting</t>
  </si>
  <si>
    <t>Net Investment Rate Base</t>
  </si>
  <si>
    <t>Poles, Towers and Fixtures</t>
  </si>
  <si>
    <t>Overhead Conductor</t>
  </si>
  <si>
    <t>Underground Conduit</t>
  </si>
  <si>
    <t>Install. On Consumer Prem.</t>
  </si>
  <si>
    <t>Total Utility Plant</t>
  </si>
  <si>
    <t xml:space="preserve"> </t>
  </si>
  <si>
    <t>Lines</t>
  </si>
  <si>
    <t>Total Customer Service</t>
  </si>
  <si>
    <t>Operations Supv &amp; Eng</t>
  </si>
  <si>
    <t>Overhead Line Exp.</t>
  </si>
  <si>
    <t>Consumer Installations</t>
  </si>
  <si>
    <t>Misc. Distribution Exp</t>
  </si>
  <si>
    <t>Rents</t>
  </si>
  <si>
    <t>Total Distribut Maintenance</t>
  </si>
  <si>
    <t>Maint Supv &amp; Eng</t>
  </si>
  <si>
    <t>Maint. Overhead Lines</t>
  </si>
  <si>
    <t>Maint Line Transformers</t>
  </si>
  <si>
    <t>Maint Misc Distrib Plant</t>
  </si>
  <si>
    <t>Supervision</t>
  </si>
  <si>
    <t>Meter Reading Expense</t>
  </si>
  <si>
    <t>Cons Recds &amp; Collections</t>
  </si>
  <si>
    <t>Uncollectible Accounts</t>
  </si>
  <si>
    <t>Generation</t>
  </si>
  <si>
    <t>Energy</t>
  </si>
  <si>
    <t>Office Supplies</t>
  </si>
  <si>
    <t>Outside Services</t>
  </si>
  <si>
    <t>Injuries &amp; Damages</t>
  </si>
  <si>
    <t xml:space="preserve">Duplicate Charges </t>
  </si>
  <si>
    <t>Total Admin &amp; General</t>
  </si>
  <si>
    <t>Purchased Power</t>
  </si>
  <si>
    <t>Demand Charges</t>
  </si>
  <si>
    <t>Energy Charges</t>
  </si>
  <si>
    <t xml:space="preserve">Total Purchased Power </t>
  </si>
  <si>
    <t>Total Depreciation</t>
  </si>
  <si>
    <t>Total Miscellaneous</t>
  </si>
  <si>
    <t>Total Interest on LTD</t>
  </si>
  <si>
    <t>Total Costs</t>
  </si>
  <si>
    <t>Margin Requirements</t>
  </si>
  <si>
    <t>Total Revenue Requirements</t>
  </si>
  <si>
    <t>Less;  Misc Income</t>
  </si>
  <si>
    <t>Misc Service Revenue</t>
  </si>
  <si>
    <t>Rent from Electric Prop.</t>
  </si>
  <si>
    <t>Total Misc Income</t>
  </si>
  <si>
    <t xml:space="preserve">Revenue Requirements   </t>
  </si>
  <si>
    <t xml:space="preserve">     from Rates</t>
  </si>
  <si>
    <t>Deprec. Distribution Plant</t>
  </si>
  <si>
    <t>Deprec. General Plant</t>
  </si>
  <si>
    <t>Rate Base</t>
  </si>
  <si>
    <t>Substa-</t>
  </si>
  <si>
    <t>Pole</t>
  </si>
  <si>
    <t>Size</t>
  </si>
  <si>
    <t>Investment</t>
  </si>
  <si>
    <t>Unit Cost</t>
  </si>
  <si>
    <t>Number</t>
  </si>
  <si>
    <t>of Units</t>
  </si>
  <si>
    <t>X Variable - (Size)</t>
  </si>
  <si>
    <t>Zero Intercept</t>
  </si>
  <si>
    <t>Value</t>
  </si>
  <si>
    <t xml:space="preserve">Predicted </t>
  </si>
  <si>
    <t>Percentage of Investment Consumer Related</t>
  </si>
  <si>
    <t>Conductor</t>
  </si>
  <si>
    <t>CWIP</t>
  </si>
  <si>
    <t>Percentage of Investment Demand Related</t>
  </si>
  <si>
    <t>Number of poles</t>
  </si>
  <si>
    <t>Consumer Related Investment</t>
  </si>
  <si>
    <t>Percent Customer Related</t>
  </si>
  <si>
    <t>Percent Demand Related</t>
  </si>
  <si>
    <t>75KVA</t>
  </si>
  <si>
    <t>100KVA</t>
  </si>
  <si>
    <t>Total</t>
  </si>
  <si>
    <t>Number of Transformers</t>
  </si>
  <si>
    <t>Demand Related Investment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</si>
  <si>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</si>
  <si>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</si>
  <si>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</si>
  <si>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</si>
  <si>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</si>
  <si>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</si>
  <si>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</si>
  <si>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</si>
  <si>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</si>
  <si>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</si>
  <si>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</si>
  <si>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</si>
  <si>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</si>
  <si>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</t>
  </si>
  <si>
    <t>A. Energy Sales</t>
  </si>
  <si>
    <t>Rate Class</t>
  </si>
  <si>
    <t># of Consumers</t>
  </si>
  <si>
    <t>B.  Transformers</t>
  </si>
  <si>
    <t>Cost</t>
  </si>
  <si>
    <t xml:space="preserve">Relative </t>
  </si>
  <si>
    <t>Weight</t>
  </si>
  <si>
    <t>C.  Services</t>
  </si>
  <si>
    <t>Unit/Cost</t>
  </si>
  <si>
    <t>D.  Meters</t>
  </si>
  <si>
    <t>E.  Consumer &amp; Accounting Services</t>
  </si>
  <si>
    <t>Meter Read</t>
  </si>
  <si>
    <t>Cons Rcds</t>
  </si>
  <si>
    <t>$$$</t>
  </si>
  <si>
    <t>Poles</t>
  </si>
  <si>
    <t xml:space="preserve">Consumer </t>
  </si>
  <si>
    <t>Amount</t>
  </si>
  <si>
    <t xml:space="preserve">Amount </t>
  </si>
  <si>
    <t>Margins</t>
  </si>
  <si>
    <t>Transformers</t>
  </si>
  <si>
    <t>Consumer Accts &amp; Serv</t>
  </si>
  <si>
    <t xml:space="preserve">  </t>
  </si>
  <si>
    <t>Transformer</t>
  </si>
  <si>
    <t>Consumer Acct &amp; Serv.</t>
  </si>
  <si>
    <t>Percentage</t>
  </si>
  <si>
    <t>7.5KVA CSP</t>
  </si>
  <si>
    <t>5KVA CSP</t>
  </si>
  <si>
    <t>10KVA CSP</t>
  </si>
  <si>
    <t>15KVA CSP</t>
  </si>
  <si>
    <t>Casey County Stone</t>
  </si>
  <si>
    <t>Large Power</t>
  </si>
  <si>
    <t>Rate</t>
  </si>
  <si>
    <t>Number of</t>
  </si>
  <si>
    <t xml:space="preserve"> Consumers</t>
  </si>
  <si>
    <t>Consumers</t>
  </si>
  <si>
    <t>A.  Lines (poles and conduit)</t>
  </si>
  <si>
    <t>Cust Asst</t>
  </si>
  <si>
    <t>Demand Related</t>
  </si>
  <si>
    <t>Station Expense</t>
  </si>
  <si>
    <t>Underground Line Exp</t>
  </si>
  <si>
    <t>Maint of Station Equip</t>
  </si>
  <si>
    <t>Maint of Underground Lines</t>
  </si>
  <si>
    <t>Maint of St Lg &amp; Signal Sys</t>
  </si>
  <si>
    <t>Forfeited Discounts</t>
  </si>
  <si>
    <t>Interest Income</t>
  </si>
  <si>
    <t>Other Capital Credits</t>
  </si>
  <si>
    <t>Total Other Income</t>
  </si>
  <si>
    <t>Less:  Other Income</t>
  </si>
  <si>
    <t>Total of Above</t>
  </si>
  <si>
    <t>Land &amp; Land Rights</t>
  </si>
  <si>
    <t>Station Equipment</t>
  </si>
  <si>
    <t>Street Ltg &amp; Signal Systems</t>
  </si>
  <si>
    <t>Generation Energy</t>
  </si>
  <si>
    <t>Substation Demand</t>
  </si>
  <si>
    <t>Distribution O&amp;M Demand Related</t>
  </si>
  <si>
    <t>Admin &amp; Gen Demand Related</t>
  </si>
  <si>
    <t>Deprec, Taxes &amp; Misc Demand Related</t>
  </si>
  <si>
    <t>Interest Demand Related</t>
  </si>
  <si>
    <t>Interest Customer Related</t>
  </si>
  <si>
    <t>Margins Demand Related</t>
  </si>
  <si>
    <t>Margins Consumer Related</t>
  </si>
  <si>
    <t>Distribution O&amp;M Consumer Related</t>
  </si>
  <si>
    <t>Admin &amp; Gen Consumer Related</t>
  </si>
  <si>
    <t>Deprec, Taxes &amp; Misc Consumer Related</t>
  </si>
  <si>
    <t>Credits Demand Related</t>
  </si>
  <si>
    <t>Credits Consumer Related</t>
  </si>
  <si>
    <t>Outdoor Lighting O&amp;M</t>
  </si>
  <si>
    <t>Outdoor Lighting A&amp;G</t>
  </si>
  <si>
    <t>Outdoor Lighting Deprec &amp; Misc</t>
  </si>
  <si>
    <t>Outdoor Lighting Interest</t>
  </si>
  <si>
    <t>Outdoor Lighting Margins</t>
  </si>
  <si>
    <t>Customer Accounts</t>
  </si>
  <si>
    <t>Customer Service</t>
  </si>
  <si>
    <t>Admin &amp; General</t>
  </si>
  <si>
    <t>Depreciation &amp; Misc</t>
  </si>
  <si>
    <t>Interest</t>
  </si>
  <si>
    <t>TOTAL COSTS</t>
  </si>
  <si>
    <t>TOTAL REVENUE REQUIRE.</t>
  </si>
  <si>
    <t xml:space="preserve">     MENTS FROM RATES</t>
  </si>
  <si>
    <t>ok</t>
  </si>
  <si>
    <t>Revenue</t>
  </si>
  <si>
    <t>Actual</t>
  </si>
  <si>
    <t>Small Commercial</t>
  </si>
  <si>
    <t>Small Commercial - ETS</t>
  </si>
  <si>
    <t>Large Power LP1</t>
  </si>
  <si>
    <t>Optional Power Service</t>
  </si>
  <si>
    <t>All Electric Schools</t>
  </si>
  <si>
    <t>Outdoor Lighting</t>
  </si>
  <si>
    <t>Street Lighting</t>
  </si>
  <si>
    <t>Large Power LP</t>
  </si>
  <si>
    <t>Farm and Non-Farm - ETS</t>
  </si>
  <si>
    <t>Large Power LP3</t>
  </si>
  <si>
    <t>yes</t>
  </si>
  <si>
    <t xml:space="preserve">Farm and Non-Farm </t>
  </si>
  <si>
    <t>O&amp;M</t>
  </si>
  <si>
    <t>TIER</t>
  </si>
  <si>
    <t>Other Income</t>
  </si>
  <si>
    <t>Total Costs for Lines</t>
  </si>
  <si>
    <t>Total Costs for Transformers</t>
  </si>
  <si>
    <t>Total Costs for Services</t>
  </si>
  <si>
    <t>Total Costs for Lights</t>
  </si>
  <si>
    <t>Total Costs for Consumer Acctg &amp; Service</t>
  </si>
  <si>
    <t>Purchased Power Costs</t>
  </si>
  <si>
    <t>Total Operations</t>
  </si>
  <si>
    <t>Classification</t>
  </si>
  <si>
    <t xml:space="preserve">Function </t>
  </si>
  <si>
    <t>Account 368-Transformers</t>
  </si>
  <si>
    <t>Allocation is proportional on actual sales to end use customers</t>
  </si>
  <si>
    <t>B.  Wholesale Billing CP Contributions</t>
  </si>
  <si>
    <t>C.  Monthly Peak Demands for Each Rate Class</t>
  </si>
  <si>
    <t>Used to allocate purchased power energy costs to retail rate classes.  Wholesale energy costs for rate classes LP1 And LP2 are directly assigned.</t>
  </si>
  <si>
    <t>Used  to allocate wholesale power demand costs to rate classes.  Wholesale power demand is billed on basis of CP demand.</t>
  </si>
  <si>
    <t>Used to allocate distribution demand related costs to appropriate rate classes</t>
  </si>
  <si>
    <t>Factor</t>
  </si>
  <si>
    <t>Meter Reading</t>
  </si>
  <si>
    <t>Consumer Records</t>
  </si>
  <si>
    <t>Consumer Assistance</t>
  </si>
  <si>
    <t xml:space="preserve">Percent </t>
  </si>
  <si>
    <t>Residential</t>
  </si>
  <si>
    <t>10 KVA CSP</t>
  </si>
  <si>
    <t>10 KVA</t>
  </si>
  <si>
    <t>1.5KVA CSP</t>
  </si>
  <si>
    <t>25KVA CSP</t>
  </si>
  <si>
    <t>6ACWC</t>
  </si>
  <si>
    <t>8ACWC</t>
  </si>
  <si>
    <t>1/0 ACSR</t>
  </si>
  <si>
    <t>3/0 ACSR</t>
  </si>
  <si>
    <t>2 ACSR</t>
  </si>
  <si>
    <t>4 ACSR</t>
  </si>
  <si>
    <t>15 KVA</t>
  </si>
  <si>
    <t>25 KVA</t>
  </si>
  <si>
    <t>Plus</t>
  </si>
  <si>
    <t xml:space="preserve">Minus:  Consumer Advances </t>
  </si>
  <si>
    <t>Acct</t>
  </si>
  <si>
    <t>No.</t>
  </si>
  <si>
    <t>Pro Forma</t>
  </si>
  <si>
    <t>MARGINS PROVIDED</t>
  </si>
  <si>
    <t xml:space="preserve">     RATE REVENUE</t>
  </si>
  <si>
    <t>Service</t>
  </si>
  <si>
    <t>Security Lights</t>
  </si>
  <si>
    <t>Small Power</t>
  </si>
  <si>
    <t>37.5 KVA</t>
  </si>
  <si>
    <t>50 KVA</t>
  </si>
  <si>
    <t>167 KVA</t>
  </si>
  <si>
    <t>500 KVA</t>
  </si>
  <si>
    <t>4/0 ACSR</t>
  </si>
  <si>
    <t>#336.4 ACSR</t>
  </si>
  <si>
    <t>Other Electric Property</t>
  </si>
  <si>
    <t>UG Conductor</t>
  </si>
  <si>
    <t>Revenue Requirements-Lines</t>
  </si>
  <si>
    <t>Revenue Requirements-Transform.</t>
  </si>
  <si>
    <t>Revenue Requirements-Services</t>
  </si>
  <si>
    <t>Revenue Requirements-Meters</t>
  </si>
  <si>
    <t>Revenue Requirements-Lighting</t>
  </si>
  <si>
    <t>Revenue Require. Cons. Act &amp; Serv.</t>
  </si>
  <si>
    <t>Account 365 - Overhead Conductor</t>
  </si>
  <si>
    <t>Account 364 - Poles</t>
  </si>
  <si>
    <t>Total Amount of Conductor in Feet</t>
  </si>
  <si>
    <t>Accum. Depreciation</t>
  </si>
  <si>
    <t>Consumer Services</t>
  </si>
  <si>
    <t>Distribution Substation</t>
  </si>
  <si>
    <t>Total Wholesale Demand</t>
  </si>
  <si>
    <t>Wholesale Demand Costs</t>
  </si>
  <si>
    <t>Distribution Demand Costs</t>
  </si>
  <si>
    <t>Distribution Consumer</t>
  </si>
  <si>
    <t>Wholesale Energy Costs</t>
  </si>
  <si>
    <t>Total Wholesale Costs</t>
  </si>
  <si>
    <t>Total Distribution Demand</t>
  </si>
  <si>
    <t>Total  Distribution Consumer</t>
  </si>
  <si>
    <t>Total Distribution Costs</t>
  </si>
  <si>
    <t>Gross Margin</t>
  </si>
  <si>
    <t>Operating Margin</t>
  </si>
  <si>
    <t>Net Margin</t>
  </si>
  <si>
    <t>Minimum</t>
  </si>
  <si>
    <t xml:space="preserve">Meter </t>
  </si>
  <si>
    <t>Relative</t>
  </si>
  <si>
    <t>Weights</t>
  </si>
  <si>
    <t>Depreciation &amp; Misc.</t>
  </si>
  <si>
    <t>Net Margins</t>
  </si>
  <si>
    <t>Total Short Term Interest</t>
  </si>
  <si>
    <t>CATV &amp; Non-Recurring Chrgs</t>
  </si>
  <si>
    <t>Meter Expense</t>
  </si>
  <si>
    <t>Maintenance of Meters</t>
  </si>
  <si>
    <t>Administrative Salaries</t>
  </si>
  <si>
    <t>Generation Demand</t>
  </si>
  <si>
    <t>Minimum Size Investment -Consumer Related</t>
  </si>
  <si>
    <t>Breakdown of Lines into Demand Related and Consumer Related Components</t>
  </si>
  <si>
    <t>D.  Sum of Consumers Individual Monthly Peak Demands</t>
  </si>
  <si>
    <t>Minim</t>
  </si>
  <si>
    <t>Combined</t>
  </si>
  <si>
    <t>Schedule 1</t>
  </si>
  <si>
    <t>Schls &amp; Chur</t>
  </si>
  <si>
    <t>ETS</t>
  </si>
  <si>
    <t>Schedule II</t>
  </si>
  <si>
    <t>Commercial</t>
  </si>
  <si>
    <t>No Demand</t>
  </si>
  <si>
    <t>W/Demand</t>
  </si>
  <si>
    <t>Schedule III</t>
  </si>
  <si>
    <t>Three Phase</t>
  </si>
  <si>
    <t>Schedule IV</t>
  </si>
  <si>
    <t>Industrial</t>
  </si>
  <si>
    <t>Schedule IV-A</t>
  </si>
  <si>
    <t>Schedule VI</t>
  </si>
  <si>
    <t>Outdoor Lights</t>
  </si>
  <si>
    <t>Schedule I - Residential</t>
  </si>
  <si>
    <t>Schedule I - Marketing ETS</t>
  </si>
  <si>
    <t>Schedule II - Small Commercial (kW)</t>
  </si>
  <si>
    <t>Schedule IV-A - Large Power Rate</t>
  </si>
  <si>
    <t>Schedule VI - Outdoor &amp; Security Lights</t>
  </si>
  <si>
    <t>15 KVA CSP</t>
  </si>
  <si>
    <t>25 KVA CSP</t>
  </si>
  <si>
    <t>50 KVA CSP</t>
  </si>
  <si>
    <t>3 KVA Conv</t>
  </si>
  <si>
    <t>2/0 TP AL</t>
  </si>
  <si>
    <t>Duplex</t>
  </si>
  <si>
    <t>500 MCM</t>
  </si>
  <si>
    <t>2-3 W Meters</t>
  </si>
  <si>
    <t xml:space="preserve">Demand </t>
  </si>
  <si>
    <t>2/0 ACSR</t>
  </si>
  <si>
    <t>4 HD CU</t>
  </si>
  <si>
    <t>6HD CU</t>
  </si>
  <si>
    <t>266.8 MCM-CU</t>
  </si>
  <si>
    <t>397.5 MCM AL</t>
  </si>
  <si>
    <t>Aerial Cable</t>
  </si>
  <si>
    <t>4/0 Aerial Cable</t>
  </si>
  <si>
    <t>Aerial Cable 2</t>
  </si>
  <si>
    <t>2 SP Cable</t>
  </si>
  <si>
    <t>1/0 SP Cable</t>
  </si>
  <si>
    <t>4/0 SP Cable</t>
  </si>
  <si>
    <t>75 KVA CSP</t>
  </si>
  <si>
    <t>250 KVA</t>
  </si>
  <si>
    <t>333 KVA</t>
  </si>
  <si>
    <t>1500 KVA PAD MT</t>
  </si>
  <si>
    <t>500 KVA URD</t>
  </si>
  <si>
    <t>300 KVA URD</t>
  </si>
  <si>
    <t>2000 KVA 3PH PAD MT</t>
  </si>
  <si>
    <t>Taxes Other Than Income Taxes</t>
  </si>
  <si>
    <t xml:space="preserve"> Total Consumer Accounts</t>
  </si>
  <si>
    <t>Schedule I</t>
  </si>
  <si>
    <t>3 Phase Schools &amp; Churches</t>
  </si>
  <si>
    <t>Cumberland Valley Electric, Inc.</t>
  </si>
  <si>
    <t>Gray, KY</t>
  </si>
  <si>
    <t>3 Phase Schl. Etc</t>
  </si>
  <si>
    <t>#`2 TP AL</t>
  </si>
  <si>
    <t>4/0 QDPL AL</t>
  </si>
  <si>
    <t>J. Adkins</t>
  </si>
  <si>
    <t>Increase Amount</t>
  </si>
  <si>
    <t>Schedule II - Small Commercial (kWh)</t>
  </si>
  <si>
    <t>Schedule III - 3 Phase Schools &amp; Churches</t>
  </si>
  <si>
    <t xml:space="preserve">Schedule IV - Large Power Industrial </t>
  </si>
  <si>
    <t>Test Year -</t>
  </si>
  <si>
    <t>Twelve Months Ending Novermber 2015</t>
  </si>
  <si>
    <t>Customer Assist. Expense</t>
  </si>
  <si>
    <t>Customer Information Exp</t>
  </si>
  <si>
    <t>Regulatory Comm Expenses</t>
  </si>
  <si>
    <t>Director Fees</t>
  </si>
  <si>
    <t>General Advertising Exp</t>
  </si>
  <si>
    <t>Capital Credits</t>
  </si>
  <si>
    <t>Annual Meetings</t>
  </si>
  <si>
    <t>Misc. General Exp-Other</t>
  </si>
  <si>
    <t>Maintenance of General Plant</t>
  </si>
  <si>
    <t>Donations</t>
  </si>
  <si>
    <t>Donations - dues</t>
  </si>
  <si>
    <t>Station</t>
  </si>
  <si>
    <t>Trans</t>
  </si>
  <si>
    <t>former</t>
  </si>
  <si>
    <t>Power</t>
  </si>
  <si>
    <t>Supply</t>
  </si>
  <si>
    <t>(SQRT2*3)</t>
  </si>
  <si>
    <t>(SQRT2)</t>
  </si>
  <si>
    <t>(SQRT2*4)</t>
  </si>
  <si>
    <t>Total Investment for sample</t>
  </si>
  <si>
    <t>Total for Sample</t>
  </si>
  <si>
    <t>Total Sample</t>
  </si>
  <si>
    <t>Percentage Allocations For Overhead Lines</t>
  </si>
  <si>
    <t>Account 367 - Underground Conductor</t>
  </si>
  <si>
    <t>Amps</t>
  </si>
  <si>
    <t>Number of Units</t>
  </si>
  <si>
    <t>Cable , UG Duplex, 600V</t>
  </si>
  <si>
    <t>2 URD Triplex</t>
  </si>
  <si>
    <t>4 URD Triplex</t>
  </si>
  <si>
    <t>350 URD Triplex</t>
  </si>
  <si>
    <t>1/0 URD Conc</t>
  </si>
  <si>
    <t>2/0 URD Triplex</t>
  </si>
  <si>
    <t>4/0 URD Triplex</t>
  </si>
  <si>
    <t>350 URD Quad</t>
  </si>
  <si>
    <t>2 URD CONC</t>
  </si>
  <si>
    <t>2 URD SOL</t>
  </si>
  <si>
    <t>Investment in Conductor</t>
  </si>
  <si>
    <t>500 KVA 3PH PAD MT</t>
  </si>
  <si>
    <t>750-1000 KVA 3PH PAD MT</t>
  </si>
  <si>
    <t>50R BARE COST</t>
  </si>
  <si>
    <t>1667 KVA AUTO CONV</t>
  </si>
  <si>
    <t>Total Sample Investment</t>
  </si>
  <si>
    <t>lo'</t>
  </si>
  <si>
    <t>Use Zero Intercept</t>
  </si>
  <si>
    <t>Schedule 1 - Prepaid</t>
  </si>
  <si>
    <t>Schedule I - Prepaid</t>
  </si>
  <si>
    <t>Donations - Scholarships</t>
  </si>
  <si>
    <t>G&amp;T Capital Credits</t>
  </si>
  <si>
    <t>Direct Assign</t>
  </si>
  <si>
    <t>(a)</t>
  </si>
  <si>
    <t>Plant Balances</t>
  </si>
  <si>
    <t>Poles, Towers &amp; Fixtures</t>
  </si>
  <si>
    <t>Underground Conductor</t>
  </si>
  <si>
    <t xml:space="preserve">     Subtotal</t>
  </si>
  <si>
    <t xml:space="preserve">        Total</t>
  </si>
  <si>
    <t>(b)</t>
  </si>
  <si>
    <t>Expense Proportion</t>
  </si>
  <si>
    <t>Stations</t>
  </si>
  <si>
    <t>[c]</t>
  </si>
  <si>
    <t>(d)</t>
  </si>
  <si>
    <t>Use Minimum Size</t>
  </si>
  <si>
    <t>Use Minimum Size Pole</t>
  </si>
  <si>
    <t>Power Supply</t>
  </si>
  <si>
    <t>Cons &amp; Acct</t>
  </si>
  <si>
    <t>Prop. Exp(b)</t>
  </si>
  <si>
    <t>Plant Bal (a)</t>
  </si>
  <si>
    <t>Plt Bal (a)</t>
  </si>
  <si>
    <t>Prop. Exp {c}</t>
  </si>
  <si>
    <t>Prop. Exp(d)</t>
  </si>
  <si>
    <t>Cons. &amp; Acct</t>
  </si>
  <si>
    <t>Load Center Charges</t>
  </si>
  <si>
    <t>Sml Com</t>
  </si>
  <si>
    <t>3 Phase Schl</t>
  </si>
  <si>
    <t>Schl &amp; Chur</t>
  </si>
  <si>
    <t>1 Phase</t>
  </si>
  <si>
    <t>3 Phase</t>
  </si>
  <si>
    <t>Lights</t>
  </si>
  <si>
    <t xml:space="preserve">Residential,  </t>
  </si>
  <si>
    <t>Marketing</t>
  </si>
  <si>
    <t>&amp; Churches</t>
  </si>
  <si>
    <t>2500 kW Plus</t>
  </si>
  <si>
    <t>50-2500 kW</t>
  </si>
  <si>
    <t>Consumer Related</t>
  </si>
  <si>
    <t>Consumer Svc</t>
  </si>
  <si>
    <t xml:space="preserve">   &amp; Accouting</t>
  </si>
  <si>
    <t>Distribution Costs</t>
  </si>
  <si>
    <t xml:space="preserve">  Total Demand Realted</t>
  </si>
  <si>
    <t xml:space="preserve">  Total Purchased Power Demand</t>
  </si>
  <si>
    <t>Distribution</t>
  </si>
  <si>
    <t>Load Center</t>
  </si>
  <si>
    <t xml:space="preserve">  Total Consumer Related</t>
  </si>
  <si>
    <t>Purchased Power Demand Costs</t>
  </si>
  <si>
    <t>Purchased Power Energy Costs</t>
  </si>
  <si>
    <t>Distribution Consumer Costs</t>
  </si>
  <si>
    <t>Distribution Outdoor Lighting</t>
  </si>
  <si>
    <t>Catengory</t>
  </si>
  <si>
    <t>Wholesale power changes</t>
  </si>
  <si>
    <t>Actual metering costs</t>
  </si>
  <si>
    <t>Normalized metering costs</t>
  </si>
  <si>
    <t>Actual substation costs</t>
  </si>
  <si>
    <t>Normalized substation costs</t>
  </si>
  <si>
    <t>Decrease in metering costs</t>
  </si>
  <si>
    <t>Decrease in substation costs</t>
  </si>
  <si>
    <t>Decrease in purchased power costs</t>
  </si>
  <si>
    <t>Exhibit 17, Application</t>
  </si>
  <si>
    <t>Donations removed fro rate making purposes</t>
  </si>
  <si>
    <t>Outside services removed -  nonrecurring</t>
  </si>
  <si>
    <t>Exhibit ____, Application</t>
  </si>
  <si>
    <t>Removal of certain director fees</t>
  </si>
  <si>
    <t>Test Year Adjustments</t>
  </si>
  <si>
    <t>1, 2 &amp; 5</t>
  </si>
  <si>
    <t>Adjustment</t>
  </si>
  <si>
    <t>8, 9, 10, &amp; 11</t>
  </si>
  <si>
    <t>3</t>
  </si>
  <si>
    <t>12</t>
  </si>
  <si>
    <t>4, 6, &amp; 7</t>
  </si>
  <si>
    <t>13 &amp; 15</t>
  </si>
  <si>
    <t>Normalized Revenue from Rates</t>
  </si>
  <si>
    <t>Enviro</t>
  </si>
  <si>
    <t>Watts</t>
  </si>
  <si>
    <t>Normalized</t>
  </si>
  <si>
    <t>Kwh</t>
  </si>
  <si>
    <t>Test Year</t>
  </si>
  <si>
    <t>of</t>
  </si>
  <si>
    <t>Case No.</t>
  </si>
  <si>
    <t>Proposed</t>
  </si>
  <si>
    <t xml:space="preserve">  Increase  </t>
  </si>
  <si>
    <t>Schedule</t>
  </si>
  <si>
    <t>Useage</t>
  </si>
  <si>
    <t>I - Residential, Schools and Churches</t>
  </si>
  <si>
    <t>I - Prepaid Service</t>
  </si>
  <si>
    <t>I - Marketing Rate</t>
  </si>
  <si>
    <t>II - Small Power, Single Phase</t>
  </si>
  <si>
    <t>II - Small Power, Three Phase</t>
  </si>
  <si>
    <t>III - Three Phase Schools and Churches</t>
  </si>
  <si>
    <t>IV - Large Power, Industrial</t>
  </si>
  <si>
    <t>IV-A - Large Power Rate</t>
  </si>
  <si>
    <t>S &amp; T - Outdoor Lighting Service</t>
  </si>
  <si>
    <t>Envirowatts</t>
  </si>
  <si>
    <t>Rounding differences</t>
  </si>
  <si>
    <t>Total from base rates</t>
  </si>
  <si>
    <t>Fuel adjustment billed</t>
  </si>
  <si>
    <t>Environmental surcharge billed</t>
  </si>
  <si>
    <t xml:space="preserve">  Increase</t>
  </si>
  <si>
    <t>Exhibit  18</t>
  </si>
  <si>
    <t>page  1 of  1</t>
  </si>
  <si>
    <t>Witness: Jim Adkins</t>
  </si>
  <si>
    <t>Base rates for the test year</t>
  </si>
  <si>
    <t>Normalized revenues using rates effective</t>
  </si>
  <si>
    <t xml:space="preserve">    Case No. 2008-0525</t>
  </si>
  <si>
    <t>Normalized revenue adjustment</t>
  </si>
  <si>
    <t>Exhibit  J</t>
  </si>
  <si>
    <t xml:space="preserve">page    of     </t>
  </si>
  <si>
    <t>Analysis of Fuel Adjustment</t>
  </si>
  <si>
    <t>An analysis of fuel adjustment purchased and passed on to consumers</t>
  </si>
  <si>
    <t>is as follows:</t>
  </si>
  <si>
    <t>Sales to Consumers</t>
  </si>
  <si>
    <t>Purchase Power</t>
  </si>
  <si>
    <t>Environmental</t>
  </si>
  <si>
    <t>Fuel</t>
  </si>
  <si>
    <t>Surcharge</t>
  </si>
  <si>
    <t>The fuel purchased and environmental surcharge from East Kentucky Power</t>
  </si>
  <si>
    <t xml:space="preserve">Cooperative is passed on to the consumers using the Fuel Adjustment and </t>
  </si>
  <si>
    <t>Environmental Procedures established by this Commission.</t>
  </si>
  <si>
    <t>Exhibit 17</t>
  </si>
  <si>
    <t>page 2  of3</t>
  </si>
  <si>
    <t>Test Year Billing Determinants</t>
  </si>
  <si>
    <t>Billing Demand</t>
  </si>
  <si>
    <t>Total KWH Billing</t>
  </si>
  <si>
    <t>Schedule E</t>
  </si>
  <si>
    <t>Green</t>
  </si>
  <si>
    <t xml:space="preserve">Metering </t>
  </si>
  <si>
    <t>Substation Charge</t>
  </si>
  <si>
    <t>On-Peak</t>
  </si>
  <si>
    <t>Off-Peak</t>
  </si>
  <si>
    <t>Point</t>
  </si>
  <si>
    <t>Exhbit  14</t>
  </si>
  <si>
    <t>page  1 of  2</t>
  </si>
  <si>
    <t>EKPC Case No. 2006-00510</t>
  </si>
  <si>
    <t>Billing Rates</t>
  </si>
  <si>
    <t>KW-Sch C</t>
  </si>
  <si>
    <t>KW-Sch E2</t>
  </si>
  <si>
    <t>KWH-Sch B/C</t>
  </si>
  <si>
    <t>KWH-Sch E2 On-Peak</t>
  </si>
  <si>
    <t>KWH-Sch E2 Off-Peak</t>
  </si>
  <si>
    <t>KVA 1000-2999</t>
  </si>
  <si>
    <t>KVA 3000-7499</t>
  </si>
  <si>
    <t>KVA 7500-14999</t>
  </si>
  <si>
    <t>KVA 15000-99999</t>
  </si>
  <si>
    <t>Metering Point</t>
  </si>
  <si>
    <t>Green Power</t>
  </si>
  <si>
    <t>Power Factor</t>
  </si>
  <si>
    <t>Metering</t>
  </si>
  <si>
    <t>Total from</t>
  </si>
  <si>
    <t xml:space="preserve">  Penalty  </t>
  </si>
  <si>
    <t>Charges</t>
  </si>
  <si>
    <t>Base Rates</t>
  </si>
  <si>
    <t xml:space="preserve">  DLC  </t>
  </si>
  <si>
    <t>MEMO Only</t>
  </si>
  <si>
    <t>Normalized in EKPC Case No. 2008-00409</t>
  </si>
  <si>
    <t>Normalized Adjustment</t>
  </si>
  <si>
    <t>Exhibit  17</t>
  </si>
  <si>
    <t>page  3  of  3</t>
  </si>
  <si>
    <t>Analysis of Fuel Adjustment and Environmental Surcharge</t>
  </si>
  <si>
    <t>An analysis of fuel adjustment and environmental surcharge as purchased</t>
  </si>
  <si>
    <t>and passed on to consumers as follows:</t>
  </si>
  <si>
    <t>Sales</t>
  </si>
  <si>
    <t>Purchased</t>
  </si>
  <si>
    <t>MEMO only</t>
  </si>
  <si>
    <t>kwh</t>
  </si>
  <si>
    <t>Purchases</t>
  </si>
  <si>
    <t xml:space="preserve">Enviro </t>
  </si>
  <si>
    <t>Margin before Other Revenue</t>
  </si>
  <si>
    <t>Allocation of Misc. Revenue</t>
  </si>
  <si>
    <t>Residential.</t>
  </si>
  <si>
    <t>Market - ETS</t>
  </si>
  <si>
    <t>Single Phase</t>
  </si>
  <si>
    <t>Schl, Churches</t>
  </si>
  <si>
    <t>Over 2500 kW</t>
  </si>
  <si>
    <t>Schedule 1 - Residential</t>
  </si>
  <si>
    <t>Markteing - ETS</t>
  </si>
  <si>
    <t>Commercial - Single Phase</t>
  </si>
  <si>
    <t>Commercial Three Phase</t>
  </si>
  <si>
    <t>Large Industrial - Over 2500 kW</t>
  </si>
  <si>
    <t>Large Power - Indust (50-2500 kW)</t>
  </si>
  <si>
    <t>Allocation of Other Elec. Revenue</t>
  </si>
  <si>
    <t>Other Elec. Revenue</t>
  </si>
  <si>
    <t>Miscell. Revenue</t>
  </si>
  <si>
    <t>Enviro-</t>
  </si>
  <si>
    <t>Total Wholesale</t>
  </si>
  <si>
    <t>Total Distribution</t>
  </si>
  <si>
    <t>OTIER</t>
  </si>
  <si>
    <t>Return on Rate Base</t>
  </si>
  <si>
    <t>Revenue from Rates</t>
  </si>
  <si>
    <t>Demand Related Expenses</t>
  </si>
  <si>
    <t>Energy Related Expenses</t>
  </si>
  <si>
    <t>Consumer Related Expenses</t>
  </si>
  <si>
    <t>Cost Components</t>
  </si>
  <si>
    <t>Number of Monthly Charges</t>
  </si>
  <si>
    <t>Revenue Requirements</t>
  </si>
  <si>
    <t>Plus Margin Requirements</t>
  </si>
  <si>
    <t>Minus Revenue from Rates</t>
  </si>
  <si>
    <t>Less:  Other Revenue</t>
  </si>
  <si>
    <t>Net Increase Amount</t>
  </si>
  <si>
    <t>3.KVA CSP</t>
  </si>
  <si>
    <t>Total Costs by Function</t>
  </si>
  <si>
    <t>Revenue Requirements-Rates</t>
  </si>
  <si>
    <t>Under (Over)  Recovery</t>
  </si>
  <si>
    <t>Statement of Operations with</t>
  </si>
  <si>
    <t>Rate Increase</t>
  </si>
  <si>
    <t xml:space="preserve">   Gross Margins</t>
  </si>
  <si>
    <t>Margins before Other Rev.</t>
  </si>
  <si>
    <t>Plus Other Revenue</t>
  </si>
  <si>
    <t>Net Margins with Increase</t>
  </si>
  <si>
    <t>Interest Expense</t>
  </si>
  <si>
    <t>Less:  Increases -Rate Classes</t>
  </si>
  <si>
    <t>Distribution Demand</t>
  </si>
  <si>
    <t>Wholesale Power Demand</t>
  </si>
  <si>
    <t>November 2015</t>
  </si>
  <si>
    <t>December 2014</t>
  </si>
  <si>
    <t>November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</si>
  <si>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</si>
  <si>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</si>
  <si>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</si>
  <si>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</si>
  <si>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</si>
  <si>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</si>
  <si>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</si>
  <si>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</si>
  <si>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</si>
  <si>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</si>
  <si>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Materials &amp;</t>
  </si>
  <si>
    <t>Supplies</t>
  </si>
  <si>
    <t>Average</t>
  </si>
  <si>
    <t xml:space="preserve">  COST OF SERVICE STUDY</t>
  </si>
  <si>
    <t>Prepared:     March  2016</t>
  </si>
  <si>
    <t>A</t>
  </si>
  <si>
    <t>Test Year - Actual &amp; Adjusted</t>
  </si>
  <si>
    <t>B</t>
  </si>
  <si>
    <t>C</t>
  </si>
  <si>
    <t>Functionalization of Expenses</t>
  </si>
  <si>
    <t>D</t>
  </si>
  <si>
    <t>Funtionalization Footnotes</t>
  </si>
  <si>
    <t>E</t>
  </si>
  <si>
    <t>Rate Base Functionalized</t>
  </si>
  <si>
    <t>F</t>
  </si>
  <si>
    <t>Classification of Expenses</t>
  </si>
  <si>
    <t>G</t>
  </si>
  <si>
    <t>Determination of Demand &amp; Consumer Related Plant Investments</t>
  </si>
  <si>
    <t>H</t>
  </si>
  <si>
    <t>Allocation of Costs</t>
  </si>
  <si>
    <t>I</t>
  </si>
  <si>
    <t>Demand &amp; Energy Allocators</t>
  </si>
  <si>
    <t>J</t>
  </si>
  <si>
    <t>Consumer Allcators</t>
  </si>
  <si>
    <t>K</t>
  </si>
  <si>
    <t>Unbundled Statement of Operations</t>
  </si>
  <si>
    <t>L</t>
  </si>
  <si>
    <t>Increase Amounts by Rate Class &amp; Rate Design</t>
  </si>
  <si>
    <t>Rate Base for Each Rate Class</t>
  </si>
  <si>
    <t>Case No.  2016-00169</t>
  </si>
  <si>
    <t xml:space="preserve">   </t>
  </si>
  <si>
    <t>Percentage Allocation for All Lines</t>
  </si>
  <si>
    <t>Revision 2 Exhibit 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</si>
</sst>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0.000%"/>
    <numFmt numFmtId="182" formatCode="0.0000%"/>
    <numFmt numFmtId="183" formatCode="0.00000%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_);_(* \(#,##0.00000\);_(* &quot;-&quot;?????_);_(@_)"/>
    <numFmt numFmtId="187" formatCode="0.000"/>
    <numFmt numFmtId="188" formatCode="0.00000000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_(&quot;$&quot;* #,##0.00000_);_(&quot;$&quot;* \(#,##0.00000\);_(&quot;$&quot;* &quot;-&quot;??_);_(@_)"/>
    <numFmt numFmtId="192" formatCode="_(* #,##0.0000_);_(* \(#,##0.0000\);_(* &quot;-&quot;????_);_(@_)"/>
    <numFmt numFmtId="193" formatCode="#,##0.0"/>
    <numFmt numFmtId="194" formatCode="[$-409]mmmm\ d\,\ yyyy;@"/>
    <numFmt numFmtId="195" formatCode="&quot;$&quot;#,##0.00"/>
    <numFmt numFmtId="196" formatCode="&quot;$&quot;#,##0.0000000"/>
    <numFmt numFmtId="197" formatCode="&quot;$&quot;#,##0.000000"/>
    <numFmt numFmtId="198" formatCode="&quot;$&quot;#,##0"/>
    <numFmt numFmtId="199" formatCode="0.000000%"/>
  </numFmts>
  <fonts count="93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b/>
      <u val="singleAccounting"/>
      <sz val="10"/>
      <name val="Arial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u val="single"/>
      <sz val="11"/>
      <name val="P-TIMES"/>
      <family val="0"/>
    </font>
    <font>
      <u val="double"/>
      <sz val="11"/>
      <name val="Arial"/>
      <family val="2"/>
    </font>
    <font>
      <u val="doubleAccounting"/>
      <sz val="11"/>
      <name val="Arial"/>
      <family val="2"/>
    </font>
    <font>
      <u val="doubleAccounting"/>
      <sz val="12"/>
      <name val="Arial"/>
      <family val="2"/>
    </font>
    <font>
      <b/>
      <sz val="11"/>
      <name val="Arial"/>
      <family val="2"/>
    </font>
    <font>
      <u val="doubleAccounting"/>
      <sz val="10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Accounting"/>
      <sz val="10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sz val="8.5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4"/>
      <name val="Arial"/>
      <family val="2"/>
    </font>
    <font>
      <u val="singleAccounting"/>
      <sz val="12"/>
      <name val="Times New Roman"/>
      <family val="1"/>
    </font>
    <font>
      <u val="double"/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name val="Calibri"/>
      <family val="2"/>
    </font>
    <font>
      <u val="single"/>
      <sz val="12"/>
      <color indexed="56"/>
      <name val="Calibri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3" fontId="0" fillId="0" borderId="0" xfId="42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Border="1" applyAlignment="1">
      <alignment/>
    </xf>
    <xf numFmtId="43" fontId="4" fillId="0" borderId="0" xfId="42" applyFont="1" applyBorder="1" applyAlignment="1">
      <alignment horizontal="center" vertical="top" wrapText="1"/>
    </xf>
    <xf numFmtId="172" fontId="0" fillId="0" borderId="11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42" applyNumberFormat="1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72" fontId="7" fillId="0" borderId="0" xfId="42" applyNumberFormat="1" applyFont="1" applyBorder="1" applyAlignment="1">
      <alignment/>
    </xf>
    <xf numFmtId="10" fontId="3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center"/>
    </xf>
    <xf numFmtId="10" fontId="3" fillId="0" borderId="0" xfId="57" applyNumberFormat="1" applyFont="1" applyBorder="1" applyAlignment="1">
      <alignment/>
    </xf>
    <xf numFmtId="172" fontId="3" fillId="0" borderId="0" xfId="42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72" fontId="5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42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43" fontId="4" fillId="0" borderId="0" xfId="42" applyFont="1" applyBorder="1" applyAlignment="1">
      <alignment vertical="top" wrapText="1"/>
    </xf>
    <xf numFmtId="43" fontId="7" fillId="0" borderId="0" xfId="42" applyFont="1" applyBorder="1" applyAlignment="1">
      <alignment horizontal="center"/>
    </xf>
    <xf numFmtId="190" fontId="0" fillId="0" borderId="0" xfId="42" applyNumberFormat="1" applyFont="1" applyBorder="1" applyAlignment="1">
      <alignment/>
    </xf>
    <xf numFmtId="179" fontId="0" fillId="0" borderId="0" xfId="42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17" fontId="11" fillId="0" borderId="0" xfId="0" applyNumberFormat="1" applyFont="1" applyAlignment="1">
      <alignment/>
    </xf>
    <xf numFmtId="43" fontId="5" fillId="0" borderId="0" xfId="42" applyFont="1" applyBorder="1" applyAlignment="1">
      <alignment horizontal="left"/>
    </xf>
    <xf numFmtId="10" fontId="5" fillId="0" borderId="0" xfId="57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3" fontId="5" fillId="0" borderId="0" xfId="42" applyFont="1" applyFill="1" applyBorder="1" applyAlignment="1">
      <alignment horizontal="left"/>
    </xf>
    <xf numFmtId="172" fontId="5" fillId="0" borderId="0" xfId="42" applyNumberFormat="1" applyFont="1" applyAlignment="1">
      <alignment/>
    </xf>
    <xf numFmtId="181" fontId="5" fillId="0" borderId="0" xfId="57" applyNumberFormat="1" applyFont="1" applyFill="1" applyBorder="1" applyAlignment="1">
      <alignment/>
    </xf>
    <xf numFmtId="43" fontId="5" fillId="0" borderId="0" xfId="42" applyFont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Alignment="1">
      <alignment/>
    </xf>
    <xf numFmtId="43" fontId="11" fillId="0" borderId="0" xfId="42" applyFont="1" applyBorder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43" fontId="12" fillId="0" borderId="0" xfId="42" applyFont="1" applyBorder="1" applyAlignment="1">
      <alignment horizontal="center"/>
    </xf>
    <xf numFmtId="43" fontId="12" fillId="0" borderId="0" xfId="42" applyFont="1" applyFill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2" applyFont="1" applyFill="1" applyAlignment="1">
      <alignment/>
    </xf>
    <xf numFmtId="172" fontId="12" fillId="0" borderId="0" xfId="42" applyNumberFormat="1" applyFont="1" applyBorder="1" applyAlignment="1">
      <alignment horizontal="center"/>
    </xf>
    <xf numFmtId="43" fontId="12" fillId="0" borderId="0" xfId="42" applyFont="1" applyBorder="1" applyAlignment="1">
      <alignment/>
    </xf>
    <xf numFmtId="172" fontId="12" fillId="0" borderId="0" xfId="42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2" fontId="12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42" applyNumberFormat="1" applyFont="1" applyBorder="1" applyAlignment="1">
      <alignment horizontal="center"/>
    </xf>
    <xf numFmtId="43" fontId="7" fillId="0" borderId="0" xfId="42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80" fontId="3" fillId="0" borderId="0" xfId="42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0" xfId="42" applyNumberFormat="1" applyFont="1" applyBorder="1" applyAlignment="1">
      <alignment horizontal="center"/>
    </xf>
    <xf numFmtId="172" fontId="0" fillId="0" borderId="0" xfId="42" applyNumberFormat="1" applyFont="1" applyBorder="1" applyAlignment="1">
      <alignment horizontal="center" vertical="center"/>
    </xf>
    <xf numFmtId="43" fontId="7" fillId="0" borderId="0" xfId="42" applyFont="1" applyAlignment="1">
      <alignment/>
    </xf>
    <xf numFmtId="17" fontId="3" fillId="0" borderId="0" xfId="42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172" fontId="0" fillId="33" borderId="0" xfId="42" applyNumberFormat="1" applyFont="1" applyFill="1" applyBorder="1" applyAlignment="1">
      <alignment/>
    </xf>
    <xf numFmtId="179" fontId="0" fillId="0" borderId="0" xfId="42" applyNumberFormat="1" applyFont="1" applyBorder="1" applyAlignment="1">
      <alignment/>
    </xf>
    <xf numFmtId="0" fontId="8" fillId="0" borderId="0" xfId="0" applyFont="1" applyFill="1" applyBorder="1" applyAlignment="1">
      <alignment horizontal="centerContinuous"/>
    </xf>
    <xf numFmtId="43" fontId="0" fillId="0" borderId="0" xfId="42" applyFont="1" applyAlignment="1">
      <alignment/>
    </xf>
    <xf numFmtId="43" fontId="5" fillId="0" borderId="0" xfId="42" applyFont="1" applyBorder="1" applyAlignment="1">
      <alignment horizontal="left"/>
    </xf>
    <xf numFmtId="43" fontId="5" fillId="0" borderId="0" xfId="42" applyFont="1" applyBorder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3" fontId="3" fillId="0" borderId="0" xfId="42" applyFont="1" applyBorder="1" applyAlignment="1">
      <alignment horizontal="center"/>
    </xf>
    <xf numFmtId="172" fontId="3" fillId="0" borderId="0" xfId="42" applyNumberFormat="1" applyFont="1" applyBorder="1" applyAlignment="1">
      <alignment horizontal="center"/>
    </xf>
    <xf numFmtId="172" fontId="16" fillId="33" borderId="0" xfId="42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2" fontId="0" fillId="0" borderId="11" xfId="42" applyNumberFormat="1" applyFont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172" fontId="16" fillId="33" borderId="11" xfId="42" applyNumberFormat="1" applyFont="1" applyFill="1" applyBorder="1" applyAlignment="1">
      <alignment/>
    </xf>
    <xf numFmtId="0" fontId="16" fillId="33" borderId="14" xfId="0" applyFont="1" applyFill="1" applyBorder="1" applyAlignment="1">
      <alignment horizontal="center"/>
    </xf>
    <xf numFmtId="172" fontId="16" fillId="33" borderId="14" xfId="42" applyNumberFormat="1" applyFont="1" applyFill="1" applyBorder="1" applyAlignment="1">
      <alignment horizontal="center"/>
    </xf>
    <xf numFmtId="179" fontId="16" fillId="33" borderId="14" xfId="42" applyNumberFormat="1" applyFont="1" applyFill="1" applyBorder="1" applyAlignment="1">
      <alignment horizontal="center"/>
    </xf>
    <xf numFmtId="10" fontId="3" fillId="0" borderId="11" xfId="57" applyNumberFormat="1" applyFont="1" applyBorder="1" applyAlignment="1">
      <alignment/>
    </xf>
    <xf numFmtId="10" fontId="3" fillId="0" borderId="14" xfId="57" applyNumberFormat="1" applyFont="1" applyBorder="1" applyAlignment="1">
      <alignment/>
    </xf>
    <xf numFmtId="43" fontId="0" fillId="0" borderId="11" xfId="42" applyFont="1" applyBorder="1" applyAlignment="1">
      <alignment/>
    </xf>
    <xf numFmtId="190" fontId="0" fillId="0" borderId="11" xfId="42" applyNumberFormat="1" applyFont="1" applyBorder="1" applyAlignment="1">
      <alignment/>
    </xf>
    <xf numFmtId="0" fontId="88" fillId="0" borderId="11" xfId="0" applyFont="1" applyBorder="1" applyAlignment="1">
      <alignment/>
    </xf>
    <xf numFmtId="190" fontId="0" fillId="0" borderId="12" xfId="42" applyNumberFormat="1" applyFont="1" applyBorder="1" applyAlignment="1">
      <alignment/>
    </xf>
    <xf numFmtId="172" fontId="3" fillId="0" borderId="12" xfId="42" applyNumberFormat="1" applyFont="1" applyBorder="1" applyAlignment="1">
      <alignment/>
    </xf>
    <xf numFmtId="43" fontId="3" fillId="0" borderId="12" xfId="42" applyFont="1" applyBorder="1" applyAlignment="1">
      <alignment/>
    </xf>
    <xf numFmtId="0" fontId="89" fillId="0" borderId="11" xfId="0" applyFont="1" applyBorder="1" applyAlignment="1">
      <alignment/>
    </xf>
    <xf numFmtId="10" fontId="3" fillId="0" borderId="15" xfId="57" applyNumberFormat="1" applyFont="1" applyBorder="1" applyAlignment="1">
      <alignment/>
    </xf>
    <xf numFmtId="10" fontId="3" fillId="0" borderId="16" xfId="57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43" fontId="0" fillId="0" borderId="12" xfId="42" applyFont="1" applyBorder="1" applyAlignment="1">
      <alignment/>
    </xf>
    <xf numFmtId="0" fontId="28" fillId="0" borderId="0" xfId="0" applyFont="1" applyAlignment="1">
      <alignment/>
    </xf>
    <xf numFmtId="0" fontId="28" fillId="0" borderId="14" xfId="0" applyFont="1" applyBorder="1" applyAlignment="1">
      <alignment/>
    </xf>
    <xf numFmtId="0" fontId="28" fillId="34" borderId="14" xfId="0" applyFont="1" applyFill="1" applyBorder="1" applyAlignment="1">
      <alignment horizontal="center"/>
    </xf>
    <xf numFmtId="0" fontId="28" fillId="34" borderId="14" xfId="0" applyFont="1" applyFill="1" applyBorder="1" applyAlignment="1">
      <alignment/>
    </xf>
    <xf numFmtId="0" fontId="63" fillId="34" borderId="14" xfId="0" applyFont="1" applyFill="1" applyBorder="1" applyAlignment="1">
      <alignment/>
    </xf>
    <xf numFmtId="172" fontId="28" fillId="0" borderId="0" xfId="0" applyNumberFormat="1" applyFont="1" applyAlignment="1">
      <alignment/>
    </xf>
    <xf numFmtId="172" fontId="28" fillId="0" borderId="0" xfId="42" applyNumberFormat="1" applyFont="1" applyAlignment="1">
      <alignment/>
    </xf>
    <xf numFmtId="172" fontId="5" fillId="0" borderId="12" xfId="42" applyNumberFormat="1" applyFont="1" applyBorder="1" applyAlignment="1">
      <alignment/>
    </xf>
    <xf numFmtId="43" fontId="5" fillId="0" borderId="12" xfId="42" applyFont="1" applyBorder="1" applyAlignment="1">
      <alignment/>
    </xf>
    <xf numFmtId="179" fontId="5" fillId="0" borderId="12" xfId="42" applyNumberFormat="1" applyFont="1" applyBorder="1" applyAlignment="1">
      <alignment/>
    </xf>
    <xf numFmtId="10" fontId="5" fillId="0" borderId="0" xfId="57" applyNumberFormat="1" applyFont="1" applyBorder="1" applyAlignment="1">
      <alignment/>
    </xf>
    <xf numFmtId="172" fontId="16" fillId="33" borderId="17" xfId="42" applyNumberFormat="1" applyFont="1" applyFill="1" applyBorder="1" applyAlignment="1">
      <alignment/>
    </xf>
    <xf numFmtId="38" fontId="5" fillId="0" borderId="0" xfId="0" applyNumberFormat="1" applyFont="1" applyAlignment="1">
      <alignment/>
    </xf>
    <xf numFmtId="38" fontId="5" fillId="0" borderId="11" xfId="0" applyNumberFormat="1" applyFont="1" applyBorder="1" applyAlignment="1">
      <alignment/>
    </xf>
    <xf numFmtId="38" fontId="5" fillId="0" borderId="1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4" fontId="28" fillId="0" borderId="0" xfId="44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5" fontId="19" fillId="0" borderId="0" xfId="0" applyNumberFormat="1" applyFont="1" applyAlignment="1">
      <alignment/>
    </xf>
    <xf numFmtId="15" fontId="19" fillId="0" borderId="0" xfId="0" applyNumberFormat="1" applyFont="1" applyAlignment="1">
      <alignment horizontal="center"/>
    </xf>
    <xf numFmtId="195" fontId="19" fillId="0" borderId="0" xfId="0" applyNumberFormat="1" applyFont="1" applyAlignment="1">
      <alignment/>
    </xf>
    <xf numFmtId="196" fontId="19" fillId="0" borderId="0" xfId="0" applyNumberFormat="1" applyFont="1" applyAlignment="1">
      <alignment/>
    </xf>
    <xf numFmtId="197" fontId="19" fillId="0" borderId="0" xfId="0" applyNumberFormat="1" applyFont="1" applyAlignment="1">
      <alignment/>
    </xf>
    <xf numFmtId="198" fontId="1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8" fontId="19" fillId="0" borderId="0" xfId="0" applyNumberFormat="1" applyFont="1" applyAlignment="1">
      <alignment/>
    </xf>
    <xf numFmtId="38" fontId="21" fillId="0" borderId="0" xfId="0" applyNumberFormat="1" applyFont="1" applyAlignment="1">
      <alignment/>
    </xf>
    <xf numFmtId="38" fontId="23" fillId="0" borderId="0" xfId="0" applyNumberFormat="1" applyFont="1" applyAlignment="1">
      <alignment/>
    </xf>
    <xf numFmtId="38" fontId="21" fillId="0" borderId="0" xfId="0" applyNumberFormat="1" applyFont="1" applyBorder="1" applyAlignment="1">
      <alignment/>
    </xf>
    <xf numFmtId="38" fontId="19" fillId="0" borderId="0" xfId="0" applyNumberFormat="1" applyFont="1" applyBorder="1" applyAlignment="1">
      <alignment/>
    </xf>
    <xf numFmtId="9" fontId="19" fillId="0" borderId="0" xfId="0" applyNumberFormat="1" applyFont="1" applyAlignment="1">
      <alignment/>
    </xf>
    <xf numFmtId="9" fontId="19" fillId="0" borderId="0" xfId="0" applyNumberFormat="1" applyFont="1" applyAlignment="1">
      <alignment horizontal="right"/>
    </xf>
    <xf numFmtId="6" fontId="19" fillId="0" borderId="0" xfId="0" applyNumberFormat="1" applyFont="1" applyAlignment="1">
      <alignment/>
    </xf>
    <xf numFmtId="6" fontId="19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8" fontId="24" fillId="0" borderId="0" xfId="0" applyNumberFormat="1" applyFont="1" applyAlignment="1">
      <alignment/>
    </xf>
    <xf numFmtId="38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19" fillId="0" borderId="0" xfId="0" applyNumberFormat="1" applyFont="1" applyAlignment="1">
      <alignment/>
    </xf>
    <xf numFmtId="38" fontId="27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14" xfId="0" applyFont="1" applyBorder="1" applyAlignment="1">
      <alignment/>
    </xf>
    <xf numFmtId="0" fontId="30" fillId="34" borderId="14" xfId="0" applyFont="1" applyFill="1" applyBorder="1" applyAlignment="1">
      <alignment horizontal="center"/>
    </xf>
    <xf numFmtId="0" fontId="30" fillId="34" borderId="14" xfId="0" applyFont="1" applyFill="1" applyBorder="1" applyAlignment="1">
      <alignment/>
    </xf>
    <xf numFmtId="172" fontId="30" fillId="0" borderId="0" xfId="0" applyNumberFormat="1" applyFont="1" applyAlignment="1">
      <alignment/>
    </xf>
    <xf numFmtId="0" fontId="64" fillId="34" borderId="14" xfId="0" applyFont="1" applyFill="1" applyBorder="1" applyAlignment="1">
      <alignment/>
    </xf>
    <xf numFmtId="172" fontId="30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0" fontId="16" fillId="33" borderId="0" xfId="0" applyFont="1" applyFill="1" applyBorder="1" applyAlignment="1">
      <alignment/>
    </xf>
    <xf numFmtId="172" fontId="16" fillId="33" borderId="0" xfId="42" applyNumberFormat="1" applyFont="1" applyFill="1" applyBorder="1" applyAlignment="1">
      <alignment/>
    </xf>
    <xf numFmtId="172" fontId="16" fillId="33" borderId="0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172" fontId="28" fillId="33" borderId="0" xfId="42" applyNumberFormat="1" applyFont="1" applyFill="1" applyAlignment="1">
      <alignment/>
    </xf>
    <xf numFmtId="172" fontId="28" fillId="33" borderId="0" xfId="42" applyNumberFormat="1" applyFont="1" applyFill="1" applyBorder="1" applyAlignment="1">
      <alignment/>
    </xf>
    <xf numFmtId="0" fontId="28" fillId="33" borderId="0" xfId="0" applyFont="1" applyFill="1" applyAlignment="1">
      <alignment/>
    </xf>
    <xf numFmtId="172" fontId="28" fillId="33" borderId="0" xfId="42" applyNumberFormat="1" applyFont="1" applyFill="1" applyAlignment="1">
      <alignment horizontal="center"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172" fontId="28" fillId="33" borderId="11" xfId="42" applyNumberFormat="1" applyFont="1" applyFill="1" applyBorder="1" applyAlignment="1">
      <alignment/>
    </xf>
    <xf numFmtId="172" fontId="28" fillId="33" borderId="0" xfId="0" applyNumberFormat="1" applyFont="1" applyFill="1" applyAlignment="1">
      <alignment/>
    </xf>
    <xf numFmtId="10" fontId="28" fillId="33" borderId="0" xfId="57" applyNumberFormat="1" applyFont="1" applyFill="1" applyBorder="1" applyAlignment="1">
      <alignment/>
    </xf>
    <xf numFmtId="10" fontId="28" fillId="33" borderId="0" xfId="57" applyNumberFormat="1" applyFont="1" applyFill="1" applyAlignment="1">
      <alignment/>
    </xf>
    <xf numFmtId="172" fontId="33" fillId="33" borderId="0" xfId="42" applyNumberFormat="1" applyFont="1" applyFill="1" applyAlignment="1">
      <alignment/>
    </xf>
    <xf numFmtId="172" fontId="33" fillId="33" borderId="0" xfId="42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34" fillId="0" borderId="0" xfId="0" applyNumberFormat="1" applyFont="1" applyBorder="1" applyAlignment="1">
      <alignment/>
    </xf>
    <xf numFmtId="3" fontId="31" fillId="0" borderId="18" xfId="0" applyNumberFormat="1" applyFont="1" applyFill="1" applyBorder="1" applyAlignment="1">
      <alignment/>
    </xf>
    <xf numFmtId="172" fontId="35" fillId="0" borderId="0" xfId="42" applyNumberFormat="1" applyFont="1" applyAlignment="1">
      <alignment horizontal="right"/>
    </xf>
    <xf numFmtId="172" fontId="31" fillId="33" borderId="0" xfId="42" applyNumberFormat="1" applyFont="1" applyFill="1" applyAlignment="1">
      <alignment/>
    </xf>
    <xf numFmtId="172" fontId="31" fillId="0" borderId="18" xfId="42" applyNumberFormat="1" applyFont="1" applyFill="1" applyBorder="1" applyAlignment="1">
      <alignment/>
    </xf>
    <xf numFmtId="10" fontId="28" fillId="33" borderId="0" xfId="0" applyNumberFormat="1" applyFont="1" applyFill="1" applyAlignment="1">
      <alignment/>
    </xf>
    <xf numFmtId="172" fontId="28" fillId="33" borderId="0" xfId="57" applyNumberFormat="1" applyFont="1" applyFill="1" applyAlignment="1">
      <alignment/>
    </xf>
    <xf numFmtId="0" fontId="30" fillId="0" borderId="0" xfId="0" applyFont="1" applyAlignment="1">
      <alignment/>
    </xf>
    <xf numFmtId="172" fontId="30" fillId="0" borderId="0" xfId="42" applyNumberFormat="1" applyFont="1" applyBorder="1" applyAlignment="1">
      <alignment/>
    </xf>
    <xf numFmtId="172" fontId="30" fillId="0" borderId="11" xfId="42" applyNumberFormat="1" applyFont="1" applyBorder="1" applyAlignment="1">
      <alignment/>
    </xf>
    <xf numFmtId="172" fontId="30" fillId="0" borderId="0" xfId="42" applyNumberFormat="1" applyFont="1" applyAlignment="1">
      <alignment/>
    </xf>
    <xf numFmtId="172" fontId="30" fillId="0" borderId="0" xfId="0" applyNumberFormat="1" applyFont="1" applyAlignment="1">
      <alignment/>
    </xf>
    <xf numFmtId="0" fontId="90" fillId="0" borderId="0" xfId="0" applyFont="1" applyAlignment="1">
      <alignment/>
    </xf>
    <xf numFmtId="172" fontId="90" fillId="0" borderId="0" xfId="42" applyNumberFormat="1" applyFont="1" applyAlignment="1">
      <alignment/>
    </xf>
    <xf numFmtId="172" fontId="90" fillId="0" borderId="0" xfId="0" applyNumberFormat="1" applyFont="1" applyAlignment="1">
      <alignment/>
    </xf>
    <xf numFmtId="0" fontId="30" fillId="0" borderId="19" xfId="0" applyFont="1" applyBorder="1" applyAlignment="1">
      <alignment horizontal="center"/>
    </xf>
    <xf numFmtId="172" fontId="30" fillId="0" borderId="20" xfId="42" applyNumberFormat="1" applyFont="1" applyBorder="1" applyAlignment="1">
      <alignment horizontal="center"/>
    </xf>
    <xf numFmtId="172" fontId="30" fillId="0" borderId="21" xfId="42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72" fontId="30" fillId="0" borderId="18" xfId="42" applyNumberFormat="1" applyFont="1" applyBorder="1" applyAlignment="1">
      <alignment/>
    </xf>
    <xf numFmtId="0" fontId="30" fillId="0" borderId="0" xfId="0" applyFont="1" applyBorder="1" applyAlignment="1">
      <alignment/>
    </xf>
    <xf numFmtId="172" fontId="30" fillId="0" borderId="0" xfId="0" applyNumberFormat="1" applyFont="1" applyBorder="1" applyAlignment="1">
      <alignment/>
    </xf>
    <xf numFmtId="43" fontId="30" fillId="0" borderId="0" xfId="42" applyFont="1" applyBorder="1" applyAlignment="1">
      <alignment/>
    </xf>
    <xf numFmtId="43" fontId="30" fillId="0" borderId="0" xfId="0" applyNumberFormat="1" applyFont="1" applyBorder="1" applyAlignment="1">
      <alignment/>
    </xf>
    <xf numFmtId="0" fontId="30" fillId="0" borderId="13" xfId="0" applyFont="1" applyBorder="1" applyAlignment="1">
      <alignment/>
    </xf>
    <xf numFmtId="172" fontId="30" fillId="0" borderId="0" xfId="42" applyNumberFormat="1" applyFont="1" applyBorder="1" applyAlignment="1">
      <alignment horizontal="center"/>
    </xf>
    <xf numFmtId="172" fontId="30" fillId="0" borderId="22" xfId="42" applyNumberFormat="1" applyFont="1" applyBorder="1" applyAlignment="1">
      <alignment horizontal="center"/>
    </xf>
    <xf numFmtId="1" fontId="30" fillId="0" borderId="0" xfId="0" applyNumberFormat="1" applyFont="1" applyBorder="1" applyAlignment="1">
      <alignment/>
    </xf>
    <xf numFmtId="10" fontId="30" fillId="0" borderId="0" xfId="57" applyNumberFormat="1" applyFont="1" applyBorder="1" applyAlignment="1">
      <alignment/>
    </xf>
    <xf numFmtId="37" fontId="30" fillId="0" borderId="11" xfId="0" applyNumberFormat="1" applyFont="1" applyBorder="1" applyAlignment="1">
      <alignment/>
    </xf>
    <xf numFmtId="172" fontId="30" fillId="0" borderId="23" xfId="0" applyNumberFormat="1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44" fontId="0" fillId="0" borderId="0" xfId="44" applyFont="1" applyAlignment="1">
      <alignment/>
    </xf>
    <xf numFmtId="0" fontId="16" fillId="33" borderId="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72" fontId="5" fillId="33" borderId="0" xfId="42" applyNumberFormat="1" applyFont="1" applyFill="1" applyBorder="1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173" fontId="5" fillId="0" borderId="12" xfId="42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3" fontId="5" fillId="0" borderId="0" xfId="57" applyNumberFormat="1" applyFont="1" applyBorder="1" applyAlignment="1">
      <alignment/>
    </xf>
    <xf numFmtId="172" fontId="30" fillId="0" borderId="11" xfId="42" applyNumberFormat="1" applyFont="1" applyBorder="1" applyAlignment="1">
      <alignment horizontal="center"/>
    </xf>
    <xf numFmtId="173" fontId="0" fillId="0" borderId="0" xfId="57" applyNumberFormat="1" applyFont="1" applyAlignment="1">
      <alignment/>
    </xf>
    <xf numFmtId="173" fontId="0" fillId="0" borderId="19" xfId="57" applyNumberFormat="1" applyFont="1" applyBorder="1" applyAlignment="1">
      <alignment/>
    </xf>
    <xf numFmtId="44" fontId="0" fillId="0" borderId="21" xfId="44" applyFont="1" applyBorder="1" applyAlignment="1">
      <alignment/>
    </xf>
    <xf numFmtId="173" fontId="0" fillId="0" borderId="10" xfId="57" applyNumberFormat="1" applyFont="1" applyBorder="1" applyAlignment="1">
      <alignment/>
    </xf>
    <xf numFmtId="44" fontId="0" fillId="0" borderId="22" xfId="44" applyFont="1" applyBorder="1" applyAlignment="1">
      <alignment/>
    </xf>
    <xf numFmtId="172" fontId="0" fillId="0" borderId="22" xfId="42" applyNumberFormat="1" applyFont="1" applyBorder="1" applyAlignment="1">
      <alignment/>
    </xf>
    <xf numFmtId="0" fontId="0" fillId="0" borderId="13" xfId="0" applyBorder="1" applyAlignment="1">
      <alignment/>
    </xf>
    <xf numFmtId="44" fontId="0" fillId="0" borderId="18" xfId="44" applyFont="1" applyBorder="1" applyAlignment="1">
      <alignment/>
    </xf>
    <xf numFmtId="0" fontId="0" fillId="0" borderId="0" xfId="0" applyAlignment="1" quotePrefix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10" fontId="0" fillId="0" borderId="0" xfId="57" applyNumberFormat="1" applyFont="1" applyBorder="1" applyAlignment="1">
      <alignment/>
    </xf>
    <xf numFmtId="173" fontId="0" fillId="0" borderId="0" xfId="57" applyNumberFormat="1" applyFont="1" applyBorder="1" applyAlignment="1">
      <alignment/>
    </xf>
    <xf numFmtId="0" fontId="16" fillId="33" borderId="11" xfId="0" applyFont="1" applyFill="1" applyBorder="1" applyAlignment="1">
      <alignment/>
    </xf>
    <xf numFmtId="0" fontId="36" fillId="0" borderId="0" xfId="0" applyFont="1" applyAlignment="1">
      <alignment/>
    </xf>
    <xf numFmtId="172" fontId="37" fillId="0" borderId="14" xfId="42" applyNumberFormat="1" applyFont="1" applyBorder="1" applyAlignment="1">
      <alignment/>
    </xf>
    <xf numFmtId="172" fontId="37" fillId="0" borderId="0" xfId="42" applyNumberFormat="1" applyFont="1" applyBorder="1" applyAlignment="1">
      <alignment/>
    </xf>
    <xf numFmtId="172" fontId="37" fillId="0" borderId="0" xfId="42" applyNumberFormat="1" applyFont="1" applyAlignment="1">
      <alignment/>
    </xf>
    <xf numFmtId="0" fontId="37" fillId="0" borderId="14" xfId="0" applyFont="1" applyBorder="1" applyAlignment="1">
      <alignment/>
    </xf>
    <xf numFmtId="0" fontId="37" fillId="34" borderId="14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14" xfId="0" applyFont="1" applyBorder="1" applyAlignment="1">
      <alignment horizontal="center"/>
    </xf>
    <xf numFmtId="172" fontId="38" fillId="0" borderId="14" xfId="42" applyNumberFormat="1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2" fontId="37" fillId="0" borderId="14" xfId="42" applyNumberFormat="1" applyFont="1" applyBorder="1" applyAlignment="1">
      <alignment horizontal="center"/>
    </xf>
    <xf numFmtId="172" fontId="37" fillId="0" borderId="14" xfId="0" applyNumberFormat="1" applyFont="1" applyBorder="1" applyAlignment="1">
      <alignment horizontal="center"/>
    </xf>
    <xf numFmtId="172" fontId="0" fillId="0" borderId="14" xfId="42" applyNumberFormat="1" applyFont="1" applyBorder="1" applyAlignment="1">
      <alignment/>
    </xf>
    <xf numFmtId="172" fontId="0" fillId="0" borderId="14" xfId="42" applyNumberFormat="1" applyFont="1" applyBorder="1" applyAlignment="1">
      <alignment horizontal="center"/>
    </xf>
    <xf numFmtId="172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57" applyNumberFormat="1" applyFont="1" applyBorder="1" applyAlignment="1">
      <alignment/>
    </xf>
    <xf numFmtId="173" fontId="0" fillId="0" borderId="14" xfId="57" applyNumberFormat="1" applyFont="1" applyBorder="1" applyAlignment="1">
      <alignment/>
    </xf>
    <xf numFmtId="41" fontId="36" fillId="0" borderId="14" xfId="0" applyNumberFormat="1" applyFont="1" applyBorder="1" applyAlignment="1" applyProtection="1">
      <alignment/>
      <protection/>
    </xf>
    <xf numFmtId="0" fontId="16" fillId="33" borderId="14" xfId="0" applyFont="1" applyFill="1" applyBorder="1" applyAlignment="1">
      <alignment/>
    </xf>
    <xf numFmtId="172" fontId="16" fillId="33" borderId="14" xfId="42" applyNumberFormat="1" applyFont="1" applyFill="1" applyBorder="1" applyAlignment="1">
      <alignment/>
    </xf>
    <xf numFmtId="172" fontId="17" fillId="33" borderId="14" xfId="42" applyNumberFormat="1" applyFont="1" applyFill="1" applyBorder="1" applyAlignment="1">
      <alignment horizontal="center"/>
    </xf>
    <xf numFmtId="172" fontId="16" fillId="33" borderId="14" xfId="42" applyNumberFormat="1" applyFont="1" applyFill="1" applyBorder="1" applyAlignment="1" quotePrefix="1">
      <alignment horizontal="center"/>
    </xf>
    <xf numFmtId="172" fontId="17" fillId="33" borderId="14" xfId="42" applyNumberFormat="1" applyFont="1" applyFill="1" applyBorder="1" applyAlignment="1">
      <alignment/>
    </xf>
    <xf numFmtId="172" fontId="0" fillId="33" borderId="14" xfId="42" applyNumberFormat="1" applyFont="1" applyFill="1" applyBorder="1" applyAlignment="1">
      <alignment/>
    </xf>
    <xf numFmtId="0" fontId="18" fillId="33" borderId="14" xfId="0" applyFont="1" applyFill="1" applyBorder="1" applyAlignment="1">
      <alignment/>
    </xf>
    <xf numFmtId="172" fontId="16" fillId="33" borderId="14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7" fillId="33" borderId="14" xfId="0" applyFont="1" applyFill="1" applyBorder="1" applyAlignment="1">
      <alignment horizontal="center"/>
    </xf>
    <xf numFmtId="0" fontId="17" fillId="33" borderId="14" xfId="0" applyFont="1" applyFill="1" applyBorder="1" applyAlignment="1">
      <alignment/>
    </xf>
    <xf numFmtId="43" fontId="16" fillId="33" borderId="14" xfId="42" applyFont="1" applyFill="1" applyBorder="1" applyAlignment="1">
      <alignment/>
    </xf>
    <xf numFmtId="1" fontId="1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173" fontId="16" fillId="33" borderId="14" xfId="57" applyNumberFormat="1" applyFont="1" applyFill="1" applyBorder="1" applyAlignment="1">
      <alignment/>
    </xf>
    <xf numFmtId="172" fontId="18" fillId="33" borderId="14" xfId="42" applyNumberFormat="1" applyFont="1" applyFill="1" applyBorder="1" applyAlignment="1">
      <alignment/>
    </xf>
    <xf numFmtId="10" fontId="16" fillId="33" borderId="14" xfId="57" applyNumberFormat="1" applyFont="1" applyFill="1" applyBorder="1" applyAlignment="1">
      <alignment/>
    </xf>
    <xf numFmtId="0" fontId="16" fillId="33" borderId="14" xfId="0" applyFont="1" applyFill="1" applyBorder="1" applyAlignment="1" quotePrefix="1">
      <alignment horizontal="center"/>
    </xf>
    <xf numFmtId="0" fontId="16" fillId="33" borderId="14" xfId="0" applyFont="1" applyFill="1" applyBorder="1" applyAlignment="1">
      <alignment/>
    </xf>
    <xf numFmtId="172" fontId="16" fillId="33" borderId="14" xfId="42" applyNumberFormat="1" applyFont="1" applyFill="1" applyBorder="1" applyAlignment="1">
      <alignment/>
    </xf>
    <xf numFmtId="0" fontId="17" fillId="33" borderId="14" xfId="0" applyFont="1" applyFill="1" applyBorder="1" applyAlignment="1">
      <alignment/>
    </xf>
    <xf numFmtId="172" fontId="17" fillId="33" borderId="14" xfId="42" applyNumberFormat="1" applyFont="1" applyFill="1" applyBorder="1" applyAlignment="1">
      <alignment/>
    </xf>
    <xf numFmtId="172" fontId="16" fillId="33" borderId="14" xfId="0" applyNumberFormat="1" applyFont="1" applyFill="1" applyBorder="1" applyAlignment="1">
      <alignment/>
    </xf>
    <xf numFmtId="37" fontId="16" fillId="33" borderId="14" xfId="0" applyNumberFormat="1" applyFont="1" applyFill="1" applyBorder="1" applyAlignment="1">
      <alignment/>
    </xf>
    <xf numFmtId="0" fontId="18" fillId="33" borderId="14" xfId="0" applyFont="1" applyFill="1" applyBorder="1" applyAlignment="1">
      <alignment/>
    </xf>
    <xf numFmtId="1" fontId="16" fillId="33" borderId="14" xfId="0" applyNumberFormat="1" applyFont="1" applyFill="1" applyBorder="1" applyAlignment="1">
      <alignment/>
    </xf>
    <xf numFmtId="0" fontId="37" fillId="33" borderId="0" xfId="0" applyFont="1" applyFill="1" applyBorder="1" applyAlignment="1">
      <alignment/>
    </xf>
    <xf numFmtId="43" fontId="41" fillId="0" borderId="0" xfId="42" applyFont="1" applyBorder="1" applyAlignment="1">
      <alignment horizontal="center" vertical="top" wrapText="1"/>
    </xf>
    <xf numFmtId="172" fontId="0" fillId="0" borderId="0" xfId="42" applyNumberFormat="1" applyFont="1" applyBorder="1" applyAlignment="1">
      <alignment vertical="center"/>
    </xf>
    <xf numFmtId="0" fontId="28" fillId="0" borderId="14" xfId="0" applyFont="1" applyBorder="1" applyAlignment="1">
      <alignment horizontal="center"/>
    </xf>
    <xf numFmtId="0" fontId="29" fillId="34" borderId="14" xfId="0" applyFont="1" applyFill="1" applyBorder="1" applyAlignment="1">
      <alignment/>
    </xf>
    <xf numFmtId="172" fontId="28" fillId="34" borderId="14" xfId="42" applyNumberFormat="1" applyFont="1" applyFill="1" applyBorder="1" applyAlignment="1">
      <alignment/>
    </xf>
    <xf numFmtId="172" fontId="28" fillId="0" borderId="14" xfId="42" applyNumberFormat="1" applyFont="1" applyBorder="1" applyAlignment="1">
      <alignment/>
    </xf>
    <xf numFmtId="172" fontId="28" fillId="0" borderId="14" xfId="0" applyNumberFormat="1" applyFont="1" applyBorder="1" applyAlignment="1">
      <alignment/>
    </xf>
    <xf numFmtId="172" fontId="63" fillId="34" borderId="14" xfId="42" applyNumberFormat="1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66" fillId="34" borderId="14" xfId="0" applyFont="1" applyFill="1" applyBorder="1" applyAlignment="1">
      <alignment/>
    </xf>
    <xf numFmtId="172" fontId="30" fillId="34" borderId="14" xfId="42" applyNumberFormat="1" applyFont="1" applyFill="1" applyBorder="1" applyAlignment="1">
      <alignment/>
    </xf>
    <xf numFmtId="172" fontId="30" fillId="0" borderId="14" xfId="42" applyNumberFormat="1" applyFont="1" applyBorder="1" applyAlignment="1">
      <alignment/>
    </xf>
    <xf numFmtId="172" fontId="30" fillId="0" borderId="14" xfId="0" applyNumberFormat="1" applyFont="1" applyBorder="1" applyAlignment="1">
      <alignment/>
    </xf>
    <xf numFmtId="172" fontId="64" fillId="34" borderId="14" xfId="42" applyNumberFormat="1" applyFont="1" applyFill="1" applyBorder="1" applyAlignment="1">
      <alignment/>
    </xf>
    <xf numFmtId="172" fontId="28" fillId="33" borderId="14" xfId="42" applyNumberFormat="1" applyFont="1" applyFill="1" applyBorder="1" applyAlignment="1">
      <alignment/>
    </xf>
    <xf numFmtId="172" fontId="31" fillId="33" borderId="14" xfId="42" applyNumberFormat="1" applyFont="1" applyFill="1" applyBorder="1" applyAlignment="1">
      <alignment/>
    </xf>
    <xf numFmtId="172" fontId="28" fillId="33" borderId="14" xfId="42" applyNumberFormat="1" applyFont="1" applyFill="1" applyBorder="1" applyAlignment="1">
      <alignment horizontal="center"/>
    </xf>
    <xf numFmtId="0" fontId="28" fillId="33" borderId="14" xfId="0" applyFont="1" applyFill="1" applyBorder="1" applyAlignment="1">
      <alignment/>
    </xf>
    <xf numFmtId="172" fontId="29" fillId="33" borderId="14" xfId="42" applyNumberFormat="1" applyFont="1" applyFill="1" applyBorder="1" applyAlignment="1">
      <alignment horizontal="center"/>
    </xf>
    <xf numFmtId="172" fontId="29" fillId="33" borderId="14" xfId="42" applyNumberFormat="1" applyFont="1" applyFill="1" applyBorder="1" applyAlignment="1">
      <alignment/>
    </xf>
    <xf numFmtId="172" fontId="32" fillId="33" borderId="14" xfId="42" applyNumberFormat="1" applyFont="1" applyFill="1" applyBorder="1" applyAlignment="1">
      <alignment horizontal="center"/>
    </xf>
    <xf numFmtId="3" fontId="0" fillId="0" borderId="14" xfId="0" applyNumberFormat="1" applyBorder="1" applyAlignment="1">
      <alignment/>
    </xf>
    <xf numFmtId="3" fontId="30" fillId="0" borderId="14" xfId="0" applyNumberFormat="1" applyFont="1" applyBorder="1" applyAlignment="1">
      <alignment/>
    </xf>
    <xf numFmtId="3" fontId="28" fillId="33" borderId="14" xfId="0" applyNumberFormat="1" applyFont="1" applyFill="1" applyBorder="1" applyAlignment="1">
      <alignment/>
    </xf>
    <xf numFmtId="172" fontId="28" fillId="33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10" fontId="28" fillId="33" borderId="14" xfId="57" applyNumberFormat="1" applyFont="1" applyFill="1" applyBorder="1" applyAlignment="1">
      <alignment/>
    </xf>
    <xf numFmtId="172" fontId="33" fillId="33" borderId="14" xfId="42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172" fontId="31" fillId="0" borderId="14" xfId="42" applyNumberFormat="1" applyFont="1" applyFill="1" applyBorder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4" xfId="42" applyNumberFormat="1" applyFont="1" applyBorder="1" applyAlignment="1">
      <alignment horizontal="center"/>
    </xf>
    <xf numFmtId="5" fontId="0" fillId="0" borderId="14" xfId="0" applyNumberFormat="1" applyBorder="1" applyAlignment="1">
      <alignment/>
    </xf>
    <xf numFmtId="37" fontId="0" fillId="0" borderId="14" xfId="0" applyNumberFormat="1" applyBorder="1" applyAlignment="1">
      <alignment/>
    </xf>
    <xf numFmtId="43" fontId="0" fillId="0" borderId="14" xfId="42" applyFont="1" applyBorder="1" applyAlignment="1">
      <alignment/>
    </xf>
    <xf numFmtId="38" fontId="0" fillId="0" borderId="14" xfId="0" applyNumberFormat="1" applyBorder="1" applyAlignment="1">
      <alignment/>
    </xf>
    <xf numFmtId="0" fontId="30" fillId="0" borderId="14" xfId="0" applyFont="1" applyBorder="1" applyAlignment="1">
      <alignment horizontal="center"/>
    </xf>
    <xf numFmtId="172" fontId="30" fillId="0" borderId="14" xfId="42" applyNumberFormat="1" applyFont="1" applyBorder="1" applyAlignment="1">
      <alignment horizontal="center"/>
    </xf>
    <xf numFmtId="0" fontId="30" fillId="0" borderId="14" xfId="0" applyFont="1" applyBorder="1" applyAlignment="1">
      <alignment/>
    </xf>
    <xf numFmtId="172" fontId="30" fillId="0" borderId="14" xfId="42" applyNumberFormat="1" applyFont="1" applyBorder="1" applyAlignment="1">
      <alignment/>
    </xf>
    <xf numFmtId="165" fontId="0" fillId="0" borderId="14" xfId="44" applyNumberFormat="1" applyFont="1" applyBorder="1" applyAlignment="1">
      <alignment/>
    </xf>
    <xf numFmtId="165" fontId="0" fillId="0" borderId="14" xfId="0" applyNumberFormat="1" applyBorder="1" applyAlignment="1">
      <alignment/>
    </xf>
    <xf numFmtId="172" fontId="0" fillId="0" borderId="14" xfId="0" applyNumberFormat="1" applyBorder="1" applyAlignment="1">
      <alignment/>
    </xf>
    <xf numFmtId="43" fontId="0" fillId="0" borderId="14" xfId="0" applyNumberFormat="1" applyBorder="1" applyAlignment="1">
      <alignment/>
    </xf>
    <xf numFmtId="10" fontId="0" fillId="0" borderId="14" xfId="57" applyNumberFormat="1" applyFont="1" applyBorder="1" applyAlignment="1">
      <alignment/>
    </xf>
    <xf numFmtId="0" fontId="6" fillId="0" borderId="14" xfId="0" applyFont="1" applyBorder="1" applyAlignment="1">
      <alignment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91" fillId="0" borderId="0" xfId="0" applyFont="1" applyAlignment="1">
      <alignment/>
    </xf>
    <xf numFmtId="0" fontId="91" fillId="0" borderId="0" xfId="0" applyFont="1" applyAlignment="1" applyProtection="1">
      <alignment/>
      <protection/>
    </xf>
    <xf numFmtId="0" fontId="91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Continuous"/>
      <protection/>
    </xf>
    <xf numFmtId="0" fontId="91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"/>
      <protection/>
    </xf>
    <xf numFmtId="0" fontId="92" fillId="0" borderId="0" xfId="0" applyFont="1" applyAlignment="1" applyProtection="1">
      <alignment horizontal="center"/>
      <protection/>
    </xf>
    <xf numFmtId="0" fontId="91" fillId="0" borderId="0" xfId="0" applyFont="1" applyAlignment="1">
      <alignment horizontal="center"/>
    </xf>
    <xf numFmtId="37" fontId="16" fillId="0" borderId="0" xfId="0" applyNumberFormat="1" applyFont="1" applyAlignment="1" applyProtection="1">
      <alignment/>
      <protection/>
    </xf>
    <xf numFmtId="5" fontId="16" fillId="0" borderId="0" xfId="0" applyNumberFormat="1" applyFont="1" applyAlignment="1" applyProtection="1">
      <alignment/>
      <protection/>
    </xf>
    <xf numFmtId="9" fontId="16" fillId="0" borderId="0" xfId="0" applyNumberFormat="1" applyFont="1" applyAlignment="1" applyProtection="1">
      <alignment horizontal="center"/>
      <protection/>
    </xf>
    <xf numFmtId="10" fontId="16" fillId="0" borderId="0" xfId="0" applyNumberFormat="1" applyFont="1" applyAlignment="1" applyProtection="1">
      <alignment horizontal="center"/>
      <protection/>
    </xf>
    <xf numFmtId="173" fontId="16" fillId="0" borderId="0" xfId="0" applyNumberFormat="1" applyFont="1" applyAlignment="1" applyProtection="1">
      <alignment horizontal="center"/>
      <protection/>
    </xf>
    <xf numFmtId="10" fontId="16" fillId="0" borderId="0" xfId="57" applyNumberFormat="1" applyFont="1" applyAlignment="1" applyProtection="1">
      <alignment horizontal="center"/>
      <protection/>
    </xf>
    <xf numFmtId="38" fontId="16" fillId="0" borderId="0" xfId="0" applyNumberFormat="1" applyFont="1" applyAlignment="1" applyProtection="1">
      <alignment/>
      <protection/>
    </xf>
    <xf numFmtId="5" fontId="91" fillId="0" borderId="0" xfId="0" applyNumberFormat="1" applyFont="1" applyAlignment="1">
      <alignment/>
    </xf>
    <xf numFmtId="37" fontId="16" fillId="0" borderId="24" xfId="0" applyNumberFormat="1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center"/>
      <protection/>
    </xf>
    <xf numFmtId="0" fontId="16" fillId="0" borderId="24" xfId="0" applyFont="1" applyBorder="1" applyAlignment="1" applyProtection="1">
      <alignment/>
      <protection/>
    </xf>
    <xf numFmtId="38" fontId="16" fillId="33" borderId="24" xfId="0" applyNumberFormat="1" applyFont="1" applyFill="1" applyBorder="1" applyAlignment="1" applyProtection="1">
      <alignment/>
      <protection/>
    </xf>
    <xf numFmtId="37" fontId="16" fillId="0" borderId="25" xfId="0" applyNumberFormat="1" applyFont="1" applyBorder="1" applyAlignment="1" applyProtection="1">
      <alignment/>
      <protection/>
    </xf>
    <xf numFmtId="37" fontId="16" fillId="0" borderId="11" xfId="0" applyNumberFormat="1" applyFont="1" applyBorder="1" applyAlignment="1" applyProtection="1">
      <alignment/>
      <protection/>
    </xf>
    <xf numFmtId="173" fontId="16" fillId="0" borderId="11" xfId="57" applyNumberFormat="1" applyFont="1" applyBorder="1" applyAlignment="1" applyProtection="1">
      <alignment/>
      <protection/>
    </xf>
    <xf numFmtId="5" fontId="16" fillId="0" borderId="25" xfId="0" applyNumberFormat="1" applyFont="1" applyBorder="1" applyAlignment="1" applyProtection="1">
      <alignment/>
      <protection/>
    </xf>
    <xf numFmtId="10" fontId="16" fillId="0" borderId="25" xfId="57" applyNumberFormat="1" applyFont="1" applyBorder="1" applyAlignment="1" applyProtection="1">
      <alignment/>
      <protection/>
    </xf>
    <xf numFmtId="172" fontId="91" fillId="0" borderId="0" xfId="42" applyNumberFormat="1" applyFont="1" applyAlignment="1">
      <alignment/>
    </xf>
    <xf numFmtId="37" fontId="91" fillId="0" borderId="0" xfId="0" applyNumberFormat="1" applyFont="1" applyAlignment="1">
      <alignment/>
    </xf>
    <xf numFmtId="5" fontId="42" fillId="0" borderId="0" xfId="0" applyNumberFormat="1" applyFont="1" applyAlignment="1" applyProtection="1">
      <alignment/>
      <protection/>
    </xf>
    <xf numFmtId="37" fontId="16" fillId="0" borderId="0" xfId="0" applyNumberFormat="1" applyFont="1" applyBorder="1" applyAlignment="1" applyProtection="1">
      <alignment/>
      <protection/>
    </xf>
    <xf numFmtId="5" fontId="16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91" fillId="0" borderId="0" xfId="0" applyFont="1" applyBorder="1" applyAlignment="1" applyProtection="1">
      <alignment/>
      <protection/>
    </xf>
    <xf numFmtId="37" fontId="91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43" fillId="0" borderId="0" xfId="0" applyFont="1" applyBorder="1" applyAlignment="1">
      <alignment/>
    </xf>
    <xf numFmtId="0" fontId="91" fillId="0" borderId="0" xfId="0" applyFont="1" applyBorder="1" applyAlignment="1">
      <alignment/>
    </xf>
    <xf numFmtId="37" fontId="91" fillId="0" borderId="0" xfId="0" applyNumberFormat="1" applyFont="1" applyAlignment="1" applyProtection="1">
      <alignment/>
      <protection/>
    </xf>
    <xf numFmtId="37" fontId="91" fillId="0" borderId="25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10" fontId="0" fillId="0" borderId="0" xfId="57" applyNumberFormat="1" applyFont="1" applyBorder="1" applyAlignment="1">
      <alignment/>
    </xf>
    <xf numFmtId="43" fontId="3" fillId="0" borderId="0" xfId="42" applyFont="1" applyAlignment="1">
      <alignment/>
    </xf>
    <xf numFmtId="172" fontId="16" fillId="33" borderId="14" xfId="42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172" fontId="0" fillId="33" borderId="14" xfId="42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72" fontId="16" fillId="33" borderId="14" xfId="42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43" fontId="3" fillId="0" borderId="0" xfId="42" applyFont="1" applyBorder="1" applyAlignment="1">
      <alignment horizontal="center"/>
    </xf>
    <xf numFmtId="172" fontId="3" fillId="0" borderId="0" xfId="42" applyNumberFormat="1" applyFont="1" applyBorder="1" applyAlignment="1">
      <alignment horizontal="center"/>
    </xf>
    <xf numFmtId="43" fontId="15" fillId="0" borderId="0" xfId="42" applyFont="1" applyBorder="1" applyAlignment="1">
      <alignment horizontal="center"/>
    </xf>
    <xf numFmtId="172" fontId="1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194" fontId="16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94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4" fontId="5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42" applyNumberFormat="1" applyFont="1" applyBorder="1" applyAlignment="1">
      <alignment horizontal="center"/>
    </xf>
    <xf numFmtId="172" fontId="0" fillId="0" borderId="11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ACCOUNT 365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 Cost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'Classification 2'!$I$111:$I$122</c:f>
              <c:numCache/>
            </c:numRef>
          </c:xVal>
          <c:yVal>
            <c:numRef>
              <c:f>'Classification 2'!#REF!</c:f>
            </c:numRef>
          </c:yVal>
          <c:smooth val="0"/>
        </c:ser>
        <c:ser>
          <c:idx val="1"/>
          <c:order val="1"/>
          <c:tx>
            <c:v>Regression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'Classification 2'!$I$111:$I$122</c:f>
              <c:numCache/>
            </c:numRef>
          </c:xVal>
          <c:yVal>
            <c:numRef>
              <c:f>'Classification 2'!#REF!</c:f>
            </c:numRef>
          </c:yVal>
          <c:smooth val="0"/>
        </c:ser>
        <c:axId val="17481534"/>
        <c:axId val="23116079"/>
      </c:scatterChart>
      <c:valAx>
        <c:axId val="1748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Transformer Size in KVA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6079"/>
        <c:crosses val="autoZero"/>
        <c:crossBetween val="midCat"/>
        <c:dispUnits/>
      </c:valAx>
      <c:valAx>
        <c:axId val="23116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per Transformer $$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15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Account 368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93"/>
          <c:w val="0.08925"/>
          <c:h val="0.089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'Classification 2'!#REF!</c:f>
            </c:strRef>
          </c:xVal>
          <c:yVal>
            <c:numRef>
              <c:f>'Classification 2'!#REF!</c:f>
            </c:numRef>
          </c:yVal>
          <c:smooth val="0"/>
        </c:ser>
        <c:ser>
          <c:idx val="1"/>
          <c:order val="1"/>
          <c:tx>
            <c:v>Regression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'Classification 2'!#REF!</c:f>
            </c:strRef>
          </c:xVal>
          <c:yVal>
            <c:numRef>
              <c:f>'Classification 2'!#REF!</c:f>
            </c:numRef>
          </c:yVal>
          <c:smooth val="0"/>
        </c:ser>
        <c:axId val="6718120"/>
        <c:axId val="60463081"/>
      </c:scatterChart>
      <c:valAx>
        <c:axId val="6718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 of Transformer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3081"/>
        <c:crosses val="autoZero"/>
        <c:crossBetween val="midCat"/>
        <c:dispUnits/>
      </c:valAx>
      <c:valAx>
        <c:axId val="60463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Transformer Size - KVA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81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"/>
          <c:w val="0.1045"/>
          <c:h val="0.1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166</xdr:row>
      <xdr:rowOff>0</xdr:rowOff>
    </xdr:from>
    <xdr:to>
      <xdr:col>0</xdr:col>
      <xdr:colOff>495300</xdr:colOff>
      <xdr:row>166</xdr:row>
      <xdr:rowOff>0</xdr:rowOff>
    </xdr:to>
    <xdr:graphicFrame>
      <xdr:nvGraphicFramePr>
        <xdr:cNvPr id="1" name="Chart 2"/>
        <xdr:cNvGraphicFramePr/>
      </xdr:nvGraphicFramePr>
      <xdr:xfrm>
        <a:off x="219075" y="27231975"/>
        <a:ext cx="276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76200</xdr:colOff>
      <xdr:row>165</xdr:row>
      <xdr:rowOff>38100</xdr:rowOff>
    </xdr:from>
    <xdr:to>
      <xdr:col>18</xdr:col>
      <xdr:colOff>142875</xdr:colOff>
      <xdr:row>165</xdr:row>
      <xdr:rowOff>95250</xdr:rowOff>
    </xdr:to>
    <xdr:graphicFrame>
      <xdr:nvGraphicFramePr>
        <xdr:cNvPr id="2" name="Chart 3"/>
        <xdr:cNvGraphicFramePr/>
      </xdr:nvGraphicFramePr>
      <xdr:xfrm>
        <a:off x="13906500" y="27108150"/>
        <a:ext cx="66675" cy="5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chaney\AppData\Local\Microsoft\Windows\INetCache\Content.Outlook\D9BAVCOZ\Revised%20CO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Test%20year%20Adjustments%20-%20AZ\cve%20billing%20analysis%2011-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Test%20year%20Adjustments%20-%20AZ\cve%20schedule%20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Test%20year%20Adjustments%20-%20AZ\Activity-930%20-%209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Billing%20Analysis\Revenue%20Analysis%201-12-16%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Filing%20Deficiencies\Revenue%20Analysis%20Revised-%20Cop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VE%20Rate%20Case%202015\CVE%20Filings\cve%20billing%20analysis%2011-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VE%20Rate%20Case%202015\Filing%20Deficiencies\cve%20schedule%20s-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3">
          <cell r="P23">
            <v>1.230229886575205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rate class"/>
      <sheetName val="summary"/>
      <sheetName val="average use"/>
      <sheetName val="public notice"/>
      <sheetName val="power cost"/>
      <sheetName val="additional"/>
      <sheetName val="explanation"/>
    </sheetNames>
    <sheetDataSet>
      <sheetData sheetId="0">
        <row r="194">
          <cell r="D194">
            <v>42375019</v>
          </cell>
          <cell r="K194">
            <v>-93896.15</v>
          </cell>
          <cell r="L194">
            <v>433383.38000000006</v>
          </cell>
        </row>
        <row r="195">
          <cell r="D195">
            <v>50714679</v>
          </cell>
          <cell r="K195">
            <v>-47327.41</v>
          </cell>
          <cell r="L195">
            <v>574006.88</v>
          </cell>
        </row>
        <row r="196">
          <cell r="D196">
            <v>57374459</v>
          </cell>
          <cell r="K196">
            <v>-192519.63999999998</v>
          </cell>
          <cell r="L196">
            <v>502248.23000000004</v>
          </cell>
        </row>
        <row r="197">
          <cell r="D197">
            <v>39102962</v>
          </cell>
          <cell r="K197">
            <v>-113232.33999999998</v>
          </cell>
          <cell r="L197">
            <v>350914.42000000004</v>
          </cell>
        </row>
        <row r="198">
          <cell r="D198">
            <v>32547417</v>
          </cell>
          <cell r="K198">
            <v>-173857.91999999998</v>
          </cell>
          <cell r="L198">
            <v>246849.65000000002</v>
          </cell>
        </row>
        <row r="199">
          <cell r="D199">
            <v>30633633</v>
          </cell>
          <cell r="K199">
            <v>-220781.4</v>
          </cell>
          <cell r="L199">
            <v>211941.39</v>
          </cell>
        </row>
        <row r="200">
          <cell r="D200">
            <v>35220035</v>
          </cell>
          <cell r="K200">
            <v>-242124.02000000005</v>
          </cell>
          <cell r="L200">
            <v>317573.61</v>
          </cell>
        </row>
        <row r="201">
          <cell r="D201">
            <v>39083562</v>
          </cell>
          <cell r="K201">
            <v>-69218.91</v>
          </cell>
          <cell r="L201">
            <v>466435.26999999996</v>
          </cell>
        </row>
        <row r="202">
          <cell r="D202">
            <v>35367916</v>
          </cell>
          <cell r="K202">
            <v>-89933.58</v>
          </cell>
          <cell r="L202">
            <v>430734.82000000007</v>
          </cell>
        </row>
        <row r="203">
          <cell r="D203">
            <v>31880074</v>
          </cell>
          <cell r="K203">
            <v>-128032.57999999999</v>
          </cell>
          <cell r="L203">
            <v>334548.19</v>
          </cell>
        </row>
        <row r="204">
          <cell r="D204">
            <v>30669915</v>
          </cell>
          <cell r="K204">
            <v>-131233.15</v>
          </cell>
          <cell r="L204">
            <v>362226.20000000007</v>
          </cell>
        </row>
        <row r="205">
          <cell r="D205">
            <v>34589270</v>
          </cell>
          <cell r="K205">
            <v>-163902.52000000002</v>
          </cell>
          <cell r="L205">
            <v>417428.27</v>
          </cell>
        </row>
      </sheetData>
      <sheetData sheetId="1">
        <row r="1">
          <cell r="A1" t="str">
            <v>Cumberland Valley Electric</v>
          </cell>
        </row>
        <row r="2">
          <cell r="A2" t="str">
            <v>Case No.  2016-00xxx</v>
          </cell>
        </row>
        <row r="4">
          <cell r="A4">
            <v>42338</v>
          </cell>
        </row>
      </sheetData>
      <sheetData sheetId="5">
        <row r="67">
          <cell r="B67">
            <v>6986348.459999998</v>
          </cell>
          <cell r="F67">
            <v>23586913.169281997</v>
          </cell>
          <cell r="G67">
            <v>655.5</v>
          </cell>
          <cell r="H67">
            <v>30096</v>
          </cell>
          <cell r="J67">
            <v>98532</v>
          </cell>
          <cell r="K67">
            <v>530012</v>
          </cell>
          <cell r="L67">
            <v>63720</v>
          </cell>
          <cell r="M67">
            <v>692264</v>
          </cell>
        </row>
        <row r="70">
          <cell r="H70">
            <v>29376</v>
          </cell>
          <cell r="M70">
            <v>675804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justed is"/>
      <sheetName val="adjusted bs "/>
      <sheetName val="adjustments"/>
      <sheetName val="proposed rev"/>
    </sheetNames>
    <sheetDataSet>
      <sheetData sheetId="0">
        <row r="18">
          <cell r="C18">
            <v>2818449</v>
          </cell>
        </row>
      </sheetData>
      <sheetData sheetId="2">
        <row r="13">
          <cell r="R13">
            <v>-3474.8547181820722</v>
          </cell>
        </row>
        <row r="19">
          <cell r="P19">
            <v>-17184</v>
          </cell>
        </row>
        <row r="20">
          <cell r="P20">
            <v>-2818449</v>
          </cell>
        </row>
        <row r="21">
          <cell r="D21">
            <v>4320</v>
          </cell>
          <cell r="E21">
            <v>462</v>
          </cell>
          <cell r="F21">
            <v>-1138</v>
          </cell>
          <cell r="H21">
            <v>1927</v>
          </cell>
        </row>
        <row r="22">
          <cell r="D22">
            <v>13860</v>
          </cell>
          <cell r="E22">
            <v>1482</v>
          </cell>
          <cell r="F22">
            <v>-2034</v>
          </cell>
          <cell r="H22">
            <v>6183</v>
          </cell>
        </row>
        <row r="23">
          <cell r="D23">
            <v>12128</v>
          </cell>
          <cell r="E23">
            <v>1297</v>
          </cell>
          <cell r="F23">
            <v>-523</v>
          </cell>
          <cell r="H23">
            <v>5410</v>
          </cell>
        </row>
        <row r="24">
          <cell r="D24">
            <v>1059</v>
          </cell>
          <cell r="E24">
            <v>113</v>
          </cell>
          <cell r="F24">
            <v>-432</v>
          </cell>
          <cell r="H24">
            <v>473</v>
          </cell>
        </row>
        <row r="26">
          <cell r="D26">
            <v>8643</v>
          </cell>
          <cell r="E26">
            <v>924</v>
          </cell>
          <cell r="F26">
            <v>-742</v>
          </cell>
          <cell r="H26">
            <v>3856</v>
          </cell>
          <cell r="I26">
            <v>-1144</v>
          </cell>
          <cell r="K26">
            <v>-17212</v>
          </cell>
          <cell r="L26">
            <v>-68173</v>
          </cell>
          <cell r="M26">
            <v>-2169</v>
          </cell>
          <cell r="N26">
            <v>35000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426.10"/>
      <sheetName val="923.00"/>
      <sheetName val="directors"/>
      <sheetName val="ads"/>
      <sheetName val="dues"/>
      <sheetName val="anl mtg"/>
    </sheetNames>
    <sheetDataSet>
      <sheetData sheetId="2">
        <row r="59">
          <cell r="F59">
            <v>17211.690000000002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venue Analysis"/>
      <sheetName val="Rate Change Summary"/>
      <sheetName val="Sheet1"/>
      <sheetName val="Yr End Cust Adj"/>
      <sheetName val="Purchased Power"/>
    </sheetNames>
    <sheetDataSet>
      <sheetData sheetId="0">
        <row r="7">
          <cell r="F7">
            <v>28053473.5816</v>
          </cell>
        </row>
        <row r="8">
          <cell r="F8">
            <v>170141.22343</v>
          </cell>
        </row>
        <row r="9">
          <cell r="F9">
            <v>37899.48078</v>
          </cell>
        </row>
        <row r="10">
          <cell r="F10">
            <v>1500641.54559</v>
          </cell>
        </row>
        <row r="11">
          <cell r="F11">
            <v>837357.3101</v>
          </cell>
        </row>
        <row r="12">
          <cell r="F12">
            <v>1270329.9474499999</v>
          </cell>
        </row>
        <row r="13">
          <cell r="F13">
            <v>1143450.434</v>
          </cell>
        </row>
        <row r="14">
          <cell r="F14">
            <v>6811729.40976</v>
          </cell>
        </row>
        <row r="15">
          <cell r="F15">
            <v>1364318.03</v>
          </cell>
        </row>
        <row r="16">
          <cell r="F16">
            <v>779.7</v>
          </cell>
        </row>
      </sheetData>
      <sheetData sheetId="1">
        <row r="6">
          <cell r="C6">
            <v>262406</v>
          </cell>
        </row>
        <row r="39">
          <cell r="C39">
            <v>1846</v>
          </cell>
        </row>
        <row r="101">
          <cell r="C101">
            <v>15967</v>
          </cell>
        </row>
        <row r="131">
          <cell r="C131">
            <v>1654</v>
          </cell>
        </row>
        <row r="163">
          <cell r="C163">
            <v>577</v>
          </cell>
        </row>
        <row r="194">
          <cell r="C194">
            <v>15</v>
          </cell>
        </row>
        <row r="224">
          <cell r="C224">
            <v>984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venue Analysis"/>
      <sheetName val="Sheet1"/>
    </sheetNames>
    <sheetDataSet>
      <sheetData sheetId="1">
        <row r="11">
          <cell r="C11">
            <v>300860320</v>
          </cell>
        </row>
        <row r="12">
          <cell r="E12">
            <v>27951430.0516</v>
          </cell>
          <cell r="I12">
            <v>28053473.5816</v>
          </cell>
          <cell r="M12">
            <v>29682221.835200004</v>
          </cell>
        </row>
        <row r="45">
          <cell r="C45">
            <v>1734061</v>
          </cell>
        </row>
        <row r="46">
          <cell r="E46">
            <v>169299.65000000002</v>
          </cell>
          <cell r="I46">
            <v>170141.22343</v>
          </cell>
          <cell r="M46">
            <v>181320.10796000002</v>
          </cell>
        </row>
        <row r="75">
          <cell r="C75">
            <v>737631</v>
          </cell>
          <cell r="E75">
            <v>37815.21000000001</v>
          </cell>
          <cell r="I75">
            <v>37899.48078</v>
          </cell>
          <cell r="M75">
            <v>63701.813160000005</v>
          </cell>
        </row>
        <row r="108">
          <cell r="C108">
            <v>10626321</v>
          </cell>
        </row>
        <row r="109">
          <cell r="C109">
            <v>3862542</v>
          </cell>
        </row>
        <row r="110">
          <cell r="E110">
            <v>1493911.06559</v>
          </cell>
          <cell r="I110">
            <v>1500641.54559</v>
          </cell>
          <cell r="M110">
            <v>1598047.86109</v>
          </cell>
        </row>
        <row r="139">
          <cell r="C139">
            <v>2887110</v>
          </cell>
        </row>
        <row r="140">
          <cell r="C140">
            <v>4506034</v>
          </cell>
        </row>
        <row r="141">
          <cell r="E141">
            <v>836667.3101</v>
          </cell>
          <cell r="I141">
            <v>837357.3101</v>
          </cell>
          <cell r="M141">
            <v>865013.9786</v>
          </cell>
        </row>
        <row r="169">
          <cell r="C169">
            <v>15867403</v>
          </cell>
        </row>
        <row r="170">
          <cell r="E170">
            <v>1269444.02745</v>
          </cell>
          <cell r="I170">
            <v>1270329.9474499999</v>
          </cell>
          <cell r="M170">
            <v>1301704.2012</v>
          </cell>
        </row>
        <row r="200">
          <cell r="C200">
            <v>16450200</v>
          </cell>
        </row>
        <row r="201">
          <cell r="E201">
            <v>1139142.93</v>
          </cell>
          <cell r="I201">
            <v>1143450.434</v>
          </cell>
          <cell r="M201">
            <v>1144200.434</v>
          </cell>
        </row>
        <row r="231">
          <cell r="C231">
            <v>90899192</v>
          </cell>
        </row>
        <row r="232">
          <cell r="E232">
            <v>6806613.45976</v>
          </cell>
          <cell r="I232">
            <v>6811729.40976</v>
          </cell>
          <cell r="M232">
            <v>6836329.40976</v>
          </cell>
        </row>
        <row r="269">
          <cell r="E269">
            <v>1333495</v>
          </cell>
          <cell r="I269">
            <v>1364318.03</v>
          </cell>
          <cell r="M269">
            <v>1492992.7921000002</v>
          </cell>
        </row>
        <row r="298">
          <cell r="E298">
            <v>780</v>
          </cell>
        </row>
        <row r="326">
          <cell r="E326">
            <v>-1665195.555946526</v>
          </cell>
        </row>
        <row r="327">
          <cell r="E327">
            <v>4648100.722435659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rate class"/>
      <sheetName val="summary"/>
      <sheetName val="average use"/>
      <sheetName val="public notice"/>
      <sheetName val="power cost"/>
      <sheetName val="additional"/>
      <sheetName val="explanation"/>
    </sheetNames>
    <sheetDataSet>
      <sheetData sheetId="0">
        <row r="182">
          <cell r="J182">
            <v>4970</v>
          </cell>
          <cell r="K182">
            <v>1368</v>
          </cell>
        </row>
        <row r="183">
          <cell r="J183">
            <v>5040</v>
          </cell>
          <cell r="K183">
            <v>1378</v>
          </cell>
        </row>
        <row r="184">
          <cell r="J184">
            <v>4970</v>
          </cell>
          <cell r="K184">
            <v>1390</v>
          </cell>
        </row>
        <row r="185">
          <cell r="J185">
            <v>5180</v>
          </cell>
          <cell r="K185">
            <v>1390</v>
          </cell>
        </row>
        <row r="186">
          <cell r="J186">
            <v>5180</v>
          </cell>
          <cell r="K186">
            <v>1390</v>
          </cell>
        </row>
        <row r="187">
          <cell r="J187">
            <v>5110</v>
          </cell>
          <cell r="K187">
            <v>1382</v>
          </cell>
        </row>
        <row r="188">
          <cell r="J188">
            <v>60760</v>
          </cell>
          <cell r="K188">
            <v>16404</v>
          </cell>
        </row>
        <row r="191">
          <cell r="K191" t="str">
            <v>Fuel</v>
          </cell>
        </row>
        <row r="192">
          <cell r="K192" t="str">
            <v>Charge</v>
          </cell>
        </row>
        <row r="194">
          <cell r="K194">
            <v>-93896.15</v>
          </cell>
        </row>
      </sheetData>
      <sheetData sheetId="1">
        <row r="294">
          <cell r="B294">
            <v>27600</v>
          </cell>
        </row>
        <row r="298">
          <cell r="E298">
            <v>779.7</v>
          </cell>
          <cell r="G298">
            <v>779.7</v>
          </cell>
        </row>
      </sheetData>
      <sheetData sheetId="5">
        <row r="54">
          <cell r="O54">
            <v>-37919</v>
          </cell>
          <cell r="Q54">
            <v>497956</v>
          </cell>
        </row>
        <row r="55">
          <cell r="O55">
            <v>-186080</v>
          </cell>
          <cell r="Q55">
            <v>476284</v>
          </cell>
        </row>
        <row r="56">
          <cell r="O56">
            <v>-169487</v>
          </cell>
          <cell r="Q56">
            <v>491511</v>
          </cell>
        </row>
        <row r="57">
          <cell r="O57">
            <v>-171712</v>
          </cell>
          <cell r="Q57">
            <v>309221</v>
          </cell>
        </row>
        <row r="58">
          <cell r="O58">
            <v>-169424</v>
          </cell>
          <cell r="Q58">
            <v>196683</v>
          </cell>
        </row>
        <row r="59">
          <cell r="O59">
            <v>-243204</v>
          </cell>
          <cell r="Q59">
            <v>266978</v>
          </cell>
        </row>
        <row r="60">
          <cell r="O60">
            <v>-89820</v>
          </cell>
          <cell r="Q60">
            <v>425853</v>
          </cell>
        </row>
        <row r="61">
          <cell r="O61">
            <v>-110982</v>
          </cell>
          <cell r="Q61">
            <v>457113</v>
          </cell>
        </row>
        <row r="62">
          <cell r="O62">
            <v>-134650</v>
          </cell>
          <cell r="Q62">
            <v>364156</v>
          </cell>
        </row>
        <row r="63">
          <cell r="O63">
            <v>-117425</v>
          </cell>
          <cell r="Q63">
            <v>331163</v>
          </cell>
        </row>
        <row r="64">
          <cell r="O64">
            <v>-141395</v>
          </cell>
          <cell r="Q64">
            <v>325488</v>
          </cell>
        </row>
        <row r="65">
          <cell r="O65">
            <v>-126849</v>
          </cell>
          <cell r="Q65">
            <v>411075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justed is"/>
      <sheetName val="adjusted bs "/>
      <sheetName val="adjustments"/>
      <sheetName val="proposed rev"/>
    </sheetNames>
    <sheetDataSet>
      <sheetData sheetId="0">
        <row r="9">
          <cell r="I9">
            <v>1975811.5593503206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J1" sqref="J1"/>
    </sheetView>
  </sheetViews>
  <sheetFormatPr defaultColWidth="9.140625" defaultRowHeight="12.75"/>
  <sheetData>
    <row r="1" ht="12.75">
      <c r="J1" s="407" t="s">
        <v>660</v>
      </c>
    </row>
    <row r="4" spans="1:10" s="42" customFormat="1" ht="30">
      <c r="A4" s="419" t="s">
        <v>345</v>
      </c>
      <c r="B4" s="419"/>
      <c r="C4" s="419"/>
      <c r="D4" s="419"/>
      <c r="E4" s="419"/>
      <c r="F4" s="419"/>
      <c r="G4" s="419"/>
      <c r="H4" s="419"/>
      <c r="I4" s="419"/>
      <c r="J4" s="419"/>
    </row>
    <row r="5" spans="1:10" s="43" customFormat="1" ht="26.25">
      <c r="A5" s="421" t="s">
        <v>346</v>
      </c>
      <c r="B5" s="421"/>
      <c r="C5" s="421"/>
      <c r="D5" s="421"/>
      <c r="E5" s="421"/>
      <c r="F5" s="421"/>
      <c r="G5" s="421"/>
      <c r="H5" s="421"/>
      <c r="I5" s="421"/>
      <c r="J5" s="421"/>
    </row>
    <row r="8" spans="1:10" s="42" customFormat="1" ht="30">
      <c r="A8" s="419" t="s">
        <v>657</v>
      </c>
      <c r="B8" s="419"/>
      <c r="C8" s="419"/>
      <c r="D8" s="419"/>
      <c r="E8" s="419"/>
      <c r="F8" s="419"/>
      <c r="G8" s="419"/>
      <c r="H8" s="419"/>
      <c r="I8" s="419"/>
      <c r="J8" s="419"/>
    </row>
    <row r="9" spans="1:10" s="42" customFormat="1" ht="30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s="42" customFormat="1" ht="30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2" spans="1:10" ht="12.75">
      <c r="A12" s="419" t="s">
        <v>631</v>
      </c>
      <c r="B12" s="419"/>
      <c r="C12" s="419"/>
      <c r="D12" s="419"/>
      <c r="E12" s="419"/>
      <c r="F12" s="419"/>
      <c r="G12" s="419"/>
      <c r="H12" s="419"/>
      <c r="I12" s="419"/>
      <c r="J12" s="419"/>
    </row>
    <row r="13" spans="1:10" s="42" customFormat="1" ht="30">
      <c r="A13" s="419"/>
      <c r="B13" s="419"/>
      <c r="C13" s="419"/>
      <c r="D13" s="419"/>
      <c r="E13" s="419"/>
      <c r="F13" s="419"/>
      <c r="G13" s="419"/>
      <c r="H13" s="419"/>
      <c r="I13" s="419"/>
      <c r="J13" s="419"/>
    </row>
    <row r="15" spans="1:10" ht="30">
      <c r="A15" s="419" t="s">
        <v>355</v>
      </c>
      <c r="B15" s="419"/>
      <c r="C15" s="419"/>
      <c r="D15" s="419"/>
      <c r="E15" s="419"/>
      <c r="F15" s="419"/>
      <c r="G15" s="419"/>
      <c r="H15" s="419"/>
      <c r="I15" s="419"/>
      <c r="J15" s="419"/>
    </row>
    <row r="17" spans="1:9" ht="30">
      <c r="A17" s="73" t="s">
        <v>356</v>
      </c>
      <c r="B17" s="73"/>
      <c r="C17" s="73"/>
      <c r="D17" s="73"/>
      <c r="E17" s="73"/>
      <c r="F17" s="73"/>
      <c r="G17" s="73"/>
      <c r="H17" s="73"/>
      <c r="I17" s="73"/>
    </row>
    <row r="29" spans="1:10" ht="15.75">
      <c r="A29" s="420" t="s">
        <v>632</v>
      </c>
      <c r="B29" s="420"/>
      <c r="C29" s="420"/>
      <c r="D29" s="420"/>
      <c r="E29" s="420"/>
      <c r="F29" s="420"/>
      <c r="G29" s="420"/>
      <c r="H29" s="420"/>
      <c r="I29" s="420"/>
      <c r="J29" s="420"/>
    </row>
    <row r="33" spans="7:10" s="45" customFormat="1" ht="15.75">
      <c r="G33"/>
      <c r="H33"/>
      <c r="I33"/>
      <c r="J33"/>
    </row>
    <row r="34" spans="7:9" s="45" customFormat="1" ht="15.75">
      <c r="G34" s="45" t="s">
        <v>24</v>
      </c>
      <c r="I34" s="46" t="s">
        <v>24</v>
      </c>
    </row>
    <row r="38" ht="12.75">
      <c r="H38" t="s">
        <v>350</v>
      </c>
    </row>
  </sheetData>
  <sheetProtection/>
  <mergeCells count="6">
    <mergeCell ref="A15:J15"/>
    <mergeCell ref="A29:J29"/>
    <mergeCell ref="A4:J4"/>
    <mergeCell ref="A5:J5"/>
    <mergeCell ref="A8:J8"/>
    <mergeCell ref="A12:J13"/>
  </mergeCells>
  <printOptions/>
  <pageMargins left="0.75" right="0.75" top="1" bottom="1" header="0.5" footer="0.5"/>
  <pageSetup horizontalDpi="300" verticalDpi="3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C126"/>
  <sheetViews>
    <sheetView zoomScalePageLayoutView="0" workbookViewId="0" topLeftCell="A43">
      <selection activeCell="F26" sqref="F26"/>
    </sheetView>
  </sheetViews>
  <sheetFormatPr defaultColWidth="9.140625" defaultRowHeight="12.75"/>
  <cols>
    <col min="1" max="1" width="9.140625" style="196" customWidth="1"/>
    <col min="2" max="2" width="10.8515625" style="196" customWidth="1"/>
    <col min="3" max="3" width="14.421875" style="196" customWidth="1"/>
    <col min="4" max="4" width="14.28125" style="196" customWidth="1"/>
    <col min="5" max="5" width="13.00390625" style="196" customWidth="1"/>
    <col min="6" max="6" width="12.57421875" style="196" customWidth="1"/>
    <col min="7" max="7" width="12.28125" style="196" customWidth="1"/>
    <col min="8" max="10" width="12.57421875" style="196" customWidth="1"/>
    <col min="11" max="11" width="15.421875" style="196" customWidth="1"/>
    <col min="12" max="12" width="13.28125" style="196" customWidth="1"/>
    <col min="13" max="13" width="12.57421875" style="196" customWidth="1"/>
    <col min="14" max="14" width="11.8515625" style="196" customWidth="1"/>
    <col min="15" max="15" width="3.00390625" style="196" customWidth="1"/>
    <col min="16" max="16" width="14.28125" style="196" customWidth="1"/>
    <col min="17" max="17" width="9.140625" style="196" customWidth="1"/>
    <col min="18" max="18" width="14.00390625" style="196" bestFit="1" customWidth="1"/>
    <col min="19" max="20" width="12.57421875" style="196" customWidth="1"/>
    <col min="21" max="21" width="9.140625" style="196" customWidth="1"/>
    <col min="22" max="22" width="23.421875" style="196" customWidth="1"/>
    <col min="23" max="23" width="3.28125" style="196" customWidth="1"/>
    <col min="24" max="24" width="13.00390625" style="196" customWidth="1"/>
    <col min="25" max="25" width="9.140625" style="196" customWidth="1"/>
    <col min="26" max="26" width="1.7109375" style="196" customWidth="1"/>
    <col min="27" max="27" width="12.421875" style="196" customWidth="1"/>
    <col min="28" max="28" width="2.421875" style="196" customWidth="1"/>
    <col min="29" max="29" width="15.28125" style="196" customWidth="1"/>
    <col min="30" max="16384" width="9.140625" style="196" customWidth="1"/>
  </cols>
  <sheetData>
    <row r="3" spans="1:11" ht="12.7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2.75">
      <c r="A4" s="332"/>
      <c r="B4" s="332"/>
      <c r="C4" s="331"/>
      <c r="D4" s="331"/>
      <c r="E4" s="331"/>
      <c r="F4" s="331"/>
      <c r="G4" s="331"/>
      <c r="H4" s="331"/>
      <c r="I4" s="331"/>
      <c r="J4" s="331"/>
      <c r="K4" s="331"/>
    </row>
    <row r="5" spans="1:11" ht="12.75">
      <c r="A5" s="332" t="s">
        <v>105</v>
      </c>
      <c r="B5" s="332"/>
      <c r="C5" s="332" t="s">
        <v>212</v>
      </c>
      <c r="D5" s="332"/>
      <c r="E5" s="332"/>
      <c r="F5" s="332"/>
      <c r="G5" s="332"/>
      <c r="H5" s="331"/>
      <c r="I5" s="331"/>
      <c r="J5" s="331"/>
      <c r="K5" s="331"/>
    </row>
    <row r="6" spans="1:11" ht="12.7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</row>
    <row r="7" spans="1:20" ht="12.75">
      <c r="A7" s="331"/>
      <c r="B7" s="331"/>
      <c r="C7" s="333" t="s">
        <v>295</v>
      </c>
      <c r="D7" s="333" t="s">
        <v>295</v>
      </c>
      <c r="E7" s="333" t="s">
        <v>298</v>
      </c>
      <c r="F7" s="333" t="s">
        <v>298</v>
      </c>
      <c r="G7" s="333" t="s">
        <v>302</v>
      </c>
      <c r="H7" s="333" t="s">
        <v>304</v>
      </c>
      <c r="I7" s="333" t="s">
        <v>306</v>
      </c>
      <c r="J7" s="333" t="s">
        <v>307</v>
      </c>
      <c r="K7" s="334"/>
      <c r="L7" s="198"/>
      <c r="M7" s="198"/>
      <c r="N7" s="198"/>
      <c r="O7" s="198"/>
      <c r="P7" s="198"/>
      <c r="Q7" s="198"/>
      <c r="R7" s="198"/>
      <c r="S7" s="198"/>
      <c r="T7" s="199"/>
    </row>
    <row r="8" spans="1:20" ht="12.75">
      <c r="A8" s="331"/>
      <c r="B8" s="331"/>
      <c r="C8" s="333" t="s">
        <v>223</v>
      </c>
      <c r="D8" s="333" t="s">
        <v>223</v>
      </c>
      <c r="E8" s="333" t="s">
        <v>299</v>
      </c>
      <c r="F8" s="333" t="s">
        <v>245</v>
      </c>
      <c r="G8" s="333" t="s">
        <v>303</v>
      </c>
      <c r="H8" s="333" t="s">
        <v>135</v>
      </c>
      <c r="I8" s="333" t="s">
        <v>135</v>
      </c>
      <c r="J8" s="333" t="s">
        <v>308</v>
      </c>
      <c r="K8" s="335" t="s">
        <v>88</v>
      </c>
      <c r="L8" s="198"/>
      <c r="M8" s="198"/>
      <c r="N8" s="198"/>
      <c r="O8" s="198"/>
      <c r="P8" s="198"/>
      <c r="Q8" s="198"/>
      <c r="R8" s="198"/>
      <c r="S8" s="198"/>
      <c r="T8" s="199"/>
    </row>
    <row r="9" spans="1:19" ht="15">
      <c r="A9" s="336" t="s">
        <v>91</v>
      </c>
      <c r="B9" s="331"/>
      <c r="C9" s="337" t="s">
        <v>296</v>
      </c>
      <c r="D9" s="337" t="s">
        <v>297</v>
      </c>
      <c r="E9" s="337" t="s">
        <v>300</v>
      </c>
      <c r="F9" s="337" t="s">
        <v>301</v>
      </c>
      <c r="G9" s="337" t="s">
        <v>296</v>
      </c>
      <c r="H9" s="337" t="s">
        <v>305</v>
      </c>
      <c r="I9" s="337" t="s">
        <v>136</v>
      </c>
      <c r="J9" s="337" t="s">
        <v>244</v>
      </c>
      <c r="K9" s="331"/>
      <c r="L9" s="198"/>
      <c r="M9" s="198"/>
      <c r="N9" s="198"/>
      <c r="O9" s="198"/>
      <c r="P9" s="198"/>
      <c r="Q9" s="198"/>
      <c r="R9" s="198"/>
      <c r="S9" s="198"/>
    </row>
    <row r="10" spans="1:20" ht="12.75">
      <c r="A10" s="331"/>
      <c r="B10" s="331" t="s">
        <v>24</v>
      </c>
      <c r="C10" s="333" t="s">
        <v>24</v>
      </c>
      <c r="D10" s="333" t="s">
        <v>24</v>
      </c>
      <c r="E10" s="333" t="s">
        <v>24</v>
      </c>
      <c r="F10" s="333" t="s">
        <v>24</v>
      </c>
      <c r="G10" s="331" t="s">
        <v>24</v>
      </c>
      <c r="H10" s="331"/>
      <c r="I10" s="331"/>
      <c r="J10" s="331"/>
      <c r="K10" s="334"/>
      <c r="L10" s="198"/>
      <c r="M10" s="198"/>
      <c r="N10" s="198"/>
      <c r="O10" s="198"/>
      <c r="P10" s="198"/>
      <c r="Q10" s="198"/>
      <c r="R10" s="198"/>
      <c r="S10" s="198"/>
      <c r="T10" s="198"/>
    </row>
    <row r="11" spans="1:29" ht="15">
      <c r="A11" s="331" t="s">
        <v>92</v>
      </c>
      <c r="B11" s="331"/>
      <c r="C11" s="338">
        <v>29103214</v>
      </c>
      <c r="D11" s="339">
        <v>119674</v>
      </c>
      <c r="E11" s="340">
        <v>1173456</v>
      </c>
      <c r="F11" s="340">
        <v>597612</v>
      </c>
      <c r="G11" s="340">
        <v>1335021</v>
      </c>
      <c r="H11" s="340">
        <v>1956600</v>
      </c>
      <c r="I11" s="340">
        <v>7091903</v>
      </c>
      <c r="J11" s="340">
        <v>938854</v>
      </c>
      <c r="K11" s="341">
        <f>SUM(C11:J11)</f>
        <v>42316334</v>
      </c>
      <c r="L11" s="198"/>
      <c r="M11" s="201" t="s">
        <v>24</v>
      </c>
      <c r="N11" s="200" t="s">
        <v>24</v>
      </c>
      <c r="O11" s="198"/>
      <c r="P11" s="198"/>
      <c r="Q11" s="198"/>
      <c r="R11" s="198"/>
      <c r="S11" s="198"/>
      <c r="T11" s="198"/>
      <c r="V11" s="197" t="s">
        <v>198</v>
      </c>
      <c r="W11" s="197"/>
      <c r="X11" s="196">
        <f>(C24)</f>
        <v>300860320</v>
      </c>
      <c r="Y11" s="196">
        <f>(X11/$X$24)</f>
        <v>0.23655767158917057</v>
      </c>
      <c r="AA11" s="196">
        <f>(Y11*$AA$24)</f>
        <v>549107.839272661</v>
      </c>
      <c r="AC11" s="196">
        <f>(Y11*$AC$24)</f>
        <v>626332.0911629458</v>
      </c>
    </row>
    <row r="12" spans="1:29" ht="15">
      <c r="A12" s="331" t="s">
        <v>93</v>
      </c>
      <c r="B12" s="331"/>
      <c r="C12" s="338">
        <v>36498522</v>
      </c>
      <c r="D12" s="339">
        <v>160352</v>
      </c>
      <c r="E12" s="340">
        <v>1362903</v>
      </c>
      <c r="F12" s="340">
        <v>645799</v>
      </c>
      <c r="G12" s="340">
        <v>1584899</v>
      </c>
      <c r="H12" s="340">
        <v>1602000</v>
      </c>
      <c r="I12" s="340">
        <v>7788431</v>
      </c>
      <c r="J12" s="340">
        <v>942844</v>
      </c>
      <c r="K12" s="341">
        <f aca="true" t="shared" si="0" ref="K12:K22">SUM(C12:J12)</f>
        <v>50585750</v>
      </c>
      <c r="L12" s="198"/>
      <c r="M12" s="201" t="s">
        <v>24</v>
      </c>
      <c r="N12" s="200" t="s">
        <v>24</v>
      </c>
      <c r="O12" s="198"/>
      <c r="P12" s="198"/>
      <c r="Q12" s="198"/>
      <c r="R12" s="198"/>
      <c r="S12" s="198"/>
      <c r="T12" s="198"/>
      <c r="V12" s="197" t="s">
        <v>195</v>
      </c>
      <c r="W12" s="197"/>
      <c r="X12" s="196">
        <f>(D24)</f>
        <v>737631</v>
      </c>
      <c r="Y12" s="196">
        <f aca="true" t="shared" si="1" ref="Y12:Y22">(X12/$X$24)</f>
        <v>0.0005799776848339172</v>
      </c>
      <c r="AA12" s="196">
        <f aca="true" t="shared" si="2" ref="AA12:AA22">(Y12*$AA$24)</f>
        <v>1346.2691410769364</v>
      </c>
      <c r="AC12" s="196">
        <f aca="true" t="shared" si="3" ref="AC12:AC22">(Y12*$AC$24)</f>
        <v>1535.6028562909687</v>
      </c>
    </row>
    <row r="13" spans="1:29" ht="15">
      <c r="A13" s="331" t="s">
        <v>94</v>
      </c>
      <c r="B13" s="331"/>
      <c r="C13" s="338">
        <f>210431+42571298</f>
        <v>42781729</v>
      </c>
      <c r="D13" s="339">
        <v>192039</v>
      </c>
      <c r="E13" s="340">
        <v>1498154</v>
      </c>
      <c r="F13" s="340">
        <v>638848</v>
      </c>
      <c r="G13" s="340">
        <v>1610651</v>
      </c>
      <c r="H13" s="340">
        <v>1728000</v>
      </c>
      <c r="I13" s="340">
        <v>8013886</v>
      </c>
      <c r="J13" s="340">
        <v>941164</v>
      </c>
      <c r="K13" s="341">
        <f t="shared" si="0"/>
        <v>57404471</v>
      </c>
      <c r="L13" s="198"/>
      <c r="M13" s="201" t="s">
        <v>24</v>
      </c>
      <c r="N13" s="200" t="s">
        <v>24</v>
      </c>
      <c r="O13" s="198"/>
      <c r="P13" s="198"/>
      <c r="Q13" s="198"/>
      <c r="R13" s="198"/>
      <c r="S13" s="198"/>
      <c r="T13" s="198"/>
      <c r="V13" s="197" t="s">
        <v>187</v>
      </c>
      <c r="W13" s="197"/>
      <c r="X13" s="196">
        <f>(E24)</f>
        <v>14488863</v>
      </c>
      <c r="Y13" s="196">
        <f t="shared" si="1"/>
        <v>0.011392169280596671</v>
      </c>
      <c r="AA13" s="196">
        <f t="shared" si="2"/>
        <v>26443.99319740006</v>
      </c>
      <c r="AC13" s="196">
        <f t="shared" si="3"/>
        <v>30162.966859050845</v>
      </c>
    </row>
    <row r="14" spans="1:29" ht="15">
      <c r="A14" s="331" t="s">
        <v>95</v>
      </c>
      <c r="B14" s="331"/>
      <c r="C14" s="338">
        <v>27076069</v>
      </c>
      <c r="D14" s="339">
        <v>117757</v>
      </c>
      <c r="E14" s="340">
        <v>1171325</v>
      </c>
      <c r="F14" s="340">
        <v>608159</v>
      </c>
      <c r="G14" s="340">
        <v>1270416</v>
      </c>
      <c r="H14" s="340">
        <v>1591200</v>
      </c>
      <c r="I14" s="340">
        <v>6203863</v>
      </c>
      <c r="J14" s="340">
        <v>940954</v>
      </c>
      <c r="K14" s="341">
        <f t="shared" si="0"/>
        <v>38979743</v>
      </c>
      <c r="L14" s="198"/>
      <c r="M14" s="201" t="s">
        <v>24</v>
      </c>
      <c r="N14" s="200" t="s">
        <v>24</v>
      </c>
      <c r="O14" s="198"/>
      <c r="P14" s="198"/>
      <c r="Q14" s="198"/>
      <c r="R14" s="198"/>
      <c r="S14" s="198"/>
      <c r="T14" s="198"/>
      <c r="V14" s="197" t="s">
        <v>188</v>
      </c>
      <c r="W14" s="197"/>
      <c r="X14" s="196">
        <f>(F24)</f>
        <v>7393144</v>
      </c>
      <c r="Y14" s="196">
        <f t="shared" si="1"/>
        <v>0.005813012930264273</v>
      </c>
      <c r="AA14" s="196">
        <f t="shared" si="2"/>
        <v>13493.415573285432</v>
      </c>
      <c r="AC14" s="196">
        <f t="shared" si="3"/>
        <v>15391.073644370204</v>
      </c>
    </row>
    <row r="15" spans="1:29" ht="15">
      <c r="A15" s="331" t="s">
        <v>96</v>
      </c>
      <c r="B15" s="331"/>
      <c r="C15" s="338">
        <v>19397048</v>
      </c>
      <c r="D15" s="339">
        <v>50227</v>
      </c>
      <c r="E15" s="340">
        <v>1148740</v>
      </c>
      <c r="F15" s="340">
        <v>649327</v>
      </c>
      <c r="G15" s="340">
        <v>1240462</v>
      </c>
      <c r="H15" s="340">
        <v>1648800</v>
      </c>
      <c r="I15" s="340">
        <v>7381378</v>
      </c>
      <c r="J15" s="340">
        <v>941374</v>
      </c>
      <c r="K15" s="341">
        <f t="shared" si="0"/>
        <v>32457356</v>
      </c>
      <c r="L15" s="198"/>
      <c r="M15" s="201" t="s">
        <v>24</v>
      </c>
      <c r="N15" s="200" t="s">
        <v>24</v>
      </c>
      <c r="O15" s="198"/>
      <c r="P15" s="198"/>
      <c r="Q15" s="198"/>
      <c r="R15" s="198"/>
      <c r="S15" s="198"/>
      <c r="T15" s="198"/>
      <c r="V15" s="197" t="s">
        <v>194</v>
      </c>
      <c r="W15" s="197"/>
      <c r="X15" s="196">
        <f>(G24)</f>
        <v>15867403</v>
      </c>
      <c r="Y15" s="196">
        <f t="shared" si="1"/>
        <v>0.012476074970095823</v>
      </c>
      <c r="AA15" s="196">
        <f t="shared" si="2"/>
        <v>28960.00169181014</v>
      </c>
      <c r="AC15" s="196">
        <f t="shared" si="3"/>
        <v>33032.816365797924</v>
      </c>
    </row>
    <row r="16" spans="1:29" ht="15">
      <c r="A16" s="331" t="s">
        <v>97</v>
      </c>
      <c r="B16" s="331"/>
      <c r="C16" s="338">
        <v>17973045</v>
      </c>
      <c r="D16" s="339">
        <v>12568</v>
      </c>
      <c r="E16" s="340">
        <v>1053649</v>
      </c>
      <c r="F16" s="340">
        <v>640603</v>
      </c>
      <c r="G16" s="340">
        <v>1207283</v>
      </c>
      <c r="H16" s="340">
        <v>1335600</v>
      </c>
      <c r="I16" s="340">
        <v>7373376</v>
      </c>
      <c r="J16" s="340">
        <v>942354</v>
      </c>
      <c r="K16" s="341">
        <f t="shared" si="0"/>
        <v>30538478</v>
      </c>
      <c r="L16" s="198"/>
      <c r="M16" s="201" t="s">
        <v>24</v>
      </c>
      <c r="N16" s="200" t="s">
        <v>24</v>
      </c>
      <c r="O16" s="198"/>
      <c r="P16" s="198"/>
      <c r="Q16" s="198"/>
      <c r="R16" s="198"/>
      <c r="S16" s="198"/>
      <c r="T16" s="198"/>
      <c r="V16" s="197" t="s">
        <v>190</v>
      </c>
      <c r="W16" s="197"/>
      <c r="X16" s="196">
        <f>(H24)</f>
        <v>16450200</v>
      </c>
      <c r="Y16" s="196">
        <f t="shared" si="1"/>
        <v>0.012934311208524188</v>
      </c>
      <c r="AA16" s="196">
        <f t="shared" si="2"/>
        <v>30023.679352608313</v>
      </c>
      <c r="AC16" s="196">
        <f t="shared" si="3"/>
        <v>34246.08524663103</v>
      </c>
    </row>
    <row r="17" spans="1:29" ht="15">
      <c r="A17" s="331" t="s">
        <v>98</v>
      </c>
      <c r="B17" s="331"/>
      <c r="C17" s="338">
        <v>21815204</v>
      </c>
      <c r="D17" s="339">
        <v>935</v>
      </c>
      <c r="E17" s="340">
        <v>1176442</v>
      </c>
      <c r="F17" s="340">
        <v>635825</v>
      </c>
      <c r="G17" s="340">
        <v>1192677</v>
      </c>
      <c r="H17" s="340">
        <v>1242000</v>
      </c>
      <c r="I17" s="340">
        <v>8091828</v>
      </c>
      <c r="J17" s="340">
        <v>939624</v>
      </c>
      <c r="K17" s="341">
        <f t="shared" si="0"/>
        <v>35094535</v>
      </c>
      <c r="L17" s="198"/>
      <c r="M17" s="201" t="s">
        <v>24</v>
      </c>
      <c r="N17" s="200" t="s">
        <v>24</v>
      </c>
      <c r="O17" s="198"/>
      <c r="P17" s="198"/>
      <c r="Q17" s="198"/>
      <c r="R17" s="198"/>
      <c r="S17" s="198"/>
      <c r="T17" s="198"/>
      <c r="V17" s="197" t="s">
        <v>191</v>
      </c>
      <c r="W17" s="197"/>
      <c r="X17" s="196">
        <f>(K24)</f>
        <v>458014479</v>
      </c>
      <c r="Y17" s="196">
        <f t="shared" si="1"/>
        <v>0.36012339116825726</v>
      </c>
      <c r="AA17" s="196">
        <f t="shared" si="2"/>
        <v>835933.900885579</v>
      </c>
      <c r="AC17" s="196">
        <f t="shared" si="3"/>
        <v>953496.1819324566</v>
      </c>
    </row>
    <row r="18" spans="1:29" ht="15">
      <c r="A18" s="331" t="s">
        <v>99</v>
      </c>
      <c r="B18" s="331"/>
      <c r="C18" s="338">
        <v>25916196</v>
      </c>
      <c r="D18" s="339">
        <v>1013</v>
      </c>
      <c r="E18" s="340">
        <v>1366439</v>
      </c>
      <c r="F18" s="340">
        <v>613644</v>
      </c>
      <c r="G18" s="340">
        <v>1033766</v>
      </c>
      <c r="H18" s="340">
        <v>993600</v>
      </c>
      <c r="I18" s="340">
        <v>8044206</v>
      </c>
      <c r="J18" s="340">
        <v>941724</v>
      </c>
      <c r="K18" s="341">
        <f t="shared" si="0"/>
        <v>38910588</v>
      </c>
      <c r="L18" s="198"/>
      <c r="M18" s="201" t="s">
        <v>24</v>
      </c>
      <c r="N18" s="200" t="s">
        <v>24</v>
      </c>
      <c r="O18" s="198"/>
      <c r="P18" s="198"/>
      <c r="Q18" s="198"/>
      <c r="R18" s="198"/>
      <c r="S18" s="198"/>
      <c r="T18" s="198"/>
      <c r="V18" s="197" t="s">
        <v>134</v>
      </c>
      <c r="W18" s="197"/>
      <c r="X18" s="196">
        <f>(L24)</f>
        <v>458014479</v>
      </c>
      <c r="Y18" s="196">
        <f t="shared" si="1"/>
        <v>0.36012339116825726</v>
      </c>
      <c r="AA18" s="196">
        <f t="shared" si="2"/>
        <v>835933.900885579</v>
      </c>
      <c r="AC18" s="196">
        <f t="shared" si="3"/>
        <v>953496.1819324566</v>
      </c>
    </row>
    <row r="19" spans="1:29" ht="15">
      <c r="A19" s="331" t="s">
        <v>100</v>
      </c>
      <c r="B19" s="331"/>
      <c r="C19" s="338">
        <v>21823413</v>
      </c>
      <c r="D19" s="339">
        <v>877</v>
      </c>
      <c r="E19" s="340">
        <v>1205115</v>
      </c>
      <c r="F19" s="340">
        <v>639367</v>
      </c>
      <c r="G19" s="340">
        <v>1356211</v>
      </c>
      <c r="H19" s="340">
        <v>1083600</v>
      </c>
      <c r="I19" s="340">
        <v>8153421</v>
      </c>
      <c r="J19" s="340">
        <v>947534</v>
      </c>
      <c r="K19" s="341">
        <f t="shared" si="0"/>
        <v>35209538</v>
      </c>
      <c r="L19" s="198"/>
      <c r="M19" s="201" t="s">
        <v>24</v>
      </c>
      <c r="N19" s="200" t="s">
        <v>24</v>
      </c>
      <c r="O19" s="198"/>
      <c r="P19" s="198"/>
      <c r="Q19" s="198"/>
      <c r="R19" s="198"/>
      <c r="S19" s="198"/>
      <c r="T19" s="198"/>
      <c r="V19" s="197" t="s">
        <v>192</v>
      </c>
      <c r="W19" s="197"/>
      <c r="X19" s="196" t="str">
        <f>(M24)</f>
        <v> </v>
      </c>
      <c r="Y19" s="196" t="e">
        <f t="shared" si="1"/>
        <v>#VALUE!</v>
      </c>
      <c r="AA19" s="196" t="e">
        <f t="shared" si="2"/>
        <v>#VALUE!</v>
      </c>
      <c r="AC19" s="196" t="e">
        <f t="shared" si="3"/>
        <v>#VALUE!</v>
      </c>
    </row>
    <row r="20" spans="1:29" ht="15">
      <c r="A20" s="331" t="s">
        <v>101</v>
      </c>
      <c r="B20" s="331"/>
      <c r="C20" s="338">
        <v>18538351</v>
      </c>
      <c r="D20" s="339">
        <v>1351</v>
      </c>
      <c r="E20" s="340">
        <v>1145361</v>
      </c>
      <c r="F20" s="340">
        <v>620866</v>
      </c>
      <c r="G20" s="340">
        <v>1527049</v>
      </c>
      <c r="H20" s="340">
        <v>1062000</v>
      </c>
      <c r="I20" s="340">
        <v>7882800</v>
      </c>
      <c r="J20" s="340">
        <v>946526</v>
      </c>
      <c r="K20" s="341">
        <f t="shared" si="0"/>
        <v>31724304</v>
      </c>
      <c r="L20" s="198"/>
      <c r="M20" s="201" t="s">
        <v>24</v>
      </c>
      <c r="N20" s="200" t="s">
        <v>24</v>
      </c>
      <c r="O20" s="198"/>
      <c r="P20" s="198"/>
      <c r="Q20" s="198"/>
      <c r="R20" s="198"/>
      <c r="S20" s="198"/>
      <c r="T20" s="198"/>
      <c r="V20" s="197" t="s">
        <v>193</v>
      </c>
      <c r="W20" s="197"/>
      <c r="X20" s="196" t="str">
        <f>(N24)</f>
        <v> </v>
      </c>
      <c r="Y20" s="196" t="e">
        <f t="shared" si="1"/>
        <v>#VALUE!</v>
      </c>
      <c r="AA20" s="196" t="e">
        <f t="shared" si="2"/>
        <v>#VALUE!</v>
      </c>
      <c r="AC20" s="196" t="e">
        <f t="shared" si="3"/>
        <v>#VALUE!</v>
      </c>
    </row>
    <row r="21" spans="1:29" ht="15">
      <c r="A21" s="331" t="s">
        <v>102</v>
      </c>
      <c r="B21" s="331"/>
      <c r="C21" s="338">
        <v>18105995</v>
      </c>
      <c r="D21" s="339">
        <v>19832</v>
      </c>
      <c r="E21" s="340">
        <v>1119258</v>
      </c>
      <c r="F21" s="340">
        <v>551711</v>
      </c>
      <c r="G21" s="340">
        <v>1264542</v>
      </c>
      <c r="H21" s="340">
        <v>1058400</v>
      </c>
      <c r="I21" s="340">
        <v>7416068</v>
      </c>
      <c r="J21" s="340">
        <v>947772</v>
      </c>
      <c r="K21" s="341">
        <f t="shared" si="0"/>
        <v>30483578</v>
      </c>
      <c r="L21" s="198"/>
      <c r="M21" s="201" t="s">
        <v>126</v>
      </c>
      <c r="N21" s="200" t="s">
        <v>24</v>
      </c>
      <c r="O21" s="198"/>
      <c r="P21" s="198"/>
      <c r="Q21" s="198"/>
      <c r="R21" s="198"/>
      <c r="S21" s="198"/>
      <c r="T21" s="198"/>
      <c r="V21" s="197" t="s">
        <v>189</v>
      </c>
      <c r="W21" s="197"/>
      <c r="X21" s="196">
        <f>(S24)</f>
        <v>0</v>
      </c>
      <c r="Y21" s="196">
        <f t="shared" si="1"/>
        <v>0</v>
      </c>
      <c r="AA21" s="196">
        <f t="shared" si="2"/>
        <v>0</v>
      </c>
      <c r="AC21" s="196">
        <f t="shared" si="3"/>
        <v>0</v>
      </c>
    </row>
    <row r="22" spans="1:29" ht="15">
      <c r="A22" s="331" t="s">
        <v>103</v>
      </c>
      <c r="B22" s="331"/>
      <c r="C22" s="338">
        <v>21831534</v>
      </c>
      <c r="D22" s="339">
        <v>61006</v>
      </c>
      <c r="E22" s="340">
        <v>1068021</v>
      </c>
      <c r="F22" s="340">
        <v>551383</v>
      </c>
      <c r="G22" s="340">
        <v>1244426</v>
      </c>
      <c r="H22" s="340">
        <v>1148400</v>
      </c>
      <c r="I22" s="340">
        <v>7458032</v>
      </c>
      <c r="J22" s="340">
        <v>947002</v>
      </c>
      <c r="K22" s="341">
        <f t="shared" si="0"/>
        <v>34309804</v>
      </c>
      <c r="L22" s="198"/>
      <c r="M22" s="201" t="s">
        <v>24</v>
      </c>
      <c r="N22" s="200" t="s">
        <v>24</v>
      </c>
      <c r="O22" s="198"/>
      <c r="P22" s="198"/>
      <c r="Q22" s="198"/>
      <c r="R22" s="198"/>
      <c r="S22" s="198"/>
      <c r="T22" s="198"/>
      <c r="V22" s="197" t="s">
        <v>196</v>
      </c>
      <c r="W22" s="197"/>
      <c r="X22" s="202">
        <f>(R24)</f>
        <v>0</v>
      </c>
      <c r="Y22" s="202">
        <f t="shared" si="1"/>
        <v>0</v>
      </c>
      <c r="AA22" s="202">
        <f t="shared" si="2"/>
        <v>0</v>
      </c>
      <c r="AB22" s="202"/>
      <c r="AC22" s="202">
        <f t="shared" si="3"/>
        <v>0</v>
      </c>
    </row>
    <row r="23" spans="1:23" ht="12.75">
      <c r="A23" s="331"/>
      <c r="B23" s="331"/>
      <c r="C23" s="342" t="s">
        <v>24</v>
      </c>
      <c r="D23" s="331"/>
      <c r="E23" s="331"/>
      <c r="F23" s="331"/>
      <c r="G23" s="331" t="s">
        <v>24</v>
      </c>
      <c r="H23" s="331"/>
      <c r="I23" s="331"/>
      <c r="J23" s="331"/>
      <c r="K23" s="334"/>
      <c r="L23" s="198"/>
      <c r="M23" s="198" t="s">
        <v>24</v>
      </c>
      <c r="N23" s="198" t="s">
        <v>24</v>
      </c>
      <c r="O23" s="198"/>
      <c r="P23" s="198"/>
      <c r="Q23" s="198"/>
      <c r="R23" s="198"/>
      <c r="S23" s="198"/>
      <c r="T23" s="198"/>
      <c r="V23" s="197"/>
      <c r="W23" s="197"/>
    </row>
    <row r="24" spans="1:29" ht="12.75">
      <c r="A24" s="331" t="s">
        <v>88</v>
      </c>
      <c r="B24" s="331"/>
      <c r="C24" s="331">
        <f aca="true" t="shared" si="4" ref="C24:J24">SUM(C11:C22)</f>
        <v>300860320</v>
      </c>
      <c r="D24" s="331">
        <f t="shared" si="4"/>
        <v>737631</v>
      </c>
      <c r="E24" s="331">
        <f t="shared" si="4"/>
        <v>14488863</v>
      </c>
      <c r="F24" s="331">
        <f t="shared" si="4"/>
        <v>7393144</v>
      </c>
      <c r="G24" s="331">
        <f t="shared" si="4"/>
        <v>15867403</v>
      </c>
      <c r="H24" s="331">
        <f t="shared" si="4"/>
        <v>16450200</v>
      </c>
      <c r="I24" s="331">
        <f>SUM(I11:I22)</f>
        <v>90899192</v>
      </c>
      <c r="J24" s="331">
        <f t="shared" si="4"/>
        <v>11317726</v>
      </c>
      <c r="K24" s="331">
        <f>SUM(K11:K22)</f>
        <v>458014479</v>
      </c>
      <c r="L24" s="203">
        <f>SUM(C24:J24)</f>
        <v>458014479</v>
      </c>
      <c r="M24" s="198" t="s">
        <v>24</v>
      </c>
      <c r="N24" s="198" t="s">
        <v>24</v>
      </c>
      <c r="O24" s="198"/>
      <c r="P24" s="198"/>
      <c r="Q24" s="198"/>
      <c r="R24" s="198"/>
      <c r="S24" s="198"/>
      <c r="T24" s="198"/>
      <c r="V24" s="197" t="s">
        <v>88</v>
      </c>
      <c r="W24" s="197"/>
      <c r="X24" s="196">
        <f>SUM(X11:X22)</f>
        <v>1271826519</v>
      </c>
      <c r="Y24" s="196" t="e">
        <f>SUM(Y11:Y22)</f>
        <v>#VALUE!</v>
      </c>
      <c r="AA24" s="196">
        <v>2321243</v>
      </c>
      <c r="AC24" s="196">
        <f>(2605362+42331)</f>
        <v>2647693</v>
      </c>
    </row>
    <row r="25" spans="1:23" ht="12.7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 t="s">
        <v>24</v>
      </c>
      <c r="L25" s="15" t="s">
        <v>24</v>
      </c>
      <c r="M25" s="196" t="s">
        <v>126</v>
      </c>
      <c r="N25" s="196" t="s">
        <v>24</v>
      </c>
      <c r="O25" s="196" t="s">
        <v>24</v>
      </c>
      <c r="Q25" s="198"/>
      <c r="R25" s="198"/>
      <c r="S25" s="198"/>
      <c r="T25" s="198"/>
      <c r="V25" s="197"/>
      <c r="W25" s="197"/>
    </row>
    <row r="26" spans="1:23" s="205" customFormat="1" ht="12.75">
      <c r="A26" s="343" t="s">
        <v>222</v>
      </c>
      <c r="B26" s="343"/>
      <c r="C26" s="343">
        <f>(C24/$K$24)</f>
        <v>0.6568794957244135</v>
      </c>
      <c r="D26" s="343">
        <f aca="true" t="shared" si="5" ref="D26:K26">(D24/$K$24)</f>
        <v>0.0016104971214239714</v>
      </c>
      <c r="E26" s="343">
        <f t="shared" si="5"/>
        <v>0.03163407198749278</v>
      </c>
      <c r="F26" s="343">
        <f t="shared" si="5"/>
        <v>0.01614172551082168</v>
      </c>
      <c r="G26" s="343">
        <f t="shared" si="5"/>
        <v>0.03464388950027058</v>
      </c>
      <c r="H26" s="343">
        <f t="shared" si="5"/>
        <v>0.035916331806619586</v>
      </c>
      <c r="I26" s="343">
        <f t="shared" si="5"/>
        <v>0.19846357739271384</v>
      </c>
      <c r="J26" s="343">
        <f t="shared" si="5"/>
        <v>0.024710410956244027</v>
      </c>
      <c r="K26" s="343">
        <f t="shared" si="5"/>
        <v>1</v>
      </c>
      <c r="L26" s="205" t="s">
        <v>24</v>
      </c>
      <c r="M26" s="205" t="s">
        <v>24</v>
      </c>
      <c r="N26" s="205" t="s">
        <v>24</v>
      </c>
      <c r="O26" s="205" t="s">
        <v>24</v>
      </c>
      <c r="P26" s="196" t="s">
        <v>24</v>
      </c>
      <c r="R26" s="205" t="s">
        <v>24</v>
      </c>
      <c r="S26" s="205" t="s">
        <v>24</v>
      </c>
      <c r="V26" s="204"/>
      <c r="W26" s="204"/>
    </row>
    <row r="27" spans="1:23" s="205" customFormat="1" ht="12.75">
      <c r="A27" s="343" t="s">
        <v>24</v>
      </c>
      <c r="B27" s="343"/>
      <c r="C27" s="343" t="s">
        <v>24</v>
      </c>
      <c r="D27" s="343" t="s">
        <v>24</v>
      </c>
      <c r="E27" s="343" t="s">
        <v>24</v>
      </c>
      <c r="F27" s="343" t="s">
        <v>24</v>
      </c>
      <c r="G27" s="343" t="s">
        <v>24</v>
      </c>
      <c r="H27" s="331" t="s">
        <v>24</v>
      </c>
      <c r="I27" s="331"/>
      <c r="J27" s="331"/>
      <c r="K27" s="343" t="s">
        <v>24</v>
      </c>
      <c r="L27" s="215" t="s">
        <v>24</v>
      </c>
      <c r="M27" s="205" t="s">
        <v>24</v>
      </c>
      <c r="N27" s="205" t="s">
        <v>24</v>
      </c>
      <c r="P27" s="196">
        <f>(P24)</f>
        <v>0</v>
      </c>
      <c r="V27" s="204"/>
      <c r="W27" s="204"/>
    </row>
    <row r="28" spans="1:23" ht="12.75">
      <c r="A28" s="331"/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196" t="s">
        <v>24</v>
      </c>
      <c r="M28" s="196" t="s">
        <v>24</v>
      </c>
      <c r="V28" s="197"/>
      <c r="W28" s="197"/>
    </row>
    <row r="29" spans="1:23" s="206" customFormat="1" ht="12">
      <c r="A29" s="344" t="s">
        <v>215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V29" s="207"/>
      <c r="W29" s="207"/>
    </row>
    <row r="30" spans="1:23" ht="12.75">
      <c r="A30" s="331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V30" s="197"/>
      <c r="W30" s="197"/>
    </row>
    <row r="31" spans="1:23" ht="12.75">
      <c r="A31" s="345" t="s">
        <v>24</v>
      </c>
      <c r="B31" s="345" t="s">
        <v>24</v>
      </c>
      <c r="C31" s="345" t="s">
        <v>24</v>
      </c>
      <c r="D31" s="345" t="s">
        <v>24</v>
      </c>
      <c r="E31" s="345" t="s">
        <v>24</v>
      </c>
      <c r="F31" s="345" t="s">
        <v>24</v>
      </c>
      <c r="G31" s="345" t="s">
        <v>24</v>
      </c>
      <c r="H31" s="345" t="s">
        <v>24</v>
      </c>
      <c r="I31" s="345" t="s">
        <v>24</v>
      </c>
      <c r="J31" s="345" t="s">
        <v>24</v>
      </c>
      <c r="K31" s="345" t="s">
        <v>24</v>
      </c>
      <c r="L31" s="208" t="s">
        <v>24</v>
      </c>
      <c r="M31" s="209" t="s">
        <v>24</v>
      </c>
      <c r="N31" s="196" t="s">
        <v>24</v>
      </c>
      <c r="V31" s="197"/>
      <c r="W31" s="197"/>
    </row>
    <row r="32" spans="1:23" ht="12.75">
      <c r="A32" s="331"/>
      <c r="B32" s="331"/>
      <c r="C32" s="331"/>
      <c r="D32" s="331"/>
      <c r="E32" s="331"/>
      <c r="F32" s="331"/>
      <c r="G32" s="331" t="s">
        <v>24</v>
      </c>
      <c r="H32" s="331"/>
      <c r="I32" s="331"/>
      <c r="J32" s="331"/>
      <c r="K32" s="331" t="s">
        <v>24</v>
      </c>
      <c r="V32" s="197"/>
      <c r="W32" s="197"/>
    </row>
    <row r="33" spans="1:23" ht="12.75">
      <c r="A33" s="331"/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R33" s="196" t="s">
        <v>24</v>
      </c>
      <c r="V33" s="197"/>
      <c r="W33" s="197"/>
    </row>
    <row r="34" spans="1:23" ht="12.75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V34" s="197"/>
      <c r="W34" s="197"/>
    </row>
    <row r="35" spans="1:23" ht="12.75">
      <c r="A35" s="332" t="s">
        <v>213</v>
      </c>
      <c r="B35" s="332"/>
      <c r="C35" s="331"/>
      <c r="D35" s="331"/>
      <c r="E35" s="331"/>
      <c r="F35" s="331"/>
      <c r="G35" s="331"/>
      <c r="H35" s="331"/>
      <c r="I35" s="331"/>
      <c r="J35" s="331"/>
      <c r="K35" s="331"/>
      <c r="V35" s="197"/>
      <c r="W35" s="197"/>
    </row>
    <row r="36" spans="1:11" ht="12.75">
      <c r="A36" s="332" t="s">
        <v>24</v>
      </c>
      <c r="B36" s="332"/>
      <c r="C36" s="331"/>
      <c r="D36" s="331"/>
      <c r="E36" s="331"/>
      <c r="F36" s="331"/>
      <c r="G36" s="331"/>
      <c r="H36" s="331"/>
      <c r="I36" s="331"/>
      <c r="J36" s="331"/>
      <c r="K36" s="331"/>
    </row>
    <row r="37" spans="1:20" ht="12.75">
      <c r="A37" s="331"/>
      <c r="B37" s="331"/>
      <c r="C37" s="331"/>
      <c r="D37" s="331"/>
      <c r="E37" s="331"/>
      <c r="F37" s="331"/>
      <c r="G37" s="331"/>
      <c r="H37" s="331"/>
      <c r="I37" s="331"/>
      <c r="J37" s="331"/>
      <c r="K37" s="334"/>
      <c r="L37" s="198"/>
      <c r="M37" s="198"/>
      <c r="N37" s="198"/>
      <c r="O37" s="198"/>
      <c r="P37" s="198"/>
      <c r="Q37" s="198"/>
      <c r="R37" s="198"/>
      <c r="S37" s="198"/>
      <c r="T37" s="199"/>
    </row>
    <row r="38" spans="1:20" ht="12.75">
      <c r="A38" s="331"/>
      <c r="B38" s="331"/>
      <c r="C38" s="333" t="s">
        <v>295</v>
      </c>
      <c r="D38" s="333" t="s">
        <v>295</v>
      </c>
      <c r="E38" s="333" t="s">
        <v>298</v>
      </c>
      <c r="F38" s="333" t="s">
        <v>298</v>
      </c>
      <c r="G38" s="333" t="s">
        <v>302</v>
      </c>
      <c r="H38" s="333" t="s">
        <v>304</v>
      </c>
      <c r="I38" s="333" t="s">
        <v>306</v>
      </c>
      <c r="J38" s="333" t="s">
        <v>307</v>
      </c>
      <c r="K38" s="334"/>
      <c r="L38" s="198"/>
      <c r="M38" s="198"/>
      <c r="N38" s="198"/>
      <c r="O38" s="198"/>
      <c r="P38" s="198"/>
      <c r="Q38" s="198"/>
      <c r="R38" s="198"/>
      <c r="S38" s="198"/>
      <c r="T38" s="199"/>
    </row>
    <row r="39" spans="1:20" ht="12.75">
      <c r="A39" s="331"/>
      <c r="B39" s="331"/>
      <c r="C39" s="333" t="s">
        <v>223</v>
      </c>
      <c r="D39" s="333" t="s">
        <v>223</v>
      </c>
      <c r="E39" s="333" t="s">
        <v>299</v>
      </c>
      <c r="F39" s="333" t="s">
        <v>245</v>
      </c>
      <c r="G39" s="333" t="s">
        <v>303</v>
      </c>
      <c r="H39" s="333" t="s">
        <v>135</v>
      </c>
      <c r="I39" s="333" t="s">
        <v>135</v>
      </c>
      <c r="J39" s="333" t="s">
        <v>308</v>
      </c>
      <c r="K39" s="335" t="s">
        <v>88</v>
      </c>
      <c r="L39" s="198"/>
      <c r="M39" s="198"/>
      <c r="N39" s="198"/>
      <c r="O39" s="198"/>
      <c r="P39" s="198"/>
      <c r="Q39" s="198"/>
      <c r="R39" s="198"/>
      <c r="S39" s="198"/>
      <c r="T39" s="199"/>
    </row>
    <row r="40" spans="1:19" ht="15">
      <c r="A40" s="336" t="s">
        <v>91</v>
      </c>
      <c r="B40" s="331"/>
      <c r="C40" s="337" t="s">
        <v>296</v>
      </c>
      <c r="D40" s="337" t="s">
        <v>297</v>
      </c>
      <c r="E40" s="337" t="s">
        <v>300</v>
      </c>
      <c r="F40" s="337" t="s">
        <v>301</v>
      </c>
      <c r="G40" s="337" t="s">
        <v>296</v>
      </c>
      <c r="H40" s="337" t="s">
        <v>305</v>
      </c>
      <c r="I40" s="337" t="s">
        <v>136</v>
      </c>
      <c r="J40" s="337" t="s">
        <v>244</v>
      </c>
      <c r="K40" s="331"/>
      <c r="L40" s="198"/>
      <c r="M40" s="198"/>
      <c r="N40" s="198"/>
      <c r="O40" s="198"/>
      <c r="P40" s="198"/>
      <c r="Q40" s="198"/>
      <c r="R40" s="198"/>
      <c r="S40" s="198"/>
    </row>
    <row r="41" spans="1:19" ht="12.75">
      <c r="A41" s="331"/>
      <c r="B41" s="331"/>
      <c r="C41" s="331"/>
      <c r="D41" s="331" t="s">
        <v>24</v>
      </c>
      <c r="E41" s="331"/>
      <c r="F41" s="331"/>
      <c r="G41" s="331"/>
      <c r="H41" s="331"/>
      <c r="I41" s="331"/>
      <c r="J41" s="331"/>
      <c r="K41" s="331"/>
      <c r="L41" s="198"/>
      <c r="M41" s="198"/>
      <c r="N41" s="198"/>
      <c r="O41" s="198"/>
      <c r="P41" s="198"/>
      <c r="Q41" s="198"/>
      <c r="R41" s="198"/>
      <c r="S41" s="198"/>
    </row>
    <row r="42" spans="1:19" ht="12.75">
      <c r="A42" s="331" t="s">
        <v>103</v>
      </c>
      <c r="B42" s="331"/>
      <c r="C42" s="331">
        <f>71278+149</f>
        <v>71427</v>
      </c>
      <c r="D42" s="331">
        <v>0</v>
      </c>
      <c r="E42" s="331">
        <v>2699</v>
      </c>
      <c r="F42" s="331">
        <v>2772</v>
      </c>
      <c r="G42" s="331">
        <v>4363</v>
      </c>
      <c r="H42" s="331">
        <v>2109</v>
      </c>
      <c r="I42" s="331">
        <v>16674</v>
      </c>
      <c r="J42" s="331">
        <v>2458</v>
      </c>
      <c r="K42" s="331">
        <f>SUM(C42:J42)</f>
        <v>102502</v>
      </c>
      <c r="M42" s="198"/>
      <c r="N42" s="198"/>
      <c r="O42" s="198"/>
      <c r="P42" s="198"/>
      <c r="Q42" s="198"/>
      <c r="R42" s="198"/>
      <c r="S42" s="198"/>
    </row>
    <row r="43" spans="1:19" ht="12.75">
      <c r="A43" s="331" t="s">
        <v>92</v>
      </c>
      <c r="B43" s="331"/>
      <c r="C43" s="331">
        <f>104216+345</f>
        <v>104561</v>
      </c>
      <c r="D43" s="331">
        <v>0</v>
      </c>
      <c r="E43" s="331">
        <v>4261</v>
      </c>
      <c r="F43" s="331">
        <v>3334</v>
      </c>
      <c r="G43" s="331">
        <v>3052</v>
      </c>
      <c r="H43" s="331">
        <v>2305</v>
      </c>
      <c r="I43" s="331">
        <v>17965</v>
      </c>
      <c r="J43" s="331">
        <v>2461</v>
      </c>
      <c r="K43" s="331">
        <f aca="true" t="shared" si="6" ref="K43:K53">SUM(C43:J43)</f>
        <v>137939</v>
      </c>
      <c r="L43" s="198"/>
      <c r="M43" s="198"/>
      <c r="N43" s="198"/>
      <c r="O43" s="198"/>
      <c r="P43" s="198"/>
      <c r="Q43" s="198"/>
      <c r="R43" s="198"/>
      <c r="S43" s="198"/>
    </row>
    <row r="44" spans="1:19" ht="12.75">
      <c r="A44" s="331" t="s">
        <v>93</v>
      </c>
      <c r="B44" s="331"/>
      <c r="C44" s="331">
        <f>121878+509</f>
        <v>122387</v>
      </c>
      <c r="D44" s="331">
        <v>0</v>
      </c>
      <c r="E44" s="331">
        <v>4157</v>
      </c>
      <c r="F44" s="331">
        <v>4145</v>
      </c>
      <c r="G44" s="331">
        <v>3377</v>
      </c>
      <c r="H44" s="331">
        <v>2105</v>
      </c>
      <c r="I44" s="331">
        <v>18684</v>
      </c>
      <c r="J44" s="331">
        <v>2462</v>
      </c>
      <c r="K44" s="331">
        <f t="shared" si="6"/>
        <v>157317</v>
      </c>
      <c r="L44" s="198"/>
      <c r="M44" s="198"/>
      <c r="N44" s="198"/>
      <c r="O44" s="198"/>
      <c r="P44" s="198"/>
      <c r="Q44" s="198"/>
      <c r="R44" s="198"/>
      <c r="S44" s="198"/>
    </row>
    <row r="45" spans="1:19" ht="12.75">
      <c r="A45" s="331" t="s">
        <v>94</v>
      </c>
      <c r="B45" s="331"/>
      <c r="C45" s="331">
        <f>90880+405</f>
        <v>91285</v>
      </c>
      <c r="D45" s="331">
        <v>0</v>
      </c>
      <c r="E45" s="331">
        <v>2678</v>
      </c>
      <c r="F45" s="331">
        <v>3092</v>
      </c>
      <c r="G45" s="331">
        <v>3044</v>
      </c>
      <c r="H45" s="331">
        <v>2851</v>
      </c>
      <c r="I45" s="331">
        <v>19023</v>
      </c>
      <c r="J45" s="331">
        <v>2456</v>
      </c>
      <c r="K45" s="331">
        <f t="shared" si="6"/>
        <v>124429</v>
      </c>
      <c r="L45" s="198"/>
      <c r="M45" s="198"/>
      <c r="N45" s="198"/>
      <c r="O45" s="198"/>
      <c r="P45" s="198"/>
      <c r="Q45" s="198"/>
      <c r="R45" s="198"/>
      <c r="S45" s="198"/>
    </row>
    <row r="46" spans="1:19" ht="12.75">
      <c r="A46" s="331" t="s">
        <v>95</v>
      </c>
      <c r="B46" s="331"/>
      <c r="C46" s="331">
        <f>48281+247</f>
        <v>48528</v>
      </c>
      <c r="D46" s="331">
        <v>0</v>
      </c>
      <c r="E46" s="331">
        <v>1490</v>
      </c>
      <c r="F46" s="331">
        <v>2594</v>
      </c>
      <c r="G46" s="331">
        <v>3313</v>
      </c>
      <c r="H46" s="331">
        <v>1922</v>
      </c>
      <c r="I46" s="331">
        <v>14532</v>
      </c>
      <c r="J46" s="331">
        <v>0</v>
      </c>
      <c r="K46" s="331">
        <f t="shared" si="6"/>
        <v>72379</v>
      </c>
      <c r="L46" s="198"/>
      <c r="M46" s="198"/>
      <c r="N46" s="198"/>
      <c r="O46" s="198"/>
      <c r="P46" s="198"/>
      <c r="Q46" s="198"/>
      <c r="R46" s="198"/>
      <c r="S46" s="198"/>
    </row>
    <row r="47" spans="1:19" ht="12.75">
      <c r="A47" s="331" t="s">
        <v>96</v>
      </c>
      <c r="B47" s="331"/>
      <c r="C47" s="331">
        <f>42510+271</f>
        <v>42781</v>
      </c>
      <c r="D47" s="331">
        <v>0</v>
      </c>
      <c r="E47" s="331">
        <v>861</v>
      </c>
      <c r="F47" s="331">
        <v>3334</v>
      </c>
      <c r="G47" s="331">
        <v>2505</v>
      </c>
      <c r="H47" s="331">
        <v>913</v>
      </c>
      <c r="I47" s="331">
        <v>13286</v>
      </c>
      <c r="J47" s="331">
        <v>0</v>
      </c>
      <c r="K47" s="331">
        <f t="shared" si="6"/>
        <v>63680</v>
      </c>
      <c r="L47" s="198"/>
      <c r="M47" s="198"/>
      <c r="N47" s="198"/>
      <c r="O47" s="198"/>
      <c r="P47" s="198"/>
      <c r="Q47" s="198"/>
      <c r="R47" s="198"/>
      <c r="S47" s="198"/>
    </row>
    <row r="48" spans="1:19" ht="12.75">
      <c r="A48" s="331" t="s">
        <v>97</v>
      </c>
      <c r="B48" s="331"/>
      <c r="C48" s="331">
        <f>58213+425</f>
        <v>58638</v>
      </c>
      <c r="D48" s="331">
        <v>0</v>
      </c>
      <c r="E48" s="331">
        <v>1368</v>
      </c>
      <c r="F48" s="331">
        <v>2811</v>
      </c>
      <c r="G48" s="331">
        <v>2998</v>
      </c>
      <c r="H48" s="331">
        <v>2083</v>
      </c>
      <c r="I48" s="331">
        <v>16622</v>
      </c>
      <c r="J48" s="331">
        <v>0</v>
      </c>
      <c r="K48" s="331">
        <f t="shared" si="6"/>
        <v>84520</v>
      </c>
      <c r="L48" s="198"/>
      <c r="M48" s="198"/>
      <c r="N48" s="198"/>
      <c r="O48" s="198"/>
      <c r="P48" s="198"/>
      <c r="Q48" s="198"/>
      <c r="R48" s="198"/>
      <c r="S48" s="198"/>
    </row>
    <row r="49" spans="1:19" ht="12.75">
      <c r="A49" s="331" t="s">
        <v>98</v>
      </c>
      <c r="B49" s="331"/>
      <c r="C49" s="331">
        <f>62418+518</f>
        <v>62936</v>
      </c>
      <c r="D49" s="331">
        <v>0</v>
      </c>
      <c r="E49" s="331">
        <v>522</v>
      </c>
      <c r="F49" s="331">
        <v>3370</v>
      </c>
      <c r="G49" s="331">
        <v>3767</v>
      </c>
      <c r="H49" s="331">
        <v>1860</v>
      </c>
      <c r="I49" s="331">
        <v>14041</v>
      </c>
      <c r="J49" s="331">
        <v>0</v>
      </c>
      <c r="K49" s="331">
        <f t="shared" si="6"/>
        <v>86496</v>
      </c>
      <c r="L49" s="198"/>
      <c r="M49" s="198"/>
      <c r="N49" s="198"/>
      <c r="O49" s="198"/>
      <c r="P49" s="198"/>
      <c r="Q49" s="198"/>
      <c r="R49" s="198"/>
      <c r="S49" s="198"/>
    </row>
    <row r="50" spans="1:19" ht="12.75">
      <c r="A50" s="331" t="s">
        <v>99</v>
      </c>
      <c r="B50" s="331"/>
      <c r="C50" s="331">
        <f>59874+554</f>
        <v>60428</v>
      </c>
      <c r="D50" s="331">
        <v>0</v>
      </c>
      <c r="E50" s="331">
        <v>1226</v>
      </c>
      <c r="F50" s="331">
        <v>2884</v>
      </c>
      <c r="G50" s="331">
        <v>3741</v>
      </c>
      <c r="H50" s="331">
        <v>1629</v>
      </c>
      <c r="I50" s="331">
        <v>12757</v>
      </c>
      <c r="J50" s="331">
        <v>0</v>
      </c>
      <c r="K50" s="331">
        <f t="shared" si="6"/>
        <v>82665</v>
      </c>
      <c r="L50" s="198"/>
      <c r="M50" s="198"/>
      <c r="N50" s="198"/>
      <c r="O50" s="198"/>
      <c r="P50" s="198"/>
      <c r="Q50" s="198"/>
      <c r="R50" s="198"/>
      <c r="S50" s="198"/>
    </row>
    <row r="51" spans="1:19" ht="12.75">
      <c r="A51" s="331" t="s">
        <v>100</v>
      </c>
      <c r="B51" s="331"/>
      <c r="C51" s="331">
        <f>58002+626</f>
        <v>58628</v>
      </c>
      <c r="D51" s="331">
        <v>0</v>
      </c>
      <c r="E51" s="331">
        <v>1140</v>
      </c>
      <c r="F51" s="331">
        <v>2853</v>
      </c>
      <c r="G51" s="331">
        <v>4070</v>
      </c>
      <c r="H51" s="331">
        <v>2046</v>
      </c>
      <c r="I51" s="331">
        <v>12604</v>
      </c>
      <c r="J51" s="331">
        <v>0</v>
      </c>
      <c r="K51" s="331">
        <f t="shared" si="6"/>
        <v>81341</v>
      </c>
      <c r="L51" s="198"/>
      <c r="M51" s="198"/>
      <c r="N51" s="198"/>
      <c r="O51" s="198"/>
      <c r="P51" s="198"/>
      <c r="Q51" s="198"/>
      <c r="R51" s="198"/>
      <c r="S51" s="198"/>
    </row>
    <row r="52" spans="1:19" ht="12.75">
      <c r="A52" s="331" t="s">
        <v>101</v>
      </c>
      <c r="B52" s="331"/>
      <c r="C52" s="331">
        <f>49302+547</f>
        <v>49849</v>
      </c>
      <c r="D52" s="331">
        <v>0</v>
      </c>
      <c r="E52" s="331">
        <v>1355</v>
      </c>
      <c r="F52" s="331">
        <v>2717</v>
      </c>
      <c r="G52" s="331">
        <v>3196</v>
      </c>
      <c r="H52" s="331">
        <v>1298</v>
      </c>
      <c r="I52" s="331">
        <v>13607</v>
      </c>
      <c r="J52" s="331">
        <v>2482</v>
      </c>
      <c r="K52" s="331">
        <f t="shared" si="6"/>
        <v>74504</v>
      </c>
      <c r="L52" s="198"/>
      <c r="M52" s="198"/>
      <c r="N52" s="198"/>
      <c r="O52" s="198"/>
      <c r="P52" s="198"/>
      <c r="Q52" s="198"/>
      <c r="R52" s="198"/>
      <c r="S52" s="198"/>
    </row>
    <row r="53" spans="1:19" ht="12.75">
      <c r="A53" s="331" t="s">
        <v>102</v>
      </c>
      <c r="B53" s="331"/>
      <c r="C53" s="331">
        <f>84172+788</f>
        <v>84960</v>
      </c>
      <c r="D53" s="331">
        <v>0</v>
      </c>
      <c r="E53" s="331">
        <v>1884</v>
      </c>
      <c r="F53" s="331">
        <v>3042</v>
      </c>
      <c r="G53" s="331">
        <v>3497</v>
      </c>
      <c r="H53" s="331">
        <v>1389</v>
      </c>
      <c r="I53" s="331">
        <v>17607</v>
      </c>
      <c r="J53" s="331">
        <v>2492</v>
      </c>
      <c r="K53" s="331">
        <f t="shared" si="6"/>
        <v>114871</v>
      </c>
      <c r="L53" s="198"/>
      <c r="M53" s="198"/>
      <c r="N53" s="198"/>
      <c r="O53" s="198"/>
      <c r="P53" s="198"/>
      <c r="Q53" s="198"/>
      <c r="R53" s="198"/>
      <c r="S53" s="198"/>
    </row>
    <row r="54" spans="1:19" ht="12.75">
      <c r="A54" s="331"/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198"/>
      <c r="M54" s="198"/>
      <c r="N54" s="198"/>
      <c r="O54" s="198"/>
      <c r="P54" s="198"/>
      <c r="Q54" s="198"/>
      <c r="R54" s="198"/>
      <c r="S54" s="198"/>
    </row>
    <row r="55" spans="1:19" ht="12.75">
      <c r="A55" s="331" t="s">
        <v>88</v>
      </c>
      <c r="B55" s="331"/>
      <c r="C55" s="331">
        <f aca="true" t="shared" si="7" ref="C55:J55">SUM(C42:C53)</f>
        <v>856408</v>
      </c>
      <c r="D55" s="331">
        <f t="shared" si="7"/>
        <v>0</v>
      </c>
      <c r="E55" s="331">
        <f t="shared" si="7"/>
        <v>23641</v>
      </c>
      <c r="F55" s="331">
        <f t="shared" si="7"/>
        <v>36948</v>
      </c>
      <c r="G55" s="331">
        <f t="shared" si="7"/>
        <v>40923</v>
      </c>
      <c r="H55" s="331">
        <f t="shared" si="7"/>
        <v>22510</v>
      </c>
      <c r="I55" s="331">
        <f t="shared" si="7"/>
        <v>187402</v>
      </c>
      <c r="J55" s="331">
        <f t="shared" si="7"/>
        <v>14811</v>
      </c>
      <c r="K55" s="331">
        <f>SUM(K42:K53)</f>
        <v>1182643</v>
      </c>
      <c r="L55" s="198"/>
      <c r="M55" s="198"/>
      <c r="N55" s="198"/>
      <c r="O55" s="198"/>
      <c r="P55" s="198"/>
      <c r="Q55" s="198"/>
      <c r="R55" s="198"/>
      <c r="S55" s="198"/>
    </row>
    <row r="56" spans="1:19" ht="12.75">
      <c r="A56" s="331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198"/>
      <c r="M56" s="198"/>
      <c r="N56" s="198"/>
      <c r="O56" s="198"/>
      <c r="P56" s="198"/>
      <c r="Q56" s="198"/>
      <c r="R56" s="198"/>
      <c r="S56" s="198"/>
    </row>
    <row r="57" spans="1:19" s="205" customFormat="1" ht="12.75">
      <c r="A57" s="343" t="s">
        <v>222</v>
      </c>
      <c r="B57" s="343"/>
      <c r="C57" s="343">
        <f>(C55/$K$55)</f>
        <v>0.7241475238089601</v>
      </c>
      <c r="D57" s="343">
        <f aca="true" t="shared" si="8" ref="D57:K57">(D55/$K$55)</f>
        <v>0</v>
      </c>
      <c r="E57" s="343">
        <f t="shared" si="8"/>
        <v>0.01998997161442633</v>
      </c>
      <c r="F57" s="343">
        <f t="shared" si="8"/>
        <v>0.031241887873178973</v>
      </c>
      <c r="G57" s="343">
        <f t="shared" si="8"/>
        <v>0.034603003611402595</v>
      </c>
      <c r="H57" s="343">
        <f t="shared" si="8"/>
        <v>0.01903363906098459</v>
      </c>
      <c r="I57" s="343">
        <f t="shared" si="8"/>
        <v>0.15846032995587003</v>
      </c>
      <c r="J57" s="343">
        <f t="shared" si="8"/>
        <v>0.012523644075177379</v>
      </c>
      <c r="K57" s="343">
        <f t="shared" si="8"/>
        <v>1</v>
      </c>
      <c r="L57" s="198"/>
      <c r="M57" s="198"/>
      <c r="N57" s="198"/>
      <c r="O57" s="198"/>
      <c r="P57" s="198"/>
      <c r="Q57" s="198"/>
      <c r="R57" s="198"/>
      <c r="S57" s="198"/>
    </row>
    <row r="58" spans="1:19" s="205" customFormat="1" ht="12.75">
      <c r="A58" s="343" t="s">
        <v>24</v>
      </c>
      <c r="B58" s="343"/>
      <c r="C58" s="343" t="s">
        <v>24</v>
      </c>
      <c r="D58" s="343" t="s">
        <v>24</v>
      </c>
      <c r="E58" s="343" t="s">
        <v>24</v>
      </c>
      <c r="F58" s="343" t="s">
        <v>24</v>
      </c>
      <c r="G58" s="343" t="s">
        <v>24</v>
      </c>
      <c r="H58" s="331" t="s">
        <v>24</v>
      </c>
      <c r="I58" s="331"/>
      <c r="J58" s="331"/>
      <c r="K58" s="343" t="s">
        <v>24</v>
      </c>
      <c r="L58" s="198"/>
      <c r="M58" s="198"/>
      <c r="N58" s="198"/>
      <c r="O58" s="198"/>
      <c r="P58" s="198"/>
      <c r="Q58" s="198"/>
      <c r="R58" s="198"/>
      <c r="S58" s="198"/>
    </row>
    <row r="59" spans="1:19" s="205" customFormat="1" ht="12.75">
      <c r="A59" s="343"/>
      <c r="B59" s="343"/>
      <c r="C59" s="343"/>
      <c r="D59" s="343"/>
      <c r="E59" s="343"/>
      <c r="F59" s="343"/>
      <c r="G59" s="343"/>
      <c r="H59" s="331"/>
      <c r="I59" s="331"/>
      <c r="J59" s="331"/>
      <c r="K59" s="343"/>
      <c r="L59" s="198"/>
      <c r="M59" s="198"/>
      <c r="N59" s="198"/>
      <c r="O59" s="198"/>
      <c r="P59" s="198"/>
      <c r="Q59" s="198"/>
      <c r="R59" s="198"/>
      <c r="S59" s="198"/>
    </row>
    <row r="60" spans="1:11" s="205" customFormat="1" ht="12.75">
      <c r="A60" s="343" t="s">
        <v>24</v>
      </c>
      <c r="B60" s="343"/>
      <c r="C60" s="343"/>
      <c r="D60" s="343"/>
      <c r="E60" s="343"/>
      <c r="F60" s="343"/>
      <c r="G60" s="343"/>
      <c r="H60" s="331"/>
      <c r="I60" s="331"/>
      <c r="J60" s="331"/>
      <c r="K60" s="343"/>
    </row>
    <row r="61" spans="1:11" s="205" customFormat="1" ht="12.75">
      <c r="A61" s="343" t="s">
        <v>216</v>
      </c>
      <c r="B61" s="343"/>
      <c r="C61" s="343"/>
      <c r="D61" s="343"/>
      <c r="E61" s="343"/>
      <c r="F61" s="343"/>
      <c r="G61" s="343"/>
      <c r="H61" s="331"/>
      <c r="I61" s="331"/>
      <c r="J61" s="331"/>
      <c r="K61" s="343"/>
    </row>
    <row r="62" spans="1:11" s="205" customFormat="1" ht="12.75">
      <c r="A62" s="343" t="s">
        <v>24</v>
      </c>
      <c r="B62" s="343"/>
      <c r="C62" s="343"/>
      <c r="D62" s="343"/>
      <c r="E62" s="343"/>
      <c r="F62" s="343"/>
      <c r="G62" s="343"/>
      <c r="H62" s="331"/>
      <c r="I62" s="331"/>
      <c r="J62" s="331"/>
      <c r="K62" s="343"/>
    </row>
    <row r="63" spans="1:11" s="205" customFormat="1" ht="12.75">
      <c r="A63" s="343"/>
      <c r="B63" s="343"/>
      <c r="C63" s="343"/>
      <c r="D63" s="343"/>
      <c r="E63" s="343"/>
      <c r="F63" s="343"/>
      <c r="G63" s="343"/>
      <c r="H63" s="343"/>
      <c r="I63" s="343"/>
      <c r="J63" s="343"/>
      <c r="K63" s="343"/>
    </row>
    <row r="64" spans="1:16" s="212" customFormat="1" ht="12.75">
      <c r="A64" s="346">
        <v>2458.2999999999993</v>
      </c>
      <c r="B64" s="346">
        <v>2460.55</v>
      </c>
      <c r="C64" s="346">
        <v>2462.175</v>
      </c>
      <c r="D64" s="346">
        <v>2455.825</v>
      </c>
      <c r="E64" s="346">
        <v>2458.3499999999995</v>
      </c>
      <c r="F64" s="346">
        <v>2462.95</v>
      </c>
      <c r="G64" s="346">
        <v>2470.5</v>
      </c>
      <c r="H64" s="346">
        <v>2477.65</v>
      </c>
      <c r="I64" s="346">
        <v>2483.95</v>
      </c>
      <c r="J64" s="346">
        <v>2490</v>
      </c>
      <c r="K64" s="346">
        <v>2492.275</v>
      </c>
      <c r="L64" s="210">
        <v>2492.2999999999993</v>
      </c>
      <c r="M64" s="211">
        <v>29664.825</v>
      </c>
      <c r="P64" s="212" t="s">
        <v>24</v>
      </c>
    </row>
    <row r="65" spans="1:11" ht="12.75">
      <c r="A65" s="331"/>
      <c r="B65" s="331"/>
      <c r="C65" s="331"/>
      <c r="D65" s="331"/>
      <c r="E65" s="331"/>
      <c r="F65" s="331"/>
      <c r="G65" s="331"/>
      <c r="H65" s="331"/>
      <c r="I65" s="331"/>
      <c r="J65" s="331"/>
      <c r="K65" s="331"/>
    </row>
    <row r="66" spans="1:13" ht="12.75">
      <c r="A66" s="331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M66" s="196" t="s">
        <v>24</v>
      </c>
    </row>
    <row r="67" spans="1:11" ht="12.75">
      <c r="A67" s="332" t="s">
        <v>214</v>
      </c>
      <c r="B67" s="332"/>
      <c r="C67" s="331"/>
      <c r="D67" s="331"/>
      <c r="E67" s="331"/>
      <c r="F67" s="331"/>
      <c r="G67" s="331"/>
      <c r="H67" s="331"/>
      <c r="I67" s="331"/>
      <c r="J67" s="331"/>
      <c r="K67" s="331"/>
    </row>
    <row r="68" spans="1:11" ht="12.75">
      <c r="A68" s="331"/>
      <c r="B68" s="331"/>
      <c r="C68" s="331"/>
      <c r="D68" s="331"/>
      <c r="E68" s="331"/>
      <c r="F68" s="331"/>
      <c r="G68" s="331"/>
      <c r="H68" s="331"/>
      <c r="I68" s="331"/>
      <c r="J68" s="331"/>
      <c r="K68" s="331"/>
    </row>
    <row r="69" spans="1:16" ht="12.75">
      <c r="A69" s="332" t="s">
        <v>24</v>
      </c>
      <c r="B69" s="332" t="s">
        <v>24</v>
      </c>
      <c r="C69" s="331"/>
      <c r="D69" s="331"/>
      <c r="E69" s="331"/>
      <c r="F69" s="331"/>
      <c r="G69" s="331"/>
      <c r="H69" s="331"/>
      <c r="I69" s="331"/>
      <c r="J69" s="331"/>
      <c r="K69" s="331"/>
      <c r="P69" s="196" t="s">
        <v>24</v>
      </c>
    </row>
    <row r="70" spans="1:20" ht="12.75">
      <c r="A70" s="331"/>
      <c r="B70" s="331"/>
      <c r="C70" s="331"/>
      <c r="D70" s="331"/>
      <c r="E70" s="331"/>
      <c r="F70" s="331"/>
      <c r="G70" s="331"/>
      <c r="H70" s="331"/>
      <c r="I70" s="331"/>
      <c r="J70" s="331"/>
      <c r="K70" s="334"/>
      <c r="L70" s="198"/>
      <c r="M70" s="198"/>
      <c r="N70" s="198"/>
      <c r="O70" s="198"/>
      <c r="P70" s="198"/>
      <c r="Q70" s="198"/>
      <c r="R70" s="198"/>
      <c r="S70" s="198"/>
      <c r="T70" s="199"/>
    </row>
    <row r="71" spans="1:20" ht="12.75">
      <c r="A71" s="331"/>
      <c r="B71" s="331"/>
      <c r="C71" s="333" t="s">
        <v>295</v>
      </c>
      <c r="D71" s="333" t="s">
        <v>295</v>
      </c>
      <c r="E71" s="333" t="s">
        <v>298</v>
      </c>
      <c r="F71" s="333" t="s">
        <v>298</v>
      </c>
      <c r="G71" s="333" t="s">
        <v>302</v>
      </c>
      <c r="H71" s="333" t="s">
        <v>304</v>
      </c>
      <c r="I71" s="333" t="s">
        <v>306</v>
      </c>
      <c r="J71" s="333" t="s">
        <v>307</v>
      </c>
      <c r="K71" s="334"/>
      <c r="L71" s="198"/>
      <c r="M71" s="198"/>
      <c r="N71" s="198"/>
      <c r="O71" s="198"/>
      <c r="P71" s="198"/>
      <c r="Q71" s="198"/>
      <c r="R71" s="198"/>
      <c r="S71" s="198"/>
      <c r="T71" s="199"/>
    </row>
    <row r="72" spans="1:20" ht="12.75">
      <c r="A72" s="331"/>
      <c r="B72" s="331"/>
      <c r="C72" s="333" t="s">
        <v>223</v>
      </c>
      <c r="D72" s="333" t="s">
        <v>223</v>
      </c>
      <c r="E72" s="333" t="s">
        <v>299</v>
      </c>
      <c r="F72" s="333" t="s">
        <v>245</v>
      </c>
      <c r="G72" s="333" t="s">
        <v>303</v>
      </c>
      <c r="H72" s="333" t="s">
        <v>135</v>
      </c>
      <c r="I72" s="333" t="s">
        <v>135</v>
      </c>
      <c r="J72" s="333" t="s">
        <v>308</v>
      </c>
      <c r="K72" s="335" t="s">
        <v>88</v>
      </c>
      <c r="L72" s="198"/>
      <c r="M72" s="198"/>
      <c r="N72" s="198"/>
      <c r="O72" s="198"/>
      <c r="P72" s="198"/>
      <c r="Q72" s="198"/>
      <c r="R72" s="198"/>
      <c r="S72" s="198"/>
      <c r="T72" s="199"/>
    </row>
    <row r="73" spans="1:19" ht="15">
      <c r="A73" s="336" t="s">
        <v>91</v>
      </c>
      <c r="B73" s="331"/>
      <c r="C73" s="337" t="s">
        <v>296</v>
      </c>
      <c r="D73" s="337" t="s">
        <v>297</v>
      </c>
      <c r="E73" s="337" t="s">
        <v>300</v>
      </c>
      <c r="F73" s="337" t="s">
        <v>301</v>
      </c>
      <c r="G73" s="337" t="s">
        <v>296</v>
      </c>
      <c r="H73" s="337" t="s">
        <v>305</v>
      </c>
      <c r="I73" s="337" t="s">
        <v>136</v>
      </c>
      <c r="J73" s="337" t="s">
        <v>244</v>
      </c>
      <c r="K73" s="331"/>
      <c r="L73" s="198"/>
      <c r="M73" s="198"/>
      <c r="N73" s="198"/>
      <c r="O73" s="198"/>
      <c r="P73" s="198"/>
      <c r="Q73" s="198"/>
      <c r="R73" s="198"/>
      <c r="S73" s="198"/>
    </row>
    <row r="74" spans="1:19" ht="12.75">
      <c r="A74" s="331"/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198"/>
      <c r="M74" s="198"/>
      <c r="N74" s="198"/>
      <c r="O74" s="198"/>
      <c r="P74" s="198"/>
      <c r="Q74" s="198"/>
      <c r="R74" s="198"/>
      <c r="S74" s="198"/>
    </row>
    <row r="75" spans="1:19" ht="12.75">
      <c r="A75" s="331" t="s">
        <v>103</v>
      </c>
      <c r="B75" s="331"/>
      <c r="C75" s="331">
        <v>74329</v>
      </c>
      <c r="D75" s="331">
        <v>0</v>
      </c>
      <c r="E75" s="331">
        <v>4235</v>
      </c>
      <c r="F75" s="331">
        <v>2772</v>
      </c>
      <c r="G75" s="331">
        <v>4840</v>
      </c>
      <c r="H75" s="331">
        <v>4256</v>
      </c>
      <c r="I75" s="331">
        <v>21889</v>
      </c>
      <c r="J75" s="331">
        <v>2458</v>
      </c>
      <c r="K75" s="331">
        <f aca="true" t="shared" si="9" ref="K75:K86">SUM(C75:J75)</f>
        <v>114779</v>
      </c>
      <c r="L75" s="198"/>
      <c r="M75" s="198"/>
      <c r="N75" s="198"/>
      <c r="O75" s="198"/>
      <c r="P75" s="198"/>
      <c r="Q75" s="198"/>
      <c r="R75" s="198"/>
      <c r="S75" s="198"/>
    </row>
    <row r="76" spans="1:19" ht="12.75">
      <c r="A76" s="331" t="s">
        <v>92</v>
      </c>
      <c r="B76" s="331"/>
      <c r="C76" s="331">
        <v>104562</v>
      </c>
      <c r="D76" s="331">
        <v>0</v>
      </c>
      <c r="E76" s="331">
        <v>4261</v>
      </c>
      <c r="F76" s="331">
        <v>3334</v>
      </c>
      <c r="G76" s="331">
        <v>5230</v>
      </c>
      <c r="H76" s="331">
        <v>4071</v>
      </c>
      <c r="I76" s="331">
        <v>21202</v>
      </c>
      <c r="J76" s="331">
        <v>2461</v>
      </c>
      <c r="K76" s="331">
        <f t="shared" si="9"/>
        <v>145121</v>
      </c>
      <c r="L76" s="198"/>
      <c r="M76" s="198"/>
      <c r="N76" s="198"/>
      <c r="O76" s="198"/>
      <c r="P76" s="198"/>
      <c r="Q76" s="198"/>
      <c r="R76" s="198"/>
      <c r="S76" s="198"/>
    </row>
    <row r="77" spans="1:19" ht="12.75">
      <c r="A77" s="331" t="s">
        <v>93</v>
      </c>
      <c r="B77" s="331"/>
      <c r="C77" s="331">
        <v>122387</v>
      </c>
      <c r="D77" s="331">
        <v>0</v>
      </c>
      <c r="E77" s="331">
        <v>4157</v>
      </c>
      <c r="F77" s="331">
        <v>4145</v>
      </c>
      <c r="G77" s="331">
        <v>5246</v>
      </c>
      <c r="H77" s="331">
        <v>4241</v>
      </c>
      <c r="I77" s="331">
        <v>20547</v>
      </c>
      <c r="J77" s="331">
        <v>2462</v>
      </c>
      <c r="K77" s="331">
        <f t="shared" si="9"/>
        <v>163185</v>
      </c>
      <c r="L77" s="198"/>
      <c r="M77" s="198"/>
      <c r="N77" s="198"/>
      <c r="O77" s="198"/>
      <c r="P77" s="198"/>
      <c r="Q77" s="198"/>
      <c r="R77" s="198"/>
      <c r="S77" s="198"/>
    </row>
    <row r="78" spans="1:19" ht="12.75">
      <c r="A78" s="331" t="s">
        <v>94</v>
      </c>
      <c r="B78" s="331"/>
      <c r="C78" s="331">
        <f>90880+405</f>
        <v>91285</v>
      </c>
      <c r="D78" s="331">
        <v>0</v>
      </c>
      <c r="E78" s="331">
        <v>2678</v>
      </c>
      <c r="F78" s="331">
        <v>3097</v>
      </c>
      <c r="G78" s="331">
        <v>4749</v>
      </c>
      <c r="H78" s="331">
        <v>4759</v>
      </c>
      <c r="I78" s="331">
        <v>22615</v>
      </c>
      <c r="J78" s="331">
        <v>2456</v>
      </c>
      <c r="K78" s="331">
        <f t="shared" si="9"/>
        <v>131639</v>
      </c>
      <c r="L78" s="198"/>
      <c r="M78" s="198"/>
      <c r="N78" s="198"/>
      <c r="O78" s="198"/>
      <c r="P78" s="198"/>
      <c r="Q78" s="198"/>
      <c r="R78" s="198"/>
      <c r="S78" s="198"/>
    </row>
    <row r="79" spans="1:19" ht="12.75">
      <c r="A79" s="331" t="s">
        <v>95</v>
      </c>
      <c r="B79" s="331"/>
      <c r="C79" s="331">
        <v>61056</v>
      </c>
      <c r="D79" s="331">
        <v>0</v>
      </c>
      <c r="E79" s="331">
        <v>4248</v>
      </c>
      <c r="F79" s="331">
        <v>2806</v>
      </c>
      <c r="G79" s="331">
        <v>4860</v>
      </c>
      <c r="H79" s="331">
        <v>4193</v>
      </c>
      <c r="I79" s="331">
        <v>22869</v>
      </c>
      <c r="J79" s="331">
        <v>2458</v>
      </c>
      <c r="K79" s="331">
        <f t="shared" si="9"/>
        <v>102490</v>
      </c>
      <c r="L79" s="198"/>
      <c r="M79" s="198"/>
      <c r="N79" s="198"/>
      <c r="O79" s="198"/>
      <c r="P79" s="198"/>
      <c r="Q79" s="198"/>
      <c r="R79" s="198"/>
      <c r="S79" s="198"/>
    </row>
    <row r="80" spans="1:19" ht="12.75">
      <c r="A80" s="331" t="s">
        <v>96</v>
      </c>
      <c r="B80" s="331"/>
      <c r="C80" s="331">
        <v>69422</v>
      </c>
      <c r="D80" s="331">
        <v>0</v>
      </c>
      <c r="E80" s="331">
        <v>1949</v>
      </c>
      <c r="F80" s="331">
        <v>3396</v>
      </c>
      <c r="G80" s="331">
        <v>5382</v>
      </c>
      <c r="H80" s="331">
        <v>3494</v>
      </c>
      <c r="I80" s="331">
        <v>23661</v>
      </c>
      <c r="J80" s="331">
        <v>2469</v>
      </c>
      <c r="K80" s="331">
        <f t="shared" si="9"/>
        <v>109773</v>
      </c>
      <c r="L80" s="198"/>
      <c r="M80" s="198"/>
      <c r="N80" s="198"/>
      <c r="O80" s="198"/>
      <c r="P80" s="198"/>
      <c r="Q80" s="198"/>
      <c r="R80" s="198"/>
      <c r="S80" s="198"/>
    </row>
    <row r="81" spans="1:19" ht="12.75">
      <c r="A81" s="331" t="s">
        <v>97</v>
      </c>
      <c r="B81" s="331"/>
      <c r="C81" s="331">
        <v>67625</v>
      </c>
      <c r="D81" s="331">
        <v>0</v>
      </c>
      <c r="E81" s="331">
        <v>2236</v>
      </c>
      <c r="F81" s="331">
        <v>3087</v>
      </c>
      <c r="G81" s="331">
        <v>4408</v>
      </c>
      <c r="H81" s="331">
        <v>3403</v>
      </c>
      <c r="I81" s="331">
        <v>23567</v>
      </c>
      <c r="J81" s="331">
        <v>2471</v>
      </c>
      <c r="K81" s="331">
        <f t="shared" si="9"/>
        <v>106797</v>
      </c>
      <c r="L81" s="198"/>
      <c r="M81" s="198"/>
      <c r="N81" s="198"/>
      <c r="O81" s="198"/>
      <c r="P81" s="198"/>
      <c r="Q81" s="198"/>
      <c r="R81" s="198"/>
      <c r="S81" s="198"/>
    </row>
    <row r="82" spans="1:19" ht="12.75">
      <c r="A82" s="331" t="s">
        <v>98</v>
      </c>
      <c r="B82" s="331"/>
      <c r="C82" s="331">
        <v>75830</v>
      </c>
      <c r="D82" s="331">
        <v>0</v>
      </c>
      <c r="E82" s="331">
        <v>3762</v>
      </c>
      <c r="F82" s="331">
        <v>3628</v>
      </c>
      <c r="G82" s="331">
        <v>4156</v>
      </c>
      <c r="H82" s="331">
        <v>2515</v>
      </c>
      <c r="I82" s="331">
        <v>23997</v>
      </c>
      <c r="J82" s="331">
        <v>2478</v>
      </c>
      <c r="K82" s="331">
        <f t="shared" si="9"/>
        <v>116366</v>
      </c>
      <c r="L82" s="198"/>
      <c r="M82" s="198"/>
      <c r="N82" s="198"/>
      <c r="O82" s="198"/>
      <c r="P82" s="198"/>
      <c r="Q82" s="198"/>
      <c r="R82" s="198"/>
      <c r="S82" s="198"/>
    </row>
    <row r="83" spans="1:19" ht="12.75">
      <c r="A83" s="331" t="s">
        <v>99</v>
      </c>
      <c r="B83" s="331"/>
      <c r="C83" s="331">
        <v>75737</v>
      </c>
      <c r="D83" s="331">
        <v>0</v>
      </c>
      <c r="E83" s="331">
        <v>2012</v>
      </c>
      <c r="F83" s="331">
        <v>3400</v>
      </c>
      <c r="G83" s="331">
        <v>5213</v>
      </c>
      <c r="H83" s="331">
        <v>2401</v>
      </c>
      <c r="I83" s="331">
        <v>24955</v>
      </c>
      <c r="J83" s="331">
        <v>2484</v>
      </c>
      <c r="K83" s="331">
        <f t="shared" si="9"/>
        <v>116202</v>
      </c>
      <c r="L83" s="198"/>
      <c r="M83" s="198"/>
      <c r="N83" s="198"/>
      <c r="O83" s="198"/>
      <c r="P83" s="198"/>
      <c r="Q83" s="198"/>
      <c r="R83" s="198"/>
      <c r="S83" s="198"/>
    </row>
    <row r="84" spans="1:19" ht="12.75">
      <c r="A84" s="331" t="s">
        <v>100</v>
      </c>
      <c r="B84" s="331"/>
      <c r="C84" s="331">
        <v>84224</v>
      </c>
      <c r="D84" s="331">
        <v>0</v>
      </c>
      <c r="E84" s="331">
        <v>1982</v>
      </c>
      <c r="F84" s="331">
        <v>3525</v>
      </c>
      <c r="G84" s="331">
        <v>5608</v>
      </c>
      <c r="H84" s="331">
        <v>2407</v>
      </c>
      <c r="I84" s="331">
        <v>24371</v>
      </c>
      <c r="J84" s="331">
        <v>2490</v>
      </c>
      <c r="K84" s="331">
        <f t="shared" si="9"/>
        <v>124607</v>
      </c>
      <c r="L84" s="198"/>
      <c r="M84" s="198"/>
      <c r="N84" s="198"/>
      <c r="O84" s="198"/>
      <c r="P84" s="198"/>
      <c r="Q84" s="198"/>
      <c r="R84" s="198"/>
      <c r="S84" s="198"/>
    </row>
    <row r="85" spans="1:19" ht="12.75">
      <c r="A85" s="331" t="s">
        <v>101</v>
      </c>
      <c r="B85" s="331"/>
      <c r="C85" s="331">
        <v>71560</v>
      </c>
      <c r="D85" s="331">
        <v>0</v>
      </c>
      <c r="E85" s="331">
        <v>3159</v>
      </c>
      <c r="F85" s="331">
        <v>2717</v>
      </c>
      <c r="G85" s="331">
        <v>5096</v>
      </c>
      <c r="H85" s="331">
        <v>2391</v>
      </c>
      <c r="I85" s="331">
        <v>24209</v>
      </c>
      <c r="J85" s="331">
        <v>2492</v>
      </c>
      <c r="K85" s="331">
        <f t="shared" si="9"/>
        <v>111624</v>
      </c>
      <c r="L85" s="198"/>
      <c r="M85" s="198"/>
      <c r="N85" s="198"/>
      <c r="O85" s="198"/>
      <c r="P85" s="198"/>
      <c r="Q85" s="198"/>
      <c r="R85" s="198"/>
      <c r="S85" s="198"/>
    </row>
    <row r="86" spans="1:19" ht="12.75">
      <c r="A86" s="331" t="s">
        <v>102</v>
      </c>
      <c r="B86" s="331"/>
      <c r="C86" s="331">
        <v>70286</v>
      </c>
      <c r="D86" s="331">
        <v>0</v>
      </c>
      <c r="E86" s="331">
        <v>3390</v>
      </c>
      <c r="F86" s="331">
        <v>3042</v>
      </c>
      <c r="G86" s="331">
        <v>4980</v>
      </c>
      <c r="H86" s="331">
        <v>2614</v>
      </c>
      <c r="I86" s="331">
        <v>22166</v>
      </c>
      <c r="J86" s="331">
        <v>2492</v>
      </c>
      <c r="K86" s="331">
        <f t="shared" si="9"/>
        <v>108970</v>
      </c>
      <c r="L86" s="198"/>
      <c r="M86" s="198"/>
      <c r="N86" s="198"/>
      <c r="O86" s="198"/>
      <c r="P86" s="198"/>
      <c r="Q86" s="198"/>
      <c r="R86" s="198"/>
      <c r="S86" s="198"/>
    </row>
    <row r="87" spans="1:19" ht="12.75">
      <c r="A87" s="331"/>
      <c r="B87" s="331"/>
      <c r="C87" s="331"/>
      <c r="D87" s="331"/>
      <c r="E87" s="331"/>
      <c r="F87" s="331"/>
      <c r="G87" s="331"/>
      <c r="H87" s="331"/>
      <c r="I87" s="331"/>
      <c r="J87" s="331"/>
      <c r="K87" s="331"/>
      <c r="L87" s="198"/>
      <c r="M87" s="198"/>
      <c r="N87" s="198"/>
      <c r="O87" s="198"/>
      <c r="P87" s="198"/>
      <c r="Q87" s="198"/>
      <c r="R87" s="198"/>
      <c r="S87" s="198"/>
    </row>
    <row r="88" spans="1:19" ht="12.75">
      <c r="A88" s="331" t="s">
        <v>88</v>
      </c>
      <c r="B88" s="331"/>
      <c r="C88" s="331">
        <f aca="true" t="shared" si="10" ref="C88:J88">SUM(C75:C86)</f>
        <v>968303</v>
      </c>
      <c r="D88" s="331">
        <v>0</v>
      </c>
      <c r="E88" s="331">
        <f t="shared" si="10"/>
        <v>38069</v>
      </c>
      <c r="F88" s="331">
        <f t="shared" si="10"/>
        <v>38949</v>
      </c>
      <c r="G88" s="331">
        <f>SUM(G75:G86)</f>
        <v>59768</v>
      </c>
      <c r="H88" s="331">
        <f>SUM(H75:H86)</f>
        <v>40745</v>
      </c>
      <c r="I88" s="331">
        <f>SUM(I75:I86)</f>
        <v>276048</v>
      </c>
      <c r="J88" s="331">
        <f t="shared" si="10"/>
        <v>29671</v>
      </c>
      <c r="K88" s="331">
        <f>SUM(K75:K86)</f>
        <v>1451553</v>
      </c>
      <c r="L88" s="198"/>
      <c r="M88" s="203">
        <f>SUM(C88:J88)</f>
        <v>1451553</v>
      </c>
      <c r="N88" s="198"/>
      <c r="O88" s="198"/>
      <c r="P88" s="198"/>
      <c r="Q88" s="198"/>
      <c r="R88" s="198"/>
      <c r="S88" s="198"/>
    </row>
    <row r="89" spans="1:19" ht="12.75">
      <c r="A89" s="331"/>
      <c r="B89" s="331"/>
      <c r="C89" s="331"/>
      <c r="D89" s="331"/>
      <c r="E89" s="331"/>
      <c r="F89" s="331"/>
      <c r="G89" s="331"/>
      <c r="H89" s="331"/>
      <c r="I89" s="331"/>
      <c r="J89" s="331"/>
      <c r="K89" s="331"/>
      <c r="L89" s="198"/>
      <c r="M89" s="198"/>
      <c r="N89" s="198"/>
      <c r="O89" s="198"/>
      <c r="P89" s="198"/>
      <c r="Q89" s="198"/>
      <c r="R89" s="198"/>
      <c r="S89" s="198"/>
    </row>
    <row r="90" spans="1:19" s="205" customFormat="1" ht="12.75">
      <c r="A90" s="343" t="s">
        <v>104</v>
      </c>
      <c r="B90" s="343"/>
      <c r="C90" s="343">
        <f aca="true" t="shared" si="11" ref="C90:J90">(C88/$K$88)</f>
        <v>0.667080705974911</v>
      </c>
      <c r="D90" s="343">
        <f t="shared" si="11"/>
        <v>0</v>
      </c>
      <c r="E90" s="343">
        <f t="shared" si="11"/>
        <v>0.02622639338694488</v>
      </c>
      <c r="F90" s="343">
        <f t="shared" si="11"/>
        <v>0.026832640626969873</v>
      </c>
      <c r="G90" s="343">
        <f t="shared" si="11"/>
        <v>0.04117521027478845</v>
      </c>
      <c r="H90" s="343">
        <f t="shared" si="11"/>
        <v>0.02806993613047543</v>
      </c>
      <c r="I90" s="343">
        <f t="shared" si="11"/>
        <v>0.19017424785729492</v>
      </c>
      <c r="J90" s="343">
        <f t="shared" si="11"/>
        <v>0.02044086574861545</v>
      </c>
      <c r="K90" s="343">
        <f>(K88/$K$88)</f>
        <v>1</v>
      </c>
      <c r="L90" s="198"/>
      <c r="M90" s="214">
        <f>SUM(C90:J90)</f>
        <v>1</v>
      </c>
      <c r="N90" s="198"/>
      <c r="O90" s="198"/>
      <c r="P90" s="198"/>
      <c r="Q90" s="198"/>
      <c r="R90" s="198"/>
      <c r="S90" s="198"/>
    </row>
    <row r="91" spans="1:11" ht="12.75">
      <c r="A91" s="331"/>
      <c r="B91" s="331"/>
      <c r="C91" s="331"/>
      <c r="D91" s="331"/>
      <c r="E91" s="331"/>
      <c r="F91" s="331"/>
      <c r="G91" s="331"/>
      <c r="H91" s="331"/>
      <c r="I91" s="331"/>
      <c r="J91" s="331"/>
      <c r="K91" s="331"/>
    </row>
    <row r="92" spans="1:19" s="205" customFormat="1" ht="12.75">
      <c r="A92" s="343"/>
      <c r="B92" s="343"/>
      <c r="C92" s="343"/>
      <c r="D92" s="343"/>
      <c r="E92" s="343"/>
      <c r="F92" s="343"/>
      <c r="G92" s="343"/>
      <c r="H92" s="331" t="s">
        <v>24</v>
      </c>
      <c r="I92" s="331"/>
      <c r="J92" s="331"/>
      <c r="K92" s="343"/>
      <c r="L92" s="198"/>
      <c r="M92" s="198"/>
      <c r="N92" s="198"/>
      <c r="O92" s="198"/>
      <c r="P92" s="198"/>
      <c r="Q92" s="198"/>
      <c r="R92" s="198"/>
      <c r="S92" s="198"/>
    </row>
    <row r="93" spans="1:19" s="205" customFormat="1" ht="12.75">
      <c r="A93" s="343" t="s">
        <v>217</v>
      </c>
      <c r="B93" s="343"/>
      <c r="C93" s="343"/>
      <c r="D93" s="343"/>
      <c r="E93" s="343"/>
      <c r="F93" s="343"/>
      <c r="G93" s="343"/>
      <c r="H93" s="331"/>
      <c r="I93" s="331"/>
      <c r="J93" s="331"/>
      <c r="K93" s="343"/>
      <c r="L93" s="198"/>
      <c r="M93" s="198"/>
      <c r="N93" s="198"/>
      <c r="O93" s="198"/>
      <c r="P93" s="198"/>
      <c r="Q93" s="198"/>
      <c r="R93" s="198"/>
      <c r="S93" s="198"/>
    </row>
    <row r="94" spans="1:11" s="205" customFormat="1" ht="12.75">
      <c r="A94" s="343"/>
      <c r="B94" s="343"/>
      <c r="C94" s="343"/>
      <c r="D94" s="343"/>
      <c r="E94" s="343"/>
      <c r="F94" s="343"/>
      <c r="G94" s="343"/>
      <c r="H94" s="331"/>
      <c r="I94" s="331"/>
      <c r="J94" s="331"/>
      <c r="K94" s="331" t="s">
        <v>24</v>
      </c>
    </row>
    <row r="95" spans="1:11" ht="12.75">
      <c r="A95" s="331"/>
      <c r="B95" s="331"/>
      <c r="C95" s="331"/>
      <c r="D95" s="331"/>
      <c r="E95" s="331"/>
      <c r="F95" s="331"/>
      <c r="G95" s="331"/>
      <c r="H95" s="331"/>
      <c r="I95" s="331"/>
      <c r="J95" s="331"/>
      <c r="K95" s="331"/>
    </row>
    <row r="96" spans="1:13" ht="12.75">
      <c r="A96" s="347">
        <v>2458.2999999999993</v>
      </c>
      <c r="B96" s="347">
        <v>2460.55</v>
      </c>
      <c r="C96" s="347">
        <v>2462.175</v>
      </c>
      <c r="D96" s="347">
        <v>2455.825</v>
      </c>
      <c r="E96" s="347">
        <v>2458.3499999999995</v>
      </c>
      <c r="F96" s="347">
        <v>2462.95</v>
      </c>
      <c r="G96" s="347">
        <v>2470.5</v>
      </c>
      <c r="H96" s="347">
        <v>2477.65</v>
      </c>
      <c r="I96" s="347">
        <v>2483.95</v>
      </c>
      <c r="J96" s="347">
        <v>2490</v>
      </c>
      <c r="K96" s="347">
        <v>2492.275</v>
      </c>
      <c r="L96" s="213">
        <v>2492.2999999999993</v>
      </c>
      <c r="M96" s="211">
        <v>29664.825</v>
      </c>
    </row>
    <row r="97" spans="1:11" ht="12.75">
      <c r="A97" s="331"/>
      <c r="B97" s="331"/>
      <c r="C97" s="331"/>
      <c r="D97" s="331"/>
      <c r="E97" s="331"/>
      <c r="F97" s="331"/>
      <c r="G97" s="331"/>
      <c r="H97" s="331"/>
      <c r="I97" s="331"/>
      <c r="J97" s="331"/>
      <c r="K97" s="331"/>
    </row>
    <row r="98" spans="1:11" ht="12.75">
      <c r="A98" s="331"/>
      <c r="B98" s="331"/>
      <c r="C98" s="331"/>
      <c r="D98" s="331"/>
      <c r="E98" s="331"/>
      <c r="F98" s="331"/>
      <c r="G98" s="331"/>
      <c r="H98" s="331"/>
      <c r="I98" s="331"/>
      <c r="J98" s="331"/>
      <c r="K98" s="331"/>
    </row>
    <row r="99" spans="1:11" ht="12.75">
      <c r="A99" s="331"/>
      <c r="B99" s="332"/>
      <c r="C99" s="331"/>
      <c r="D99" s="331"/>
      <c r="E99" s="331"/>
      <c r="F99" s="331"/>
      <c r="G99" s="331"/>
      <c r="H99" s="331"/>
      <c r="I99" s="331"/>
      <c r="J99" s="331"/>
      <c r="K99" s="331"/>
    </row>
    <row r="100" spans="1:11" s="198" customFormat="1" ht="12.75">
      <c r="A100" s="332" t="s">
        <v>292</v>
      </c>
      <c r="B100" s="332"/>
      <c r="C100" s="334"/>
      <c r="D100" s="334"/>
      <c r="E100" s="334"/>
      <c r="F100" s="334"/>
      <c r="G100" s="334"/>
      <c r="H100" s="331"/>
      <c r="I100" s="331"/>
      <c r="J100" s="331"/>
      <c r="K100" s="334"/>
    </row>
    <row r="101" spans="1:11" ht="12.75">
      <c r="A101" s="332" t="s">
        <v>24</v>
      </c>
      <c r="B101" s="332"/>
      <c r="C101" s="331"/>
      <c r="D101" s="331"/>
      <c r="E101" s="331"/>
      <c r="F101" s="331"/>
      <c r="G101" s="331"/>
      <c r="H101" s="331"/>
      <c r="I101" s="331"/>
      <c r="J101" s="331"/>
      <c r="K101" s="331"/>
    </row>
    <row r="102" spans="1:20" ht="12.75">
      <c r="A102" s="331"/>
      <c r="B102" s="331"/>
      <c r="C102" s="331"/>
      <c r="D102" s="331"/>
      <c r="E102" s="331"/>
      <c r="F102" s="331"/>
      <c r="G102" s="331"/>
      <c r="H102" s="331"/>
      <c r="I102" s="331"/>
      <c r="J102" s="331"/>
      <c r="K102" s="334"/>
      <c r="L102" s="198"/>
      <c r="M102" s="198"/>
      <c r="N102" s="198"/>
      <c r="O102" s="198"/>
      <c r="P102" s="198"/>
      <c r="Q102" s="198"/>
      <c r="R102" s="198"/>
      <c r="S102" s="198"/>
      <c r="T102" s="199"/>
    </row>
    <row r="103" spans="1:20" ht="12.75">
      <c r="A103" s="331"/>
      <c r="B103" s="331"/>
      <c r="C103" s="333" t="s">
        <v>295</v>
      </c>
      <c r="D103" s="333" t="s">
        <v>295</v>
      </c>
      <c r="E103" s="333" t="s">
        <v>298</v>
      </c>
      <c r="F103" s="333" t="s">
        <v>298</v>
      </c>
      <c r="G103" s="333" t="s">
        <v>302</v>
      </c>
      <c r="H103" s="333" t="s">
        <v>304</v>
      </c>
      <c r="I103" s="333" t="s">
        <v>306</v>
      </c>
      <c r="J103" s="333" t="s">
        <v>307</v>
      </c>
      <c r="K103" s="334"/>
      <c r="L103" s="198"/>
      <c r="M103" s="198"/>
      <c r="N103" s="198"/>
      <c r="O103" s="198"/>
      <c r="P103" s="198"/>
      <c r="Q103" s="198"/>
      <c r="R103" s="198"/>
      <c r="S103" s="198"/>
      <c r="T103" s="199"/>
    </row>
    <row r="104" spans="1:20" ht="12.75">
      <c r="A104" s="331"/>
      <c r="B104" s="331"/>
      <c r="C104" s="333" t="s">
        <v>223</v>
      </c>
      <c r="D104" s="333" t="s">
        <v>223</v>
      </c>
      <c r="E104" s="333" t="s">
        <v>299</v>
      </c>
      <c r="F104" s="333" t="s">
        <v>245</v>
      </c>
      <c r="G104" s="333" t="s">
        <v>303</v>
      </c>
      <c r="H104" s="333" t="s">
        <v>135</v>
      </c>
      <c r="I104" s="333" t="s">
        <v>135</v>
      </c>
      <c r="J104" s="333" t="s">
        <v>308</v>
      </c>
      <c r="K104" s="335" t="s">
        <v>88</v>
      </c>
      <c r="L104" s="198"/>
      <c r="M104" s="198"/>
      <c r="N104" s="198"/>
      <c r="O104" s="198"/>
      <c r="P104" s="198"/>
      <c r="Q104" s="198"/>
      <c r="R104" s="198"/>
      <c r="S104" s="198"/>
      <c r="T104" s="199"/>
    </row>
    <row r="105" spans="1:19" ht="15">
      <c r="A105" s="336" t="s">
        <v>91</v>
      </c>
      <c r="B105" s="331"/>
      <c r="C105" s="337" t="s">
        <v>296</v>
      </c>
      <c r="D105" s="337" t="s">
        <v>297</v>
      </c>
      <c r="E105" s="337" t="s">
        <v>300</v>
      </c>
      <c r="F105" s="337" t="s">
        <v>301</v>
      </c>
      <c r="G105" s="337" t="s">
        <v>296</v>
      </c>
      <c r="H105" s="337" t="s">
        <v>305</v>
      </c>
      <c r="I105" s="337" t="s">
        <v>136</v>
      </c>
      <c r="J105" s="337" t="s">
        <v>244</v>
      </c>
      <c r="K105" s="331"/>
      <c r="L105" s="198"/>
      <c r="M105" s="198"/>
      <c r="N105" s="198"/>
      <c r="O105" s="198"/>
      <c r="P105" s="198"/>
      <c r="Q105" s="198"/>
      <c r="R105" s="198"/>
      <c r="S105" s="198"/>
    </row>
    <row r="106" spans="1:19" ht="12.75">
      <c r="A106" s="331"/>
      <c r="B106" s="331"/>
      <c r="C106" s="331"/>
      <c r="D106" s="331"/>
      <c r="E106" s="331"/>
      <c r="F106" s="331"/>
      <c r="G106" s="331"/>
      <c r="H106" s="331"/>
      <c r="I106" s="331"/>
      <c r="J106" s="331"/>
      <c r="K106" s="331"/>
      <c r="L106" s="198"/>
      <c r="M106" s="198"/>
      <c r="N106" s="198"/>
      <c r="O106" s="198"/>
      <c r="P106" s="198"/>
      <c r="Q106" s="198"/>
      <c r="R106" s="198"/>
      <c r="S106" s="198"/>
    </row>
    <row r="107" spans="1:19" ht="12.75">
      <c r="A107" s="331" t="s">
        <v>92</v>
      </c>
      <c r="B107" s="331"/>
      <c r="C107" s="331">
        <v>255156</v>
      </c>
      <c r="D107" s="331">
        <v>0</v>
      </c>
      <c r="E107" s="331">
        <v>9747</v>
      </c>
      <c r="F107" s="331">
        <v>2131</v>
      </c>
      <c r="G107" s="331">
        <v>5629</v>
      </c>
      <c r="H107" s="331">
        <v>4256</v>
      </c>
      <c r="I107" s="331">
        <v>23933</v>
      </c>
      <c r="J107" s="331">
        <v>2458</v>
      </c>
      <c r="K107" s="331">
        <f>SUM(C107:J107)</f>
        <v>303310</v>
      </c>
      <c r="L107" s="198"/>
      <c r="M107" s="198"/>
      <c r="N107" s="198"/>
      <c r="O107" s="198"/>
      <c r="P107" s="198"/>
      <c r="Q107" s="198"/>
      <c r="R107" s="198"/>
      <c r="S107" s="198"/>
    </row>
    <row r="108" spans="1:19" ht="12.75">
      <c r="A108" s="331" t="s">
        <v>93</v>
      </c>
      <c r="B108" s="331"/>
      <c r="C108" s="331">
        <v>233030</v>
      </c>
      <c r="D108" s="331">
        <v>0</v>
      </c>
      <c r="E108" s="331">
        <v>9286</v>
      </c>
      <c r="F108" s="331">
        <v>2095</v>
      </c>
      <c r="G108" s="331">
        <v>6070</v>
      </c>
      <c r="H108" s="331">
        <v>4071</v>
      </c>
      <c r="I108" s="331">
        <v>23200</v>
      </c>
      <c r="J108" s="331">
        <v>2461</v>
      </c>
      <c r="K108" s="331">
        <f aca="true" t="shared" si="12" ref="K108:K118">SUM(C108:J108)</f>
        <v>280213</v>
      </c>
      <c r="L108" s="198"/>
      <c r="M108" s="198"/>
      <c r="N108" s="198"/>
      <c r="O108" s="198"/>
      <c r="P108" s="198"/>
      <c r="Q108" s="198"/>
      <c r="R108" s="198"/>
      <c r="S108" s="198"/>
    </row>
    <row r="109" spans="1:19" ht="12.75">
      <c r="A109" s="331" t="s">
        <v>94</v>
      </c>
      <c r="B109" s="331"/>
      <c r="C109" s="331">
        <v>243453</v>
      </c>
      <c r="D109" s="331">
        <v>0</v>
      </c>
      <c r="E109" s="331">
        <v>9388</v>
      </c>
      <c r="F109" s="331">
        <v>2077</v>
      </c>
      <c r="G109" s="331">
        <v>6068</v>
      </c>
      <c r="H109" s="331">
        <v>4241</v>
      </c>
      <c r="I109" s="331">
        <v>22602</v>
      </c>
      <c r="J109" s="331">
        <v>2462</v>
      </c>
      <c r="K109" s="331">
        <f t="shared" si="12"/>
        <v>290291</v>
      </c>
      <c r="L109" s="198"/>
      <c r="M109" s="198"/>
      <c r="N109" s="198"/>
      <c r="O109" s="198"/>
      <c r="P109" s="198"/>
      <c r="Q109" s="198"/>
      <c r="R109" s="198"/>
      <c r="S109" s="198"/>
    </row>
    <row r="110" spans="1:19" ht="12.75">
      <c r="A110" s="331" t="s">
        <v>95</v>
      </c>
      <c r="B110" s="331"/>
      <c r="C110" s="331">
        <v>245771</v>
      </c>
      <c r="D110" s="331">
        <v>0</v>
      </c>
      <c r="E110" s="331">
        <v>8877</v>
      </c>
      <c r="F110" s="331">
        <v>1983</v>
      </c>
      <c r="G110" s="331">
        <v>5533</v>
      </c>
      <c r="H110" s="331">
        <v>4759.2</v>
      </c>
      <c r="I110" s="331">
        <v>24585</v>
      </c>
      <c r="J110" s="331">
        <v>2456</v>
      </c>
      <c r="K110" s="331">
        <f t="shared" si="12"/>
        <v>293964.2</v>
      </c>
      <c r="L110" s="198"/>
      <c r="M110" s="198"/>
      <c r="N110" s="198"/>
      <c r="O110" s="198"/>
      <c r="P110" s="198"/>
      <c r="Q110" s="198"/>
      <c r="R110" s="198"/>
      <c r="S110" s="198"/>
    </row>
    <row r="111" spans="1:19" ht="12.75">
      <c r="A111" s="331" t="s">
        <v>96</v>
      </c>
      <c r="B111" s="331"/>
      <c r="C111" s="331">
        <v>226758</v>
      </c>
      <c r="D111" s="331">
        <v>0</v>
      </c>
      <c r="E111" s="331">
        <v>8872</v>
      </c>
      <c r="F111" s="331">
        <v>1963</v>
      </c>
      <c r="G111" s="331">
        <v>5685</v>
      </c>
      <c r="H111" s="331">
        <v>4193</v>
      </c>
      <c r="I111" s="331">
        <v>24957</v>
      </c>
      <c r="J111" s="331">
        <v>2458</v>
      </c>
      <c r="K111" s="331">
        <f t="shared" si="12"/>
        <v>274886</v>
      </c>
      <c r="L111" s="198"/>
      <c r="M111" s="198"/>
      <c r="N111" s="198"/>
      <c r="O111" s="198"/>
      <c r="P111" s="198"/>
      <c r="Q111" s="198"/>
      <c r="R111" s="198"/>
      <c r="S111" s="198"/>
    </row>
    <row r="112" spans="1:19" ht="12.75">
      <c r="A112" s="331" t="s">
        <v>97</v>
      </c>
      <c r="B112" s="331"/>
      <c r="C112" s="331">
        <v>236797</v>
      </c>
      <c r="D112" s="331">
        <v>0</v>
      </c>
      <c r="E112" s="331">
        <v>9249</v>
      </c>
      <c r="F112" s="331">
        <v>2103</v>
      </c>
      <c r="G112" s="331">
        <v>6239</v>
      </c>
      <c r="H112" s="331">
        <v>3494</v>
      </c>
      <c r="I112" s="331">
        <v>25855</v>
      </c>
      <c r="J112" s="331">
        <v>2463</v>
      </c>
      <c r="K112" s="331">
        <f t="shared" si="12"/>
        <v>286200</v>
      </c>
      <c r="L112" s="198"/>
      <c r="M112" s="198"/>
      <c r="N112" s="198"/>
      <c r="O112" s="198"/>
      <c r="P112" s="198"/>
      <c r="Q112" s="198"/>
      <c r="R112" s="198"/>
      <c r="S112" s="198"/>
    </row>
    <row r="113" spans="1:19" ht="12.75">
      <c r="A113" s="331" t="s">
        <v>98</v>
      </c>
      <c r="B113" s="331"/>
      <c r="C113" s="331">
        <v>205669</v>
      </c>
      <c r="D113" s="331">
        <v>0</v>
      </c>
      <c r="E113" s="331">
        <v>9964</v>
      </c>
      <c r="F113" s="331">
        <v>2071</v>
      </c>
      <c r="G113" s="331">
        <v>5183</v>
      </c>
      <c r="H113" s="331">
        <v>3403</v>
      </c>
      <c r="I113" s="331">
        <v>25515</v>
      </c>
      <c r="J113" s="331">
        <v>2471</v>
      </c>
      <c r="K113" s="331">
        <f t="shared" si="12"/>
        <v>254276</v>
      </c>
      <c r="L113" s="198"/>
      <c r="M113" s="198"/>
      <c r="N113" s="198"/>
      <c r="O113" s="198"/>
      <c r="P113" s="198"/>
      <c r="Q113" s="198"/>
      <c r="R113" s="198"/>
      <c r="S113" s="198"/>
    </row>
    <row r="114" spans="1:19" ht="12.75">
      <c r="A114" s="331" t="s">
        <v>99</v>
      </c>
      <c r="B114" s="331"/>
      <c r="C114" s="331">
        <v>202118</v>
      </c>
      <c r="D114" s="331">
        <v>0</v>
      </c>
      <c r="E114" s="331">
        <v>11007</v>
      </c>
      <c r="F114" s="331">
        <v>2187</v>
      </c>
      <c r="G114" s="331">
        <v>4924</v>
      </c>
      <c r="H114" s="331">
        <v>2515</v>
      </c>
      <c r="I114" s="331">
        <v>25975</v>
      </c>
      <c r="J114" s="331">
        <v>2478</v>
      </c>
      <c r="K114" s="331">
        <f t="shared" si="12"/>
        <v>251204</v>
      </c>
      <c r="L114" s="198"/>
      <c r="M114" s="198"/>
      <c r="N114" s="198"/>
      <c r="O114" s="198"/>
      <c r="P114" s="198"/>
      <c r="Q114" s="198"/>
      <c r="R114" s="198"/>
      <c r="S114" s="198"/>
    </row>
    <row r="115" spans="1:19" ht="12.75">
      <c r="A115" s="331" t="s">
        <v>100</v>
      </c>
      <c r="B115" s="331"/>
      <c r="C115" s="331">
        <v>206838</v>
      </c>
      <c r="D115" s="331">
        <v>0</v>
      </c>
      <c r="E115" s="331">
        <v>9777</v>
      </c>
      <c r="F115" s="331">
        <v>2135</v>
      </c>
      <c r="G115" s="331">
        <v>6143</v>
      </c>
      <c r="H115" s="331">
        <v>2401</v>
      </c>
      <c r="I115" s="331">
        <v>27113</v>
      </c>
      <c r="J115" s="331">
        <v>2484</v>
      </c>
      <c r="K115" s="331">
        <f t="shared" si="12"/>
        <v>256891</v>
      </c>
      <c r="L115" s="198"/>
      <c r="M115" s="198"/>
      <c r="N115" s="198"/>
      <c r="O115" s="198"/>
      <c r="P115" s="198"/>
      <c r="Q115" s="198"/>
      <c r="R115" s="198"/>
      <c r="S115" s="198"/>
    </row>
    <row r="116" spans="1:19" ht="12.75">
      <c r="A116" s="331" t="s">
        <v>101</v>
      </c>
      <c r="B116" s="331"/>
      <c r="C116" s="331">
        <v>206511</v>
      </c>
      <c r="D116" s="331">
        <v>0</v>
      </c>
      <c r="E116" s="331">
        <v>9077</v>
      </c>
      <c r="F116" s="331">
        <v>2043</v>
      </c>
      <c r="G116" s="331">
        <v>6333</v>
      </c>
      <c r="H116" s="331">
        <v>2407</v>
      </c>
      <c r="I116" s="331">
        <v>26066</v>
      </c>
      <c r="J116" s="331">
        <v>2490</v>
      </c>
      <c r="K116" s="331">
        <f t="shared" si="12"/>
        <v>254927</v>
      </c>
      <c r="L116" s="198"/>
      <c r="M116" s="198"/>
      <c r="N116" s="198"/>
      <c r="O116" s="198"/>
      <c r="P116" s="198"/>
      <c r="Q116" s="198"/>
      <c r="R116" s="198"/>
      <c r="S116" s="198"/>
    </row>
    <row r="117" spans="1:19" ht="12.75">
      <c r="A117" s="331" t="s">
        <v>102</v>
      </c>
      <c r="B117" s="331"/>
      <c r="C117" s="331">
        <v>223272</v>
      </c>
      <c r="D117" s="331">
        <v>0</v>
      </c>
      <c r="E117" s="331">
        <v>11508</v>
      </c>
      <c r="F117" s="331">
        <v>2246</v>
      </c>
      <c r="G117" s="331">
        <v>5817</v>
      </c>
      <c r="H117" s="331">
        <v>2391</v>
      </c>
      <c r="I117" s="331">
        <v>26089</v>
      </c>
      <c r="J117" s="331">
        <v>2492</v>
      </c>
      <c r="K117" s="331">
        <f t="shared" si="12"/>
        <v>273815</v>
      </c>
      <c r="L117" s="198"/>
      <c r="M117" s="198"/>
      <c r="N117" s="198"/>
      <c r="O117" s="198"/>
      <c r="P117" s="198"/>
      <c r="Q117" s="198"/>
      <c r="R117" s="198"/>
      <c r="S117" s="198"/>
    </row>
    <row r="118" spans="1:19" ht="12.75">
      <c r="A118" s="331" t="s">
        <v>103</v>
      </c>
      <c r="B118" s="331"/>
      <c r="C118" s="331">
        <v>230882</v>
      </c>
      <c r="D118" s="331">
        <v>0</v>
      </c>
      <c r="E118" s="331">
        <v>9487</v>
      </c>
      <c r="F118" s="331">
        <v>2136</v>
      </c>
      <c r="G118" s="331">
        <v>6335</v>
      </c>
      <c r="H118" s="331">
        <v>2613.6000000000004</v>
      </c>
      <c r="I118" s="331">
        <v>25429</v>
      </c>
      <c r="J118" s="331">
        <v>2492</v>
      </c>
      <c r="K118" s="331">
        <f t="shared" si="12"/>
        <v>279374.6</v>
      </c>
      <c r="L118" s="198"/>
      <c r="M118" s="198"/>
      <c r="N118" s="198"/>
      <c r="O118" s="198"/>
      <c r="P118" s="198"/>
      <c r="Q118" s="198"/>
      <c r="R118" s="198"/>
      <c r="S118" s="198"/>
    </row>
    <row r="119" spans="1:19" ht="12.75">
      <c r="A119" s="331"/>
      <c r="B119" s="331"/>
      <c r="C119" s="331"/>
      <c r="D119" s="331"/>
      <c r="E119" s="331"/>
      <c r="F119" s="331"/>
      <c r="G119" s="331"/>
      <c r="H119" s="331"/>
      <c r="I119" s="331"/>
      <c r="J119" s="331"/>
      <c r="K119" s="331"/>
      <c r="L119" s="198"/>
      <c r="M119" s="198"/>
      <c r="N119" s="198"/>
      <c r="O119" s="198"/>
      <c r="P119" s="198"/>
      <c r="Q119" s="198"/>
      <c r="R119" s="198"/>
      <c r="S119" s="198"/>
    </row>
    <row r="120" spans="1:19" ht="12.75">
      <c r="A120" s="331" t="s">
        <v>88</v>
      </c>
      <c r="B120" s="331"/>
      <c r="C120" s="331">
        <f>SUM(C107:C118)</f>
        <v>2716255</v>
      </c>
      <c r="D120" s="331">
        <f>SUM(D107:D118)</f>
        <v>0</v>
      </c>
      <c r="E120" s="331">
        <f aca="true" t="shared" si="13" ref="E120:J120">SUM(E107:E118)</f>
        <v>116239</v>
      </c>
      <c r="F120" s="331">
        <f t="shared" si="13"/>
        <v>25170</v>
      </c>
      <c r="G120" s="331">
        <f t="shared" si="13"/>
        <v>69959</v>
      </c>
      <c r="H120" s="331">
        <f t="shared" si="13"/>
        <v>40744.799999999996</v>
      </c>
      <c r="I120" s="331">
        <f>SUM(I107:I118)</f>
        <v>301319</v>
      </c>
      <c r="J120" s="331">
        <f t="shared" si="13"/>
        <v>29665</v>
      </c>
      <c r="K120" s="331">
        <f>SUM(K107:K118)</f>
        <v>3299351.8000000003</v>
      </c>
      <c r="L120" s="198"/>
      <c r="M120" s="198"/>
      <c r="N120" s="198"/>
      <c r="O120" s="198"/>
      <c r="P120" s="198"/>
      <c r="Q120" s="198"/>
      <c r="R120" s="198"/>
      <c r="S120" s="198"/>
    </row>
    <row r="121" spans="1:19" ht="12.75">
      <c r="A121" s="331"/>
      <c r="B121" s="331"/>
      <c r="C121" s="331"/>
      <c r="D121" s="331"/>
      <c r="E121" s="331"/>
      <c r="F121" s="331"/>
      <c r="G121" s="331"/>
      <c r="H121" s="331"/>
      <c r="I121" s="331"/>
      <c r="J121" s="331"/>
      <c r="K121" s="331"/>
      <c r="L121" s="198"/>
      <c r="M121" s="198"/>
      <c r="N121" s="198"/>
      <c r="O121" s="198"/>
      <c r="P121" s="198"/>
      <c r="Q121" s="198"/>
      <c r="R121" s="198"/>
      <c r="S121" s="198"/>
    </row>
    <row r="122" spans="1:19" s="205" customFormat="1" ht="12.75">
      <c r="A122" s="343" t="s">
        <v>104</v>
      </c>
      <c r="B122" s="343"/>
      <c r="C122" s="343">
        <f>(C120/$K$120)</f>
        <v>0.8232692858033508</v>
      </c>
      <c r="D122" s="343">
        <f aca="true" t="shared" si="14" ref="D122:K122">(D120/$K$120)</f>
        <v>0</v>
      </c>
      <c r="E122" s="343">
        <f t="shared" si="14"/>
        <v>0.03523085958884409</v>
      </c>
      <c r="F122" s="343">
        <f t="shared" si="14"/>
        <v>0.00762877120287688</v>
      </c>
      <c r="G122" s="343">
        <f t="shared" si="14"/>
        <v>0.021203861922211506</v>
      </c>
      <c r="H122" s="343">
        <f t="shared" si="14"/>
        <v>0.012349334799641551</v>
      </c>
      <c r="I122" s="343">
        <f t="shared" si="14"/>
        <v>0.09132672666188552</v>
      </c>
      <c r="J122" s="343">
        <f t="shared" si="14"/>
        <v>0.008991160021189616</v>
      </c>
      <c r="K122" s="343">
        <f t="shared" si="14"/>
        <v>1</v>
      </c>
      <c r="L122" s="198"/>
      <c r="M122" s="214">
        <f>SUM(C122:J122)</f>
        <v>0.9999999999999998</v>
      </c>
      <c r="N122" s="198"/>
      <c r="O122" s="198"/>
      <c r="P122" s="198"/>
      <c r="Q122" s="198"/>
      <c r="R122" s="198"/>
      <c r="S122" s="198"/>
    </row>
    <row r="123" spans="1:19" s="205" customFormat="1" ht="12.75">
      <c r="A123" s="343"/>
      <c r="B123" s="343"/>
      <c r="C123" s="343"/>
      <c r="D123" s="343"/>
      <c r="E123" s="343"/>
      <c r="F123" s="343"/>
      <c r="G123" s="343"/>
      <c r="H123" s="331"/>
      <c r="I123" s="331"/>
      <c r="J123" s="331"/>
      <c r="K123" s="343"/>
      <c r="L123" s="198"/>
      <c r="M123" s="198"/>
      <c r="N123" s="198"/>
      <c r="O123" s="198"/>
      <c r="P123" s="198"/>
      <c r="Q123" s="198"/>
      <c r="R123" s="198"/>
      <c r="S123" s="198"/>
    </row>
    <row r="124" spans="1:11" s="205" customFormat="1" ht="12.75">
      <c r="A124" s="343"/>
      <c r="B124" s="343"/>
      <c r="C124" s="343"/>
      <c r="D124" s="343"/>
      <c r="E124" s="343"/>
      <c r="F124" s="343"/>
      <c r="G124" s="343"/>
      <c r="H124" s="331"/>
      <c r="I124" s="331"/>
      <c r="J124" s="331"/>
      <c r="K124" s="343"/>
    </row>
    <row r="125" spans="8:10" s="205" customFormat="1" ht="12.75">
      <c r="H125" s="196"/>
      <c r="I125" s="196"/>
      <c r="J125" s="196"/>
    </row>
    <row r="126" ht="12.75">
      <c r="K126" s="196">
        <v>28</v>
      </c>
    </row>
  </sheetData>
  <sheetProtection/>
  <printOptions horizontalCentered="1" verticalCentered="1"/>
  <pageMargins left="0.75" right="0.75" top="1" bottom="1" header="0.5" footer="0.5"/>
  <pageSetup horizontalDpi="300" verticalDpi="300" orientation="landscape" scale="85" r:id="rId1"/>
  <headerFooter alignWithMargins="0">
    <oddHeader xml:space="preserve">&amp;C&amp;"Arial,Bold"&amp;14 CUMBERLAND VALLEY ELECTRIC, INC.
Case No. 2016-00169
Demand Related Costs and Energy Related Costs Allocators&amp;RRevision 2  Exhibit R
Page ____ of ____
Witness:  James Adkins]
Schedule H
&amp;"Arial,Bold"&amp;11 </oddHeader>
  </headerFooter>
  <rowBreaks count="3" manualBreakCount="3">
    <brk id="32" max="255" man="1"/>
    <brk id="65" max="10" man="1"/>
    <brk id="9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P116"/>
  <sheetViews>
    <sheetView zoomScalePageLayoutView="0" workbookViewId="0" topLeftCell="A44">
      <selection activeCell="E42" sqref="E42:E50"/>
    </sheetView>
  </sheetViews>
  <sheetFormatPr defaultColWidth="9.140625" defaultRowHeight="12.75"/>
  <cols>
    <col min="1" max="1" width="20.8515625" style="55" customWidth="1"/>
    <col min="2" max="2" width="23.28125" style="55" customWidth="1"/>
    <col min="3" max="3" width="12.28125" style="55" customWidth="1"/>
    <col min="4" max="4" width="11.421875" style="55" customWidth="1"/>
    <col min="5" max="5" width="10.00390625" style="55" customWidth="1"/>
    <col min="6" max="6" width="13.140625" style="55" customWidth="1"/>
    <col min="7" max="7" width="10.8515625" style="64" customWidth="1"/>
    <col min="8" max="8" width="15.8515625" style="55" customWidth="1"/>
    <col min="9" max="9" width="10.7109375" style="55" customWidth="1"/>
    <col min="10" max="10" width="12.00390625" style="55" customWidth="1"/>
    <col min="11" max="11" width="11.421875" style="55" bestFit="1" customWidth="1"/>
    <col min="12" max="12" width="13.00390625" style="55" customWidth="1"/>
    <col min="13" max="13" width="11.7109375" style="55" bestFit="1" customWidth="1"/>
    <col min="14" max="14" width="12.8515625" style="55" bestFit="1" customWidth="1"/>
    <col min="15" max="15" width="9.28125" style="55" bestFit="1" customWidth="1"/>
    <col min="16" max="16" width="9.421875" style="55" customWidth="1"/>
    <col min="17" max="17" width="11.28125" style="55" bestFit="1" customWidth="1"/>
    <col min="18" max="16384" width="9.140625" style="55" customWidth="1"/>
  </cols>
  <sheetData>
    <row r="3" spans="1:14" ht="15">
      <c r="A3" s="53"/>
      <c r="B3" s="53"/>
      <c r="C3" s="53"/>
      <c r="D3" s="53"/>
      <c r="E3" s="53"/>
      <c r="F3" s="53"/>
      <c r="G3" s="54"/>
      <c r="H3" s="53"/>
      <c r="I3" s="53"/>
      <c r="J3" s="53"/>
      <c r="K3" s="53"/>
      <c r="L3" s="53"/>
      <c r="M3" s="53"/>
      <c r="N3" s="53"/>
    </row>
    <row r="4" spans="1:14" ht="15">
      <c r="A4" s="53"/>
      <c r="B4" s="53"/>
      <c r="C4" s="53"/>
      <c r="D4" s="53"/>
      <c r="E4" s="53"/>
      <c r="F4" s="53"/>
      <c r="G4" s="54"/>
      <c r="H4" s="53"/>
      <c r="I4" s="53"/>
      <c r="J4" s="53"/>
      <c r="K4" s="53"/>
      <c r="L4" s="53"/>
      <c r="M4" s="53"/>
      <c r="N4" s="53"/>
    </row>
    <row r="5" spans="1:14" ht="15.75">
      <c r="A5" s="56" t="s">
        <v>140</v>
      </c>
      <c r="B5" s="53"/>
      <c r="C5" s="53"/>
      <c r="D5" s="53"/>
      <c r="E5" s="53"/>
      <c r="F5" s="53"/>
      <c r="G5" s="54"/>
      <c r="H5" s="53"/>
      <c r="I5" s="53"/>
      <c r="J5" s="53"/>
      <c r="K5" s="53"/>
      <c r="L5" s="53"/>
      <c r="M5" s="53"/>
      <c r="N5" s="53"/>
    </row>
    <row r="6" spans="1:14" ht="15">
      <c r="A6" s="53"/>
      <c r="B6" s="53"/>
      <c r="C6" s="57" t="s">
        <v>137</v>
      </c>
      <c r="D6" s="57"/>
      <c r="E6" s="57"/>
      <c r="F6" s="57"/>
      <c r="G6" s="58" t="s">
        <v>7</v>
      </c>
      <c r="H6" s="53"/>
      <c r="I6" s="53"/>
      <c r="J6" s="53"/>
      <c r="K6" s="53"/>
      <c r="L6" s="53"/>
      <c r="M6" s="53"/>
      <c r="N6" s="53"/>
    </row>
    <row r="7" spans="1:14" ht="17.25">
      <c r="A7" s="53"/>
      <c r="B7" s="53"/>
      <c r="C7" s="59" t="s">
        <v>138</v>
      </c>
      <c r="D7" s="59"/>
      <c r="E7" s="59"/>
      <c r="F7" s="59"/>
      <c r="G7" s="60" t="s">
        <v>104</v>
      </c>
      <c r="H7" s="53"/>
      <c r="I7" s="53"/>
      <c r="J7" s="53"/>
      <c r="K7" s="53"/>
      <c r="L7" s="53"/>
      <c r="M7" s="53"/>
      <c r="N7" s="53"/>
    </row>
    <row r="8" spans="1:14" ht="15">
      <c r="A8" s="53"/>
      <c r="B8" s="53"/>
      <c r="C8" s="53"/>
      <c r="D8" s="53"/>
      <c r="E8" s="53"/>
      <c r="F8" s="53"/>
      <c r="G8" s="54"/>
      <c r="H8" s="53"/>
      <c r="I8" s="53"/>
      <c r="J8" s="53"/>
      <c r="K8" s="53"/>
      <c r="L8" s="53"/>
      <c r="M8" s="53"/>
      <c r="N8" s="53"/>
    </row>
    <row r="9" spans="1:14" ht="15">
      <c r="A9" s="47" t="s">
        <v>309</v>
      </c>
      <c r="B9" s="53"/>
      <c r="C9" s="97">
        <f>(21766+267)</f>
        <v>22033</v>
      </c>
      <c r="D9" s="53"/>
      <c r="E9" s="53"/>
      <c r="F9" s="53"/>
      <c r="G9" s="48">
        <f aca="true" t="shared" si="0" ref="G9:G17">(C9/$C$18)</f>
        <v>0.9305655277273304</v>
      </c>
      <c r="H9" s="53"/>
      <c r="I9" s="53"/>
      <c r="J9" s="32">
        <f>(C9)</f>
        <v>22033</v>
      </c>
      <c r="K9" s="250">
        <f>(J9/$J$18)</f>
        <v>0.9337203881849387</v>
      </c>
      <c r="L9" s="53"/>
      <c r="M9" s="53"/>
      <c r="N9" s="53"/>
    </row>
    <row r="10" spans="1:14" ht="15">
      <c r="A10" s="92" t="s">
        <v>402</v>
      </c>
      <c r="B10" s="53"/>
      <c r="C10" s="98" t="s">
        <v>24</v>
      </c>
      <c r="D10" s="53"/>
      <c r="E10" s="53"/>
      <c r="F10" s="53"/>
      <c r="G10" s="48">
        <v>0</v>
      </c>
      <c r="H10" s="53"/>
      <c r="I10" s="53"/>
      <c r="J10" s="53"/>
      <c r="K10" s="250">
        <f aca="true" t="shared" si="1" ref="K10:K18">(J10/$J$18)</f>
        <v>0</v>
      </c>
      <c r="L10" s="53"/>
      <c r="M10" s="53"/>
      <c r="N10" s="53"/>
    </row>
    <row r="11" spans="1:14" ht="15">
      <c r="A11" s="47" t="s">
        <v>310</v>
      </c>
      <c r="B11" s="53"/>
      <c r="C11" s="3">
        <v>0</v>
      </c>
      <c r="D11" s="53"/>
      <c r="E11" s="53"/>
      <c r="F11" s="53"/>
      <c r="G11" s="48">
        <f t="shared" si="0"/>
        <v>0</v>
      </c>
      <c r="H11" s="53"/>
      <c r="I11" s="53"/>
      <c r="J11" s="53"/>
      <c r="K11" s="250">
        <f t="shared" si="1"/>
        <v>0</v>
      </c>
      <c r="L11" s="53"/>
      <c r="M11" s="53"/>
      <c r="N11" s="53"/>
    </row>
    <row r="12" spans="1:14" ht="15">
      <c r="A12" s="47" t="s">
        <v>352</v>
      </c>
      <c r="B12" s="53"/>
      <c r="C12" s="97">
        <v>1328</v>
      </c>
      <c r="D12" s="53"/>
      <c r="E12" s="53"/>
      <c r="F12" s="53"/>
      <c r="G12" s="48">
        <f t="shared" si="0"/>
        <v>0.05608818684799594</v>
      </c>
      <c r="H12" s="53"/>
      <c r="I12" s="53"/>
      <c r="J12" s="32">
        <f>(C12)</f>
        <v>1328</v>
      </c>
      <c r="K12" s="250">
        <f t="shared" si="1"/>
        <v>0.05627834046700852</v>
      </c>
      <c r="L12" s="53"/>
      <c r="M12" s="53"/>
      <c r="N12" s="53"/>
    </row>
    <row r="13" spans="1:14" ht="15">
      <c r="A13" s="47" t="s">
        <v>311</v>
      </c>
      <c r="B13" s="53"/>
      <c r="C13" s="3">
        <v>140</v>
      </c>
      <c r="D13" s="53"/>
      <c r="E13" s="53"/>
      <c r="F13" s="53"/>
      <c r="G13" s="48">
        <f t="shared" si="0"/>
        <v>0.0059129112640959585</v>
      </c>
      <c r="H13" s="53"/>
      <c r="I13" s="53"/>
      <c r="J13" s="32">
        <f>(C13)</f>
        <v>140</v>
      </c>
      <c r="K13" s="250">
        <f t="shared" si="1"/>
        <v>0.0059329575793533075</v>
      </c>
      <c r="L13" s="53"/>
      <c r="M13" s="53"/>
      <c r="N13" s="53"/>
    </row>
    <row r="14" spans="1:14" ht="15">
      <c r="A14" s="47" t="s">
        <v>353</v>
      </c>
      <c r="B14" s="53"/>
      <c r="C14" s="3">
        <v>48</v>
      </c>
      <c r="D14" s="53"/>
      <c r="E14" s="53"/>
      <c r="F14" s="53"/>
      <c r="G14" s="48">
        <f t="shared" si="0"/>
        <v>0.002027283861975757</v>
      </c>
      <c r="H14" s="53"/>
      <c r="I14" s="53"/>
      <c r="J14" s="32">
        <f>(C14)</f>
        <v>48</v>
      </c>
      <c r="K14" s="250">
        <f t="shared" si="1"/>
        <v>0.0020341568843497055</v>
      </c>
      <c r="L14" s="53"/>
      <c r="M14" s="53"/>
      <c r="N14" s="53"/>
    </row>
    <row r="15" spans="1:14" ht="15">
      <c r="A15" s="50" t="s">
        <v>354</v>
      </c>
      <c r="B15" s="49"/>
      <c r="C15" s="32">
        <v>1</v>
      </c>
      <c r="D15" s="49"/>
      <c r="E15" s="49"/>
      <c r="F15" s="49"/>
      <c r="G15" s="48">
        <f t="shared" si="0"/>
        <v>4.223508045782827E-05</v>
      </c>
      <c r="H15" s="53"/>
      <c r="I15" s="53"/>
      <c r="J15" s="53"/>
      <c r="K15" s="250">
        <f t="shared" si="1"/>
        <v>0</v>
      </c>
      <c r="L15" s="53"/>
      <c r="M15" s="53"/>
      <c r="N15" s="53"/>
    </row>
    <row r="16" spans="1:14" ht="15">
      <c r="A16" s="53" t="s">
        <v>312</v>
      </c>
      <c r="B16" s="53"/>
      <c r="C16" s="3">
        <v>79</v>
      </c>
      <c r="D16" s="53"/>
      <c r="E16" s="53"/>
      <c r="F16" s="53"/>
      <c r="G16" s="48">
        <f t="shared" si="0"/>
        <v>0.0033365713561684337</v>
      </c>
      <c r="H16" s="53"/>
      <c r="I16" s="53"/>
      <c r="J16" s="53"/>
      <c r="K16" s="250">
        <f t="shared" si="1"/>
        <v>0</v>
      </c>
      <c r="L16" s="53"/>
      <c r="M16" s="53"/>
      <c r="N16" s="53"/>
    </row>
    <row r="17" spans="1:14" ht="15">
      <c r="A17" s="53" t="s">
        <v>313</v>
      </c>
      <c r="B17" s="53"/>
      <c r="C17" s="245">
        <v>48</v>
      </c>
      <c r="D17" s="98" t="s">
        <v>24</v>
      </c>
      <c r="E17" s="53"/>
      <c r="F17" s="53"/>
      <c r="G17" s="48">
        <f t="shared" si="0"/>
        <v>0.002027283861975757</v>
      </c>
      <c r="H17" s="53"/>
      <c r="I17" s="53"/>
      <c r="J17" s="32">
        <f>(C17)</f>
        <v>48</v>
      </c>
      <c r="K17" s="250">
        <f t="shared" si="1"/>
        <v>0.0020341568843497055</v>
      </c>
      <c r="L17" s="53"/>
      <c r="M17" s="53"/>
      <c r="N17" s="53"/>
    </row>
    <row r="18" spans="1:14" ht="15">
      <c r="A18" s="53"/>
      <c r="B18" s="53"/>
      <c r="C18" s="135">
        <f>SUM(C9:C17)</f>
        <v>23677</v>
      </c>
      <c r="D18" s="136"/>
      <c r="E18" s="136"/>
      <c r="F18" s="136"/>
      <c r="G18" s="137">
        <f>SUM(G9:G17)</f>
        <v>1</v>
      </c>
      <c r="H18" s="53"/>
      <c r="I18" s="53"/>
      <c r="J18" s="32">
        <f>SUM(J9:J17)</f>
        <v>23597</v>
      </c>
      <c r="K18" s="250">
        <f t="shared" si="1"/>
        <v>1</v>
      </c>
      <c r="L18" s="53"/>
      <c r="M18" s="53"/>
      <c r="N18" s="53"/>
    </row>
    <row r="19" spans="1:14" ht="15">
      <c r="A19" s="53"/>
      <c r="B19" s="53"/>
      <c r="G19" s="55"/>
      <c r="H19" s="53"/>
      <c r="I19" s="53"/>
      <c r="J19" s="53"/>
      <c r="K19" s="53"/>
      <c r="L19" s="53"/>
      <c r="M19" s="53"/>
      <c r="N19" s="53"/>
    </row>
    <row r="20" spans="1:14" ht="15">
      <c r="A20" s="53"/>
      <c r="B20" s="53"/>
      <c r="C20" s="53"/>
      <c r="D20" s="53"/>
      <c r="E20" s="53"/>
      <c r="F20" s="53"/>
      <c r="G20" s="54"/>
      <c r="H20" s="53"/>
      <c r="I20" s="53"/>
      <c r="J20" s="53"/>
      <c r="K20" s="53"/>
      <c r="L20" s="53"/>
      <c r="M20" s="53"/>
      <c r="N20" s="53"/>
    </row>
    <row r="21" spans="1:14" ht="15.75">
      <c r="A21" s="56" t="s">
        <v>108</v>
      </c>
      <c r="B21" s="53"/>
      <c r="C21" s="57"/>
      <c r="D21" s="57" t="s">
        <v>278</v>
      </c>
      <c r="E21" s="57"/>
      <c r="F21" s="57"/>
      <c r="G21" s="58"/>
      <c r="H21" s="53"/>
      <c r="I21" s="53"/>
      <c r="J21" s="53"/>
      <c r="K21" s="53"/>
      <c r="L21" s="53"/>
      <c r="M21" s="53"/>
      <c r="N21" s="53"/>
    </row>
    <row r="22" spans="1:14" ht="15">
      <c r="A22" s="53"/>
      <c r="B22" s="53"/>
      <c r="C22" s="57" t="s">
        <v>137</v>
      </c>
      <c r="D22" s="57" t="s">
        <v>127</v>
      </c>
      <c r="E22" s="57" t="s">
        <v>110</v>
      </c>
      <c r="F22" s="57"/>
      <c r="G22" s="58" t="s">
        <v>7</v>
      </c>
      <c r="H22" s="53"/>
      <c r="I22" s="53"/>
      <c r="J22" s="53"/>
      <c r="K22" s="53"/>
      <c r="L22" s="53"/>
      <c r="M22" s="53"/>
      <c r="N22" s="53" t="s">
        <v>88</v>
      </c>
    </row>
    <row r="23" spans="1:14" ht="17.25">
      <c r="A23" s="53" t="s">
        <v>106</v>
      </c>
      <c r="B23" s="53"/>
      <c r="C23" s="59" t="s">
        <v>139</v>
      </c>
      <c r="D23" s="59" t="s">
        <v>109</v>
      </c>
      <c r="E23" s="59" t="s">
        <v>109</v>
      </c>
      <c r="F23" s="59" t="s">
        <v>111</v>
      </c>
      <c r="G23" s="60" t="s">
        <v>104</v>
      </c>
      <c r="H23" s="53"/>
      <c r="I23" s="53"/>
      <c r="J23" s="53"/>
      <c r="K23" s="53" t="s">
        <v>72</v>
      </c>
      <c r="L23" s="53" t="s">
        <v>69</v>
      </c>
      <c r="M23" s="53" t="s">
        <v>113</v>
      </c>
      <c r="N23" s="53" t="s">
        <v>109</v>
      </c>
    </row>
    <row r="24" spans="1:14" ht="15">
      <c r="A24" s="53"/>
      <c r="B24" s="53"/>
      <c r="C24" s="53"/>
      <c r="D24" s="53"/>
      <c r="E24" s="53"/>
      <c r="F24" s="53"/>
      <c r="G24" s="54"/>
      <c r="H24" s="53"/>
      <c r="I24" s="53"/>
      <c r="J24" s="53"/>
      <c r="K24" s="53" t="s">
        <v>24</v>
      </c>
      <c r="L24" s="53" t="s">
        <v>24</v>
      </c>
      <c r="M24" s="53" t="s">
        <v>24</v>
      </c>
      <c r="N24" s="53" t="s">
        <v>24</v>
      </c>
    </row>
    <row r="25" spans="1:14" ht="15">
      <c r="A25" s="47" t="str">
        <f aca="true" t="shared" si="2" ref="A25:A33">(A9)</f>
        <v>Schedule I - Residential</v>
      </c>
      <c r="B25" s="53"/>
      <c r="C25" s="32">
        <f>(C9)</f>
        <v>22033</v>
      </c>
      <c r="D25" s="32">
        <f aca="true" t="shared" si="3" ref="D25:D33">(N25)</f>
        <v>226.87379727352683</v>
      </c>
      <c r="E25" s="53">
        <f>(D25/$D$25)</f>
        <v>1</v>
      </c>
      <c r="F25" s="53">
        <f aca="true" t="shared" si="4" ref="F25:F33">(C25*E25)</f>
        <v>22033</v>
      </c>
      <c r="G25" s="52">
        <f>(F25/$F$34)</f>
        <v>0.8676769281591452</v>
      </c>
      <c r="H25" s="53"/>
      <c r="I25" s="53"/>
      <c r="J25" s="53"/>
      <c r="K25" s="53">
        <v>1</v>
      </c>
      <c r="L25" s="53" t="s">
        <v>224</v>
      </c>
      <c r="M25" s="93">
        <v>226.87379727352683</v>
      </c>
      <c r="N25" s="53">
        <f>(K25*M25)</f>
        <v>226.87379727352683</v>
      </c>
    </row>
    <row r="26" spans="1:14" ht="15">
      <c r="A26" s="47" t="str">
        <f t="shared" si="2"/>
        <v>Schedule I - Prepaid</v>
      </c>
      <c r="B26" s="53"/>
      <c r="C26" s="32" t="s">
        <v>24</v>
      </c>
      <c r="D26" s="32">
        <v>0</v>
      </c>
      <c r="E26" s="53">
        <f>(D26/$D$25)</f>
        <v>0</v>
      </c>
      <c r="F26" s="53" t="s">
        <v>24</v>
      </c>
      <c r="G26" s="52">
        <v>0</v>
      </c>
      <c r="H26" s="53"/>
      <c r="I26" s="53"/>
      <c r="J26" s="53"/>
      <c r="K26" s="53"/>
      <c r="L26" s="53"/>
      <c r="M26" s="93"/>
      <c r="N26" s="53"/>
    </row>
    <row r="27" spans="1:14" ht="15">
      <c r="A27" s="47" t="str">
        <f t="shared" si="2"/>
        <v>Schedule I - Marketing ETS</v>
      </c>
      <c r="B27" s="53"/>
      <c r="C27" s="32">
        <f aca="true" t="shared" si="5" ref="C27:C33">(C11)</f>
        <v>0</v>
      </c>
      <c r="D27" s="32">
        <f t="shared" si="3"/>
        <v>0</v>
      </c>
      <c r="E27" s="53">
        <f aca="true" t="shared" si="6" ref="E27:E33">(D27/$D$25)</f>
        <v>0</v>
      </c>
      <c r="F27" s="53">
        <f t="shared" si="4"/>
        <v>0</v>
      </c>
      <c r="G27" s="52">
        <f aca="true" t="shared" si="7" ref="G27:G33">(F27/$F$34)</f>
        <v>0</v>
      </c>
      <c r="H27" s="53"/>
      <c r="I27" s="53"/>
      <c r="J27" s="53"/>
      <c r="K27" s="53">
        <v>0</v>
      </c>
      <c r="L27" s="53">
        <v>0</v>
      </c>
      <c r="M27" s="53">
        <v>0</v>
      </c>
      <c r="N27" s="53">
        <v>0</v>
      </c>
    </row>
    <row r="28" spans="1:14" ht="15">
      <c r="A28" s="47" t="str">
        <f t="shared" si="2"/>
        <v>Schedule II - Small Commercial (kWh)</v>
      </c>
      <c r="B28" s="53"/>
      <c r="C28" s="32">
        <f t="shared" si="5"/>
        <v>1328</v>
      </c>
      <c r="D28" s="32">
        <f t="shared" si="3"/>
        <v>291.9357222921194</v>
      </c>
      <c r="E28" s="53">
        <f t="shared" si="6"/>
        <v>1.2867758454280716</v>
      </c>
      <c r="F28" s="53">
        <f t="shared" si="4"/>
        <v>1708.838322728479</v>
      </c>
      <c r="G28" s="52">
        <f t="shared" si="7"/>
        <v>0.06729540174219002</v>
      </c>
      <c r="H28" s="53"/>
      <c r="I28" s="53"/>
      <c r="J28" s="53"/>
      <c r="K28" s="53">
        <v>1</v>
      </c>
      <c r="L28" s="53" t="s">
        <v>314</v>
      </c>
      <c r="M28" s="53">
        <v>291.9357222921194</v>
      </c>
      <c r="N28" s="53">
        <f aca="true" t="shared" si="8" ref="N28:N33">(K28*M28)</f>
        <v>291.9357222921194</v>
      </c>
    </row>
    <row r="29" spans="1:14" ht="15">
      <c r="A29" s="47" t="str">
        <f t="shared" si="2"/>
        <v>Schedule II - Small Commercial (kW)</v>
      </c>
      <c r="B29" s="53"/>
      <c r="C29" s="32">
        <f t="shared" si="5"/>
        <v>140</v>
      </c>
      <c r="D29" s="32">
        <f t="shared" si="3"/>
        <v>522.6200523299277</v>
      </c>
      <c r="E29" s="53">
        <f t="shared" si="6"/>
        <v>2.3035716711694083</v>
      </c>
      <c r="F29" s="53">
        <f t="shared" si="4"/>
        <v>322.50003396371716</v>
      </c>
      <c r="G29" s="52">
        <f t="shared" si="7"/>
        <v>0.012700305850354383</v>
      </c>
      <c r="H29" s="53"/>
      <c r="I29" s="53"/>
      <c r="J29" s="53"/>
      <c r="K29" s="53">
        <v>1</v>
      </c>
      <c r="L29" s="93" t="s">
        <v>315</v>
      </c>
      <c r="M29" s="53">
        <v>522.6200523299277</v>
      </c>
      <c r="N29" s="53">
        <f t="shared" si="8"/>
        <v>522.6200523299277</v>
      </c>
    </row>
    <row r="30" spans="1:14" ht="15">
      <c r="A30" s="47" t="str">
        <f t="shared" si="2"/>
        <v>Schedule III - 3 Phase Schools &amp; Churches</v>
      </c>
      <c r="B30" s="53"/>
      <c r="C30" s="32">
        <f t="shared" si="5"/>
        <v>48</v>
      </c>
      <c r="D30" s="32">
        <f t="shared" si="3"/>
        <v>1656.6913353115726</v>
      </c>
      <c r="E30" s="53">
        <f t="shared" si="6"/>
        <v>7.302259472980076</v>
      </c>
      <c r="F30" s="53">
        <f t="shared" si="4"/>
        <v>350.50845470304364</v>
      </c>
      <c r="G30" s="52">
        <f t="shared" si="7"/>
        <v>0.013803299562953106</v>
      </c>
      <c r="H30" s="53"/>
      <c r="I30" s="53"/>
      <c r="J30" s="53"/>
      <c r="K30" s="53">
        <v>2</v>
      </c>
      <c r="L30" s="53" t="s">
        <v>316</v>
      </c>
      <c r="M30" s="53">
        <v>828.3456676557863</v>
      </c>
      <c r="N30" s="53">
        <f t="shared" si="8"/>
        <v>1656.6913353115726</v>
      </c>
    </row>
    <row r="31" spans="1:14" s="61" customFormat="1" ht="15">
      <c r="A31" s="47" t="str">
        <f t="shared" si="2"/>
        <v>Schedule IV - Large Power Industrial </v>
      </c>
      <c r="B31" s="49"/>
      <c r="C31" s="32">
        <f t="shared" si="5"/>
        <v>1</v>
      </c>
      <c r="D31" s="32">
        <f t="shared" si="3"/>
        <v>19153.67875</v>
      </c>
      <c r="E31" s="53">
        <f t="shared" si="6"/>
        <v>84.42437593138033</v>
      </c>
      <c r="F31" s="53">
        <f>(C31*E31)</f>
        <v>84.42437593138033</v>
      </c>
      <c r="G31" s="52">
        <f t="shared" si="7"/>
        <v>0.00332469855080529</v>
      </c>
      <c r="H31" s="49" t="s">
        <v>24</v>
      </c>
      <c r="I31" s="49"/>
      <c r="J31" s="49"/>
      <c r="K31" s="53" t="s">
        <v>24</v>
      </c>
      <c r="L31" s="53" t="s">
        <v>24</v>
      </c>
      <c r="M31" s="53" t="s">
        <v>24</v>
      </c>
      <c r="N31" s="53">
        <f>('Classification 2'!F140+'Classification 2'!F139)</f>
        <v>19153.67875</v>
      </c>
    </row>
    <row r="32" spans="1:14" ht="15">
      <c r="A32" s="47" t="str">
        <f t="shared" si="2"/>
        <v>Schedule IV-A - Large Power Rate</v>
      </c>
      <c r="B32" s="53"/>
      <c r="C32" s="32">
        <f t="shared" si="5"/>
        <v>79</v>
      </c>
      <c r="D32" s="32">
        <f t="shared" si="3"/>
        <v>2485.037002967359</v>
      </c>
      <c r="E32" s="53">
        <f t="shared" si="6"/>
        <v>10.953389209470114</v>
      </c>
      <c r="F32" s="53">
        <f t="shared" si="4"/>
        <v>865.317747548139</v>
      </c>
      <c r="G32" s="52">
        <f t="shared" si="7"/>
        <v>0.03407689579604048</v>
      </c>
      <c r="H32" s="53"/>
      <c r="I32" s="53"/>
      <c r="J32" s="53"/>
      <c r="K32" s="53">
        <v>3</v>
      </c>
      <c r="L32" s="53" t="str">
        <f>(L30)</f>
        <v>50 KVA CSP</v>
      </c>
      <c r="M32" s="53">
        <f>(M30)</f>
        <v>828.3456676557863</v>
      </c>
      <c r="N32" s="53">
        <f t="shared" si="8"/>
        <v>2485.037002967359</v>
      </c>
    </row>
    <row r="33" spans="1:14" ht="15">
      <c r="A33" s="47" t="str">
        <f t="shared" si="2"/>
        <v>Schedule VI - Outdoor &amp; Security Lights</v>
      </c>
      <c r="B33" s="53"/>
      <c r="C33" s="32">
        <f t="shared" si="5"/>
        <v>48</v>
      </c>
      <c r="D33" s="32">
        <f t="shared" si="3"/>
        <v>134.72046125461256</v>
      </c>
      <c r="E33" s="53">
        <f t="shared" si="6"/>
        <v>0.5938123435743835</v>
      </c>
      <c r="F33" s="53">
        <f t="shared" si="4"/>
        <v>28.50299249157041</v>
      </c>
      <c r="G33" s="52">
        <f t="shared" si="7"/>
        <v>0.001122470338511732</v>
      </c>
      <c r="H33" s="53"/>
      <c r="I33" s="53"/>
      <c r="J33" s="53"/>
      <c r="K33" s="53">
        <v>1</v>
      </c>
      <c r="L33" s="53" t="s">
        <v>317</v>
      </c>
      <c r="M33" s="12">
        <v>134.72046125461256</v>
      </c>
      <c r="N33" s="53">
        <f t="shared" si="8"/>
        <v>134.72046125461256</v>
      </c>
    </row>
    <row r="34" spans="1:14" ht="15">
      <c r="A34" s="53"/>
      <c r="B34" s="53"/>
      <c r="C34" s="135">
        <f>SUM(C25:C33)</f>
        <v>23677</v>
      </c>
      <c r="D34" s="136"/>
      <c r="E34" s="136"/>
      <c r="F34" s="136">
        <f>SUM(F25:F33)</f>
        <v>25393.091927366324</v>
      </c>
      <c r="G34" s="248">
        <f>SUM(G25:G33)</f>
        <v>1.0000000000000002</v>
      </c>
      <c r="H34" s="53"/>
      <c r="I34" s="53"/>
      <c r="J34" s="62" t="s">
        <v>24</v>
      </c>
      <c r="K34" s="53"/>
      <c r="L34" s="53"/>
      <c r="M34" s="53"/>
      <c r="N34" s="53"/>
    </row>
    <row r="35" spans="1:14" ht="15">
      <c r="A35" s="53"/>
      <c r="B35" s="53"/>
      <c r="G35" s="55"/>
      <c r="H35" s="53"/>
      <c r="I35" s="53"/>
      <c r="J35" s="53"/>
      <c r="K35" s="53"/>
      <c r="L35" s="53"/>
      <c r="M35" s="53"/>
      <c r="N35" s="53"/>
    </row>
    <row r="36" spans="1:14" ht="15">
      <c r="A36" s="53"/>
      <c r="B36" s="53"/>
      <c r="C36" s="53"/>
      <c r="D36" s="53"/>
      <c r="E36" s="53"/>
      <c r="F36" s="53"/>
      <c r="G36" s="62" t="s">
        <v>24</v>
      </c>
      <c r="H36" s="53"/>
      <c r="I36" s="53"/>
      <c r="J36" s="53"/>
      <c r="K36" s="53"/>
      <c r="L36" s="53"/>
      <c r="M36" s="53"/>
      <c r="N36" s="53"/>
    </row>
    <row r="37" spans="1:14" ht="15">
      <c r="A37" s="53"/>
      <c r="B37" s="53"/>
      <c r="C37" s="53"/>
      <c r="D37" s="53"/>
      <c r="E37" s="53"/>
      <c r="F37" s="53"/>
      <c r="G37" s="54"/>
      <c r="H37" s="53"/>
      <c r="I37" s="53"/>
      <c r="J37" s="53"/>
      <c r="K37" s="53"/>
      <c r="L37" s="53"/>
      <c r="M37" s="53"/>
      <c r="N37" s="53"/>
    </row>
    <row r="38" spans="1:14" ht="15.75">
      <c r="A38" s="56" t="s">
        <v>112</v>
      </c>
      <c r="B38" s="53"/>
      <c r="C38" s="57"/>
      <c r="D38" s="57" t="s">
        <v>293</v>
      </c>
      <c r="E38" s="57"/>
      <c r="F38" s="57"/>
      <c r="G38" s="58"/>
      <c r="H38" s="53"/>
      <c r="I38" s="53"/>
      <c r="J38" s="53"/>
      <c r="K38" s="53"/>
      <c r="L38" s="53"/>
      <c r="M38" s="53"/>
      <c r="N38" s="53"/>
    </row>
    <row r="39" spans="1:14" ht="15">
      <c r="A39" s="53"/>
      <c r="B39" s="53"/>
      <c r="C39" s="57"/>
      <c r="D39" s="57" t="s">
        <v>243</v>
      </c>
      <c r="E39" s="57" t="s">
        <v>110</v>
      </c>
      <c r="F39" s="57"/>
      <c r="G39" s="58" t="s">
        <v>7</v>
      </c>
      <c r="H39" s="53"/>
      <c r="I39" s="53"/>
      <c r="J39" s="53"/>
      <c r="K39" s="53"/>
      <c r="L39" s="53"/>
      <c r="M39" s="53"/>
      <c r="N39" s="53" t="s">
        <v>88</v>
      </c>
    </row>
    <row r="40" spans="1:14" ht="17.25">
      <c r="A40" s="53" t="s">
        <v>106</v>
      </c>
      <c r="B40" s="53"/>
      <c r="C40" s="59" t="s">
        <v>107</v>
      </c>
      <c r="D40" s="59" t="s">
        <v>109</v>
      </c>
      <c r="E40" s="59" t="s">
        <v>109</v>
      </c>
      <c r="F40" s="59" t="s">
        <v>111</v>
      </c>
      <c r="G40" s="60" t="s">
        <v>104</v>
      </c>
      <c r="H40" s="53"/>
      <c r="I40" s="53"/>
      <c r="J40" s="53"/>
      <c r="K40" s="53" t="s">
        <v>72</v>
      </c>
      <c r="L40" s="53" t="s">
        <v>69</v>
      </c>
      <c r="M40" s="53" t="s">
        <v>113</v>
      </c>
      <c r="N40" s="53" t="s">
        <v>109</v>
      </c>
    </row>
    <row r="41" spans="1:14" ht="15">
      <c r="A41" s="53"/>
      <c r="B41" s="53"/>
      <c r="C41" s="53"/>
      <c r="D41" s="53"/>
      <c r="E41" s="53"/>
      <c r="F41" s="53"/>
      <c r="G41" s="54"/>
      <c r="H41" s="53"/>
      <c r="I41" s="53"/>
      <c r="J41" s="53"/>
      <c r="K41" s="53"/>
      <c r="L41" s="53"/>
      <c r="M41" s="53"/>
      <c r="N41" s="53"/>
    </row>
    <row r="42" spans="1:14" ht="15">
      <c r="A42" s="47" t="str">
        <f aca="true" t="shared" si="9" ref="A42:A50">(A25)</f>
        <v>Schedule I - Residential</v>
      </c>
      <c r="B42" s="53"/>
      <c r="C42" s="32">
        <f aca="true" t="shared" si="10" ref="C42:C49">(C25)</f>
        <v>22033</v>
      </c>
      <c r="D42" s="53">
        <f>(N42)</f>
        <v>195.2654</v>
      </c>
      <c r="E42" s="53">
        <f>(D42/$D$42)</f>
        <v>1</v>
      </c>
      <c r="F42" s="53">
        <f aca="true" t="shared" si="11" ref="F42:F50">(C42*E42)</f>
        <v>22033</v>
      </c>
      <c r="G42" s="48">
        <f aca="true" t="shared" si="12" ref="G42:G50">(F42/$F$51)</f>
        <v>0.8784919810001688</v>
      </c>
      <c r="H42" s="53"/>
      <c r="I42" s="53"/>
      <c r="J42" s="53"/>
      <c r="K42" s="53">
        <v>110</v>
      </c>
      <c r="L42" s="53" t="s">
        <v>348</v>
      </c>
      <c r="M42" s="53">
        <v>1.77514</v>
      </c>
      <c r="N42" s="53">
        <f aca="true" t="shared" si="13" ref="N42:N49">(K42*M42)</f>
        <v>195.2654</v>
      </c>
    </row>
    <row r="43" spans="1:14" ht="15">
      <c r="A43" s="47" t="str">
        <f t="shared" si="9"/>
        <v>Schedule I - Prepaid</v>
      </c>
      <c r="B43" s="53"/>
      <c r="C43" s="32" t="str">
        <f t="shared" si="10"/>
        <v> </v>
      </c>
      <c r="D43" s="53" t="s">
        <v>24</v>
      </c>
      <c r="E43" s="53" t="e">
        <f aca="true" t="shared" si="14" ref="E43:E50">(D43/$D$42)</f>
        <v>#VALUE!</v>
      </c>
      <c r="F43" s="53" t="s">
        <v>24</v>
      </c>
      <c r="G43" s="48" t="s">
        <v>24</v>
      </c>
      <c r="H43" s="53"/>
      <c r="I43" s="53"/>
      <c r="J43" s="53"/>
      <c r="K43" s="53"/>
      <c r="L43" s="53"/>
      <c r="M43" s="53"/>
      <c r="N43" s="53"/>
    </row>
    <row r="44" spans="1:14" ht="15">
      <c r="A44" s="47" t="str">
        <f t="shared" si="9"/>
        <v>Schedule I - Marketing ETS</v>
      </c>
      <c r="B44" s="53"/>
      <c r="C44" s="32">
        <f t="shared" si="10"/>
        <v>0</v>
      </c>
      <c r="D44" s="53">
        <f>(N44)</f>
        <v>0</v>
      </c>
      <c r="E44" s="53">
        <f t="shared" si="14"/>
        <v>0</v>
      </c>
      <c r="F44" s="53">
        <f t="shared" si="11"/>
        <v>0</v>
      </c>
      <c r="G44" s="48">
        <f t="shared" si="12"/>
        <v>0</v>
      </c>
      <c r="H44" s="53"/>
      <c r="I44" s="53"/>
      <c r="J44" s="53"/>
      <c r="K44" s="53">
        <v>0</v>
      </c>
      <c r="L44" s="53">
        <v>0</v>
      </c>
      <c r="M44" s="53">
        <v>0</v>
      </c>
      <c r="N44" s="53">
        <f t="shared" si="13"/>
        <v>0</v>
      </c>
    </row>
    <row r="45" spans="1:14" ht="15">
      <c r="A45" s="47" t="str">
        <f t="shared" si="9"/>
        <v>Schedule II - Small Commercial (kWh)</v>
      </c>
      <c r="B45" s="53"/>
      <c r="C45" s="32">
        <f t="shared" si="10"/>
        <v>1328</v>
      </c>
      <c r="D45" s="53">
        <f>(N45)</f>
        <v>291</v>
      </c>
      <c r="E45" s="53">
        <f t="shared" si="14"/>
        <v>1.4902793838539752</v>
      </c>
      <c r="F45" s="53">
        <f t="shared" si="11"/>
        <v>1979.091021758079</v>
      </c>
      <c r="G45" s="48">
        <f t="shared" si="12"/>
        <v>0.07890961704188731</v>
      </c>
      <c r="H45" s="53"/>
      <c r="I45" s="53"/>
      <c r="J45" s="53"/>
      <c r="K45" s="53">
        <v>125</v>
      </c>
      <c r="L45" s="53" t="s">
        <v>318</v>
      </c>
      <c r="M45" s="53">
        <v>2.328</v>
      </c>
      <c r="N45" s="53">
        <f t="shared" si="13"/>
        <v>291</v>
      </c>
    </row>
    <row r="46" spans="1:14" ht="15">
      <c r="A46" s="47" t="str">
        <f t="shared" si="9"/>
        <v>Schedule II - Small Commercial (kW)</v>
      </c>
      <c r="B46" s="53"/>
      <c r="C46" s="32">
        <f t="shared" si="10"/>
        <v>140</v>
      </c>
      <c r="D46" s="53">
        <f>(N46)</f>
        <v>291</v>
      </c>
      <c r="E46" s="53">
        <f t="shared" si="14"/>
        <v>1.4902793838539752</v>
      </c>
      <c r="F46" s="53">
        <f t="shared" si="11"/>
        <v>208.63911373955654</v>
      </c>
      <c r="G46" s="48">
        <f t="shared" si="12"/>
        <v>0.008318784929114626</v>
      </c>
      <c r="H46" s="53"/>
      <c r="I46" s="53"/>
      <c r="J46" s="53"/>
      <c r="K46" s="53">
        <v>125</v>
      </c>
      <c r="L46" s="53" t="s">
        <v>318</v>
      </c>
      <c r="M46" s="53">
        <v>2.328</v>
      </c>
      <c r="N46" s="53">
        <f t="shared" si="13"/>
        <v>291</v>
      </c>
    </row>
    <row r="47" spans="1:14" ht="15">
      <c r="A47" s="47" t="str">
        <f t="shared" si="9"/>
        <v>Schedule III - 3 Phase Schools &amp; Churches</v>
      </c>
      <c r="B47" s="53"/>
      <c r="C47" s="32">
        <f t="shared" si="10"/>
        <v>48</v>
      </c>
      <c r="D47" s="53">
        <f>(N47)</f>
        <v>692.932</v>
      </c>
      <c r="E47" s="53">
        <f t="shared" si="14"/>
        <v>3.548667608291075</v>
      </c>
      <c r="F47" s="53">
        <f t="shared" si="11"/>
        <v>170.3360451979716</v>
      </c>
      <c r="G47" s="48">
        <f t="shared" si="12"/>
        <v>0.006791578531371142</v>
      </c>
      <c r="H47" s="53"/>
      <c r="I47" s="53"/>
      <c r="J47" s="53"/>
      <c r="K47" s="53">
        <v>100</v>
      </c>
      <c r="L47" s="53" t="s">
        <v>320</v>
      </c>
      <c r="M47" s="53">
        <v>6.92932</v>
      </c>
      <c r="N47" s="53">
        <f t="shared" si="13"/>
        <v>692.932</v>
      </c>
    </row>
    <row r="48" spans="1:14" s="61" customFormat="1" ht="15">
      <c r="A48" s="47" t="str">
        <f t="shared" si="9"/>
        <v>Schedule IV - Large Power Industrial </v>
      </c>
      <c r="B48" s="49"/>
      <c r="C48" s="32">
        <f t="shared" si="10"/>
        <v>1</v>
      </c>
      <c r="D48" s="53">
        <f>(N49)</f>
        <v>661.466</v>
      </c>
      <c r="E48" s="53">
        <f t="shared" si="14"/>
        <v>3.387522827904995</v>
      </c>
      <c r="F48" s="53">
        <f t="shared" si="11"/>
        <v>3.387522827904995</v>
      </c>
      <c r="G48" s="48">
        <f t="shared" si="12"/>
        <v>0.00013506611173101952</v>
      </c>
      <c r="H48" s="49"/>
      <c r="I48" s="49"/>
      <c r="J48" s="49"/>
      <c r="K48" s="55">
        <v>100</v>
      </c>
      <c r="L48" s="61" t="s">
        <v>320</v>
      </c>
      <c r="M48" s="61">
        <v>6.92</v>
      </c>
      <c r="N48" s="53">
        <f t="shared" si="13"/>
        <v>692</v>
      </c>
    </row>
    <row r="49" spans="1:14" ht="15">
      <c r="A49" s="47" t="str">
        <f t="shared" si="9"/>
        <v>Schedule IV-A - Large Power Rate</v>
      </c>
      <c r="B49" s="53"/>
      <c r="C49" s="32">
        <f t="shared" si="10"/>
        <v>79</v>
      </c>
      <c r="D49" s="53">
        <f>(N49)</f>
        <v>661.466</v>
      </c>
      <c r="E49" s="53">
        <f t="shared" si="14"/>
        <v>3.387522827904995</v>
      </c>
      <c r="F49" s="53">
        <f t="shared" si="11"/>
        <v>267.6143034044946</v>
      </c>
      <c r="G49" s="48">
        <f t="shared" si="12"/>
        <v>0.010670222826750541</v>
      </c>
      <c r="H49" s="53"/>
      <c r="I49" s="53"/>
      <c r="J49" s="53"/>
      <c r="K49" s="53">
        <v>100</v>
      </c>
      <c r="L49" s="49" t="s">
        <v>349</v>
      </c>
      <c r="M49" s="53">
        <v>6.61466</v>
      </c>
      <c r="N49" s="61">
        <f t="shared" si="13"/>
        <v>661.466</v>
      </c>
    </row>
    <row r="50" spans="1:14" ht="15">
      <c r="A50" s="47" t="str">
        <f t="shared" si="9"/>
        <v>Schedule VI - Outdoor &amp; Security Lights</v>
      </c>
      <c r="B50" s="53"/>
      <c r="C50" s="32">
        <v>11080</v>
      </c>
      <c r="D50" s="53">
        <f>(N50)</f>
        <v>7.373760000000001</v>
      </c>
      <c r="E50" s="53">
        <f t="shared" si="14"/>
        <v>0.037762757764560444</v>
      </c>
      <c r="F50" s="53">
        <f t="shared" si="11"/>
        <v>418.4113560313297</v>
      </c>
      <c r="G50" s="48">
        <f t="shared" si="12"/>
        <v>0.016682749558976525</v>
      </c>
      <c r="H50" s="53"/>
      <c r="I50" s="53"/>
      <c r="J50" s="53"/>
      <c r="K50" s="53">
        <v>12</v>
      </c>
      <c r="L50" s="53" t="s">
        <v>319</v>
      </c>
      <c r="M50" s="53">
        <v>0.61448</v>
      </c>
      <c r="N50" s="53">
        <f>(K50*M50)</f>
        <v>7.373760000000001</v>
      </c>
    </row>
    <row r="51" spans="1:14" ht="15">
      <c r="A51" s="47"/>
      <c r="B51" s="53"/>
      <c r="C51" s="135">
        <f>SUM(C42:C50)</f>
        <v>34709</v>
      </c>
      <c r="D51" s="136"/>
      <c r="E51" s="136"/>
      <c r="F51" s="136">
        <f>SUM(F42:F50)</f>
        <v>25080.479362959337</v>
      </c>
      <c r="G51" s="136">
        <f>SUM(G42:G50)</f>
        <v>0.9999999999999999</v>
      </c>
      <c r="H51" s="53"/>
      <c r="I51" s="53"/>
      <c r="J51" s="53"/>
      <c r="K51" s="53" t="s">
        <v>24</v>
      </c>
      <c r="L51" s="53"/>
      <c r="M51" s="53"/>
      <c r="N51" s="53"/>
    </row>
    <row r="52" spans="1:14" ht="15">
      <c r="A52" s="47"/>
      <c r="B52" s="53"/>
      <c r="G52" s="55"/>
      <c r="H52" s="53"/>
      <c r="I52" s="53"/>
      <c r="J52" s="53"/>
      <c r="K52" s="53"/>
      <c r="L52" s="53"/>
      <c r="M52" s="53"/>
      <c r="N52" s="53"/>
    </row>
    <row r="53" spans="1:14" ht="15">
      <c r="A53" s="47"/>
      <c r="B53" s="53"/>
      <c r="C53" s="53"/>
      <c r="D53" s="53"/>
      <c r="E53" s="53"/>
      <c r="F53" s="53"/>
      <c r="G53" s="54"/>
      <c r="H53" s="53"/>
      <c r="I53" s="53"/>
      <c r="J53" s="53"/>
      <c r="K53" s="53"/>
      <c r="L53" s="53"/>
      <c r="M53" s="53"/>
      <c r="N53" s="53"/>
    </row>
    <row r="54" spans="1:14" ht="15.75">
      <c r="A54" s="56" t="s">
        <v>114</v>
      </c>
      <c r="B54" s="53"/>
      <c r="C54" s="57"/>
      <c r="D54" s="57" t="s">
        <v>278</v>
      </c>
      <c r="E54" s="57"/>
      <c r="F54" s="57"/>
      <c r="G54" s="58"/>
      <c r="H54" s="53"/>
      <c r="I54" s="53"/>
      <c r="J54" s="53"/>
      <c r="K54" s="53"/>
      <c r="L54" s="53"/>
      <c r="M54" s="53"/>
      <c r="N54" s="53"/>
    </row>
    <row r="55" spans="1:16" ht="15">
      <c r="A55" s="53"/>
      <c r="B55" s="53"/>
      <c r="C55" s="57"/>
      <c r="D55" s="57" t="s">
        <v>279</v>
      </c>
      <c r="E55" s="57" t="s">
        <v>110</v>
      </c>
      <c r="F55" s="57"/>
      <c r="G55" s="58" t="s">
        <v>7</v>
      </c>
      <c r="H55" s="53"/>
      <c r="I55" s="53"/>
      <c r="J55" s="53"/>
      <c r="K55" s="53"/>
      <c r="L55" s="53"/>
      <c r="M55" s="53"/>
      <c r="N55" s="53" t="s">
        <v>88</v>
      </c>
      <c r="P55" s="55" t="s">
        <v>24</v>
      </c>
    </row>
    <row r="56" spans="1:16" ht="17.25">
      <c r="A56" s="53" t="s">
        <v>106</v>
      </c>
      <c r="B56" s="53"/>
      <c r="C56" s="59" t="s">
        <v>107</v>
      </c>
      <c r="D56" s="59" t="s">
        <v>109</v>
      </c>
      <c r="E56" s="59" t="s">
        <v>109</v>
      </c>
      <c r="F56" s="59" t="s">
        <v>111</v>
      </c>
      <c r="G56" s="60" t="s">
        <v>104</v>
      </c>
      <c r="H56" s="53"/>
      <c r="I56" s="53"/>
      <c r="J56" s="53"/>
      <c r="K56" s="53" t="s">
        <v>72</v>
      </c>
      <c r="L56" s="53" t="s">
        <v>69</v>
      </c>
      <c r="M56" s="53" t="s">
        <v>113</v>
      </c>
      <c r="N56" s="53" t="s">
        <v>109</v>
      </c>
      <c r="O56" s="55" t="s">
        <v>24</v>
      </c>
      <c r="P56" s="55" t="s">
        <v>24</v>
      </c>
    </row>
    <row r="57" spans="1:14" ht="15">
      <c r="A57" s="53"/>
      <c r="B57" s="53"/>
      <c r="C57" s="53"/>
      <c r="D57" s="53"/>
      <c r="E57" s="53"/>
      <c r="F57" s="53"/>
      <c r="G57" s="54"/>
      <c r="H57" s="53"/>
      <c r="I57" s="53"/>
      <c r="J57" s="53"/>
      <c r="K57" s="53"/>
      <c r="L57" s="53"/>
      <c r="M57" s="53"/>
      <c r="N57" s="53"/>
    </row>
    <row r="58" spans="1:14" ht="15">
      <c r="A58" s="47" t="str">
        <f aca="true" t="shared" si="15" ref="A58:A66">(A42)</f>
        <v>Schedule I - Residential</v>
      </c>
      <c r="B58" s="53"/>
      <c r="C58" s="32">
        <f aca="true" t="shared" si="16" ref="C58:C65">(C9)</f>
        <v>22033</v>
      </c>
      <c r="D58" s="53">
        <f aca="true" t="shared" si="17" ref="D58:D66">(N58)</f>
        <v>35.99889</v>
      </c>
      <c r="E58" s="53">
        <f aca="true" t="shared" si="18" ref="E58:E66">(D58/$D$58)</f>
        <v>1</v>
      </c>
      <c r="F58" s="53">
        <f aca="true" t="shared" si="19" ref="F58:F66">(C58*E58)</f>
        <v>22033</v>
      </c>
      <c r="G58" s="48">
        <f aca="true" t="shared" si="20" ref="G58:G65">(F58/$F$67)</f>
        <v>0.8686631610260445</v>
      </c>
      <c r="H58" s="53"/>
      <c r="I58" s="49"/>
      <c r="J58" s="53"/>
      <c r="K58" s="49"/>
      <c r="L58" s="53" t="s">
        <v>321</v>
      </c>
      <c r="M58" s="53">
        <v>35.99889</v>
      </c>
      <c r="N58" s="53">
        <f>(M58)</f>
        <v>35.99889</v>
      </c>
    </row>
    <row r="59" spans="1:14" ht="15">
      <c r="A59" s="47" t="str">
        <f t="shared" si="15"/>
        <v>Schedule I - Prepaid</v>
      </c>
      <c r="B59" s="53"/>
      <c r="C59" s="32" t="str">
        <f t="shared" si="16"/>
        <v> </v>
      </c>
      <c r="D59" s="53" t="s">
        <v>24</v>
      </c>
      <c r="E59" s="53" t="s">
        <v>24</v>
      </c>
      <c r="F59" s="53" t="s">
        <v>24</v>
      </c>
      <c r="G59" s="48" t="s">
        <v>24</v>
      </c>
      <c r="H59" s="53"/>
      <c r="I59" s="49"/>
      <c r="J59" s="53"/>
      <c r="K59" s="49"/>
      <c r="L59" s="53"/>
      <c r="M59" s="53"/>
      <c r="N59" s="53"/>
    </row>
    <row r="60" spans="1:14" ht="15">
      <c r="A60" s="47" t="str">
        <f t="shared" si="15"/>
        <v>Schedule I - Marketing ETS</v>
      </c>
      <c r="B60" s="53"/>
      <c r="C60" s="32">
        <v>89</v>
      </c>
      <c r="D60" s="53">
        <f>(D58)</f>
        <v>35.99889</v>
      </c>
      <c r="E60" s="53">
        <f t="shared" si="18"/>
        <v>1</v>
      </c>
      <c r="F60" s="53">
        <f t="shared" si="19"/>
        <v>89</v>
      </c>
      <c r="G60" s="48">
        <f>(F60/$F$67)</f>
        <v>0.0035088740222084126</v>
      </c>
      <c r="H60" s="53"/>
      <c r="I60" s="49"/>
      <c r="J60" s="53"/>
      <c r="K60" s="49"/>
      <c r="M60" s="53">
        <v>0</v>
      </c>
      <c r="N60" s="53">
        <f>(M60)</f>
        <v>0</v>
      </c>
    </row>
    <row r="61" spans="1:14" ht="15">
      <c r="A61" s="47" t="str">
        <f t="shared" si="15"/>
        <v>Schedule II - Small Commercial (kWh)</v>
      </c>
      <c r="B61" s="53"/>
      <c r="C61" s="32">
        <f t="shared" si="16"/>
        <v>1328</v>
      </c>
      <c r="D61" s="53">
        <f t="shared" si="17"/>
        <v>35.99889</v>
      </c>
      <c r="E61" s="53">
        <f t="shared" si="18"/>
        <v>1</v>
      </c>
      <c r="F61" s="53">
        <f t="shared" si="19"/>
        <v>1328</v>
      </c>
      <c r="G61" s="48">
        <f t="shared" si="20"/>
        <v>0.052357131477446875</v>
      </c>
      <c r="H61" s="53"/>
      <c r="I61" s="49"/>
      <c r="J61" s="53"/>
      <c r="K61" s="49"/>
      <c r="L61" s="53" t="s">
        <v>321</v>
      </c>
      <c r="M61" s="53">
        <f>(M58)</f>
        <v>35.99889</v>
      </c>
      <c r="N61" s="53">
        <f>(M61)</f>
        <v>35.99889</v>
      </c>
    </row>
    <row r="62" spans="1:14" ht="15">
      <c r="A62" s="47" t="str">
        <f t="shared" si="15"/>
        <v>Schedule II - Small Commercial (kW)</v>
      </c>
      <c r="B62" s="53"/>
      <c r="C62" s="32">
        <f t="shared" si="16"/>
        <v>140</v>
      </c>
      <c r="D62" s="53">
        <f t="shared" si="17"/>
        <v>305.37891</v>
      </c>
      <c r="E62" s="53">
        <f t="shared" si="18"/>
        <v>8.483009059446</v>
      </c>
      <c r="F62" s="53">
        <f t="shared" si="19"/>
        <v>1187.6212683224398</v>
      </c>
      <c r="G62" s="48">
        <f t="shared" si="20"/>
        <v>0.046822622658863104</v>
      </c>
      <c r="H62" s="53"/>
      <c r="I62" s="49"/>
      <c r="J62" s="53"/>
      <c r="K62" s="49"/>
      <c r="L62" s="53" t="s">
        <v>322</v>
      </c>
      <c r="M62" s="49">
        <v>305.37891</v>
      </c>
      <c r="N62" s="53">
        <f>(M62)</f>
        <v>305.37891</v>
      </c>
    </row>
    <row r="63" spans="1:14" s="61" customFormat="1" ht="15">
      <c r="A63" s="47" t="str">
        <f t="shared" si="15"/>
        <v>Schedule III - 3 Phase Schools &amp; Churches</v>
      </c>
      <c r="B63" s="49"/>
      <c r="C63" s="32">
        <f t="shared" si="16"/>
        <v>48</v>
      </c>
      <c r="D63" s="53">
        <f t="shared" si="17"/>
        <v>35.99889</v>
      </c>
      <c r="E63" s="53">
        <f t="shared" si="18"/>
        <v>1</v>
      </c>
      <c r="F63" s="53">
        <f t="shared" si="19"/>
        <v>48</v>
      </c>
      <c r="G63" s="48">
        <f t="shared" si="20"/>
        <v>0.001892426438943863</v>
      </c>
      <c r="H63" s="49"/>
      <c r="I63" s="49"/>
      <c r="J63" s="49"/>
      <c r="K63" s="49"/>
      <c r="L63" s="68" t="str">
        <f>(L61)</f>
        <v>2-3 W Meters</v>
      </c>
      <c r="M63" s="68">
        <f>(M61)</f>
        <v>35.99889</v>
      </c>
      <c r="N63" s="49">
        <f>(M63)</f>
        <v>35.99889</v>
      </c>
    </row>
    <row r="64" spans="1:14" s="61" customFormat="1" ht="15">
      <c r="A64" s="47" t="str">
        <f t="shared" si="15"/>
        <v>Schedule IV - Large Power Industrial </v>
      </c>
      <c r="B64" s="49"/>
      <c r="C64" s="32">
        <f t="shared" si="16"/>
        <v>1</v>
      </c>
      <c r="D64" s="53">
        <f t="shared" si="17"/>
        <v>305.37891</v>
      </c>
      <c r="E64" s="53">
        <f t="shared" si="18"/>
        <v>8.483009059446</v>
      </c>
      <c r="F64" s="53">
        <f t="shared" si="19"/>
        <v>8.483009059446</v>
      </c>
      <c r="G64" s="48">
        <f t="shared" si="20"/>
        <v>0.000334447304706165</v>
      </c>
      <c r="H64" s="49"/>
      <c r="I64" s="49"/>
      <c r="J64" s="49"/>
      <c r="K64" s="49"/>
      <c r="L64" s="68" t="str">
        <f>(L62)</f>
        <v>Demand </v>
      </c>
      <c r="M64" s="68">
        <f>(M62)</f>
        <v>305.37891</v>
      </c>
      <c r="N64" s="68">
        <f>(N62)</f>
        <v>305.37891</v>
      </c>
    </row>
    <row r="65" spans="1:14" ht="15">
      <c r="A65" s="47" t="str">
        <f t="shared" si="15"/>
        <v>Schedule IV-A - Large Power Rate</v>
      </c>
      <c r="B65" s="53"/>
      <c r="C65" s="32">
        <f t="shared" si="16"/>
        <v>79</v>
      </c>
      <c r="D65" s="53">
        <f>(N65)</f>
        <v>305.37891</v>
      </c>
      <c r="E65" s="53">
        <f t="shared" si="18"/>
        <v>8.483009059446</v>
      </c>
      <c r="F65" s="53">
        <f t="shared" si="19"/>
        <v>670.1577156962339</v>
      </c>
      <c r="G65" s="48">
        <f t="shared" si="20"/>
        <v>0.026421337071787038</v>
      </c>
      <c r="H65" s="53"/>
      <c r="I65" s="53"/>
      <c r="J65" s="53"/>
      <c r="K65" s="53"/>
      <c r="L65" s="68" t="str">
        <f>(L64)</f>
        <v>Demand </v>
      </c>
      <c r="M65" s="68">
        <f>(M64)</f>
        <v>305.37891</v>
      </c>
      <c r="N65" s="68">
        <f>(N64)</f>
        <v>305.37891</v>
      </c>
    </row>
    <row r="66" spans="1:14" ht="15">
      <c r="A66" s="47" t="str">
        <f t="shared" si="15"/>
        <v>Schedule VI - Outdoor &amp; Security Lights</v>
      </c>
      <c r="B66" s="53"/>
      <c r="C66" s="32">
        <v>0</v>
      </c>
      <c r="D66" s="53">
        <f t="shared" si="17"/>
        <v>0</v>
      </c>
      <c r="E66" s="53">
        <f t="shared" si="18"/>
        <v>0</v>
      </c>
      <c r="F66" s="53">
        <f t="shared" si="19"/>
        <v>0</v>
      </c>
      <c r="G66" s="54"/>
      <c r="H66" s="53"/>
      <c r="I66" s="53"/>
      <c r="J66" s="53"/>
      <c r="K66" s="53"/>
      <c r="L66" s="53"/>
      <c r="M66" s="53"/>
      <c r="N66" s="53"/>
    </row>
    <row r="67" spans="1:14" ht="15">
      <c r="A67" s="53"/>
      <c r="B67" s="53"/>
      <c r="C67" s="135">
        <f>SUM(C58:C66)</f>
        <v>23718</v>
      </c>
      <c r="D67" s="136"/>
      <c r="E67" s="136"/>
      <c r="F67" s="136">
        <f>SUM(F58:F66)</f>
        <v>25364.261993078122</v>
      </c>
      <c r="G67" s="136">
        <f>SUM(G58:G66)</f>
        <v>1</v>
      </c>
      <c r="H67" s="53"/>
      <c r="I67" s="53"/>
      <c r="J67" s="53"/>
      <c r="K67" s="53"/>
      <c r="L67" s="53"/>
      <c r="M67" s="53"/>
      <c r="N67" s="53"/>
    </row>
    <row r="68" spans="1:14" ht="15">
      <c r="A68" s="53"/>
      <c r="B68" s="53"/>
      <c r="C68" s="53"/>
      <c r="D68" s="53"/>
      <c r="E68" s="53"/>
      <c r="F68" s="53"/>
      <c r="G68" s="54"/>
      <c r="H68" s="53"/>
      <c r="I68" s="53"/>
      <c r="J68" s="53"/>
      <c r="K68" s="53"/>
      <c r="L68" s="53"/>
      <c r="M68" s="53"/>
      <c r="N68" s="53"/>
    </row>
    <row r="69" spans="1:14" ht="15">
      <c r="A69" s="53"/>
      <c r="B69" s="53"/>
      <c r="C69" s="53"/>
      <c r="D69" s="53"/>
      <c r="E69" s="53"/>
      <c r="F69" s="53"/>
      <c r="G69" s="62" t="s">
        <v>24</v>
      </c>
      <c r="H69" s="53"/>
      <c r="I69" s="53"/>
      <c r="J69" s="53"/>
      <c r="K69" s="53"/>
      <c r="L69" s="53"/>
      <c r="M69" s="53"/>
      <c r="N69" s="53"/>
    </row>
    <row r="70" spans="1:14" ht="15.75">
      <c r="A70" s="56" t="s">
        <v>115</v>
      </c>
      <c r="B70" s="53"/>
      <c r="C70" s="53"/>
      <c r="D70" s="53"/>
      <c r="E70" s="53"/>
      <c r="F70" s="53"/>
      <c r="G70" s="54"/>
      <c r="H70" s="53"/>
      <c r="I70" s="53"/>
      <c r="J70" s="53"/>
      <c r="K70" s="53"/>
      <c r="L70" s="53"/>
      <c r="M70" s="53"/>
      <c r="N70" s="53"/>
    </row>
    <row r="71" spans="1:14" ht="15">
      <c r="A71" s="53"/>
      <c r="B71" s="53"/>
      <c r="C71" s="53"/>
      <c r="D71" s="53"/>
      <c r="E71" s="53"/>
      <c r="F71" s="53"/>
      <c r="G71" s="54"/>
      <c r="H71" s="53"/>
      <c r="I71" s="53"/>
      <c r="J71" s="53"/>
      <c r="K71" s="53"/>
      <c r="L71" s="53"/>
      <c r="M71" s="53"/>
      <c r="N71" s="53"/>
    </row>
    <row r="72" spans="1:14" ht="15">
      <c r="A72" s="53" t="s">
        <v>24</v>
      </c>
      <c r="B72" s="53"/>
      <c r="C72" s="57"/>
      <c r="D72" s="57" t="s">
        <v>110</v>
      </c>
      <c r="E72" s="57" t="s">
        <v>110</v>
      </c>
      <c r="F72" s="57" t="s">
        <v>110</v>
      </c>
      <c r="G72" s="58" t="s">
        <v>294</v>
      </c>
      <c r="H72" s="57"/>
      <c r="I72" s="57"/>
      <c r="J72" s="53"/>
      <c r="K72" s="53"/>
      <c r="L72" s="53"/>
      <c r="M72" s="53"/>
      <c r="N72" s="53"/>
    </row>
    <row r="73" spans="1:14" ht="15">
      <c r="A73" s="53"/>
      <c r="B73" s="53"/>
      <c r="C73" s="57" t="s">
        <v>137</v>
      </c>
      <c r="D73" s="57" t="s">
        <v>111</v>
      </c>
      <c r="E73" s="57" t="s">
        <v>111</v>
      </c>
      <c r="F73" s="57" t="s">
        <v>111</v>
      </c>
      <c r="G73" s="64" t="s">
        <v>280</v>
      </c>
      <c r="H73" s="57"/>
      <c r="I73" s="57" t="s">
        <v>7</v>
      </c>
      <c r="J73" s="53"/>
      <c r="K73" s="53"/>
      <c r="L73" s="53"/>
      <c r="M73" s="53"/>
      <c r="N73" s="53"/>
    </row>
    <row r="74" spans="1:14" ht="17.25">
      <c r="A74" s="53" t="s">
        <v>106</v>
      </c>
      <c r="B74" s="53"/>
      <c r="C74" s="59" t="s">
        <v>139</v>
      </c>
      <c r="D74" s="59" t="s">
        <v>116</v>
      </c>
      <c r="E74" s="59" t="s">
        <v>117</v>
      </c>
      <c r="F74" s="59" t="s">
        <v>141</v>
      </c>
      <c r="G74" s="60" t="s">
        <v>281</v>
      </c>
      <c r="H74" s="59" t="s">
        <v>111</v>
      </c>
      <c r="I74" s="59" t="s">
        <v>104</v>
      </c>
      <c r="J74" s="53"/>
      <c r="K74" s="53"/>
      <c r="L74" s="53"/>
      <c r="M74" s="53"/>
      <c r="N74" s="53"/>
    </row>
    <row r="75" spans="1:14" ht="15">
      <c r="A75" s="53"/>
      <c r="B75" s="53"/>
      <c r="C75" s="53"/>
      <c r="D75" s="53"/>
      <c r="E75" s="53"/>
      <c r="F75" s="53"/>
      <c r="G75" s="54"/>
      <c r="H75" s="53"/>
      <c r="I75" s="53"/>
      <c r="J75" s="53"/>
      <c r="K75" s="53"/>
      <c r="L75" s="53"/>
      <c r="M75" s="53"/>
      <c r="N75" s="53"/>
    </row>
    <row r="76" spans="1:14" ht="15">
      <c r="A76" s="47" t="str">
        <f>(A58)</f>
        <v>Schedule I - Residential</v>
      </c>
      <c r="B76" s="53"/>
      <c r="C76" s="97">
        <f>(C58)</f>
        <v>22033</v>
      </c>
      <c r="D76" s="53">
        <f>(E92)</f>
        <v>1</v>
      </c>
      <c r="E76" s="53">
        <f>(H92)</f>
        <v>4</v>
      </c>
      <c r="F76" s="53">
        <f>(E108)</f>
        <v>1</v>
      </c>
      <c r="G76" s="54">
        <f>(D76+E76+F76)</f>
        <v>6</v>
      </c>
      <c r="H76" s="32">
        <f>(C76*G76)</f>
        <v>132198</v>
      </c>
      <c r="I76" s="138">
        <f aca="true" t="shared" si="21" ref="I76:I84">(H76/$H$85)</f>
        <v>0.7796279313893452</v>
      </c>
      <c r="J76" s="53"/>
      <c r="K76" s="53"/>
      <c r="L76" s="53"/>
      <c r="M76" s="53"/>
      <c r="N76" s="53"/>
    </row>
    <row r="77" spans="1:14" ht="15">
      <c r="A77" s="92" t="s">
        <v>401</v>
      </c>
      <c r="B77" s="53"/>
      <c r="C77" s="97" t="str">
        <f aca="true" t="shared" si="22" ref="C77:C83">(C59)</f>
        <v> </v>
      </c>
      <c r="D77" s="53" t="s">
        <v>24</v>
      </c>
      <c r="E77" s="53" t="str">
        <f aca="true" t="shared" si="23" ref="E77:E84">(H93)</f>
        <v> </v>
      </c>
      <c r="F77" s="53" t="s">
        <v>24</v>
      </c>
      <c r="G77" s="54" t="s">
        <v>24</v>
      </c>
      <c r="H77" s="32" t="s">
        <v>24</v>
      </c>
      <c r="I77" s="138" t="s">
        <v>24</v>
      </c>
      <c r="J77" s="53"/>
      <c r="K77" s="53"/>
      <c r="L77" s="53"/>
      <c r="M77" s="53"/>
      <c r="N77" s="53"/>
    </row>
    <row r="78" spans="1:14" ht="15">
      <c r="A78" s="47" t="str">
        <f aca="true" t="shared" si="24" ref="A78:A84">(A60)</f>
        <v>Schedule I - Marketing ETS</v>
      </c>
      <c r="B78" s="53"/>
      <c r="C78" s="97">
        <f t="shared" si="22"/>
        <v>89</v>
      </c>
      <c r="D78" s="53">
        <f aca="true" t="shared" si="25" ref="D78:D84">(E94)</f>
        <v>1</v>
      </c>
      <c r="E78" s="53">
        <f t="shared" si="23"/>
        <v>1</v>
      </c>
      <c r="F78" s="53">
        <f aca="true" t="shared" si="26" ref="F78:F84">(E110)</f>
        <v>1.5</v>
      </c>
      <c r="G78" s="54">
        <f aca="true" t="shared" si="27" ref="G78:G84">(D78+E78+F78)</f>
        <v>3.5</v>
      </c>
      <c r="H78" s="32">
        <f>(C78*G78)</f>
        <v>311.5</v>
      </c>
      <c r="I78" s="138">
        <f t="shared" si="21"/>
        <v>0.0018370482203042481</v>
      </c>
      <c r="J78" s="53"/>
      <c r="K78" s="53"/>
      <c r="L78" s="53"/>
      <c r="M78" s="53"/>
      <c r="N78" s="53"/>
    </row>
    <row r="79" spans="1:14" ht="15">
      <c r="A79" s="47" t="str">
        <f t="shared" si="24"/>
        <v>Schedule II - Small Commercial (kWh)</v>
      </c>
      <c r="B79" s="53"/>
      <c r="C79" s="97">
        <f t="shared" si="22"/>
        <v>1328</v>
      </c>
      <c r="D79" s="53">
        <f t="shared" si="25"/>
        <v>1</v>
      </c>
      <c r="E79" s="53">
        <f t="shared" si="23"/>
        <v>6</v>
      </c>
      <c r="F79" s="53">
        <f t="shared" si="26"/>
        <v>3</v>
      </c>
      <c r="G79" s="54">
        <f>(D79+E79+F79)</f>
        <v>10</v>
      </c>
      <c r="H79" s="32">
        <f aca="true" t="shared" si="28" ref="H79:H84">(C79*G79)</f>
        <v>13280</v>
      </c>
      <c r="I79" s="138">
        <f t="shared" si="21"/>
        <v>0.07831781818825173</v>
      </c>
      <c r="J79" s="53"/>
      <c r="K79" s="53"/>
      <c r="L79" s="53"/>
      <c r="M79" s="53"/>
      <c r="N79" s="53"/>
    </row>
    <row r="80" spans="1:14" ht="15">
      <c r="A80" s="47" t="str">
        <f t="shared" si="24"/>
        <v>Schedule II - Small Commercial (kW)</v>
      </c>
      <c r="B80" s="53"/>
      <c r="C80" s="97">
        <f t="shared" si="22"/>
        <v>140</v>
      </c>
      <c r="D80" s="53">
        <f t="shared" si="25"/>
        <v>2</v>
      </c>
      <c r="E80" s="53">
        <f t="shared" si="23"/>
        <v>10</v>
      </c>
      <c r="F80" s="53">
        <f>(E112)</f>
        <v>8</v>
      </c>
      <c r="G80" s="54">
        <f t="shared" si="27"/>
        <v>20</v>
      </c>
      <c r="H80" s="32">
        <f t="shared" si="28"/>
        <v>2800</v>
      </c>
      <c r="I80" s="138">
        <f t="shared" si="21"/>
        <v>0.01651279299149886</v>
      </c>
      <c r="J80" s="53"/>
      <c r="K80" s="53"/>
      <c r="L80" s="53"/>
      <c r="M80" s="53"/>
      <c r="N80" s="53"/>
    </row>
    <row r="81" spans="1:14" ht="15">
      <c r="A81" s="47" t="str">
        <f t="shared" si="24"/>
        <v>Schedule III - 3 Phase Schools &amp; Churches</v>
      </c>
      <c r="B81" s="53"/>
      <c r="C81" s="97">
        <f t="shared" si="22"/>
        <v>48</v>
      </c>
      <c r="D81" s="53">
        <f t="shared" si="25"/>
        <v>1</v>
      </c>
      <c r="E81" s="53">
        <f t="shared" si="23"/>
        <v>8</v>
      </c>
      <c r="F81" s="53">
        <f t="shared" si="26"/>
        <v>8</v>
      </c>
      <c r="G81" s="54">
        <f t="shared" si="27"/>
        <v>17</v>
      </c>
      <c r="H81" s="32">
        <f t="shared" si="28"/>
        <v>816</v>
      </c>
      <c r="I81" s="138">
        <f t="shared" si="21"/>
        <v>0.004812299671808239</v>
      </c>
      <c r="J81" s="53"/>
      <c r="K81" s="53"/>
      <c r="L81" s="53"/>
      <c r="M81" s="53"/>
      <c r="N81" s="53"/>
    </row>
    <row r="82" spans="1:14" s="61" customFormat="1" ht="15">
      <c r="A82" s="47" t="str">
        <f t="shared" si="24"/>
        <v>Schedule IV - Large Power Industrial </v>
      </c>
      <c r="B82" s="49"/>
      <c r="C82" s="97">
        <f t="shared" si="22"/>
        <v>1</v>
      </c>
      <c r="D82" s="53">
        <f t="shared" si="25"/>
        <v>4</v>
      </c>
      <c r="E82" s="53">
        <f t="shared" si="23"/>
        <v>20</v>
      </c>
      <c r="F82" s="53">
        <f t="shared" si="26"/>
        <v>40</v>
      </c>
      <c r="G82" s="54">
        <f t="shared" si="27"/>
        <v>64</v>
      </c>
      <c r="H82" s="32">
        <f t="shared" si="28"/>
        <v>64</v>
      </c>
      <c r="I82" s="138">
        <f t="shared" si="21"/>
        <v>0.00037743526837711683</v>
      </c>
      <c r="J82" s="49"/>
      <c r="K82" s="49"/>
      <c r="L82" s="49"/>
      <c r="M82" s="49"/>
      <c r="N82" s="49"/>
    </row>
    <row r="83" spans="1:14" s="61" customFormat="1" ht="15">
      <c r="A83" s="47" t="str">
        <f t="shared" si="24"/>
        <v>Schedule IV-A - Large Power Rate</v>
      </c>
      <c r="B83" s="49"/>
      <c r="C83" s="97">
        <f t="shared" si="22"/>
        <v>79</v>
      </c>
      <c r="D83" s="53">
        <f t="shared" si="25"/>
        <v>4</v>
      </c>
      <c r="E83" s="53">
        <f t="shared" si="23"/>
        <v>20</v>
      </c>
      <c r="F83" s="53">
        <f t="shared" si="26"/>
        <v>20</v>
      </c>
      <c r="G83" s="54">
        <f t="shared" si="27"/>
        <v>44</v>
      </c>
      <c r="H83" s="32">
        <f>(C83*G83)</f>
        <v>3476</v>
      </c>
      <c r="I83" s="138">
        <f t="shared" si="21"/>
        <v>0.020499453013732155</v>
      </c>
      <c r="J83" s="49"/>
      <c r="K83" s="49"/>
      <c r="L83" s="49"/>
      <c r="M83" s="49"/>
      <c r="N83" s="49"/>
    </row>
    <row r="84" spans="1:14" ht="15">
      <c r="A84" s="47" t="str">
        <f t="shared" si="24"/>
        <v>Schedule VI - Outdoor &amp; Security Lights</v>
      </c>
      <c r="B84" s="53"/>
      <c r="C84" s="32">
        <f>(C50)</f>
        <v>11080</v>
      </c>
      <c r="D84" s="53">
        <f t="shared" si="25"/>
        <v>0</v>
      </c>
      <c r="E84" s="53">
        <f t="shared" si="23"/>
        <v>1</v>
      </c>
      <c r="F84" s="53">
        <f t="shared" si="26"/>
        <v>0.5</v>
      </c>
      <c r="G84" s="54">
        <f t="shared" si="27"/>
        <v>1.5</v>
      </c>
      <c r="H84" s="32">
        <f t="shared" si="28"/>
        <v>16620</v>
      </c>
      <c r="I84" s="138">
        <f t="shared" si="21"/>
        <v>0.09801522125668252</v>
      </c>
      <c r="J84" s="53"/>
      <c r="K84" s="53"/>
      <c r="L84" s="53"/>
      <c r="M84" s="53"/>
      <c r="N84" s="53"/>
    </row>
    <row r="85" spans="1:14" ht="15">
      <c r="A85" s="47"/>
      <c r="B85" s="53"/>
      <c r="C85" s="53"/>
      <c r="D85" s="53"/>
      <c r="E85" s="53"/>
      <c r="F85" s="53"/>
      <c r="G85" s="54"/>
      <c r="H85" s="136">
        <f>SUM(H76:H84)</f>
        <v>169565.5</v>
      </c>
      <c r="I85" s="136">
        <f>SUM(I76:I84)</f>
        <v>0.9999999999999999</v>
      </c>
      <c r="J85" s="53"/>
      <c r="K85" s="53"/>
      <c r="L85" s="53"/>
      <c r="M85" s="53"/>
      <c r="N85" s="53"/>
    </row>
    <row r="86" spans="1:14" ht="15">
      <c r="A86" s="47"/>
      <c r="B86" s="53"/>
      <c r="C86" s="53"/>
      <c r="D86" s="53"/>
      <c r="E86" s="53"/>
      <c r="F86" s="53"/>
      <c r="G86" s="54"/>
      <c r="H86" s="53"/>
      <c r="I86" s="53"/>
      <c r="J86" s="53"/>
      <c r="K86" s="53"/>
      <c r="L86" s="53"/>
      <c r="M86" s="53"/>
      <c r="N86" s="53"/>
    </row>
    <row r="87" spans="1:14" ht="15">
      <c r="A87" s="53" t="s">
        <v>24</v>
      </c>
      <c r="B87" s="53"/>
      <c r="C87" s="53" t="s">
        <v>24</v>
      </c>
      <c r="D87" s="53" t="s">
        <v>24</v>
      </c>
      <c r="E87" s="53" t="s">
        <v>24</v>
      </c>
      <c r="F87" s="53" t="s">
        <v>24</v>
      </c>
      <c r="G87" s="54"/>
      <c r="H87" s="53"/>
      <c r="I87" s="53"/>
      <c r="J87" s="53"/>
      <c r="K87" s="53"/>
      <c r="L87" s="53"/>
      <c r="M87" s="53"/>
      <c r="N87" s="53"/>
    </row>
    <row r="88" spans="1:14" ht="15">
      <c r="A88" s="53" t="s">
        <v>24</v>
      </c>
      <c r="B88" s="53"/>
      <c r="C88" s="431" t="s">
        <v>219</v>
      </c>
      <c r="D88" s="431"/>
      <c r="E88" s="431"/>
      <c r="F88" s="431" t="s">
        <v>220</v>
      </c>
      <c r="G88" s="431"/>
      <c r="H88" s="431"/>
      <c r="L88" s="53"/>
      <c r="M88" s="53"/>
      <c r="N88" s="53"/>
    </row>
    <row r="89" spans="1:14" ht="15">
      <c r="A89" s="53" t="s">
        <v>24</v>
      </c>
      <c r="B89" s="53"/>
      <c r="C89" s="53"/>
      <c r="D89" s="57" t="s">
        <v>24</v>
      </c>
      <c r="E89" s="57" t="s">
        <v>110</v>
      </c>
      <c r="F89" s="57"/>
      <c r="G89" s="58" t="s">
        <v>24</v>
      </c>
      <c r="H89" s="57" t="s">
        <v>110</v>
      </c>
      <c r="L89" s="53"/>
      <c r="M89" s="53"/>
      <c r="N89" s="53"/>
    </row>
    <row r="90" spans="1:14" ht="15">
      <c r="A90" s="53" t="s">
        <v>24</v>
      </c>
      <c r="B90" s="53"/>
      <c r="C90" s="53"/>
      <c r="D90" s="57" t="s">
        <v>24</v>
      </c>
      <c r="E90" s="57" t="s">
        <v>111</v>
      </c>
      <c r="F90" s="57"/>
      <c r="G90" s="58" t="s">
        <v>24</v>
      </c>
      <c r="H90" s="57" t="s">
        <v>111</v>
      </c>
      <c r="L90" s="53"/>
      <c r="M90" s="53"/>
      <c r="N90" s="53"/>
    </row>
    <row r="91" spans="1:14" ht="17.25">
      <c r="A91" s="53" t="s">
        <v>24</v>
      </c>
      <c r="B91" s="53"/>
      <c r="C91" s="59" t="s">
        <v>218</v>
      </c>
      <c r="D91" s="65" t="s">
        <v>111</v>
      </c>
      <c r="E91" s="66" t="s">
        <v>24</v>
      </c>
      <c r="F91" s="59" t="s">
        <v>218</v>
      </c>
      <c r="G91" s="67" t="s">
        <v>111</v>
      </c>
      <c r="H91" s="66" t="s">
        <v>24</v>
      </c>
      <c r="L91" s="53"/>
      <c r="M91" s="53"/>
      <c r="N91" s="53"/>
    </row>
    <row r="92" spans="1:14" ht="15">
      <c r="A92" s="47" t="str">
        <f aca="true" t="shared" si="29" ref="A92:A100">(A76)</f>
        <v>Schedule I - Residential</v>
      </c>
      <c r="B92" s="53"/>
      <c r="C92" s="53">
        <v>1</v>
      </c>
      <c r="D92" s="53">
        <v>1</v>
      </c>
      <c r="E92" s="53">
        <f aca="true" t="shared" si="30" ref="E92:E100">(C92*D92)</f>
        <v>1</v>
      </c>
      <c r="F92" s="53">
        <v>4</v>
      </c>
      <c r="G92" s="54">
        <v>1</v>
      </c>
      <c r="H92" s="53">
        <f aca="true" t="shared" si="31" ref="H92:H100">(F92*G92)</f>
        <v>4</v>
      </c>
      <c r="L92" s="53"/>
      <c r="M92" s="53"/>
      <c r="N92" s="53"/>
    </row>
    <row r="93" spans="1:14" ht="15">
      <c r="A93" s="47" t="str">
        <f t="shared" si="29"/>
        <v>Schedule 1 - Prepaid</v>
      </c>
      <c r="B93" s="53"/>
      <c r="C93" s="53" t="s">
        <v>24</v>
      </c>
      <c r="D93" s="53" t="s">
        <v>24</v>
      </c>
      <c r="E93" s="53" t="s">
        <v>24</v>
      </c>
      <c r="F93" s="53" t="s">
        <v>24</v>
      </c>
      <c r="G93" s="54" t="s">
        <v>24</v>
      </c>
      <c r="H93" s="53" t="s">
        <v>24</v>
      </c>
      <c r="L93" s="53"/>
      <c r="M93" s="53"/>
      <c r="N93" s="53"/>
    </row>
    <row r="94" spans="1:14" ht="15">
      <c r="A94" s="47" t="str">
        <f t="shared" si="29"/>
        <v>Schedule I - Marketing ETS</v>
      </c>
      <c r="B94" s="53"/>
      <c r="C94" s="53">
        <v>1</v>
      </c>
      <c r="D94" s="53">
        <v>1</v>
      </c>
      <c r="E94" s="53">
        <f t="shared" si="30"/>
        <v>1</v>
      </c>
      <c r="F94" s="53">
        <v>1</v>
      </c>
      <c r="G94" s="54">
        <v>1</v>
      </c>
      <c r="H94" s="53">
        <f t="shared" si="31"/>
        <v>1</v>
      </c>
      <c r="L94" s="53"/>
      <c r="M94" s="53"/>
      <c r="N94" s="53"/>
    </row>
    <row r="95" spans="1:14" ht="15">
      <c r="A95" s="47" t="str">
        <f t="shared" si="29"/>
        <v>Schedule II - Small Commercial (kWh)</v>
      </c>
      <c r="B95" s="53"/>
      <c r="C95" s="53">
        <v>1</v>
      </c>
      <c r="D95" s="53">
        <v>1</v>
      </c>
      <c r="E95" s="53">
        <f t="shared" si="30"/>
        <v>1</v>
      </c>
      <c r="F95" s="53">
        <v>3</v>
      </c>
      <c r="G95" s="54">
        <v>2</v>
      </c>
      <c r="H95" s="53">
        <f t="shared" si="31"/>
        <v>6</v>
      </c>
      <c r="L95" s="53"/>
      <c r="M95" s="53"/>
      <c r="N95" s="53"/>
    </row>
    <row r="96" spans="1:14" ht="15">
      <c r="A96" s="47" t="str">
        <f t="shared" si="29"/>
        <v>Schedule II - Small Commercial (kW)</v>
      </c>
      <c r="B96" s="53"/>
      <c r="C96" s="53">
        <v>2</v>
      </c>
      <c r="D96" s="53">
        <v>1</v>
      </c>
      <c r="E96" s="53">
        <f t="shared" si="30"/>
        <v>2</v>
      </c>
      <c r="F96" s="53">
        <v>5</v>
      </c>
      <c r="G96" s="54">
        <v>2</v>
      </c>
      <c r="H96" s="53">
        <f t="shared" si="31"/>
        <v>10</v>
      </c>
      <c r="L96" s="53"/>
      <c r="M96" s="53"/>
      <c r="N96" s="53"/>
    </row>
    <row r="97" spans="1:14" ht="15">
      <c r="A97" s="47" t="str">
        <f t="shared" si="29"/>
        <v>Schedule III - 3 Phase Schools &amp; Churches</v>
      </c>
      <c r="B97" s="53"/>
      <c r="C97" s="53">
        <v>1</v>
      </c>
      <c r="D97" s="53">
        <v>1</v>
      </c>
      <c r="E97" s="53">
        <f t="shared" si="30"/>
        <v>1</v>
      </c>
      <c r="F97" s="53">
        <v>4</v>
      </c>
      <c r="G97" s="54">
        <v>2</v>
      </c>
      <c r="H97" s="53">
        <f t="shared" si="31"/>
        <v>8</v>
      </c>
      <c r="L97" s="53"/>
      <c r="M97" s="53"/>
      <c r="N97" s="53"/>
    </row>
    <row r="98" spans="1:14" s="61" customFormat="1" ht="15">
      <c r="A98" s="47" t="str">
        <f t="shared" si="29"/>
        <v>Schedule IV - Large Power Industrial </v>
      </c>
      <c r="B98" s="49"/>
      <c r="C98" s="53">
        <v>4</v>
      </c>
      <c r="D98" s="53">
        <v>1</v>
      </c>
      <c r="E98" s="53">
        <f t="shared" si="30"/>
        <v>4</v>
      </c>
      <c r="F98" s="53">
        <v>10</v>
      </c>
      <c r="G98" s="54">
        <v>2</v>
      </c>
      <c r="H98" s="53">
        <f t="shared" si="31"/>
        <v>20</v>
      </c>
      <c r="I98" s="49"/>
      <c r="J98" s="49"/>
      <c r="K98" s="49"/>
      <c r="L98" s="49"/>
      <c r="M98" s="49"/>
      <c r="N98" s="49"/>
    </row>
    <row r="99" spans="1:14" s="61" customFormat="1" ht="15">
      <c r="A99" s="47" t="str">
        <f t="shared" si="29"/>
        <v>Schedule IV-A - Large Power Rate</v>
      </c>
      <c r="B99" s="55"/>
      <c r="C99" s="53">
        <v>4</v>
      </c>
      <c r="D99" s="53">
        <v>1</v>
      </c>
      <c r="E99" s="53">
        <f t="shared" si="30"/>
        <v>4</v>
      </c>
      <c r="F99" s="53">
        <v>10</v>
      </c>
      <c r="G99" s="54">
        <v>2</v>
      </c>
      <c r="H99" s="53">
        <f t="shared" si="31"/>
        <v>20</v>
      </c>
      <c r="I99" s="49"/>
      <c r="J99" s="49"/>
      <c r="K99" s="49"/>
      <c r="L99" s="49"/>
      <c r="M99" s="49"/>
      <c r="N99" s="49"/>
    </row>
    <row r="100" spans="1:14" s="61" customFormat="1" ht="15">
      <c r="A100" s="47" t="str">
        <f t="shared" si="29"/>
        <v>Schedule VI - Outdoor &amp; Security Lights</v>
      </c>
      <c r="B100" s="55"/>
      <c r="C100" s="53">
        <v>0</v>
      </c>
      <c r="D100" s="53">
        <v>1</v>
      </c>
      <c r="E100" s="53">
        <f t="shared" si="30"/>
        <v>0</v>
      </c>
      <c r="F100" s="53">
        <v>1</v>
      </c>
      <c r="G100" s="54">
        <v>1</v>
      </c>
      <c r="H100" s="53">
        <f t="shared" si="31"/>
        <v>1</v>
      </c>
      <c r="I100" s="49"/>
      <c r="J100" s="49"/>
      <c r="K100" s="49"/>
      <c r="L100" s="49"/>
      <c r="M100" s="49"/>
      <c r="N100" s="49"/>
    </row>
    <row r="101" spans="1:14" s="61" customFormat="1" ht="15">
      <c r="A101" s="55"/>
      <c r="B101" s="55"/>
      <c r="C101" s="53" t="s">
        <v>24</v>
      </c>
      <c r="D101" s="53" t="s">
        <v>24</v>
      </c>
      <c r="E101" s="53" t="s">
        <v>24</v>
      </c>
      <c r="F101" s="53" t="s">
        <v>24</v>
      </c>
      <c r="G101" s="54" t="s">
        <v>24</v>
      </c>
      <c r="H101" s="53" t="s">
        <v>24</v>
      </c>
      <c r="I101" s="49"/>
      <c r="J101" s="49"/>
      <c r="K101" s="49"/>
      <c r="L101" s="49"/>
      <c r="M101" s="49"/>
      <c r="N101" s="49"/>
    </row>
    <row r="102" spans="1:14" s="61" customFormat="1" ht="15">
      <c r="A102" s="55"/>
      <c r="B102" s="55"/>
      <c r="C102" s="55"/>
      <c r="D102" s="55"/>
      <c r="E102" s="55"/>
      <c r="F102" s="49"/>
      <c r="G102" s="63"/>
      <c r="H102" s="49"/>
      <c r="I102" s="49"/>
      <c r="J102" s="49"/>
      <c r="K102" s="49"/>
      <c r="L102" s="49"/>
      <c r="M102" s="49"/>
      <c r="N102" s="49"/>
    </row>
    <row r="103" spans="1:14" s="61" customFormat="1" ht="15">
      <c r="A103" s="55"/>
      <c r="B103" s="55"/>
      <c r="C103" s="55"/>
      <c r="D103" s="55"/>
      <c r="E103" s="55"/>
      <c r="F103" s="49"/>
      <c r="G103" s="63"/>
      <c r="H103" s="49"/>
      <c r="I103" s="49"/>
      <c r="J103" s="49"/>
      <c r="K103" s="49"/>
      <c r="L103" s="49"/>
      <c r="M103" s="49"/>
      <c r="N103" s="49"/>
    </row>
    <row r="104" spans="1:14" s="61" customFormat="1" ht="15">
      <c r="A104" s="49"/>
      <c r="B104" s="49"/>
      <c r="C104" s="431" t="s">
        <v>221</v>
      </c>
      <c r="D104" s="431"/>
      <c r="E104" s="431"/>
      <c r="F104" s="49"/>
      <c r="G104" s="63"/>
      <c r="H104" s="49"/>
      <c r="I104" s="49"/>
      <c r="J104" s="49"/>
      <c r="K104" s="49"/>
      <c r="L104" s="49"/>
      <c r="M104" s="49"/>
      <c r="N104" s="49"/>
    </row>
    <row r="105" spans="1:14" s="61" customFormat="1" ht="15">
      <c r="A105" s="49"/>
      <c r="B105" s="49"/>
      <c r="C105" s="57"/>
      <c r="D105" s="57" t="s">
        <v>24</v>
      </c>
      <c r="E105" s="57" t="s">
        <v>110</v>
      </c>
      <c r="F105" s="68" t="s">
        <v>24</v>
      </c>
      <c r="G105" s="63"/>
      <c r="H105" s="49"/>
      <c r="I105" s="49"/>
      <c r="J105" s="49"/>
      <c r="K105" s="49"/>
      <c r="L105" s="49"/>
      <c r="M105" s="49"/>
      <c r="N105" s="49"/>
    </row>
    <row r="106" spans="1:14" ht="15">
      <c r="A106" s="49"/>
      <c r="B106" s="49"/>
      <c r="C106" s="57"/>
      <c r="D106" s="57" t="s">
        <v>24</v>
      </c>
      <c r="E106" s="57" t="s">
        <v>111</v>
      </c>
      <c r="F106" s="53"/>
      <c r="G106" s="54"/>
      <c r="H106" s="53"/>
      <c r="I106" s="53"/>
      <c r="J106" s="53"/>
      <c r="K106" s="53"/>
      <c r="L106" s="53"/>
      <c r="M106" s="53"/>
      <c r="N106" s="53"/>
    </row>
    <row r="107" spans="1:14" ht="17.25">
      <c r="A107" s="49"/>
      <c r="B107" s="49"/>
      <c r="C107" s="59" t="s">
        <v>218</v>
      </c>
      <c r="D107" s="69" t="s">
        <v>111</v>
      </c>
      <c r="E107" s="66" t="s">
        <v>24</v>
      </c>
      <c r="F107" s="53"/>
      <c r="G107" s="54"/>
      <c r="H107" s="53"/>
      <c r="I107" s="53"/>
      <c r="J107" s="53"/>
      <c r="K107" s="53"/>
      <c r="L107" s="53"/>
      <c r="M107" s="53"/>
      <c r="N107" s="53"/>
    </row>
    <row r="108" spans="1:14" ht="15">
      <c r="A108" s="68" t="str">
        <f aca="true" t="shared" si="32" ref="A108:A116">(A92)</f>
        <v>Schedule I - Residential</v>
      </c>
      <c r="B108" s="49"/>
      <c r="C108" s="53">
        <v>1</v>
      </c>
      <c r="D108" s="53">
        <v>1</v>
      </c>
      <c r="E108" s="53">
        <f aca="true" t="shared" si="33" ref="E108:E116">(C108*D108)</f>
        <v>1</v>
      </c>
      <c r="F108" s="53"/>
      <c r="G108" s="62" t="s">
        <v>24</v>
      </c>
      <c r="H108" s="53"/>
      <c r="I108" s="53"/>
      <c r="J108" s="53"/>
      <c r="K108" s="53"/>
      <c r="L108" s="53"/>
      <c r="M108" s="53"/>
      <c r="N108" s="53"/>
    </row>
    <row r="109" spans="1:14" ht="15">
      <c r="A109" s="68" t="str">
        <f t="shared" si="32"/>
        <v>Schedule 1 - Prepaid</v>
      </c>
      <c r="B109" s="49"/>
      <c r="C109" s="53" t="s">
        <v>24</v>
      </c>
      <c r="D109" s="53" t="s">
        <v>24</v>
      </c>
      <c r="E109" s="53" t="s">
        <v>24</v>
      </c>
      <c r="F109" s="53"/>
      <c r="G109" s="62"/>
      <c r="H109" s="53"/>
      <c r="I109" s="53"/>
      <c r="J109" s="53"/>
      <c r="K109" s="53"/>
      <c r="L109" s="53"/>
      <c r="M109" s="53"/>
      <c r="N109" s="53"/>
    </row>
    <row r="110" spans="1:14" ht="15">
      <c r="A110" s="68" t="str">
        <f t="shared" si="32"/>
        <v>Schedule I - Marketing ETS</v>
      </c>
      <c r="B110" s="49"/>
      <c r="C110" s="53">
        <v>1</v>
      </c>
      <c r="D110" s="53">
        <v>1.5</v>
      </c>
      <c r="E110" s="53">
        <f t="shared" si="33"/>
        <v>1.5</v>
      </c>
      <c r="F110" s="53"/>
      <c r="G110" s="54"/>
      <c r="H110" s="53"/>
      <c r="I110" s="53"/>
      <c r="J110" s="53"/>
      <c r="K110" s="53"/>
      <c r="L110" s="53"/>
      <c r="M110" s="53"/>
      <c r="N110" s="53"/>
    </row>
    <row r="111" spans="1:5" ht="15">
      <c r="A111" s="68" t="str">
        <f t="shared" si="32"/>
        <v>Schedule II - Small Commercial (kWh)</v>
      </c>
      <c r="B111" s="49"/>
      <c r="C111" s="53">
        <v>1</v>
      </c>
      <c r="D111" s="53">
        <v>3</v>
      </c>
      <c r="E111" s="53">
        <f t="shared" si="33"/>
        <v>3</v>
      </c>
    </row>
    <row r="112" spans="1:5" ht="15">
      <c r="A112" s="68" t="str">
        <f t="shared" si="32"/>
        <v>Schedule II - Small Commercial (kW)</v>
      </c>
      <c r="B112" s="53"/>
      <c r="C112" s="53">
        <v>2</v>
      </c>
      <c r="D112" s="53">
        <v>4</v>
      </c>
      <c r="E112" s="53">
        <f t="shared" si="33"/>
        <v>8</v>
      </c>
    </row>
    <row r="113" spans="1:5" ht="15">
      <c r="A113" s="68" t="str">
        <f t="shared" si="32"/>
        <v>Schedule III - 3 Phase Schools &amp; Churches</v>
      </c>
      <c r="B113" s="53"/>
      <c r="C113" s="53">
        <v>2</v>
      </c>
      <c r="D113" s="53">
        <v>4</v>
      </c>
      <c r="E113" s="53">
        <f t="shared" si="33"/>
        <v>8</v>
      </c>
    </row>
    <row r="114" spans="1:5" ht="15">
      <c r="A114" s="68" t="str">
        <f t="shared" si="32"/>
        <v>Schedule IV - Large Power Industrial </v>
      </c>
      <c r="C114" s="53">
        <v>2</v>
      </c>
      <c r="D114" s="53">
        <v>20</v>
      </c>
      <c r="E114" s="53">
        <f t="shared" si="33"/>
        <v>40</v>
      </c>
    </row>
    <row r="115" spans="1:5" ht="15">
      <c r="A115" s="68" t="str">
        <f t="shared" si="32"/>
        <v>Schedule IV-A - Large Power Rate</v>
      </c>
      <c r="C115" s="53">
        <v>2</v>
      </c>
      <c r="D115" s="53">
        <v>10</v>
      </c>
      <c r="E115" s="53">
        <f t="shared" si="33"/>
        <v>20</v>
      </c>
    </row>
    <row r="116" spans="1:5" ht="15">
      <c r="A116" s="68" t="str">
        <f t="shared" si="32"/>
        <v>Schedule VI - Outdoor &amp; Security Lights</v>
      </c>
      <c r="C116" s="53">
        <v>0.5</v>
      </c>
      <c r="D116" s="53">
        <v>1</v>
      </c>
      <c r="E116" s="53">
        <f t="shared" si="33"/>
        <v>0.5</v>
      </c>
    </row>
  </sheetData>
  <sheetProtection/>
  <mergeCells count="3">
    <mergeCell ref="C88:E88"/>
    <mergeCell ref="F88:H88"/>
    <mergeCell ref="C104:E104"/>
  </mergeCells>
  <printOptions horizontalCentered="1" verticalCentered="1"/>
  <pageMargins left="0.75" right="0.75" top="1" bottom="1" header="0.5" footer="0.5"/>
  <pageSetup horizontalDpi="300" verticalDpi="300" orientation="landscape" scale="89" r:id="rId1"/>
  <headerFooter alignWithMargins="0">
    <oddHeader xml:space="preserve">&amp;C&amp;"Arial,Bold"&amp;14 CUMBERLAND VALLEY ELECTRIC, INC.
Case No. 2016-00169
Consumer Related Costs Allocators&amp;RRevision 2  Exhibit R
Page ____ of ____
Witness:  James Adkins
Schedule I 
&amp;"Arial,Bold"&amp;11 </oddHeader>
  </headerFooter>
  <rowBreaks count="3" manualBreakCount="3">
    <brk id="35" max="8" man="1"/>
    <brk id="68" max="8" man="1"/>
    <brk id="10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3">
      <selection activeCell="D47" sqref="D47"/>
    </sheetView>
  </sheetViews>
  <sheetFormatPr defaultColWidth="9.140625" defaultRowHeight="12.75"/>
  <cols>
    <col min="1" max="1" width="3.8515625" style="0" customWidth="1"/>
    <col min="2" max="2" width="2.140625" style="0" customWidth="1"/>
    <col min="3" max="3" width="23.00390625" style="0" customWidth="1"/>
    <col min="4" max="4" width="12.28125" style="0" customWidth="1"/>
    <col min="5" max="5" width="9.57421875" style="0" customWidth="1"/>
    <col min="6" max="7" width="13.57421875" style="8" customWidth="1"/>
    <col min="8" max="8" width="12.7109375" style="8" customWidth="1"/>
    <col min="9" max="9" width="13.57421875" style="8" customWidth="1"/>
    <col min="10" max="13" width="14.7109375" style="8" customWidth="1"/>
    <col min="14" max="14" width="1.57421875" style="8" customWidth="1"/>
    <col min="15" max="15" width="13.57421875" style="8" customWidth="1"/>
    <col min="16" max="16" width="11.8515625" style="0" bestFit="1" customWidth="1"/>
    <col min="17" max="17" width="13.00390625" style="0" customWidth="1"/>
  </cols>
  <sheetData>
    <row r="1" spans="1:15" ht="12.75">
      <c r="A1" s="303"/>
      <c r="B1" s="303"/>
      <c r="C1" s="303"/>
      <c r="D1" s="303"/>
      <c r="E1" s="303"/>
      <c r="F1" s="348"/>
      <c r="G1" s="349" t="s">
        <v>295</v>
      </c>
      <c r="H1" s="349" t="s">
        <v>298</v>
      </c>
      <c r="I1" s="349" t="s">
        <v>298</v>
      </c>
      <c r="J1" s="349" t="s">
        <v>302</v>
      </c>
      <c r="K1" s="348"/>
      <c r="L1" s="348"/>
      <c r="M1" s="348"/>
      <c r="N1" s="348"/>
      <c r="O1" s="348"/>
    </row>
    <row r="2" spans="1:15" ht="12.75">
      <c r="A2" s="303"/>
      <c r="B2" s="303"/>
      <c r="C2" s="303"/>
      <c r="D2" s="261"/>
      <c r="E2" s="261" t="s">
        <v>475</v>
      </c>
      <c r="F2" s="349" t="s">
        <v>343</v>
      </c>
      <c r="G2" s="284" t="s">
        <v>571</v>
      </c>
      <c r="H2" s="283" t="s">
        <v>573</v>
      </c>
      <c r="I2" s="283" t="s">
        <v>303</v>
      </c>
      <c r="J2" s="283" t="s">
        <v>303</v>
      </c>
      <c r="K2" s="349" t="s">
        <v>304</v>
      </c>
      <c r="L2" s="349" t="s">
        <v>306</v>
      </c>
      <c r="M2" s="349" t="s">
        <v>307</v>
      </c>
      <c r="N2" s="349"/>
      <c r="O2" s="349"/>
    </row>
    <row r="3" spans="1:15" ht="12.75">
      <c r="A3" s="303"/>
      <c r="B3" s="303"/>
      <c r="C3" s="303"/>
      <c r="D3" s="106" t="s">
        <v>88</v>
      </c>
      <c r="E3" s="261" t="s">
        <v>476</v>
      </c>
      <c r="F3" s="349" t="s">
        <v>223</v>
      </c>
      <c r="G3" s="284" t="s">
        <v>572</v>
      </c>
      <c r="H3" s="349" t="s">
        <v>299</v>
      </c>
      <c r="I3" s="349" t="s">
        <v>299</v>
      </c>
      <c r="J3" s="284" t="s">
        <v>574</v>
      </c>
      <c r="K3" s="284" t="s">
        <v>575</v>
      </c>
      <c r="L3" s="284" t="s">
        <v>438</v>
      </c>
      <c r="M3" s="349" t="s">
        <v>17</v>
      </c>
      <c r="N3" s="349"/>
      <c r="O3" s="349" t="s">
        <v>88</v>
      </c>
    </row>
    <row r="4" spans="1:15" ht="12.75">
      <c r="A4" s="303" t="s">
        <v>474</v>
      </c>
      <c r="B4" s="303"/>
      <c r="C4" s="303"/>
      <c r="D4" s="350">
        <f>('Misc Rev.Anal.Summary'!F19)</f>
        <v>41190120.66271</v>
      </c>
      <c r="E4" s="351">
        <f>('[5]Summary'!$F$16)</f>
        <v>779.7</v>
      </c>
      <c r="F4" s="348">
        <f>('[5]Summary'!$F$7+'[5]Summary'!$F$8)</f>
        <v>28223614.80503</v>
      </c>
      <c r="G4" s="348">
        <f>('[5]Summary'!$F$9)</f>
        <v>37899.48078</v>
      </c>
      <c r="H4" s="348">
        <f>('[5]Summary'!$F$10)</f>
        <v>1500641.54559</v>
      </c>
      <c r="I4" s="348">
        <f>('[5]Summary'!$F$11)</f>
        <v>837357.3101</v>
      </c>
      <c r="J4" s="348">
        <f>('[5]Summary'!$F$12)</f>
        <v>1270329.9474499999</v>
      </c>
      <c r="K4" s="348">
        <f>('[5]Summary'!$F$13)</f>
        <v>1143450.434</v>
      </c>
      <c r="L4" s="348">
        <f>('[5]Summary'!$F$14)</f>
        <v>6811729.40976</v>
      </c>
      <c r="M4" s="348">
        <f>('[5]Summary'!$F$15)</f>
        <v>1364318.03</v>
      </c>
      <c r="N4" s="348"/>
      <c r="O4" s="348">
        <f>SUM(E4:M4)</f>
        <v>41190120.66271</v>
      </c>
    </row>
    <row r="5" spans="1:15" ht="12.75">
      <c r="A5" s="303" t="s">
        <v>267</v>
      </c>
      <c r="B5" s="303"/>
      <c r="C5" s="303"/>
      <c r="D5" s="303"/>
      <c r="E5" s="303"/>
      <c r="F5" s="348"/>
      <c r="G5" s="348"/>
      <c r="H5" s="348"/>
      <c r="I5" s="348"/>
      <c r="J5" s="348"/>
      <c r="K5" s="348"/>
      <c r="L5" s="348"/>
      <c r="M5" s="348"/>
      <c r="N5" s="348"/>
      <c r="O5" s="348"/>
    </row>
    <row r="6" spans="1:17" ht="12.75">
      <c r="A6" s="303"/>
      <c r="B6" s="303" t="s">
        <v>41</v>
      </c>
      <c r="C6" s="303"/>
      <c r="D6" s="348">
        <f>('Allocation Cost'!M5)</f>
        <v>6986348.459999999</v>
      </c>
      <c r="E6" s="303"/>
      <c r="F6" s="348">
        <f>('Allocation Cost'!E5)</f>
        <v>5059146.93777554</v>
      </c>
      <c r="G6" s="348">
        <f>('Allocation Cost'!F5)</f>
        <v>0</v>
      </c>
      <c r="H6" s="348">
        <f>('Allocation Cost'!G5)</f>
        <v>139656.90740389106</v>
      </c>
      <c r="I6" s="348">
        <f>('Allocation Cost'!H5)</f>
        <v>218266.71523027655</v>
      </c>
      <c r="J6" s="348">
        <f>('Allocation Cost'!I5)</f>
        <v>241748.6409918969</v>
      </c>
      <c r="K6" s="348">
        <f>('Allocation Cost'!J5)</f>
        <v>132975.6349419055</v>
      </c>
      <c r="L6" s="348">
        <f>('Allocation Cost'!K5)</f>
        <v>1107059.0821582843</v>
      </c>
      <c r="M6" s="348">
        <f>('Allocation Cost'!L5)</f>
        <v>87494.54149820357</v>
      </c>
      <c r="N6" s="348"/>
      <c r="O6" s="348">
        <f>SUM(E6:M6)</f>
        <v>6986348.459999999</v>
      </c>
      <c r="Q6" s="9">
        <f>(O6-D6)</f>
        <v>0</v>
      </c>
    </row>
    <row r="7" spans="1:17" ht="12.75">
      <c r="A7" s="303"/>
      <c r="B7" s="303" t="s">
        <v>265</v>
      </c>
      <c r="C7" s="303"/>
      <c r="D7" s="348">
        <f>('Allocation Cost'!M6)</f>
        <v>705176</v>
      </c>
      <c r="E7" s="303"/>
      <c r="F7" s="348">
        <f>('Allocation Cost'!E6)</f>
        <v>470409.3039165638</v>
      </c>
      <c r="G7" s="348">
        <f>('Allocation Cost'!F6)</f>
        <v>0</v>
      </c>
      <c r="H7" s="348">
        <f>('Allocation Cost'!G6)</f>
        <v>18494.22318303224</v>
      </c>
      <c r="I7" s="348">
        <f>('Allocation Cost'!H6)</f>
        <v>18921.734186764108</v>
      </c>
      <c r="J7" s="348">
        <f>('Allocation Cost'!I6)</f>
        <v>29035.770080734223</v>
      </c>
      <c r="K7" s="348">
        <f>('Allocation Cost'!J6)</f>
        <v>19794.24528074414</v>
      </c>
      <c r="L7" s="348">
        <f>('Allocation Cost'!K6)</f>
        <v>134106.3154070158</v>
      </c>
      <c r="M7" s="348">
        <f>('Allocation Cost'!L6)</f>
        <v>14414.40794514565</v>
      </c>
      <c r="N7" s="283" t="s">
        <v>24</v>
      </c>
      <c r="O7" s="348">
        <f>SUM(F7:M7)</f>
        <v>705176</v>
      </c>
      <c r="Q7" s="9">
        <f aca="true" t="shared" si="0" ref="Q7:Q34">(O7-D7)</f>
        <v>0</v>
      </c>
    </row>
    <row r="8" spans="1:17" ht="12.75">
      <c r="A8" s="303"/>
      <c r="B8" s="303"/>
      <c r="C8" s="303" t="s">
        <v>266</v>
      </c>
      <c r="D8" s="348">
        <f>('Allocation Cost'!M7)</f>
        <v>7691524.459999999</v>
      </c>
      <c r="E8" s="352">
        <f>(E6+E7)</f>
        <v>0</v>
      </c>
      <c r="F8" s="348">
        <f aca="true" t="shared" si="1" ref="F8:M8">SUM(F6:F7)</f>
        <v>5529556.241692104</v>
      </c>
      <c r="G8" s="348">
        <f>SUM(G6:G7)</f>
        <v>0</v>
      </c>
      <c r="H8" s="348">
        <f t="shared" si="1"/>
        <v>158151.1305869233</v>
      </c>
      <c r="I8" s="348">
        <f t="shared" si="1"/>
        <v>237188.44941704065</v>
      </c>
      <c r="J8" s="348">
        <f t="shared" si="1"/>
        <v>270784.41107263113</v>
      </c>
      <c r="K8" s="348">
        <f t="shared" si="1"/>
        <v>152769.88022264963</v>
      </c>
      <c r="L8" s="348">
        <f t="shared" si="1"/>
        <v>1241165.3975653</v>
      </c>
      <c r="M8" s="348">
        <f t="shared" si="1"/>
        <v>101908.94944334922</v>
      </c>
      <c r="N8" s="348"/>
      <c r="O8" s="348">
        <f>SUM(F8:M8)</f>
        <v>7691524.459999999</v>
      </c>
      <c r="P8" s="3"/>
      <c r="Q8" s="9">
        <f t="shared" si="0"/>
        <v>0</v>
      </c>
    </row>
    <row r="9" spans="1:17" ht="12.75">
      <c r="A9" s="303" t="s">
        <v>270</v>
      </c>
      <c r="B9" s="303"/>
      <c r="C9" s="303"/>
      <c r="D9" s="348">
        <f>('Allocation Cost'!M9)</f>
        <v>23587568.669282</v>
      </c>
      <c r="E9" s="353">
        <f>('Misc Purchased Power'!G70)</f>
        <v>655.5</v>
      </c>
      <c r="F9" s="348">
        <f>('Allocation Cost'!E9)</f>
        <v>15493534.212842934</v>
      </c>
      <c r="G9" s="348">
        <f>('Allocation Cost'!F9)</f>
        <v>37987.71144326891</v>
      </c>
      <c r="H9" s="348">
        <f>('Allocation Cost'!G9)</f>
        <v>746170.845293996</v>
      </c>
      <c r="I9" s="348">
        <f>('Allocation Cost'!H9)</f>
        <v>380744.05892720737</v>
      </c>
      <c r="J9" s="348">
        <f>('Allocation Cost'!I9)</f>
        <v>817165.1225586499</v>
      </c>
      <c r="K9" s="348">
        <f>('Allocation Cost'!J9)</f>
        <v>847178.9428373566</v>
      </c>
      <c r="L9" s="348">
        <f>('Allocation Cost'!K9)</f>
        <v>4681273.260102</v>
      </c>
      <c r="M9" s="348">
        <f>('Allocation Cost'!L9)</f>
        <v>582858.5152765842</v>
      </c>
      <c r="N9" s="348"/>
      <c r="O9" s="348">
        <f>SUM(E9:M9)</f>
        <v>23587568.169282</v>
      </c>
      <c r="Q9" s="9">
        <f t="shared" si="0"/>
        <v>-0.5</v>
      </c>
    </row>
    <row r="10" spans="1:17" ht="12.75">
      <c r="A10" s="303" t="s">
        <v>271</v>
      </c>
      <c r="B10" s="303"/>
      <c r="C10" s="303"/>
      <c r="D10" s="348">
        <f>(D8+D9)</f>
        <v>31279093.129281998</v>
      </c>
      <c r="E10" s="348">
        <f>(E8+E9)</f>
        <v>655.5</v>
      </c>
      <c r="F10" s="348">
        <f>(F8+F9)</f>
        <v>21023090.454535037</v>
      </c>
      <c r="G10" s="348">
        <f aca="true" t="shared" si="2" ref="G10:M10">(G8+G9)</f>
        <v>37987.71144326891</v>
      </c>
      <c r="H10" s="348">
        <f t="shared" si="2"/>
        <v>904321.9758809194</v>
      </c>
      <c r="I10" s="348">
        <f t="shared" si="2"/>
        <v>617932.508344248</v>
      </c>
      <c r="J10" s="348">
        <f t="shared" si="2"/>
        <v>1087949.533631281</v>
      </c>
      <c r="K10" s="348">
        <f t="shared" si="2"/>
        <v>999948.8230600063</v>
      </c>
      <c r="L10" s="348">
        <f t="shared" si="2"/>
        <v>5922438.6576673</v>
      </c>
      <c r="M10" s="348">
        <f t="shared" si="2"/>
        <v>684767.4647199335</v>
      </c>
      <c r="N10" s="348"/>
      <c r="O10" s="348">
        <f>SUM(E10:M10)</f>
        <v>31279092.629281994</v>
      </c>
      <c r="Q10" s="9">
        <f t="shared" si="0"/>
        <v>-0.5000000037252903</v>
      </c>
    </row>
    <row r="11" spans="1:17" ht="12.75">
      <c r="A11" s="303"/>
      <c r="B11" s="303"/>
      <c r="C11" s="303"/>
      <c r="D11" s="303"/>
      <c r="E11" s="303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Q11" s="9">
        <f t="shared" si="0"/>
        <v>0</v>
      </c>
    </row>
    <row r="12" spans="1:17" ht="12.75">
      <c r="A12" s="303" t="s">
        <v>275</v>
      </c>
      <c r="B12" s="303"/>
      <c r="C12" s="303"/>
      <c r="D12" s="348">
        <f aca="true" t="shared" si="3" ref="D12:M12">(D4-D10)</f>
        <v>9911027.533428006</v>
      </c>
      <c r="E12" s="348">
        <f t="shared" si="3"/>
        <v>124.20000000000005</v>
      </c>
      <c r="F12" s="348">
        <f t="shared" si="3"/>
        <v>7200524.350494962</v>
      </c>
      <c r="G12" s="348">
        <f t="shared" si="3"/>
        <v>-88.23066326891421</v>
      </c>
      <c r="H12" s="348">
        <f t="shared" si="3"/>
        <v>596319.5697090806</v>
      </c>
      <c r="I12" s="348">
        <f t="shared" si="3"/>
        <v>219424.80175575195</v>
      </c>
      <c r="J12" s="348">
        <f t="shared" si="3"/>
        <v>182380.41381871887</v>
      </c>
      <c r="K12" s="348">
        <f t="shared" si="3"/>
        <v>143501.61093999364</v>
      </c>
      <c r="L12" s="348">
        <f t="shared" si="3"/>
        <v>889290.7520927005</v>
      </c>
      <c r="M12" s="348">
        <f t="shared" si="3"/>
        <v>679550.5652800666</v>
      </c>
      <c r="N12" s="348"/>
      <c r="O12" s="348">
        <f>SUM(E12:M12)</f>
        <v>9911028.033428004</v>
      </c>
      <c r="Q12" s="9">
        <f t="shared" si="0"/>
        <v>0.49999999813735485</v>
      </c>
    </row>
    <row r="13" spans="1:17" ht="12.75">
      <c r="A13" s="303" t="s">
        <v>268</v>
      </c>
      <c r="B13" s="303"/>
      <c r="C13" s="303"/>
      <c r="D13" s="303"/>
      <c r="E13" s="303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Q13" s="9">
        <f t="shared" si="0"/>
        <v>0</v>
      </c>
    </row>
    <row r="14" spans="1:17" ht="12.75">
      <c r="A14" s="303"/>
      <c r="B14" s="265" t="s">
        <v>368</v>
      </c>
      <c r="C14" s="303"/>
      <c r="D14" s="348">
        <f>('Allocation Cost'!M13)</f>
        <v>43459.54869765465</v>
      </c>
      <c r="E14" s="303"/>
      <c r="F14" s="348">
        <f>('Allocation Cost'!E13)</f>
        <v>28991.026426582488</v>
      </c>
      <c r="G14" s="348">
        <f>('Allocation Cost'!F13)</f>
        <v>0</v>
      </c>
      <c r="H14" s="348">
        <f>('Allocation Cost'!G13)</f>
        <v>1139.7872205637789</v>
      </c>
      <c r="I14" s="348">
        <f>('Allocation Cost'!H13)</f>
        <v>1166.134452014464</v>
      </c>
      <c r="J14" s="348">
        <f>('Allocation Cost'!I13)</f>
        <v>1789.456056073339</v>
      </c>
      <c r="K14" s="348">
        <f>('Allocation Cost'!J13)</f>
        <v>1219.9067562024527</v>
      </c>
      <c r="L14" s="348">
        <f>('Allocation Cost'!K13)</f>
        <v>8264.886985793955</v>
      </c>
      <c r="M14" s="348">
        <f>('Allocation Cost'!L13)</f>
        <v>888.3508004241742</v>
      </c>
      <c r="N14" s="348"/>
      <c r="O14" s="348">
        <f>SUM(E14:M14)</f>
        <v>43459.54869765465</v>
      </c>
      <c r="Q14" s="9">
        <f t="shared" si="0"/>
        <v>0</v>
      </c>
    </row>
    <row r="15" spans="1:17" ht="12.75">
      <c r="A15" s="303"/>
      <c r="B15" s="303" t="s">
        <v>25</v>
      </c>
      <c r="C15" s="303"/>
      <c r="D15" s="348">
        <f>('Allocation Cost'!M14)</f>
        <v>3673764.6202913686</v>
      </c>
      <c r="E15" s="303"/>
      <c r="F15" s="348">
        <f>('Allocation Cost'!E14)</f>
        <v>2450697.496489617</v>
      </c>
      <c r="G15" s="348">
        <f>('Allocation Cost'!F14)</f>
        <v>0</v>
      </c>
      <c r="H15" s="348">
        <f>('Allocation Cost'!G14)</f>
        <v>96349.59614280163</v>
      </c>
      <c r="I15" s="348">
        <f>('Allocation Cost'!H14)</f>
        <v>98576.80580435474</v>
      </c>
      <c r="J15" s="348">
        <f>('Allocation Cost'!I14)</f>
        <v>151268.0307405755</v>
      </c>
      <c r="K15" s="348">
        <f>('Allocation Cost'!J14)</f>
        <v>103122.33824997905</v>
      </c>
      <c r="L15" s="348">
        <f>('Allocation Cost'!K14)</f>
        <v>698655.4234686518</v>
      </c>
      <c r="M15" s="348">
        <f>('Allocation Cost'!L14)</f>
        <v>75094.92939538909</v>
      </c>
      <c r="N15" s="348"/>
      <c r="O15" s="348">
        <f>SUM(E15:M15)</f>
        <v>3673764.6202913686</v>
      </c>
      <c r="Q15" s="9">
        <f t="shared" si="0"/>
        <v>0</v>
      </c>
    </row>
    <row r="16" spans="1:17" ht="12.75">
      <c r="A16" s="303"/>
      <c r="B16" s="303" t="s">
        <v>124</v>
      </c>
      <c r="C16" s="303"/>
      <c r="D16" s="348">
        <f>('Allocation Cost'!M15)</f>
        <v>383881.4672515223</v>
      </c>
      <c r="E16" s="303"/>
      <c r="F16" s="348">
        <f>('Allocation Cost'!E15)</f>
        <v>256079.92018483017</v>
      </c>
      <c r="G16" s="348">
        <f>('Allocation Cost'!F15)</f>
        <v>0</v>
      </c>
      <c r="H16" s="348">
        <f>('Allocation Cost'!G15)</f>
        <v>10067.826374096021</v>
      </c>
      <c r="I16" s="348">
        <f>('Allocation Cost'!H15)</f>
        <v>10300.553454114002</v>
      </c>
      <c r="J16" s="348">
        <f>('Allocation Cost'!I15)</f>
        <v>15806.400134675747</v>
      </c>
      <c r="K16" s="348">
        <f>('Allocation Cost'!J15)</f>
        <v>10775.528267423426</v>
      </c>
      <c r="L16" s="348">
        <f>('Allocation Cost'!K15)</f>
        <v>73004.36930091304</v>
      </c>
      <c r="M16" s="348">
        <f>('Allocation Cost'!L15)</f>
        <v>7846.869535469886</v>
      </c>
      <c r="N16" s="348"/>
      <c r="O16" s="348">
        <f>SUM(E16:M16)</f>
        <v>383881.4672515223</v>
      </c>
      <c r="Q16" s="9">
        <f t="shared" si="0"/>
        <v>0</v>
      </c>
    </row>
    <row r="17" spans="1:17" ht="12.75">
      <c r="A17" s="303"/>
      <c r="B17" s="303"/>
      <c r="C17" s="303" t="s">
        <v>272</v>
      </c>
      <c r="D17" s="348">
        <f>SUM(D14:D16)</f>
        <v>4101105.6362405457</v>
      </c>
      <c r="E17" s="303"/>
      <c r="F17" s="348">
        <f>SUM(F14:F16)</f>
        <v>2735768.44310103</v>
      </c>
      <c r="G17" s="348">
        <f aca="true" t="shared" si="4" ref="G17:M17">SUM(G14:G16)</f>
        <v>0</v>
      </c>
      <c r="H17" s="348">
        <f t="shared" si="4"/>
        <v>107557.20973746144</v>
      </c>
      <c r="I17" s="348">
        <f t="shared" si="4"/>
        <v>110043.4937104832</v>
      </c>
      <c r="J17" s="348">
        <f t="shared" si="4"/>
        <v>168863.88693132458</v>
      </c>
      <c r="K17" s="348">
        <f t="shared" si="4"/>
        <v>115117.77327360492</v>
      </c>
      <c r="L17" s="348">
        <f t="shared" si="4"/>
        <v>779924.6797553588</v>
      </c>
      <c r="M17" s="348">
        <f t="shared" si="4"/>
        <v>83830.14973128315</v>
      </c>
      <c r="N17" s="348"/>
      <c r="O17" s="348">
        <f aca="true" t="shared" si="5" ref="O17:O24">SUM(F17:M17)</f>
        <v>4101105.636240546</v>
      </c>
      <c r="Q17" s="9">
        <f t="shared" si="0"/>
        <v>4.656612873077393E-10</v>
      </c>
    </row>
    <row r="18" spans="1:17" ht="12.75">
      <c r="A18" s="303" t="s">
        <v>269</v>
      </c>
      <c r="B18" s="303"/>
      <c r="C18" s="303"/>
      <c r="D18" s="303"/>
      <c r="E18" s="303"/>
      <c r="F18" s="348"/>
      <c r="G18" s="348"/>
      <c r="H18" s="348"/>
      <c r="I18" s="348"/>
      <c r="J18" s="348"/>
      <c r="K18" s="348"/>
      <c r="L18" s="348"/>
      <c r="M18" s="348"/>
      <c r="N18" s="348"/>
      <c r="O18" s="348">
        <f t="shared" si="5"/>
        <v>0</v>
      </c>
      <c r="Q18" s="9">
        <f t="shared" si="0"/>
        <v>0</v>
      </c>
    </row>
    <row r="19" spans="1:17" ht="12.75">
      <c r="A19" s="303"/>
      <c r="B19" s="303" t="s">
        <v>25</v>
      </c>
      <c r="C19" s="303"/>
      <c r="D19" s="348">
        <f>('Allocation Cost'!C19)</f>
        <v>3104014.718066823</v>
      </c>
      <c r="E19" s="303"/>
      <c r="F19" s="348">
        <f>('Allocation Cost'!E19)</f>
        <v>2888489.094191254</v>
      </c>
      <c r="G19" s="348">
        <f>('Allocation Cost'!F19)</f>
        <v>0</v>
      </c>
      <c r="H19" s="348">
        <f>('Allocation Cost'!G19)</f>
        <v>174098.5574858614</v>
      </c>
      <c r="I19" s="348">
        <f>('Allocation Cost'!H19)</f>
        <v>18353.76359037696</v>
      </c>
      <c r="J19" s="348">
        <f>('Allocation Cost'!I19)</f>
        <v>6292.7189452721</v>
      </c>
      <c r="K19" s="348">
        <f>('Allocation Cost'!J19)</f>
        <v>131.0983113598354</v>
      </c>
      <c r="L19" s="348">
        <f>('Allocation Cost'!K19)</f>
        <v>10356.766597426998</v>
      </c>
      <c r="M19" s="348">
        <f>('Allocation Cost'!L19)</f>
        <v>6292.7189452721</v>
      </c>
      <c r="N19" s="283" t="s">
        <v>24</v>
      </c>
      <c r="O19" s="348">
        <f t="shared" si="5"/>
        <v>3104014.7180668237</v>
      </c>
      <c r="P19" s="9" t="s">
        <v>24</v>
      </c>
      <c r="Q19" s="9">
        <f t="shared" si="0"/>
        <v>4.656612873077393E-10</v>
      </c>
    </row>
    <row r="20" spans="1:17" ht="12.75">
      <c r="A20" s="303"/>
      <c r="B20" s="303" t="s">
        <v>124</v>
      </c>
      <c r="C20" s="303"/>
      <c r="D20" s="348">
        <f>('Allocation Cost'!C20)</f>
        <v>122125.05895638901</v>
      </c>
      <c r="E20" s="303"/>
      <c r="F20" s="348">
        <f>('Allocation Cost'!E20)</f>
        <v>105965.09600653412</v>
      </c>
      <c r="G20" s="348">
        <f>('Allocation Cost'!F20)</f>
        <v>0</v>
      </c>
      <c r="H20" s="348">
        <f>('Allocation Cost'!G20)</f>
        <v>8218.45490525884</v>
      </c>
      <c r="I20" s="348">
        <f>('Allocation Cost'!H20)</f>
        <v>1551.0256007387013</v>
      </c>
      <c r="J20" s="348">
        <f>('Allocation Cost'!I20)</f>
        <v>1685.7287729183467</v>
      </c>
      <c r="K20" s="348">
        <f>('Allocation Cost'!J20)</f>
        <v>406.02900652931714</v>
      </c>
      <c r="L20" s="348">
        <f>('Allocation Cost'!K20)</f>
        <v>4161.642908142168</v>
      </c>
      <c r="M20" s="348">
        <f>('Allocation Cost'!L20)</f>
        <v>137.0817562675432</v>
      </c>
      <c r="N20" s="283" t="s">
        <v>126</v>
      </c>
      <c r="O20" s="348">
        <f t="shared" si="5"/>
        <v>122125.05895638904</v>
      </c>
      <c r="P20" s="9" t="s">
        <v>24</v>
      </c>
      <c r="Q20" s="9">
        <f t="shared" si="0"/>
        <v>2.9103830456733704E-11</v>
      </c>
    </row>
    <row r="21" spans="1:17" ht="12.75">
      <c r="A21" s="303"/>
      <c r="B21" s="303" t="s">
        <v>13</v>
      </c>
      <c r="C21" s="303"/>
      <c r="D21" s="348">
        <f>('Allocation Cost'!C21)</f>
        <v>916759.1713538511</v>
      </c>
      <c r="E21" s="303"/>
      <c r="F21" s="348">
        <f>('Allocation Cost'!E21)</f>
        <v>805365.5805427178</v>
      </c>
      <c r="G21" s="348">
        <f>('Allocation Cost'!F21)</f>
        <v>0</v>
      </c>
      <c r="H21" s="348">
        <f>('Allocation Cost'!G21)</f>
        <v>72341.11513117034</v>
      </c>
      <c r="I21" s="348">
        <f>('Allocation Cost'!H21)</f>
        <v>7626.32237828603</v>
      </c>
      <c r="J21" s="348">
        <f>('Allocation Cost'!I21)</f>
        <v>6226.241906604413</v>
      </c>
      <c r="K21" s="348">
        <f>('Allocation Cost'!J21)</f>
        <v>123.82309666851613</v>
      </c>
      <c r="L21" s="348">
        <f>('Allocation Cost'!K21)</f>
        <v>9782.024636812774</v>
      </c>
      <c r="M21" s="348">
        <f>('Allocation Cost'!L21)</f>
        <v>15294.063661591144</v>
      </c>
      <c r="N21" s="283" t="s">
        <v>24</v>
      </c>
      <c r="O21" s="348">
        <f t="shared" si="5"/>
        <v>916759.171353851</v>
      </c>
      <c r="Q21" s="9">
        <f t="shared" si="0"/>
        <v>-1.1641532182693481E-10</v>
      </c>
    </row>
    <row r="22" spans="1:17" ht="12.75">
      <c r="A22" s="303"/>
      <c r="B22" s="303" t="s">
        <v>14</v>
      </c>
      <c r="C22" s="303"/>
      <c r="D22" s="348">
        <f>('Allocation Cost'!C22)</f>
        <v>1151862.2493166479</v>
      </c>
      <c r="E22" s="303"/>
      <c r="F22" s="348">
        <f>('Allocation Cost'!E22)</f>
        <v>1000580.3025579691</v>
      </c>
      <c r="G22" s="348">
        <f>('Allocation Cost'!F22)</f>
        <v>4041.7395237897354</v>
      </c>
      <c r="H22" s="348">
        <f>('Allocation Cost'!G22)</f>
        <v>60308.203231379426</v>
      </c>
      <c r="I22" s="348">
        <f>('Allocation Cost'!H22)</f>
        <v>53933.2114547427</v>
      </c>
      <c r="J22" s="348">
        <f>('Allocation Cost'!I22)</f>
        <v>2179.814574628172</v>
      </c>
      <c r="K22" s="348">
        <f>('Allocation Cost'!J22)</f>
        <v>385.23722467673355</v>
      </c>
      <c r="L22" s="348">
        <f>('Allocation Cost'!K22)</f>
        <v>30433.74074946195</v>
      </c>
      <c r="M22" s="348">
        <f>('Allocation Cost'!L22)</f>
        <v>0</v>
      </c>
      <c r="N22" s="283" t="s">
        <v>24</v>
      </c>
      <c r="O22" s="348">
        <f t="shared" si="5"/>
        <v>1151862.2493166476</v>
      </c>
      <c r="Q22" s="9">
        <f t="shared" si="0"/>
        <v>-2.3283064365386963E-10</v>
      </c>
    </row>
    <row r="23" spans="1:17" ht="12.75">
      <c r="A23" s="303"/>
      <c r="B23" s="303" t="s">
        <v>264</v>
      </c>
      <c r="C23" s="303"/>
      <c r="D23" s="348">
        <f>('Allocation Cost'!C24)</f>
        <v>2756487.524264021</v>
      </c>
      <c r="E23" s="348">
        <f>('Allocation Cost'!D24)</f>
        <v>0</v>
      </c>
      <c r="F23" s="348">
        <f>('Allocation Cost'!E24)</f>
        <v>2149034.666442496</v>
      </c>
      <c r="G23" s="348">
        <f>('Allocation Cost'!F24)</f>
        <v>5063.8005007400825</v>
      </c>
      <c r="H23" s="348">
        <f>('Allocation Cost'!G24)</f>
        <v>215882.08876349372</v>
      </c>
      <c r="I23" s="348">
        <f>('Allocation Cost'!H24)</f>
        <v>45517.307871820965</v>
      </c>
      <c r="J23" s="348">
        <f>('Allocation Cost'!I24)</f>
        <v>13265.044008359253</v>
      </c>
      <c r="K23" s="348">
        <f>('Allocation Cost'!J24)</f>
        <v>1040.3956084987651</v>
      </c>
      <c r="L23" s="348">
        <f>('Allocation Cost'!K24)</f>
        <v>56506.48648658917</v>
      </c>
      <c r="M23" s="348">
        <f>('Allocation Cost'!L24)</f>
        <v>270177.73458202305</v>
      </c>
      <c r="N23" s="283" t="s">
        <v>24</v>
      </c>
      <c r="O23" s="348">
        <f t="shared" si="5"/>
        <v>2756487.524264021</v>
      </c>
      <c r="Q23" s="9">
        <f t="shared" si="0"/>
        <v>0</v>
      </c>
    </row>
    <row r="24" spans="1:17" ht="12.75">
      <c r="A24" s="303"/>
      <c r="B24" s="303" t="s">
        <v>17</v>
      </c>
      <c r="C24" s="303"/>
      <c r="D24" s="348">
        <f>('Allocation Cost'!C27)</f>
        <v>398156.9263375221</v>
      </c>
      <c r="E24" s="303"/>
      <c r="F24" s="348">
        <v>0</v>
      </c>
      <c r="G24" s="348"/>
      <c r="H24" s="348"/>
      <c r="I24" s="348"/>
      <c r="J24" s="348" t="s">
        <v>24</v>
      </c>
      <c r="K24" s="348">
        <f>('Misc  RevReq-Rate Class'!X77)</f>
        <v>0</v>
      </c>
      <c r="L24" s="348"/>
      <c r="M24" s="348">
        <f>('Allocation Cost'!L27)</f>
        <v>398156.9263375221</v>
      </c>
      <c r="N24" s="348"/>
      <c r="O24" s="348">
        <f t="shared" si="5"/>
        <v>398156.9263375221</v>
      </c>
      <c r="Q24" s="9">
        <f t="shared" si="0"/>
        <v>0</v>
      </c>
    </row>
    <row r="25" spans="1:17" ht="12.75">
      <c r="A25" s="303"/>
      <c r="B25" s="303"/>
      <c r="C25" s="303" t="s">
        <v>273</v>
      </c>
      <c r="D25" s="348">
        <f>SUM(D19:D24)</f>
        <v>8449405.648295254</v>
      </c>
      <c r="E25" s="348">
        <f>SUM(E19:E24)</f>
        <v>0</v>
      </c>
      <c r="F25" s="348">
        <f>SUM(F19:F24)</f>
        <v>6949434.7397409715</v>
      </c>
      <c r="G25" s="348">
        <f aca="true" t="shared" si="6" ref="G25:O25">SUM(G19:G24)</f>
        <v>9105.540024529819</v>
      </c>
      <c r="H25" s="348">
        <f t="shared" si="6"/>
        <v>530848.4195171638</v>
      </c>
      <c r="I25" s="348">
        <f t="shared" si="6"/>
        <v>126981.63089596535</v>
      </c>
      <c r="J25" s="348">
        <f t="shared" si="6"/>
        <v>29649.54820778229</v>
      </c>
      <c r="K25" s="348">
        <f t="shared" si="6"/>
        <v>2086.5832477331674</v>
      </c>
      <c r="L25" s="348">
        <f t="shared" si="6"/>
        <v>111240.66137843307</v>
      </c>
      <c r="M25" s="348">
        <f t="shared" si="6"/>
        <v>690058.5252826759</v>
      </c>
      <c r="N25" s="283" t="s">
        <v>24</v>
      </c>
      <c r="O25" s="348">
        <f t="shared" si="6"/>
        <v>8449405.648295254</v>
      </c>
      <c r="P25" s="9">
        <f>(O25-D25)</f>
        <v>0</v>
      </c>
      <c r="Q25" s="9">
        <f t="shared" si="0"/>
        <v>0</v>
      </c>
    </row>
    <row r="26" spans="1:17" ht="12.75">
      <c r="A26" s="303"/>
      <c r="B26" s="303"/>
      <c r="C26" s="303"/>
      <c r="D26" s="283" t="s">
        <v>24</v>
      </c>
      <c r="E26" s="303"/>
      <c r="F26" s="348"/>
      <c r="G26" s="348"/>
      <c r="H26" s="348"/>
      <c r="I26" s="348"/>
      <c r="J26" s="348"/>
      <c r="K26" s="348"/>
      <c r="L26" s="348"/>
      <c r="M26" s="348"/>
      <c r="N26" s="348"/>
      <c r="O26" s="348">
        <f>SUM(F26:M26)</f>
        <v>0</v>
      </c>
      <c r="Q26" s="195" t="s">
        <v>24</v>
      </c>
    </row>
    <row r="27" spans="1:17" ht="12.75">
      <c r="A27" s="303" t="s">
        <v>274</v>
      </c>
      <c r="B27" s="303"/>
      <c r="C27" s="303"/>
      <c r="D27" s="348">
        <f>(D17+D25)</f>
        <v>12550511.2845358</v>
      </c>
      <c r="E27" s="348">
        <f>(E17+E25)</f>
        <v>0</v>
      </c>
      <c r="F27" s="348">
        <f>(F17+F25)</f>
        <v>9685203.182842001</v>
      </c>
      <c r="G27" s="348">
        <f aca="true" t="shared" si="7" ref="G27:O27">(G17+G25)</f>
        <v>9105.540024529819</v>
      </c>
      <c r="H27" s="348">
        <f t="shared" si="7"/>
        <v>638405.6292546252</v>
      </c>
      <c r="I27" s="348">
        <f t="shared" si="7"/>
        <v>237025.12460644857</v>
      </c>
      <c r="J27" s="348">
        <f t="shared" si="7"/>
        <v>198513.43513910688</v>
      </c>
      <c r="K27" s="348">
        <f t="shared" si="7"/>
        <v>117204.3565213381</v>
      </c>
      <c r="L27" s="348">
        <f t="shared" si="7"/>
        <v>891165.341133792</v>
      </c>
      <c r="M27" s="348">
        <f t="shared" si="7"/>
        <v>773888.6750139591</v>
      </c>
      <c r="N27" s="283" t="s">
        <v>24</v>
      </c>
      <c r="O27" s="348">
        <f t="shared" si="7"/>
        <v>12550511.2845358</v>
      </c>
      <c r="Q27" s="9">
        <f t="shared" si="0"/>
        <v>0</v>
      </c>
    </row>
    <row r="28" spans="1:17" ht="12.75">
      <c r="A28" s="303"/>
      <c r="B28" s="303"/>
      <c r="C28" s="303"/>
      <c r="D28" s="303"/>
      <c r="E28" s="303"/>
      <c r="F28" s="348"/>
      <c r="G28" s="348"/>
      <c r="H28" s="348"/>
      <c r="I28" s="348"/>
      <c r="J28" s="348"/>
      <c r="K28" s="348"/>
      <c r="L28" s="348"/>
      <c r="M28" s="348"/>
      <c r="N28" s="348"/>
      <c r="O28" s="348">
        <f>SUM(F28:M28)</f>
        <v>0</v>
      </c>
      <c r="Q28" s="9">
        <f t="shared" si="0"/>
        <v>0</v>
      </c>
    </row>
    <row r="29" spans="1:17" ht="12.75">
      <c r="A29" s="303" t="s">
        <v>569</v>
      </c>
      <c r="B29" s="303"/>
      <c r="C29" s="303"/>
      <c r="D29" s="348">
        <f>(D12-D27)</f>
        <v>-2639483.7511077933</v>
      </c>
      <c r="E29" s="348">
        <f>(E12-E27)</f>
        <v>124.20000000000005</v>
      </c>
      <c r="F29" s="348">
        <f aca="true" t="shared" si="8" ref="F29:M29">(F12-F27)</f>
        <v>-2484678.832347039</v>
      </c>
      <c r="G29" s="348">
        <f t="shared" si="8"/>
        <v>-9193.770687798733</v>
      </c>
      <c r="H29" s="348">
        <f t="shared" si="8"/>
        <v>-42086.05954554456</v>
      </c>
      <c r="I29" s="348">
        <f t="shared" si="8"/>
        <v>-17600.322850696626</v>
      </c>
      <c r="J29" s="348">
        <f t="shared" si="8"/>
        <v>-16133.021320388012</v>
      </c>
      <c r="K29" s="348">
        <f t="shared" si="8"/>
        <v>26297.254418655546</v>
      </c>
      <c r="L29" s="348">
        <f t="shared" si="8"/>
        <v>-1874.5890410915017</v>
      </c>
      <c r="M29" s="348">
        <f t="shared" si="8"/>
        <v>-94338.10973389249</v>
      </c>
      <c r="N29" s="348"/>
      <c r="O29" s="348">
        <f>SUM(E29:M29)</f>
        <v>-2639483.251107795</v>
      </c>
      <c r="Q29" s="9">
        <f t="shared" si="0"/>
        <v>0.49999999813735485</v>
      </c>
    </row>
    <row r="30" spans="1:17" ht="12.75">
      <c r="A30" s="303"/>
      <c r="B30" s="303"/>
      <c r="C30" s="303"/>
      <c r="D30" s="303"/>
      <c r="E30" s="303"/>
      <c r="F30" s="348"/>
      <c r="G30" s="348"/>
      <c r="H30" s="348"/>
      <c r="I30" s="348"/>
      <c r="J30" s="348"/>
      <c r="K30" s="348"/>
      <c r="L30" s="348"/>
      <c r="M30" s="348"/>
      <c r="N30" s="348"/>
      <c r="O30" s="348">
        <f>SUM(F30:M30)</f>
        <v>0</v>
      </c>
      <c r="Q30" s="9">
        <f t="shared" si="0"/>
        <v>0</v>
      </c>
    </row>
    <row r="31" spans="1:17" ht="12.75">
      <c r="A31" s="303" t="s">
        <v>582</v>
      </c>
      <c r="B31" s="303"/>
      <c r="C31" s="303"/>
      <c r="D31" s="348">
        <f>('TY-Act&amp;Adj'!J93)</f>
        <v>1642794.4852818178</v>
      </c>
      <c r="E31" s="303"/>
      <c r="F31" s="348">
        <f>($D$31*'Consume Allocations'!$K$9)</f>
        <v>1533910.7045054156</v>
      </c>
      <c r="G31" s="348">
        <f>($D$31*'Consume Allocations'!$K$11)</f>
        <v>0</v>
      </c>
      <c r="H31" s="348">
        <f>($D$31*'Consume Allocations'!$K$12)</f>
        <v>92453.74736001415</v>
      </c>
      <c r="I31" s="348">
        <f>($D$31*'Consume Allocations'!$K$13)</f>
        <v>9746.629992772576</v>
      </c>
      <c r="J31" s="348">
        <f>($D$31*'Consume Allocations'!$K$14)</f>
        <v>3341.7017118077406</v>
      </c>
      <c r="K31" s="348">
        <f>($D$31*'Consume Allocations'!$K$15)</f>
        <v>0</v>
      </c>
      <c r="L31" s="348">
        <f>($D$31*'Consume Allocations'!$K$16)</f>
        <v>0</v>
      </c>
      <c r="M31" s="348">
        <f>($D$31*'Consume Allocations'!$K$17)</f>
        <v>3341.7017118077406</v>
      </c>
      <c r="N31" s="348">
        <f>('TY-Act&amp;Adj'!$C$93*'Consume Allocations'!$G$9)</f>
        <v>1531961.4971584238</v>
      </c>
      <c r="O31" s="348">
        <f>SUM(F31:M31)</f>
        <v>1642794.4852818176</v>
      </c>
      <c r="Q31" s="9">
        <f t="shared" si="0"/>
        <v>-2.3283064365386963E-10</v>
      </c>
    </row>
    <row r="32" spans="1:17" ht="12.75">
      <c r="A32" s="303" t="s">
        <v>570</v>
      </c>
      <c r="B32" s="303"/>
      <c r="C32" s="303"/>
      <c r="D32" s="348">
        <f>('TY-Act&amp;Adj'!J100)</f>
        <v>220288.9500000002</v>
      </c>
      <c r="E32" s="348">
        <f>($D$32*'Consume Allocations'!$K$8)</f>
        <v>0</v>
      </c>
      <c r="F32" s="348">
        <f>($D$32*'Consume Allocations'!$K$9)</f>
        <v>205688.28390685274</v>
      </c>
      <c r="G32" s="348">
        <f>($D$32*'Consume Allocations'!$K11)</f>
        <v>0</v>
      </c>
      <c r="H32" s="348">
        <f>($D$32*'Consume Allocations'!$K12)</f>
        <v>12397.496529219827</v>
      </c>
      <c r="I32" s="348">
        <f>($D$32*'Consume Allocations'!$K13)</f>
        <v>1306.964995550283</v>
      </c>
      <c r="J32" s="348">
        <f>($D$32*'Consume Allocations'!$K14)</f>
        <v>448.1022841886684</v>
      </c>
      <c r="K32" s="348">
        <f>($D$32*'Consume Allocations'!$K15)</f>
        <v>0</v>
      </c>
      <c r="L32" s="348">
        <f>($D$32*'Consume Allocations'!$K16)</f>
        <v>0</v>
      </c>
      <c r="M32" s="348">
        <f>($D$32*'Consume Allocations'!$K17)</f>
        <v>448.1022841886684</v>
      </c>
      <c r="N32" s="348">
        <f>($D$32*'Consume Allocations'!$K12)</f>
        <v>12397.496529219827</v>
      </c>
      <c r="O32" s="348">
        <f>SUM(E32:M32)</f>
        <v>220288.9500000002</v>
      </c>
      <c r="Q32" s="9">
        <f t="shared" si="0"/>
        <v>0</v>
      </c>
    </row>
    <row r="33" spans="1:17" ht="12.75">
      <c r="A33" s="303"/>
      <c r="B33" s="303"/>
      <c r="C33" s="303"/>
      <c r="D33" s="303"/>
      <c r="E33" s="303"/>
      <c r="F33" s="348"/>
      <c r="G33" s="348"/>
      <c r="H33" s="348"/>
      <c r="I33" s="348"/>
      <c r="J33" s="348"/>
      <c r="K33" s="348"/>
      <c r="L33" s="348"/>
      <c r="M33" s="348"/>
      <c r="N33" s="348"/>
      <c r="O33" s="348">
        <f>SUM(F33:M33)</f>
        <v>0</v>
      </c>
      <c r="Q33" s="9">
        <f t="shared" si="0"/>
        <v>0</v>
      </c>
    </row>
    <row r="34" spans="1:17" ht="12.75">
      <c r="A34" s="303" t="s">
        <v>277</v>
      </c>
      <c r="B34" s="303"/>
      <c r="C34" s="303"/>
      <c r="D34" s="348">
        <f>(D29+D31+D32)</f>
        <v>-776400.3158259753</v>
      </c>
      <c r="E34" s="348">
        <f>(E29+E31+E32)</f>
        <v>124.20000000000005</v>
      </c>
      <c r="F34" s="348">
        <f>(F29+F31+F32)</f>
        <v>-745079.8439347708</v>
      </c>
      <c r="G34" s="348">
        <f aca="true" t="shared" si="9" ref="G34:M34">(G29+G31+G32)</f>
        <v>-9193.770687798733</v>
      </c>
      <c r="H34" s="348">
        <f t="shared" si="9"/>
        <v>62765.18434368942</v>
      </c>
      <c r="I34" s="348">
        <f t="shared" si="9"/>
        <v>-6546.7278623737675</v>
      </c>
      <c r="J34" s="348">
        <f t="shared" si="9"/>
        <v>-12343.217324391604</v>
      </c>
      <c r="K34" s="348">
        <f t="shared" si="9"/>
        <v>26297.254418655546</v>
      </c>
      <c r="L34" s="348">
        <f t="shared" si="9"/>
        <v>-1874.5890410915017</v>
      </c>
      <c r="M34" s="348">
        <f t="shared" si="9"/>
        <v>-90548.30573789608</v>
      </c>
      <c r="N34" s="348"/>
      <c r="O34" s="348">
        <f>SUM(E34:M34)</f>
        <v>-776399.8158259776</v>
      </c>
      <c r="Q34" s="9">
        <f t="shared" si="0"/>
        <v>0.49999999767169356</v>
      </c>
    </row>
    <row r="35" ht="12.75">
      <c r="O35" s="10"/>
    </row>
    <row r="36" spans="4:15" ht="12.75">
      <c r="D36" s="252">
        <f>(D34/D4)</f>
        <v>-0.018849187701672876</v>
      </c>
      <c r="E36" s="252">
        <f aca="true" t="shared" si="10" ref="E36:M36">(E34/E4)</f>
        <v>0.15929203539823014</v>
      </c>
      <c r="F36" s="252">
        <f t="shared" si="10"/>
        <v>-0.026399164284299368</v>
      </c>
      <c r="G36" s="252">
        <f t="shared" si="10"/>
        <v>-0.2425830248484669</v>
      </c>
      <c r="H36" s="252">
        <f t="shared" si="10"/>
        <v>0.04182556755684939</v>
      </c>
      <c r="I36" s="252">
        <f t="shared" si="10"/>
        <v>-0.00781832054656803</v>
      </c>
      <c r="J36" s="252">
        <f t="shared" si="10"/>
        <v>-0.009716544390037244</v>
      </c>
      <c r="K36" s="252">
        <f t="shared" si="10"/>
        <v>0.022998158588005354</v>
      </c>
      <c r="L36" s="252">
        <f t="shared" si="10"/>
        <v>-0.0002752001625909491</v>
      </c>
      <c r="M36" s="252">
        <f t="shared" si="10"/>
        <v>-0.06636891380662621</v>
      </c>
      <c r="N36" s="8" t="s">
        <v>24</v>
      </c>
      <c r="O36" s="8" t="s">
        <v>24</v>
      </c>
    </row>
    <row r="37" spans="4:15" ht="12.75">
      <c r="D37" t="s">
        <v>24</v>
      </c>
      <c r="E37" s="9" t="s">
        <v>24</v>
      </c>
      <c r="F37" s="9" t="s">
        <v>24</v>
      </c>
      <c r="G37" s="9" t="s">
        <v>24</v>
      </c>
      <c r="H37" s="9" t="s">
        <v>24</v>
      </c>
      <c r="I37" s="9" t="s">
        <v>24</v>
      </c>
      <c r="J37" s="9" t="s">
        <v>24</v>
      </c>
      <c r="K37" s="9" t="s">
        <v>24</v>
      </c>
      <c r="L37" s="9" t="s">
        <v>24</v>
      </c>
      <c r="M37" s="9" t="s">
        <v>24</v>
      </c>
      <c r="N37" s="9" t="s">
        <v>24</v>
      </c>
      <c r="O37" s="9" t="s">
        <v>24</v>
      </c>
    </row>
    <row r="38" ht="12.75">
      <c r="A38" s="241" t="s">
        <v>594</v>
      </c>
    </row>
    <row r="40" ht="12.75">
      <c r="A40" s="145" t="s">
        <v>591</v>
      </c>
    </row>
    <row r="41" spans="1:12" ht="12.75">
      <c r="A41" s="145"/>
      <c r="B41" t="s">
        <v>614</v>
      </c>
      <c r="F41" s="8">
        <f>(F8)</f>
        <v>5529556.241692104</v>
      </c>
      <c r="G41" s="8">
        <f aca="true" t="shared" si="11" ref="G41:L41">(G8)</f>
        <v>0</v>
      </c>
      <c r="H41" s="8">
        <f t="shared" si="11"/>
        <v>158151.1305869233</v>
      </c>
      <c r="I41" s="8">
        <f t="shared" si="11"/>
        <v>237188.44941704065</v>
      </c>
      <c r="J41" s="8">
        <f t="shared" si="11"/>
        <v>270784.41107263113</v>
      </c>
      <c r="K41" s="8">
        <f t="shared" si="11"/>
        <v>152769.88022264963</v>
      </c>
      <c r="L41" s="8">
        <f t="shared" si="11"/>
        <v>1241165.3975653</v>
      </c>
    </row>
    <row r="42" spans="1:12" ht="12.75">
      <c r="A42" s="145"/>
      <c r="B42" t="s">
        <v>613</v>
      </c>
      <c r="F42" s="8">
        <f>(F17)</f>
        <v>2735768.44310103</v>
      </c>
      <c r="G42" s="8">
        <f aca="true" t="shared" si="12" ref="G42:L42">(G17)</f>
        <v>0</v>
      </c>
      <c r="H42" s="8">
        <f t="shared" si="12"/>
        <v>107557.20973746144</v>
      </c>
      <c r="I42" s="8">
        <f t="shared" si="12"/>
        <v>110043.4937104832</v>
      </c>
      <c r="J42" s="8">
        <f t="shared" si="12"/>
        <v>168863.88693132458</v>
      </c>
      <c r="K42" s="8">
        <f t="shared" si="12"/>
        <v>115117.77327360492</v>
      </c>
      <c r="L42" s="8">
        <f t="shared" si="12"/>
        <v>779924.6797553588</v>
      </c>
    </row>
    <row r="44" spans="1:12" ht="12.75">
      <c r="A44" s="145" t="s">
        <v>592</v>
      </c>
      <c r="F44" s="8">
        <f>(F9)</f>
        <v>15493534.212842934</v>
      </c>
      <c r="G44" s="8">
        <f aca="true" t="shared" si="13" ref="G44:L44">(G9)</f>
        <v>37987.71144326891</v>
      </c>
      <c r="H44" s="8">
        <f t="shared" si="13"/>
        <v>746170.845293996</v>
      </c>
      <c r="I44" s="8">
        <f t="shared" si="13"/>
        <v>380744.05892720737</v>
      </c>
      <c r="J44" s="8">
        <f t="shared" si="13"/>
        <v>817165.1225586499</v>
      </c>
      <c r="K44" s="8">
        <f t="shared" si="13"/>
        <v>847178.9428373566</v>
      </c>
      <c r="L44" s="8">
        <f t="shared" si="13"/>
        <v>4681273.260102</v>
      </c>
    </row>
    <row r="46" spans="1:13" ht="12.75">
      <c r="A46" s="145" t="s">
        <v>593</v>
      </c>
      <c r="D46" s="195">
        <f>(D25)</f>
        <v>8449405.648295254</v>
      </c>
      <c r="E46" s="195">
        <f aca="true" t="shared" si="14" ref="E46:L46">(E25)</f>
        <v>0</v>
      </c>
      <c r="F46" s="195">
        <f>(F25)</f>
        <v>6949434.7397409715</v>
      </c>
      <c r="G46" s="195">
        <f t="shared" si="14"/>
        <v>9105.540024529819</v>
      </c>
      <c r="H46" s="195">
        <f t="shared" si="14"/>
        <v>530848.4195171638</v>
      </c>
      <c r="I46" s="195">
        <f>(I25)</f>
        <v>126981.63089596535</v>
      </c>
      <c r="J46" s="195">
        <f t="shared" si="14"/>
        <v>29649.54820778229</v>
      </c>
      <c r="K46" s="195">
        <f t="shared" si="14"/>
        <v>2086.5832477331674</v>
      </c>
      <c r="L46" s="195">
        <f t="shared" si="14"/>
        <v>111240.66137843307</v>
      </c>
      <c r="M46" s="195" t="s">
        <v>24</v>
      </c>
    </row>
    <row r="48" spans="1:13" ht="12.75">
      <c r="A48" s="145" t="s">
        <v>595</v>
      </c>
      <c r="F48" s="8">
        <f>('[5]Revenue Analysis'!$C$6)+('[5]Revenue Analysis'!$C$39)</f>
        <v>264252</v>
      </c>
      <c r="G48" s="191" t="s">
        <v>24</v>
      </c>
      <c r="H48" s="8">
        <f>('[5]Revenue Analysis'!$C$101)</f>
        <v>15967</v>
      </c>
      <c r="I48" s="8">
        <f>('[5]Revenue Analysis'!$C$131)</f>
        <v>1654</v>
      </c>
      <c r="J48" s="8">
        <f>('[5]Revenue Analysis'!$C$163)</f>
        <v>577</v>
      </c>
      <c r="K48" s="8">
        <f>('[5]Revenue Analysis'!$C$194)</f>
        <v>15</v>
      </c>
      <c r="L48" s="8">
        <f>('[5]Revenue Analysis'!$C$224)</f>
        <v>984</v>
      </c>
      <c r="M48" s="8" t="s">
        <v>24</v>
      </c>
    </row>
    <row r="50" spans="6:12" ht="12.75">
      <c r="F50" s="242">
        <f>(F46/F48)</f>
        <v>26.29851331206943</v>
      </c>
      <c r="H50" s="242">
        <f>(H46/H48)</f>
        <v>33.24659732680928</v>
      </c>
      <c r="I50" s="242">
        <f>(I46/I48)</f>
        <v>76.77244915112779</v>
      </c>
      <c r="J50" s="242">
        <f>(J46/J48)</f>
        <v>51.38569880031593</v>
      </c>
      <c r="K50" s="242">
        <f>(K46/K48)</f>
        <v>139.1055498488778</v>
      </c>
      <c r="L50" s="242">
        <f>(L46/L48)</f>
        <v>113.0494526203588</v>
      </c>
    </row>
    <row r="51" ht="12.75">
      <c r="B51" s="145" t="s">
        <v>591</v>
      </c>
    </row>
    <row r="52" spans="2:11" ht="12.75">
      <c r="B52" s="145"/>
      <c r="C52" t="s">
        <v>614</v>
      </c>
      <c r="E52" s="253">
        <f>(F52/$F$59)</f>
        <v>0.18006719314946648</v>
      </c>
      <c r="F52" s="254">
        <f>(F41/$F$48)</f>
        <v>20.925314630322966</v>
      </c>
      <c r="H52" s="242" t="s">
        <v>24</v>
      </c>
      <c r="I52" s="252">
        <f>(J52/$J$59)</f>
        <v>0.2104875287093955</v>
      </c>
      <c r="J52" s="242">
        <f>(J41/$J$48)</f>
        <v>469.2970729161718</v>
      </c>
      <c r="K52" s="252">
        <f>(J52/$J$59)</f>
        <v>0.2104875287093955</v>
      </c>
    </row>
    <row r="53" spans="2:11" ht="12.75">
      <c r="B53" s="145"/>
      <c r="C53" t="s">
        <v>613</v>
      </c>
      <c r="E53" s="255">
        <f>(F53/$F$59)</f>
        <v>0.08908891113933956</v>
      </c>
      <c r="F53" s="256">
        <f>(F42/$F$48)</f>
        <v>10.35287696252452</v>
      </c>
      <c r="H53" s="242" t="s">
        <v>24</v>
      </c>
      <c r="I53" s="252">
        <f>(J53/$J$59)</f>
        <v>0.13126214359106358</v>
      </c>
      <c r="J53" s="242">
        <f>(J42/$J$48)</f>
        <v>292.65838289657637</v>
      </c>
      <c r="K53" s="252">
        <f aca="true" t="shared" si="15" ref="K53:K59">(J53/$J$59)</f>
        <v>0.13126214359106358</v>
      </c>
    </row>
    <row r="54" spans="5:11" ht="12.75">
      <c r="E54" s="2"/>
      <c r="F54" s="256" t="s">
        <v>24</v>
      </c>
      <c r="H54" s="242" t="s">
        <v>24</v>
      </c>
      <c r="I54" s="252" t="s">
        <v>24</v>
      </c>
      <c r="J54" s="242" t="s">
        <v>24</v>
      </c>
      <c r="K54" s="252" t="s">
        <v>24</v>
      </c>
    </row>
    <row r="55" spans="2:11" ht="12.75">
      <c r="B55" s="145" t="s">
        <v>592</v>
      </c>
      <c r="E55" s="255">
        <f>(F55/$F$59)</f>
        <v>0.5045390797613305</v>
      </c>
      <c r="F55" s="256">
        <f>(F44/$F$48)</f>
        <v>58.63166300668655</v>
      </c>
      <c r="H55" s="242" t="s">
        <v>24</v>
      </c>
      <c r="I55" s="252">
        <f>(J55/$J$59)</f>
        <v>0.6352029886563336</v>
      </c>
      <c r="J55" s="242">
        <f>(J44/$J$48)</f>
        <v>1416.2307150063257</v>
      </c>
      <c r="K55" s="252">
        <f t="shared" si="15"/>
        <v>0.6352029886563336</v>
      </c>
    </row>
    <row r="56" spans="5:11" ht="12.75">
      <c r="E56" s="2"/>
      <c r="F56" s="256" t="s">
        <v>24</v>
      </c>
      <c r="H56" s="242" t="s">
        <v>24</v>
      </c>
      <c r="I56" s="252" t="s">
        <v>24</v>
      </c>
      <c r="J56" s="242" t="s">
        <v>24</v>
      </c>
      <c r="K56" s="252" t="s">
        <v>24</v>
      </c>
    </row>
    <row r="57" spans="2:11" ht="12.75">
      <c r="B57" s="145" t="s">
        <v>593</v>
      </c>
      <c r="E57" s="255">
        <f>(F57/$F$59)</f>
        <v>0.22630481594986335</v>
      </c>
      <c r="F57" s="256">
        <f>(F46/$F$48)</f>
        <v>26.29851331206943</v>
      </c>
      <c r="H57" s="242" t="s">
        <v>24</v>
      </c>
      <c r="I57" s="252">
        <f>(J57/$J$59)</f>
        <v>0.023047339043207424</v>
      </c>
      <c r="J57" s="242">
        <f>(J46/$J$48)</f>
        <v>51.38569880031593</v>
      </c>
      <c r="K57" s="252">
        <f t="shared" si="15"/>
        <v>0.023047339043207424</v>
      </c>
    </row>
    <row r="58" spans="5:11" ht="12.75">
      <c r="E58" s="2"/>
      <c r="F58" s="257"/>
      <c r="I58" s="252" t="s">
        <v>24</v>
      </c>
      <c r="K58" s="252" t="s">
        <v>24</v>
      </c>
    </row>
    <row r="59" spans="5:11" ht="12.75">
      <c r="E59" s="258"/>
      <c r="F59" s="259">
        <f>SUM(F52,F53,F55,F57)</f>
        <v>116.20836791160347</v>
      </c>
      <c r="H59" s="242" t="s">
        <v>24</v>
      </c>
      <c r="I59" s="252">
        <f>(J59/$J$59)</f>
        <v>1</v>
      </c>
      <c r="J59" s="242">
        <f>SUM(J52,J53,J55,J57)</f>
        <v>2229.5718696193894</v>
      </c>
      <c r="K59" s="252">
        <f t="shared" si="15"/>
        <v>1</v>
      </c>
    </row>
    <row r="61" ht="12.75">
      <c r="K61" s="8">
        <f>(J48*J53)</f>
        <v>168863.88693132455</v>
      </c>
    </row>
  </sheetData>
  <sheetProtection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&amp;C&amp;"Arial,Bold"&amp;12CUMBERLAND VALLEY ELECTRIC
CASE NO. 2016-00169
REVENUE FROM RATES MATCHED WITH REVENUE REQUIREMENTS&amp;RRevision 2  Exhibit  ___
Page ____ of ____
Witness:  James Adkins]
Schedule J</oddHeader>
  </headerFooter>
  <colBreaks count="1" manualBreakCount="1">
    <brk id="9" max="34" man="1"/>
  </colBreaks>
  <ignoredErrors>
    <ignoredError sqref="E9 O25 O27 O2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4">
      <selection activeCell="L5" sqref="L5"/>
    </sheetView>
  </sheetViews>
  <sheetFormatPr defaultColWidth="9.140625" defaultRowHeight="12.75"/>
  <cols>
    <col min="1" max="1" width="2.28125" style="0" customWidth="1"/>
    <col min="2" max="2" width="23.57421875" style="0" customWidth="1"/>
    <col min="3" max="3" width="11.28125" style="0" customWidth="1"/>
    <col min="4" max="4" width="12.8515625" style="0" customWidth="1"/>
    <col min="5" max="5" width="12.00390625" style="0" customWidth="1"/>
    <col min="6" max="12" width="12.8515625" style="0" customWidth="1"/>
  </cols>
  <sheetData>
    <row r="1" spans="1:12" ht="15">
      <c r="A1" s="303"/>
      <c r="B1" s="303"/>
      <c r="C1" s="354" t="s">
        <v>585</v>
      </c>
      <c r="D1" s="355" t="s">
        <v>343</v>
      </c>
      <c r="E1" s="355" t="s">
        <v>295</v>
      </c>
      <c r="F1" s="355" t="s">
        <v>298</v>
      </c>
      <c r="G1" s="355" t="s">
        <v>298</v>
      </c>
      <c r="H1" s="355" t="s">
        <v>302</v>
      </c>
      <c r="I1" s="355" t="s">
        <v>304</v>
      </c>
      <c r="J1" s="355" t="s">
        <v>306</v>
      </c>
      <c r="K1" s="355" t="s">
        <v>307</v>
      </c>
      <c r="L1" s="355"/>
    </row>
    <row r="2" spans="1:12" ht="15">
      <c r="A2" s="303"/>
      <c r="B2" s="303"/>
      <c r="C2" s="354" t="s">
        <v>476</v>
      </c>
      <c r="D2" s="355" t="s">
        <v>223</v>
      </c>
      <c r="E2" s="355" t="s">
        <v>297</v>
      </c>
      <c r="F2" s="355" t="s">
        <v>299</v>
      </c>
      <c r="G2" s="355" t="s">
        <v>299</v>
      </c>
      <c r="H2" s="355" t="s">
        <v>347</v>
      </c>
      <c r="I2" s="355"/>
      <c r="J2" s="355"/>
      <c r="K2" s="355" t="s">
        <v>17</v>
      </c>
      <c r="L2" s="355" t="s">
        <v>88</v>
      </c>
    </row>
    <row r="3" spans="1:12" ht="15">
      <c r="A3" s="303"/>
      <c r="B3" s="303"/>
      <c r="C3" s="356"/>
      <c r="D3" s="357"/>
      <c r="E3" s="357"/>
      <c r="F3" s="355" t="s">
        <v>431</v>
      </c>
      <c r="G3" s="355" t="s">
        <v>432</v>
      </c>
      <c r="H3" s="357"/>
      <c r="I3" s="357"/>
      <c r="J3" s="357"/>
      <c r="K3" s="357"/>
      <c r="L3" s="357"/>
    </row>
    <row r="4" spans="1:12" ht="12.75">
      <c r="A4" s="363" t="s">
        <v>596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12.75">
      <c r="A5" s="303"/>
      <c r="B5" s="265" t="s">
        <v>55</v>
      </c>
      <c r="C5" s="358">
        <f>('Misc StmtOper-O'!C19)</f>
        <v>655.5</v>
      </c>
      <c r="D5" s="358">
        <f>('Misc StmtOper-O'!D19)</f>
        <v>30708293.63737704</v>
      </c>
      <c r="E5" s="358">
        <f>('Misc StmtOper-O'!E19)</f>
        <v>47093.25146779873</v>
      </c>
      <c r="F5" s="358">
        <f>('Misc StmtOper-O'!F19)</f>
        <v>1542727.6051355447</v>
      </c>
      <c r="G5" s="358">
        <f>('Misc StmtOper-O'!G19)</f>
        <v>854957.6329506965</v>
      </c>
      <c r="H5" s="358">
        <f>('Misc StmtOper-O'!H19)</f>
        <v>1286462.9687703878</v>
      </c>
      <c r="I5" s="358">
        <f>('Misc StmtOper-O'!I19)</f>
        <v>1117153.1795813444</v>
      </c>
      <c r="J5" s="358">
        <f>('Misc StmtOper-O'!J19)</f>
        <v>6813603.998801092</v>
      </c>
      <c r="K5" s="358">
        <f>('Misc StmtOper-O'!K19)</f>
        <v>1458656.1397338924</v>
      </c>
      <c r="L5" s="359">
        <f aca="true" t="shared" si="0" ref="L5:L10">SUM(C5:K5)</f>
        <v>43829603.91381779</v>
      </c>
    </row>
    <row r="6" spans="1:15" ht="12.75">
      <c r="A6" s="303"/>
      <c r="B6" s="265" t="s">
        <v>597</v>
      </c>
      <c r="C6" s="348">
        <f>('Misc StmtOper-O'!C17)</f>
        <v>0</v>
      </c>
      <c r="D6" s="348">
        <f>('Misc StmtOper-O'!D17)*1.41</f>
        <v>903945.6779228157</v>
      </c>
      <c r="E6" s="348">
        <f>('Misc StmtOper-O'!E17)*1.41</f>
        <v>370.1676769414796</v>
      </c>
      <c r="F6" s="348">
        <f>('Misc StmtOper-O'!F17)*1.41</f>
        <v>51327.173590488535</v>
      </c>
      <c r="G6" s="348">
        <f>('Misc StmtOper-O'!G17)*1.41</f>
        <v>22145.798003080054</v>
      </c>
      <c r="H6" s="348">
        <f>('Misc StmtOper-O'!H17)*1.41</f>
        <v>23788.201131195266</v>
      </c>
      <c r="I6" s="348">
        <f>('Misc StmtOper-O'!I17)*1.41</f>
        <v>14901.528090445785</v>
      </c>
      <c r="J6" s="348">
        <f>('Misc StmtOper-O'!J17)*1.41</f>
        <v>106145.1294893196</v>
      </c>
      <c r="K6" s="348">
        <f>('Misc StmtOper-O'!K17)*1.41</f>
        <v>76787.65579119162</v>
      </c>
      <c r="L6" s="359">
        <f t="shared" si="0"/>
        <v>1199411.331695478</v>
      </c>
      <c r="O6" s="244">
        <f>(L7-44948036)</f>
        <v>80979.24551326782</v>
      </c>
    </row>
    <row r="7" spans="1:12" ht="12.75">
      <c r="A7" s="303"/>
      <c r="B7" s="265" t="s">
        <v>596</v>
      </c>
      <c r="C7" s="359">
        <f>(C5+C6)</f>
        <v>655.5</v>
      </c>
      <c r="D7" s="359">
        <f aca="true" t="shared" si="1" ref="D7:K7">(D5+D6)</f>
        <v>31612239.315299854</v>
      </c>
      <c r="E7" s="359">
        <f t="shared" si="1"/>
        <v>47463.419144740205</v>
      </c>
      <c r="F7" s="359">
        <f t="shared" si="1"/>
        <v>1594054.7787260332</v>
      </c>
      <c r="G7" s="359">
        <f t="shared" si="1"/>
        <v>877103.4309537766</v>
      </c>
      <c r="H7" s="359">
        <f t="shared" si="1"/>
        <v>1310251.169901583</v>
      </c>
      <c r="I7" s="359">
        <f t="shared" si="1"/>
        <v>1132054.7076717902</v>
      </c>
      <c r="J7" s="359">
        <f t="shared" si="1"/>
        <v>6919749.128290411</v>
      </c>
      <c r="K7" s="359">
        <f t="shared" si="1"/>
        <v>1535443.795525084</v>
      </c>
      <c r="L7" s="359">
        <f>SUM(C7:K7)</f>
        <v>45029015.24551327</v>
      </c>
    </row>
    <row r="8" spans="1:12" ht="12.75">
      <c r="A8" s="303"/>
      <c r="B8" s="265" t="s">
        <v>598</v>
      </c>
      <c r="C8" s="348">
        <f>('Misc StmtOper-O'!C7)</f>
        <v>779.7</v>
      </c>
      <c r="D8" s="348">
        <f>('Misc StmtOper-O'!D7)</f>
        <v>28223614.80503</v>
      </c>
      <c r="E8" s="348">
        <f>('Misc StmtOper-O'!E7)</f>
        <v>37899.48078</v>
      </c>
      <c r="F8" s="348">
        <f>('Misc StmtOper-O'!F7)</f>
        <v>1500641.54559</v>
      </c>
      <c r="G8" s="348">
        <f>('Misc StmtOper-O'!G7)</f>
        <v>837357.3101</v>
      </c>
      <c r="H8" s="348">
        <f>('Misc StmtOper-O'!H7)</f>
        <v>1270329.9474499999</v>
      </c>
      <c r="I8" s="348">
        <f>('Misc StmtOper-O'!I7)</f>
        <v>1143450.434</v>
      </c>
      <c r="J8" s="348">
        <f>('Misc StmtOper-O'!J7)</f>
        <v>6811729.40976</v>
      </c>
      <c r="K8" s="348">
        <f>('Misc StmtOper-O'!K7)</f>
        <v>1364318.03</v>
      </c>
      <c r="L8" s="348">
        <f t="shared" si="0"/>
        <v>41190120.66271</v>
      </c>
    </row>
    <row r="9" spans="1:12" ht="12.75">
      <c r="A9" s="303"/>
      <c r="B9" s="265" t="s">
        <v>351</v>
      </c>
      <c r="C9" s="348">
        <f>(C7-C8)</f>
        <v>-124.20000000000005</v>
      </c>
      <c r="D9" s="348">
        <f aca="true" t="shared" si="2" ref="D9:K9">(D7-D8)</f>
        <v>3388624.510269854</v>
      </c>
      <c r="E9" s="348">
        <f t="shared" si="2"/>
        <v>9563.938364740206</v>
      </c>
      <c r="F9" s="348">
        <f t="shared" si="2"/>
        <v>93413.23313603317</v>
      </c>
      <c r="G9" s="348">
        <f t="shared" si="2"/>
        <v>39746.12085377658</v>
      </c>
      <c r="H9" s="348">
        <f t="shared" si="2"/>
        <v>39921.22245158325</v>
      </c>
      <c r="I9" s="348">
        <f t="shared" si="2"/>
        <v>-11395.726328209741</v>
      </c>
      <c r="J9" s="348">
        <f t="shared" si="2"/>
        <v>108019.7185304109</v>
      </c>
      <c r="K9" s="348">
        <f t="shared" si="2"/>
        <v>171125.765525084</v>
      </c>
      <c r="L9" s="348">
        <f t="shared" si="0"/>
        <v>3838894.5828032717</v>
      </c>
    </row>
    <row r="10" spans="1:12" ht="12.75">
      <c r="A10" s="303"/>
      <c r="B10" s="265" t="s">
        <v>599</v>
      </c>
      <c r="C10" s="348">
        <f>('Misc StmtOper-O'!C23+'Misc StmtOper-O'!C24)</f>
        <v>0</v>
      </c>
      <c r="D10" s="348">
        <f>('Misc StmtOper-O'!D23+'Misc StmtOper-O'!D24)</f>
        <v>1739598.9884122685</v>
      </c>
      <c r="E10" s="348">
        <f>('Misc StmtOper-O'!E23+'Misc StmtOper-O'!E24)</f>
        <v>0</v>
      </c>
      <c r="F10" s="348">
        <f>('Misc StmtOper-O'!F23+'Misc StmtOper-O'!F24)</f>
        <v>104851.24388923399</v>
      </c>
      <c r="G10" s="348">
        <f>('Misc StmtOper-O'!G23+'Misc StmtOper-O'!G24)</f>
        <v>11053.594988322859</v>
      </c>
      <c r="H10" s="348">
        <f>('Misc StmtOper-O'!H23+'Misc StmtOper-O'!H24)</f>
        <v>3789.803995996409</v>
      </c>
      <c r="I10" s="348">
        <f>('Misc StmtOper-O'!I23+'Misc StmtOper-O'!I24)</f>
        <v>0</v>
      </c>
      <c r="J10" s="348">
        <f>('Misc StmtOper-O'!J23+'Misc StmtOper-O'!J24)</f>
        <v>0</v>
      </c>
      <c r="K10" s="348">
        <f>('Misc StmtOper-O'!K23+'Misc StmtOper-O'!K24)</f>
        <v>3789.803995996409</v>
      </c>
      <c r="L10" s="348">
        <f t="shared" si="0"/>
        <v>1863083.4352818183</v>
      </c>
    </row>
    <row r="11" spans="1:12" ht="12.75">
      <c r="A11" s="303"/>
      <c r="B11" s="265" t="s">
        <v>600</v>
      </c>
      <c r="C11" s="348">
        <f aca="true" t="shared" si="3" ref="C11:L11">(C9-C10)</f>
        <v>-124.20000000000005</v>
      </c>
      <c r="D11" s="348">
        <f t="shared" si="3"/>
        <v>1649025.5218575858</v>
      </c>
      <c r="E11" s="348">
        <f t="shared" si="3"/>
        <v>9563.938364740206</v>
      </c>
      <c r="F11" s="348">
        <f t="shared" si="3"/>
        <v>-11438.010753200811</v>
      </c>
      <c r="G11" s="348">
        <f t="shared" si="3"/>
        <v>28692.525865453717</v>
      </c>
      <c r="H11" s="348">
        <f t="shared" si="3"/>
        <v>36131.41845558684</v>
      </c>
      <c r="I11" s="348">
        <f t="shared" si="3"/>
        <v>-11395.726328209741</v>
      </c>
      <c r="J11" s="348">
        <f t="shared" si="3"/>
        <v>108019.7185304109</v>
      </c>
      <c r="K11" s="348">
        <f t="shared" si="3"/>
        <v>167335.96152908757</v>
      </c>
      <c r="L11" s="348">
        <f t="shared" si="3"/>
        <v>1975811.1475214534</v>
      </c>
    </row>
    <row r="12" spans="1:12" ht="12.75">
      <c r="A12" s="303"/>
      <c r="B12" s="265" t="s">
        <v>612</v>
      </c>
      <c r="C12" s="303"/>
      <c r="D12" s="350">
        <f>('Misc Rev.Anal.Summary'!J7+'Misc Rev.Anal.Summary'!J8)</f>
        <v>1639927.138130005</v>
      </c>
      <c r="E12" s="303"/>
      <c r="F12" s="353">
        <f>('Misc Rev.Anal.Summary'!J10)</f>
        <v>97406.31550000003</v>
      </c>
      <c r="G12" s="353">
        <f>('Misc Rev.Anal.Summary'!J11)</f>
        <v>27656.66850000003</v>
      </c>
      <c r="H12" s="353">
        <f>('Misc Rev.Anal.Summary'!J12)</f>
        <v>31374.25375000015</v>
      </c>
      <c r="I12" s="353">
        <f>('Misc Rev.Anal.Summary'!J13)</f>
        <v>750</v>
      </c>
      <c r="J12" s="353">
        <f>('Misc Rev.Anal.Summary'!J14)</f>
        <v>24600</v>
      </c>
      <c r="K12" s="353">
        <f>('Misc Rev.Anal.Summary'!J15)</f>
        <v>128674.76210000017</v>
      </c>
      <c r="L12" s="359">
        <f>('Misc Rev.Anal.Summary'!J19)</f>
        <v>1975812.4703600055</v>
      </c>
    </row>
    <row r="13" spans="1:12" ht="12.75">
      <c r="A13" s="303"/>
      <c r="B13" s="265" t="s">
        <v>604</v>
      </c>
      <c r="C13" s="359">
        <f aca="true" t="shared" si="4" ref="C13:L13">(C11-C12)</f>
        <v>-124.20000000000005</v>
      </c>
      <c r="D13" s="359">
        <f t="shared" si="4"/>
        <v>9098.383727580775</v>
      </c>
      <c r="E13" s="359">
        <f t="shared" si="4"/>
        <v>9563.938364740206</v>
      </c>
      <c r="F13" s="359">
        <f t="shared" si="4"/>
        <v>-108844.32625320084</v>
      </c>
      <c r="G13" s="359">
        <f t="shared" si="4"/>
        <v>1035.8573654536885</v>
      </c>
      <c r="H13" s="359">
        <f t="shared" si="4"/>
        <v>4757.164705586692</v>
      </c>
      <c r="I13" s="359">
        <f t="shared" si="4"/>
        <v>-12145.726328209741</v>
      </c>
      <c r="J13" s="359">
        <f t="shared" si="4"/>
        <v>83419.7185304109</v>
      </c>
      <c r="K13" s="359">
        <f t="shared" si="4"/>
        <v>38661.1994290874</v>
      </c>
      <c r="L13" s="359">
        <f t="shared" si="4"/>
        <v>-1.322838552063331</v>
      </c>
    </row>
    <row r="14" spans="1:12" ht="12.75">
      <c r="A14" s="303"/>
      <c r="B14" s="265" t="s">
        <v>24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</row>
    <row r="15" spans="1:12" ht="12.75">
      <c r="A15" s="303" t="s">
        <v>605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</row>
    <row r="16" spans="1:12" ht="12.75">
      <c r="A16" s="303"/>
      <c r="B16" s="303" t="s">
        <v>590</v>
      </c>
      <c r="C16" s="360">
        <f>(C8)</f>
        <v>779.7</v>
      </c>
      <c r="D16" s="360">
        <f aca="true" t="shared" si="5" ref="D16:L16">(D8)</f>
        <v>28223614.80503</v>
      </c>
      <c r="E16" s="360">
        <f t="shared" si="5"/>
        <v>37899.48078</v>
      </c>
      <c r="F16" s="360">
        <f t="shared" si="5"/>
        <v>1500641.54559</v>
      </c>
      <c r="G16" s="360">
        <f t="shared" si="5"/>
        <v>837357.3101</v>
      </c>
      <c r="H16" s="360">
        <f t="shared" si="5"/>
        <v>1270329.9474499999</v>
      </c>
      <c r="I16" s="360">
        <f t="shared" si="5"/>
        <v>1143450.434</v>
      </c>
      <c r="J16" s="360">
        <f t="shared" si="5"/>
        <v>6811729.40976</v>
      </c>
      <c r="K16" s="360">
        <f t="shared" si="5"/>
        <v>1364318.03</v>
      </c>
      <c r="L16" s="360">
        <f t="shared" si="5"/>
        <v>41190120.66271</v>
      </c>
    </row>
    <row r="17" spans="1:12" ht="12.75">
      <c r="A17" s="303"/>
      <c r="B17" s="303" t="s">
        <v>606</v>
      </c>
      <c r="C17" s="358">
        <f>(C12)</f>
        <v>0</v>
      </c>
      <c r="D17" s="358">
        <f>(D12)</f>
        <v>1639927.138130005</v>
      </c>
      <c r="E17" s="358">
        <f aca="true" t="shared" si="6" ref="E17:K17">(E12)</f>
        <v>0</v>
      </c>
      <c r="F17" s="358">
        <f t="shared" si="6"/>
        <v>97406.31550000003</v>
      </c>
      <c r="G17" s="358">
        <f t="shared" si="6"/>
        <v>27656.66850000003</v>
      </c>
      <c r="H17" s="358">
        <f t="shared" si="6"/>
        <v>31374.25375000015</v>
      </c>
      <c r="I17" s="358">
        <f t="shared" si="6"/>
        <v>750</v>
      </c>
      <c r="J17" s="358">
        <f t="shared" si="6"/>
        <v>24600</v>
      </c>
      <c r="K17" s="358">
        <f t="shared" si="6"/>
        <v>128674.76210000017</v>
      </c>
      <c r="L17" s="358">
        <f>(L12)</f>
        <v>1975812.4703600055</v>
      </c>
    </row>
    <row r="18" spans="1:12" ht="12.75">
      <c r="A18" s="303"/>
      <c r="B18" s="303" t="s">
        <v>207</v>
      </c>
      <c r="C18" s="348">
        <f>('StmtOper-Unbund'!E10)</f>
        <v>655.5</v>
      </c>
      <c r="D18" s="348">
        <f>('StmtOper-Unbund'!F10)</f>
        <v>21023090.454535037</v>
      </c>
      <c r="E18" s="348">
        <f>('StmtOper-Unbund'!G10)</f>
        <v>37987.71144326891</v>
      </c>
      <c r="F18" s="348">
        <f>('StmtOper-Unbund'!H10)</f>
        <v>904321.9758809194</v>
      </c>
      <c r="G18" s="348">
        <f>('StmtOper-Unbund'!I10)</f>
        <v>617932.508344248</v>
      </c>
      <c r="H18" s="348">
        <f>('StmtOper-Unbund'!J10)</f>
        <v>1087949.533631281</v>
      </c>
      <c r="I18" s="348">
        <f>('StmtOper-Unbund'!K10)</f>
        <v>999948.8230600063</v>
      </c>
      <c r="J18" s="348">
        <f>('StmtOper-Unbund'!L10)</f>
        <v>5922438.6576673</v>
      </c>
      <c r="K18" s="348">
        <f>('StmtOper-Unbund'!M10)</f>
        <v>684767.4647199335</v>
      </c>
      <c r="L18" s="348">
        <f>('StmtOper-Unbund'!O10)</f>
        <v>31279092.629281994</v>
      </c>
    </row>
    <row r="19" spans="1:12" ht="12.75">
      <c r="A19" s="303"/>
      <c r="B19" s="303" t="s">
        <v>607</v>
      </c>
      <c r="C19" s="351">
        <f>(C16+C17-C18)</f>
        <v>124.20000000000005</v>
      </c>
      <c r="D19" s="351">
        <f aca="true" t="shared" si="7" ref="D19:L19">(D16+D17-D18)</f>
        <v>8840451.488624968</v>
      </c>
      <c r="E19" s="351">
        <f t="shared" si="7"/>
        <v>-88.23066326891421</v>
      </c>
      <c r="F19" s="351">
        <f t="shared" si="7"/>
        <v>693725.8852090806</v>
      </c>
      <c r="G19" s="351">
        <f t="shared" si="7"/>
        <v>247081.47025575198</v>
      </c>
      <c r="H19" s="351">
        <f t="shared" si="7"/>
        <v>213754.667568719</v>
      </c>
      <c r="I19" s="351">
        <f t="shared" si="7"/>
        <v>144251.61093999364</v>
      </c>
      <c r="J19" s="351">
        <f t="shared" si="7"/>
        <v>913890.7520927005</v>
      </c>
      <c r="K19" s="351">
        <f t="shared" si="7"/>
        <v>808225.3273800667</v>
      </c>
      <c r="L19" s="351">
        <f t="shared" si="7"/>
        <v>11886840.503788013</v>
      </c>
    </row>
    <row r="20" spans="1:12" ht="12.75">
      <c r="A20" s="303"/>
      <c r="B20" s="303" t="s">
        <v>442</v>
      </c>
      <c r="C20" s="348">
        <f>('StmtOper-Unbund'!E27)</f>
        <v>0</v>
      </c>
      <c r="D20" s="348">
        <f>('StmtOper-Unbund'!F27)</f>
        <v>9685203.182842001</v>
      </c>
      <c r="E20" s="348">
        <f>('StmtOper-Unbund'!G27)</f>
        <v>9105.540024529819</v>
      </c>
      <c r="F20" s="348">
        <f>('StmtOper-Unbund'!H27)</f>
        <v>638405.6292546252</v>
      </c>
      <c r="G20" s="348">
        <f>('StmtOper-Unbund'!I27)</f>
        <v>237025.12460644857</v>
      </c>
      <c r="H20" s="348">
        <f>('StmtOper-Unbund'!J27)</f>
        <v>198513.43513910688</v>
      </c>
      <c r="I20" s="348">
        <f>('StmtOper-Unbund'!K27)</f>
        <v>117204.3565213381</v>
      </c>
      <c r="J20" s="348">
        <f>('StmtOper-Unbund'!L27)</f>
        <v>891165.341133792</v>
      </c>
      <c r="K20" s="348">
        <f>('StmtOper-Unbund'!M27)</f>
        <v>773888.6750139591</v>
      </c>
      <c r="L20" s="348">
        <f>('StmtOper-Unbund'!O27)</f>
        <v>12550511.2845358</v>
      </c>
    </row>
    <row r="21" spans="1:12" ht="12.75">
      <c r="A21" s="303"/>
      <c r="B21" s="303" t="s">
        <v>608</v>
      </c>
      <c r="C21" s="351">
        <f>(C19-C20)</f>
        <v>124.20000000000005</v>
      </c>
      <c r="D21" s="351">
        <f aca="true" t="shared" si="8" ref="D21:L21">(D19-D20)</f>
        <v>-844751.6942170337</v>
      </c>
      <c r="E21" s="351">
        <f t="shared" si="8"/>
        <v>-9193.770687798733</v>
      </c>
      <c r="F21" s="351">
        <f t="shared" si="8"/>
        <v>55320.25595445547</v>
      </c>
      <c r="G21" s="351">
        <f t="shared" si="8"/>
        <v>10056.345649303403</v>
      </c>
      <c r="H21" s="351">
        <f t="shared" si="8"/>
        <v>15241.232429612137</v>
      </c>
      <c r="I21" s="351">
        <f t="shared" si="8"/>
        <v>27047.254418655546</v>
      </c>
      <c r="J21" s="351">
        <f t="shared" si="8"/>
        <v>22725.4109589085</v>
      </c>
      <c r="K21" s="351">
        <f t="shared" si="8"/>
        <v>34336.65236610768</v>
      </c>
      <c r="L21" s="351">
        <f t="shared" si="8"/>
        <v>-663670.7807477862</v>
      </c>
    </row>
    <row r="22" spans="1:12" ht="12.75">
      <c r="A22" s="303"/>
      <c r="B22" s="303" t="s">
        <v>609</v>
      </c>
      <c r="C22" s="360">
        <f>(C10)</f>
        <v>0</v>
      </c>
      <c r="D22" s="360">
        <f aca="true" t="shared" si="9" ref="D22:L22">(D10)</f>
        <v>1739598.9884122685</v>
      </c>
      <c r="E22" s="360">
        <f t="shared" si="9"/>
        <v>0</v>
      </c>
      <c r="F22" s="360">
        <f t="shared" si="9"/>
        <v>104851.24388923399</v>
      </c>
      <c r="G22" s="360">
        <f t="shared" si="9"/>
        <v>11053.594988322859</v>
      </c>
      <c r="H22" s="360">
        <f t="shared" si="9"/>
        <v>3789.803995996409</v>
      </c>
      <c r="I22" s="360">
        <f t="shared" si="9"/>
        <v>0</v>
      </c>
      <c r="J22" s="360">
        <f t="shared" si="9"/>
        <v>0</v>
      </c>
      <c r="K22" s="360">
        <f t="shared" si="9"/>
        <v>3789.803995996409</v>
      </c>
      <c r="L22" s="360">
        <f t="shared" si="9"/>
        <v>1863083.4352818183</v>
      </c>
    </row>
    <row r="23" spans="1:12" ht="12.75">
      <c r="A23" s="303"/>
      <c r="B23" s="303" t="s">
        <v>610</v>
      </c>
      <c r="C23" s="358">
        <f>(C21+C22)</f>
        <v>124.20000000000005</v>
      </c>
      <c r="D23" s="358">
        <f aca="true" t="shared" si="10" ref="D23:L23">(D21+D22)</f>
        <v>894847.2941952348</v>
      </c>
      <c r="E23" s="358">
        <f t="shared" si="10"/>
        <v>-9193.770687798733</v>
      </c>
      <c r="F23" s="358">
        <f t="shared" si="10"/>
        <v>160171.49984368944</v>
      </c>
      <c r="G23" s="358">
        <f t="shared" si="10"/>
        <v>21109.940637626263</v>
      </c>
      <c r="H23" s="358">
        <f t="shared" si="10"/>
        <v>19031.036425608545</v>
      </c>
      <c r="I23" s="358">
        <f t="shared" si="10"/>
        <v>27047.254418655546</v>
      </c>
      <c r="J23" s="358">
        <f t="shared" si="10"/>
        <v>22725.4109589085</v>
      </c>
      <c r="K23" s="358">
        <f t="shared" si="10"/>
        <v>38126.45636210409</v>
      </c>
      <c r="L23" s="358">
        <f t="shared" si="10"/>
        <v>1199412.654534032</v>
      </c>
    </row>
    <row r="24" spans="1:12" ht="12.75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</row>
    <row r="25" spans="1:12" ht="12.75">
      <c r="A25" s="303"/>
      <c r="B25" s="303" t="s">
        <v>611</v>
      </c>
      <c r="C25" s="348">
        <f>('Misc StmtOper-O'!C17)</f>
        <v>0</v>
      </c>
      <c r="D25" s="348">
        <f>('Misc StmtOper-O'!D17)</f>
        <v>641096.2254771743</v>
      </c>
      <c r="E25" s="348">
        <f>('Misc StmtOper-O'!E17)</f>
        <v>262.5302673343827</v>
      </c>
      <c r="F25" s="348">
        <f>('Misc StmtOper-O'!F17)</f>
        <v>36402.250773396125</v>
      </c>
      <c r="G25" s="348">
        <f>('Misc StmtOper-O'!G17)</f>
        <v>15706.239718496494</v>
      </c>
      <c r="H25" s="348">
        <f>('Misc StmtOper-O'!H17)</f>
        <v>16871.06463205338</v>
      </c>
      <c r="I25" s="348">
        <f>('Misc StmtOper-O'!I17)</f>
        <v>10568.459638614033</v>
      </c>
      <c r="J25" s="348">
        <f>('Misc StmtOper-O'!J17)</f>
        <v>75280.23368036852</v>
      </c>
      <c r="K25" s="348">
        <f>('Misc StmtOper-O'!K17)</f>
        <v>54459.33034836285</v>
      </c>
      <c r="L25" s="348">
        <f>('Misc StmtOper-O'!M17)</f>
        <v>850646.3345357999</v>
      </c>
    </row>
    <row r="26" spans="1:12" ht="12.75">
      <c r="A26" s="303"/>
      <c r="B26" s="303" t="s">
        <v>200</v>
      </c>
      <c r="C26" s="361">
        <v>0</v>
      </c>
      <c r="D26" s="361">
        <f aca="true" t="shared" si="11" ref="D26:L26">(D23+D25)/D25</f>
        <v>2.395808084081592</v>
      </c>
      <c r="E26" s="361">
        <f t="shared" si="11"/>
        <v>-34.01985040105376</v>
      </c>
      <c r="F26" s="361">
        <f t="shared" si="11"/>
        <v>5.400043855550483</v>
      </c>
      <c r="G26" s="361">
        <f t="shared" si="11"/>
        <v>2.3440480354292625</v>
      </c>
      <c r="H26" s="361">
        <f t="shared" si="11"/>
        <v>2.128028185574693</v>
      </c>
      <c r="I26" s="361">
        <f t="shared" si="11"/>
        <v>3.5592428171682524</v>
      </c>
      <c r="J26" s="361">
        <f t="shared" si="11"/>
        <v>1.3018775294375156</v>
      </c>
      <c r="K26" s="361">
        <f t="shared" si="11"/>
        <v>1.7000904366289227</v>
      </c>
      <c r="L26" s="361">
        <f t="shared" si="11"/>
        <v>2.4100015550981655</v>
      </c>
    </row>
    <row r="27" spans="1:12" ht="12.75">
      <c r="A27" s="303"/>
      <c r="B27" s="303" t="s">
        <v>588</v>
      </c>
      <c r="C27" s="361"/>
      <c r="D27" s="361">
        <f>(D25+D23-'StmtOper-Unbund'!F32)/(Increase!D25)</f>
        <v>2.074969689262223</v>
      </c>
      <c r="E27" s="361">
        <f>(E25+E23-'StmtOper-Unbund'!G32)/(Increase!E25)</f>
        <v>-34.01985040105376</v>
      </c>
      <c r="F27" s="361">
        <f>(F25+F23-'StmtOper-Unbund'!H32)/(Increase!F25)</f>
        <v>5.059474350483497</v>
      </c>
      <c r="G27" s="361">
        <f>(G25+G23-'StmtOper-Unbund'!I32)/(Increase!G25)</f>
        <v>2.2608349291113234</v>
      </c>
      <c r="H27" s="361">
        <f>(H25+H23-'StmtOper-Unbund'!J32)/(Increase!H25)</f>
        <v>2.101467782069551</v>
      </c>
      <c r="I27" s="361">
        <f>(I25+I23-'StmtOper-Unbund'!K32)/(Increase!I25)</f>
        <v>3.5592428171682524</v>
      </c>
      <c r="J27" s="361">
        <f>(J25+J23-'StmtOper-Unbund'!L32)/(Increase!J25)</f>
        <v>1.3018775294375156</v>
      </c>
      <c r="K27" s="361">
        <f>(K25+K23-'StmtOper-Unbund'!M32)/(Increase!K25)</f>
        <v>1.69186223622098</v>
      </c>
      <c r="L27" s="361">
        <f>(L25+L23-'StmtOper-Unbund'!O32)/(Increase!L25)</f>
        <v>2.1510350010128976</v>
      </c>
    </row>
    <row r="28" spans="1:12" ht="12.75">
      <c r="A28" s="303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</row>
    <row r="29" spans="1:12" ht="12.75">
      <c r="A29" s="303"/>
      <c r="B29" s="303" t="s">
        <v>66</v>
      </c>
      <c r="C29" s="303"/>
      <c r="D29" s="348">
        <f>('Misc StmtOper-O'!D31)</f>
        <v>50880506.87717397</v>
      </c>
      <c r="E29" s="348">
        <f>('Misc StmtOper-O'!E31)</f>
        <v>20529.292135479805</v>
      </c>
      <c r="F29" s="348">
        <f>('Misc StmtOper-O'!F31)</f>
        <v>2884892.192848476</v>
      </c>
      <c r="G29" s="348">
        <f>('Misc StmtOper-O'!G31)</f>
        <v>1132433.070102186</v>
      </c>
      <c r="H29" s="348">
        <f>('Misc StmtOper-O'!H31)</f>
        <v>1225404.1358429422</v>
      </c>
      <c r="I29" s="348">
        <f>('Misc StmtOper-O'!I31)</f>
        <v>751619.5351195756</v>
      </c>
      <c r="J29" s="348">
        <f>('Misc StmtOper-O'!J31)</f>
        <v>5419838.788363526</v>
      </c>
      <c r="K29" s="348">
        <f>('Misc StmtOper-O'!K31)</f>
        <v>4203457.108413859</v>
      </c>
      <c r="L29" s="348">
        <f>('Misc StmtOper-O'!M31)</f>
        <v>66518681</v>
      </c>
    </row>
    <row r="30" spans="1:12" ht="12.75">
      <c r="A30" s="303"/>
      <c r="B30" s="303" t="s">
        <v>589</v>
      </c>
      <c r="C30" s="303"/>
      <c r="D30" s="362">
        <f aca="true" t="shared" si="12" ref="D30:L30">(D25+D23)/(D29)</f>
        <v>0.030187268444085896</v>
      </c>
      <c r="E30" s="362">
        <f t="shared" si="12"/>
        <v>-0.43504863010005634</v>
      </c>
      <c r="F30" s="362">
        <f t="shared" si="12"/>
        <v>0.06813902824666497</v>
      </c>
      <c r="G30" s="362">
        <f t="shared" si="12"/>
        <v>0.03251068988368613</v>
      </c>
      <c r="H30" s="362">
        <f t="shared" si="12"/>
        <v>0.02929817193163402</v>
      </c>
      <c r="I30" s="362">
        <f t="shared" si="12"/>
        <v>0.05004621660250658</v>
      </c>
      <c r="J30" s="362">
        <f t="shared" si="12"/>
        <v>0.018082760108971616</v>
      </c>
      <c r="K30" s="362">
        <f t="shared" si="12"/>
        <v>0.02202610478054894</v>
      </c>
      <c r="L30" s="362">
        <f t="shared" si="12"/>
        <v>0.030819297049348167</v>
      </c>
    </row>
    <row r="31" spans="1:12" ht="12.75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</sheetData>
  <sheetProtection/>
  <printOptions horizontalCentered="1" verticalCentered="1"/>
  <pageMargins left="0.7" right="0.7" top="0.75" bottom="0.75" header="0.3" footer="0.3"/>
  <pageSetup horizontalDpi="600" verticalDpi="600" orientation="landscape" r:id="rId1"/>
  <headerFooter>
    <oddHeader>&amp;CCUMBERLAND VALLEY ELECTRIC
CASE NO. 2016-00169
INCREASE FOR EACH RATE CLASS&amp;RRevision 2 Exhibit R
Page ____ of ____
Witness:  James Adkins
Schedule K</oddHeader>
  </headerFooter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0.00390625" style="273" customWidth="1"/>
    <col min="2" max="2" width="12.28125" style="273" customWidth="1"/>
    <col min="3" max="4" width="11.140625" style="273" customWidth="1"/>
    <col min="5" max="5" width="10.00390625" style="273" customWidth="1"/>
    <col min="6" max="6" width="11.7109375" style="273" customWidth="1"/>
    <col min="7" max="7" width="11.421875" style="273" customWidth="1"/>
    <col min="8" max="8" width="12.421875" style="273" customWidth="1"/>
    <col min="9" max="9" width="10.57421875" style="273" customWidth="1"/>
    <col min="10" max="10" width="12.8515625" style="273" customWidth="1"/>
    <col min="11" max="12" width="12.28125" style="273" customWidth="1"/>
    <col min="13" max="13" width="9.7109375" style="273" bestFit="1" customWidth="1"/>
    <col min="14" max="16384" width="9.140625" style="273" customWidth="1"/>
  </cols>
  <sheetData>
    <row r="1" spans="1:13" ht="15">
      <c r="A1" s="271"/>
      <c r="B1" s="271"/>
      <c r="C1" s="274"/>
      <c r="D1" s="275" t="s">
        <v>343</v>
      </c>
      <c r="E1" s="275" t="s">
        <v>343</v>
      </c>
      <c r="F1" s="275" t="s">
        <v>298</v>
      </c>
      <c r="G1" s="275" t="s">
        <v>298</v>
      </c>
      <c r="H1" s="275" t="s">
        <v>302</v>
      </c>
      <c r="I1" s="275" t="s">
        <v>304</v>
      </c>
      <c r="J1" s="275" t="s">
        <v>306</v>
      </c>
      <c r="K1" s="275" t="s">
        <v>307</v>
      </c>
      <c r="L1" s="275" t="s">
        <v>24</v>
      </c>
      <c r="M1" s="276"/>
    </row>
    <row r="2" spans="1:13" ht="15">
      <c r="A2" s="271"/>
      <c r="B2" s="271"/>
      <c r="C2" s="274"/>
      <c r="D2" s="275" t="s">
        <v>434</v>
      </c>
      <c r="E2" s="275" t="s">
        <v>435</v>
      </c>
      <c r="F2" s="275" t="s">
        <v>428</v>
      </c>
      <c r="G2" s="275" t="s">
        <v>428</v>
      </c>
      <c r="H2" s="275" t="s">
        <v>429</v>
      </c>
      <c r="I2" s="275" t="s">
        <v>135</v>
      </c>
      <c r="J2" s="275" t="s">
        <v>135</v>
      </c>
      <c r="K2" s="275" t="s">
        <v>16</v>
      </c>
      <c r="L2" s="275" t="s">
        <v>24</v>
      </c>
      <c r="M2" s="276"/>
    </row>
    <row r="3" spans="1:13" ht="15">
      <c r="A3" s="271"/>
      <c r="B3" s="271"/>
      <c r="C3" s="277" t="s">
        <v>121</v>
      </c>
      <c r="D3" s="275" t="s">
        <v>430</v>
      </c>
      <c r="E3" s="275" t="s">
        <v>136</v>
      </c>
      <c r="F3" s="275" t="s">
        <v>431</v>
      </c>
      <c r="G3" s="275" t="s">
        <v>432</v>
      </c>
      <c r="H3" s="275" t="s">
        <v>436</v>
      </c>
      <c r="I3" s="275" t="s">
        <v>437</v>
      </c>
      <c r="J3" s="275" t="s">
        <v>438</v>
      </c>
      <c r="K3" s="275" t="s">
        <v>433</v>
      </c>
      <c r="L3" s="275" t="s">
        <v>88</v>
      </c>
      <c r="M3" s="276"/>
    </row>
    <row r="4" spans="1:13" ht="17.25">
      <c r="A4" s="278" t="s">
        <v>210</v>
      </c>
      <c r="B4" s="278" t="s">
        <v>209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2"/>
    </row>
    <row r="5" spans="1:13" ht="15">
      <c r="A5" s="271" t="s">
        <v>414</v>
      </c>
      <c r="B5" s="271"/>
      <c r="C5" s="271"/>
      <c r="D5" s="279"/>
      <c r="E5" s="279"/>
      <c r="F5" s="279"/>
      <c r="G5" s="279"/>
      <c r="H5" s="279"/>
      <c r="I5" s="279"/>
      <c r="J5" s="279"/>
      <c r="K5" s="279"/>
      <c r="L5" s="279"/>
      <c r="M5" s="280"/>
    </row>
    <row r="6" spans="1:13" ht="15">
      <c r="A6" s="271"/>
      <c r="B6" s="271" t="s">
        <v>10</v>
      </c>
      <c r="C6" s="281">
        <f>('Rate Base'!F41)</f>
        <v>512713.7406169986</v>
      </c>
      <c r="D6" s="281">
        <f>($C6*' Energy &amp; Demand Allocations'!C90)</f>
        <v>342021.4440538248</v>
      </c>
      <c r="E6" s="281">
        <f>($C6*' Energy &amp; Demand Allocations'!D90)</f>
        <v>0</v>
      </c>
      <c r="F6" s="281">
        <f>($C6*' Energy &amp; Demand Allocations'!E90)</f>
        <v>13446.632256313424</v>
      </c>
      <c r="G6" s="281">
        <f>($C6*' Energy &amp; Demand Allocations'!F90)</f>
        <v>13757.463546485369</v>
      </c>
      <c r="H6" s="281">
        <f>($C6*' Energy &amp; Demand Allocations'!G90)</f>
        <v>21111.09608067826</v>
      </c>
      <c r="I6" s="281">
        <f>($C6*' Energy &amp; Demand Allocations'!H90)</f>
        <v>14391.841952336295</v>
      </c>
      <c r="J6" s="281">
        <f>($C6*' Energy &amp; Demand Allocations'!I90)</f>
        <v>97504.9499879379</v>
      </c>
      <c r="K6" s="281">
        <f>($C6*' Energy &amp; Demand Allocations'!J90)</f>
        <v>10480.312739422512</v>
      </c>
      <c r="L6" s="282">
        <f>SUM(D6:K6)</f>
        <v>512713.7406169986</v>
      </c>
      <c r="M6" s="280"/>
    </row>
    <row r="7" spans="1:13" ht="15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2"/>
    </row>
    <row r="8" spans="1:13" ht="15">
      <c r="A8" s="271" t="s">
        <v>25</v>
      </c>
      <c r="B8" s="271"/>
      <c r="C8" s="271">
        <f>('Rate Base'!G41)</f>
        <v>43093829.071438216</v>
      </c>
      <c r="D8" s="271"/>
      <c r="E8" s="271"/>
      <c r="F8" s="271"/>
      <c r="G8" s="271"/>
      <c r="H8" s="271"/>
      <c r="I8" s="271"/>
      <c r="J8" s="271"/>
      <c r="K8" s="271"/>
      <c r="L8" s="271"/>
      <c r="M8" s="272"/>
    </row>
    <row r="9" spans="1:13" ht="15">
      <c r="A9" s="271"/>
      <c r="B9" s="271" t="s">
        <v>10</v>
      </c>
      <c r="C9" s="271">
        <f>(C8*'Classification 2'!H101)</f>
        <v>23571611.5041209</v>
      </c>
      <c r="D9" s="271">
        <f>($C9*' Energy &amp; Demand Allocations'!C90)</f>
        <v>15724167.243135303</v>
      </c>
      <c r="E9" s="271">
        <f>($C9*' Energy &amp; Demand Allocations'!D90)</f>
        <v>0</v>
      </c>
      <c r="F9" s="271">
        <f>($C9*' Energy &amp; Demand Allocations'!E90)</f>
        <v>618198.3560713102</v>
      </c>
      <c r="G9" s="271">
        <f>($C9*' Energy &amp; Demand Allocations'!F90)</f>
        <v>632488.580488625</v>
      </c>
      <c r="H9" s="271">
        <f>($C9*' Energy &amp; Demand Allocations'!G90)</f>
        <v>970566.0601978006</v>
      </c>
      <c r="I9" s="271">
        <f>($C9*' Energy &amp; Demand Allocations'!H90)</f>
        <v>661653.6294130535</v>
      </c>
      <c r="J9" s="271">
        <f>($C9*' Energy &amp; Demand Allocations'!I90)</f>
        <v>4482713.488580553</v>
      </c>
      <c r="K9" s="271">
        <f>($C9*' Energy &amp; Demand Allocations'!J90)</f>
        <v>481824.1462342548</v>
      </c>
      <c r="L9" s="271">
        <f>($C9*' Energy &amp; Demand Allocations'!K90)</f>
        <v>23571611.5041209</v>
      </c>
      <c r="M9" s="272"/>
    </row>
    <row r="10" spans="1:13" ht="15">
      <c r="A10" s="271"/>
      <c r="B10" s="271" t="s">
        <v>11</v>
      </c>
      <c r="C10" s="271">
        <f>(C8-C9)</f>
        <v>19522217.567317314</v>
      </c>
      <c r="D10" s="271">
        <f>($C10*'Consume Allocations'!$G9)</f>
        <v>18166702.692938395</v>
      </c>
      <c r="E10" s="271">
        <f>($C10*'Consume Allocations'!$G10)</f>
        <v>0</v>
      </c>
      <c r="F10" s="271">
        <f>($C10*'Consume Allocations'!$G12)</f>
        <v>1094965.7866029222</v>
      </c>
      <c r="G10" s="271">
        <f>($C10*'Consume Allocations'!$G13)</f>
        <v>115433.14015392255</v>
      </c>
      <c r="H10" s="271">
        <f>($C10*'Consume Allocations'!$G14)</f>
        <v>39577.07662420202</v>
      </c>
      <c r="I10" s="271">
        <f>($C10*'Consume Allocations'!$G15)</f>
        <v>824.5224296708752</v>
      </c>
      <c r="J10" s="271">
        <f>($C10*'Consume Allocations'!$G16)</f>
        <v>65137.271943999156</v>
      </c>
      <c r="K10" s="271">
        <f>($C10*'Consume Allocations'!$G17)</f>
        <v>39577.07662420202</v>
      </c>
      <c r="L10" s="281">
        <f>SUM(D10:K10)</f>
        <v>19522217.567317314</v>
      </c>
      <c r="M10" s="272" t="s">
        <v>24</v>
      </c>
    </row>
    <row r="11" spans="1:13" ht="15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2"/>
    </row>
    <row r="12" spans="1:13" ht="15">
      <c r="A12" s="271" t="s">
        <v>127</v>
      </c>
      <c r="B12" s="271"/>
      <c r="C12" s="271">
        <f>('Rate Base'!H41)</f>
        <v>7044426.765828642</v>
      </c>
      <c r="D12" s="271"/>
      <c r="E12" s="271"/>
      <c r="F12" s="271"/>
      <c r="G12" s="271"/>
      <c r="H12" s="271"/>
      <c r="I12" s="271"/>
      <c r="J12" s="271"/>
      <c r="K12" s="271"/>
      <c r="L12" s="271"/>
      <c r="M12" s="272"/>
    </row>
    <row r="13" spans="1:13" ht="15">
      <c r="A13" s="271"/>
      <c r="B13" s="271" t="s">
        <v>10</v>
      </c>
      <c r="C13" s="271">
        <f>(C12*'Classification 2'!F151)</f>
        <v>5344249.0219998965</v>
      </c>
      <c r="D13" s="271">
        <f>($C13*' Energy &amp; Demand Allocations'!C122)</f>
        <v>4399756.07549711</v>
      </c>
      <c r="E13" s="271">
        <f>($C13*' Energy &amp; Demand Allocations'!D122)</f>
        <v>0</v>
      </c>
      <c r="F13" s="271">
        <f>($C13*' Energy &amp; Demand Allocations'!E122)</f>
        <v>188282.4869018957</v>
      </c>
      <c r="G13" s="271">
        <f>($C13*' Energy &amp; Demand Allocations'!F122)</f>
        <v>40770.05304003574</v>
      </c>
      <c r="H13" s="271">
        <f>($C13*' Energy &amp; Demand Allocations'!G122)</f>
        <v>113318.71834039969</v>
      </c>
      <c r="I13" s="271">
        <f>($C13*' Energy &amp; Demand Allocations'!H122)</f>
        <v>65997.92042533365</v>
      </c>
      <c r="J13" s="271">
        <f>($C13*' Energy &amp; Demand Allocations'!I122)</f>
        <v>488072.7696452335</v>
      </c>
      <c r="K13" s="271">
        <f>($C13*' Energy &amp; Demand Allocations'!J122)</f>
        <v>48050.99814988717</v>
      </c>
      <c r="L13" s="281">
        <f>SUM(D13:K13)</f>
        <v>5344249.0219998965</v>
      </c>
      <c r="M13" s="272"/>
    </row>
    <row r="14" spans="1:13" ht="15">
      <c r="A14" s="271"/>
      <c r="B14" s="271" t="s">
        <v>11</v>
      </c>
      <c r="C14" s="271">
        <f>(C12-C13)</f>
        <v>1700177.7438287456</v>
      </c>
      <c r="D14" s="271">
        <f>($C14*'Consume Allocations'!$G25)</f>
        <v>1475205.002089872</v>
      </c>
      <c r="E14" s="271">
        <f>($C14*'Consume Allocations'!$G27)</f>
        <v>0</v>
      </c>
      <c r="F14" s="271">
        <f>($C14*'Consume Allocations'!$G28)</f>
        <v>114414.14430408567</v>
      </c>
      <c r="G14" s="271">
        <f>($C14*'Consume Allocations'!$G29)</f>
        <v>21592.777346590534</v>
      </c>
      <c r="H14" s="271">
        <f>($C14*'Consume Allocations'!$G30)</f>
        <v>23468.06270833392</v>
      </c>
      <c r="I14" s="271">
        <f>($C14*'Consume Allocations'!$G31)</f>
        <v>5652.578481018838</v>
      </c>
      <c r="J14" s="271">
        <f>($C14*'Consume Allocations'!$G32)</f>
        <v>57936.77981119937</v>
      </c>
      <c r="K14" s="271">
        <f>($C14*'Consume Allocations'!$G33)</f>
        <v>1908.399087645565</v>
      </c>
      <c r="L14" s="281">
        <f>SUM(D14:K14)</f>
        <v>1700177.7438287458</v>
      </c>
      <c r="M14" s="272" t="s">
        <v>24</v>
      </c>
    </row>
    <row r="15" spans="1:13" ht="15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 t="s">
        <v>24</v>
      </c>
    </row>
    <row r="16" spans="1:13" ht="15">
      <c r="A16" s="271" t="s">
        <v>13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2"/>
    </row>
    <row r="17" spans="1:13" ht="15">
      <c r="A17" s="271"/>
      <c r="B17" s="271" t="s">
        <v>11</v>
      </c>
      <c r="C17" s="271">
        <f>('Rate Base'!I41)</f>
        <v>5828576.805947261</v>
      </c>
      <c r="D17" s="271">
        <f>($C17*'Consume Allocations'!$G42)</f>
        <v>5120357.984668246</v>
      </c>
      <c r="E17" s="271">
        <f>($C17*'Consume Allocations'!$G44)</f>
        <v>0</v>
      </c>
      <c r="F17" s="271">
        <f>($C17*'Consume Allocations'!$G45)</f>
        <v>459930.7636565251</v>
      </c>
      <c r="G17" s="271">
        <f>($C17*'Consume Allocations'!$G46)</f>
        <v>48486.67689150114</v>
      </c>
      <c r="H17" s="271">
        <f>($C17*'Consume Allocations'!$G47)</f>
        <v>39585.2371037192</v>
      </c>
      <c r="I17" s="271">
        <f>($C17*'Consume Allocations'!$G48)</f>
        <v>787.2432061049017</v>
      </c>
      <c r="J17" s="271">
        <f>($C17*'Consume Allocations'!$G49)</f>
        <v>62192.21328228722</v>
      </c>
      <c r="K17" s="271">
        <f>($C17*'Consume Allocations'!$G50)</f>
        <v>97236.68713887747</v>
      </c>
      <c r="L17" s="281">
        <f>SUM(D17:K17)</f>
        <v>5828576.805947261</v>
      </c>
      <c r="M17" s="272" t="s">
        <v>24</v>
      </c>
    </row>
    <row r="18" spans="1:13" ht="15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</row>
    <row r="19" spans="1:13" ht="15">
      <c r="A19" s="271" t="s">
        <v>14</v>
      </c>
      <c r="B19" s="271" t="s">
        <v>24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2"/>
    </row>
    <row r="20" spans="1:13" ht="15">
      <c r="A20" s="271"/>
      <c r="B20" s="271" t="s">
        <v>11</v>
      </c>
      <c r="C20" s="271">
        <f>('Rate Base'!J41)</f>
        <v>4931979.973223033</v>
      </c>
      <c r="D20" s="271">
        <f>($C20*'Consume Allocations'!$G58)</f>
        <v>4284229.313657066</v>
      </c>
      <c r="E20" s="271">
        <f>($C20*'Consume Allocations'!$G60)</f>
        <v>17305.696406094445</v>
      </c>
      <c r="F20" s="271">
        <f>($C20*'Consume Allocations'!$G61)</f>
        <v>258224.3239021733</v>
      </c>
      <c r="G20" s="271">
        <f>($C20*'Consume Allocations'!$G62)</f>
        <v>230928.23724729184</v>
      </c>
      <c r="H20" s="271">
        <f>($C20*'Consume Allocations'!$G63)</f>
        <v>9333.409297668913</v>
      </c>
      <c r="I20" s="271">
        <f>($C20*'Consume Allocations'!$G64)</f>
        <v>1649.4874089092273</v>
      </c>
      <c r="J20" s="271">
        <f>($C20*'Consume Allocations'!$G65)</f>
        <v>130309.50530382898</v>
      </c>
      <c r="K20" s="271">
        <f>($C20*'Consume Allocations'!$G66)</f>
        <v>0</v>
      </c>
      <c r="L20" s="281">
        <f>SUM(D20:K20)</f>
        <v>4931979.973223032</v>
      </c>
      <c r="M20" s="272" t="s">
        <v>24</v>
      </c>
    </row>
    <row r="21" spans="1:13" ht="15">
      <c r="A21" s="271"/>
      <c r="B21" s="271"/>
      <c r="C21" s="271"/>
      <c r="D21" s="271" t="s">
        <v>24</v>
      </c>
      <c r="E21" s="271"/>
      <c r="F21" s="271"/>
      <c r="G21" s="271"/>
      <c r="H21" s="271"/>
      <c r="I21" s="271"/>
      <c r="J21" s="271"/>
      <c r="K21" s="271"/>
      <c r="L21" s="271"/>
      <c r="M21" s="272"/>
    </row>
    <row r="22" spans="1:13" ht="15">
      <c r="A22" s="271" t="s">
        <v>128</v>
      </c>
      <c r="B22" s="271"/>
      <c r="C22" s="271">
        <f>('Rate Base'!K41)</f>
        <v>1754769.2508863357</v>
      </c>
      <c r="D22" s="271">
        <f>($C22*'Consume Allocations'!$I76)</f>
        <v>1368067.1211341447</v>
      </c>
      <c r="E22" s="271">
        <f>($C22*'Consume Allocations'!$I78)</f>
        <v>3223.5957293853617</v>
      </c>
      <c r="F22" s="271">
        <f>($C22*'Consume Allocations'!$I79)</f>
        <v>137429.69915325072</v>
      </c>
      <c r="G22" s="271">
        <f>($C22*'Consume Allocations'!$I80)</f>
        <v>28976.14138773359</v>
      </c>
      <c r="H22" s="271">
        <f>($C22*'Consume Allocations'!$I81)</f>
        <v>8444.475490139503</v>
      </c>
      <c r="I22" s="271">
        <f>($C22*'Consume Allocations'!$I82)</f>
        <v>662.3118031481964</v>
      </c>
      <c r="J22" s="271">
        <f>($C22*'Consume Allocations'!$I83)</f>
        <v>35971.80980848641</v>
      </c>
      <c r="K22" s="271">
        <f>($C22*'Consume Allocations'!$I84)</f>
        <v>171994.09638004724</v>
      </c>
      <c r="L22" s="281">
        <f>SUM(D22:K22)</f>
        <v>1754769.2508863357</v>
      </c>
      <c r="M22" s="272" t="s">
        <v>24</v>
      </c>
    </row>
    <row r="23" spans="1:13" ht="15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2"/>
    </row>
    <row r="24" spans="1:13" ht="15">
      <c r="A24" s="271" t="s">
        <v>192</v>
      </c>
      <c r="B24" s="271"/>
      <c r="C24" s="271">
        <f>('Rate Base'!L41)</f>
        <v>3352385.392059522</v>
      </c>
      <c r="D24" s="271"/>
      <c r="E24" s="271"/>
      <c r="F24" s="271"/>
      <c r="G24" s="271"/>
      <c r="H24" s="271"/>
      <c r="I24" s="271"/>
      <c r="J24" s="271"/>
      <c r="K24" s="271">
        <f>(C24)</f>
        <v>3352385.392059522</v>
      </c>
      <c r="L24" s="281">
        <f>SUM(D24:K24)</f>
        <v>3352385.392059522</v>
      </c>
      <c r="M24" s="272" t="s">
        <v>24</v>
      </c>
    </row>
    <row r="25" spans="1:13" ht="15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2"/>
    </row>
    <row r="26" spans="1:13" ht="15">
      <c r="A26" s="271" t="s">
        <v>88</v>
      </c>
      <c r="B26" s="271"/>
      <c r="C26" s="271">
        <f aca="true" t="shared" si="0" ref="C26:K26">SUM(C9,C10,C13,C14,C17,C20,C22,C6,C24)</f>
        <v>66518681</v>
      </c>
      <c r="D26" s="271">
        <f t="shared" si="0"/>
        <v>50880506.87717397</v>
      </c>
      <c r="E26" s="271">
        <f t="shared" si="0"/>
        <v>20529.292135479805</v>
      </c>
      <c r="F26" s="271">
        <f t="shared" si="0"/>
        <v>2884892.192848476</v>
      </c>
      <c r="G26" s="271">
        <f t="shared" si="0"/>
        <v>1132433.070102186</v>
      </c>
      <c r="H26" s="271">
        <f t="shared" si="0"/>
        <v>1225404.1358429422</v>
      </c>
      <c r="I26" s="271">
        <f t="shared" si="0"/>
        <v>751619.5351195756</v>
      </c>
      <c r="J26" s="271">
        <f t="shared" si="0"/>
        <v>5419838.788363526</v>
      </c>
      <c r="K26" s="271">
        <f t="shared" si="0"/>
        <v>4203457.108413859</v>
      </c>
      <c r="L26" s="271">
        <f>SUM(L6:L25)</f>
        <v>66518681</v>
      </c>
      <c r="M26" s="272">
        <f>SUM(M9:M25)</f>
        <v>0</v>
      </c>
    </row>
    <row r="27" spans="1:13" ht="15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2"/>
    </row>
    <row r="28" spans="1:13" ht="15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</row>
    <row r="29" spans="1:13" ht="15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>
        <f>SUM(D26:K26)</f>
        <v>66518681.00000001</v>
      </c>
      <c r="M29" s="272"/>
    </row>
  </sheetData>
  <sheetProtection/>
  <printOptions horizontalCentered="1" verticalCentered="1"/>
  <pageMargins left="0.75" right="0.75" top="1" bottom="1" header="0.5" footer="0.5"/>
  <pageSetup horizontalDpi="300" verticalDpi="300" orientation="landscape" scale="85" r:id="rId1"/>
  <headerFooter alignWithMargins="0">
    <oddHeader xml:space="preserve">&amp;C&amp;"Arial,Bold"&amp;14 CUMBERLAND VALLEY ELECTRIC, INC,
Case No. 2016-00169
Unbundled Rate Base&amp;RRevision 2  Exhibit R____
Witness:  James Adkins
Schedule L
&amp;"Arial,Bold"&amp;11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7">
      <selection activeCell="J36" sqref="J36"/>
    </sheetView>
  </sheetViews>
  <sheetFormatPr defaultColWidth="9.140625" defaultRowHeight="12.75"/>
  <cols>
    <col min="1" max="1" width="17.421875" style="216" customWidth="1"/>
    <col min="2" max="2" width="5.140625" style="216" customWidth="1"/>
    <col min="3" max="3" width="11.140625" style="216" customWidth="1"/>
    <col min="4" max="4" width="13.28125" style="216" customWidth="1"/>
    <col min="5" max="5" width="13.7109375" style="216" customWidth="1"/>
    <col min="6" max="6" width="12.140625" style="216" customWidth="1"/>
    <col min="7" max="7" width="13.8515625" style="216" customWidth="1"/>
    <col min="8" max="8" width="15.00390625" style="216" customWidth="1"/>
    <col min="9" max="9" width="12.421875" style="216" customWidth="1"/>
    <col min="10" max="10" width="11.7109375" style="216" customWidth="1"/>
    <col min="11" max="11" width="11.421875" style="216" customWidth="1"/>
    <col min="12" max="12" width="3.421875" style="216" customWidth="1"/>
    <col min="13" max="13" width="14.00390625" style="216" customWidth="1"/>
    <col min="14" max="14" width="9.140625" style="216" customWidth="1"/>
    <col min="15" max="15" width="12.57421875" style="216" customWidth="1"/>
    <col min="16" max="16384" width="9.140625" style="216" customWidth="1"/>
  </cols>
  <sheetData>
    <row r="1" spans="2:14" ht="15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2:14" ht="1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4" ht="15">
      <c r="B3" s="229"/>
      <c r="C3" s="224" t="s">
        <v>585</v>
      </c>
      <c r="D3" s="225" t="s">
        <v>343</v>
      </c>
      <c r="E3" s="225" t="s">
        <v>295</v>
      </c>
      <c r="F3" s="225" t="s">
        <v>298</v>
      </c>
      <c r="G3" s="225" t="s">
        <v>298</v>
      </c>
      <c r="H3" s="225" t="s">
        <v>302</v>
      </c>
      <c r="I3" s="225" t="s">
        <v>304</v>
      </c>
      <c r="J3" s="225" t="s">
        <v>306</v>
      </c>
      <c r="K3" s="225" t="s">
        <v>307</v>
      </c>
      <c r="L3" s="225"/>
      <c r="M3" s="226"/>
      <c r="N3" s="229"/>
    </row>
    <row r="4" spans="2:14" ht="15">
      <c r="B4" s="229"/>
      <c r="C4" s="227" t="s">
        <v>476</v>
      </c>
      <c r="D4" s="234" t="s">
        <v>223</v>
      </c>
      <c r="E4" s="234" t="s">
        <v>297</v>
      </c>
      <c r="F4" s="234" t="s">
        <v>299</v>
      </c>
      <c r="G4" s="234" t="s">
        <v>299</v>
      </c>
      <c r="H4" s="234" t="s">
        <v>347</v>
      </c>
      <c r="I4" s="234"/>
      <c r="J4" s="234"/>
      <c r="K4" s="234" t="s">
        <v>17</v>
      </c>
      <c r="L4" s="234"/>
      <c r="M4" s="235" t="s">
        <v>88</v>
      </c>
      <c r="N4" s="229"/>
    </row>
    <row r="5" spans="2:14" ht="15">
      <c r="B5" s="229"/>
      <c r="C5" s="233"/>
      <c r="D5" s="218"/>
      <c r="E5" s="218"/>
      <c r="F5" s="251" t="s">
        <v>431</v>
      </c>
      <c r="G5" s="251" t="s">
        <v>432</v>
      </c>
      <c r="H5" s="218"/>
      <c r="I5" s="218"/>
      <c r="J5" s="218"/>
      <c r="K5" s="218"/>
      <c r="L5" s="218"/>
      <c r="M5" s="228"/>
      <c r="N5" s="229"/>
    </row>
    <row r="6" spans="2:14" ht="15">
      <c r="B6" s="229"/>
      <c r="C6" s="229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29"/>
    </row>
    <row r="7" spans="1:14" ht="15">
      <c r="A7" s="216" t="s">
        <v>590</v>
      </c>
      <c r="B7" s="229"/>
      <c r="C7" s="238">
        <f>('StmtOper-Unbund'!E4)</f>
        <v>779.7</v>
      </c>
      <c r="D7" s="218">
        <f>('StmtOper-Unbund'!F4)</f>
        <v>28223614.80503</v>
      </c>
      <c r="E7" s="218">
        <f>('StmtOper-Unbund'!G4)</f>
        <v>37899.48078</v>
      </c>
      <c r="F7" s="218">
        <f>('StmtOper-Unbund'!H4)</f>
        <v>1500641.54559</v>
      </c>
      <c r="G7" s="218">
        <f>('StmtOper-Unbund'!I4)</f>
        <v>837357.3101</v>
      </c>
      <c r="H7" s="218">
        <f>('StmtOper-Unbund'!J4)</f>
        <v>1270329.9474499999</v>
      </c>
      <c r="I7" s="218">
        <f>('StmtOper-Unbund'!K4)</f>
        <v>1143450.434</v>
      </c>
      <c r="J7" s="218">
        <f>('StmtOper-Unbund'!L4)</f>
        <v>6811729.40976</v>
      </c>
      <c r="K7" s="218">
        <f>('StmtOper-Unbund'!M4)</f>
        <v>1364318.03</v>
      </c>
      <c r="L7" s="218"/>
      <c r="M7" s="218">
        <f>SUM(C7:K7)</f>
        <v>41190120.66271</v>
      </c>
      <c r="N7" s="229"/>
    </row>
    <row r="8" spans="2:14" ht="15"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17">
        <f aca="true" t="shared" si="0" ref="M8:M24">SUM(C8:K8)</f>
        <v>0</v>
      </c>
      <c r="N8" s="229"/>
    </row>
    <row r="9" spans="1:15" ht="15">
      <c r="A9" s="216" t="s">
        <v>207</v>
      </c>
      <c r="B9" s="229"/>
      <c r="C9" s="236">
        <f>('StmtOper-Unbund'!E10)</f>
        <v>655.5</v>
      </c>
      <c r="D9" s="217">
        <f>('StmtOper-Unbund'!F10)</f>
        <v>21023090.454535037</v>
      </c>
      <c r="E9" s="217">
        <f>('StmtOper-Unbund'!G10)</f>
        <v>37987.71144326891</v>
      </c>
      <c r="F9" s="217">
        <f>('StmtOper-Unbund'!H10)</f>
        <v>904321.9758809194</v>
      </c>
      <c r="G9" s="217">
        <f>('StmtOper-Unbund'!I10)</f>
        <v>617932.508344248</v>
      </c>
      <c r="H9" s="217">
        <f>('StmtOper-Unbund'!J10)</f>
        <v>1087949.533631281</v>
      </c>
      <c r="I9" s="217">
        <f>('StmtOper-Unbund'!K10)</f>
        <v>999948.8230600063</v>
      </c>
      <c r="J9" s="217">
        <f>('StmtOper-Unbund'!L10)</f>
        <v>5922438.6576673</v>
      </c>
      <c r="K9" s="217">
        <f>('StmtOper-Unbund'!M10)</f>
        <v>684767.4647199335</v>
      </c>
      <c r="L9" s="217"/>
      <c r="M9" s="217">
        <f t="shared" si="0"/>
        <v>31279092.629281994</v>
      </c>
      <c r="N9" s="229"/>
      <c r="O9" s="220" t="s">
        <v>24</v>
      </c>
    </row>
    <row r="10" spans="2:14" ht="15">
      <c r="B10" s="229"/>
      <c r="C10" s="229"/>
      <c r="D10" s="217"/>
      <c r="E10" s="217"/>
      <c r="F10" s="217"/>
      <c r="G10" s="217"/>
      <c r="H10" s="217"/>
      <c r="I10" s="217"/>
      <c r="J10" s="217"/>
      <c r="K10" s="217"/>
      <c r="L10" s="217"/>
      <c r="M10" s="217">
        <f t="shared" si="0"/>
        <v>0</v>
      </c>
      <c r="N10" s="229"/>
    </row>
    <row r="11" spans="1:14" ht="15">
      <c r="A11" s="216" t="s">
        <v>199</v>
      </c>
      <c r="B11" s="229"/>
      <c r="C11" s="229"/>
      <c r="D11" s="217">
        <f>('Misc  RevReq-Rate Class'!G114+'Misc  RevReq-Rate Class'!I114)</f>
        <v>3381974.1243397216</v>
      </c>
      <c r="E11" s="217">
        <f>('Misc  RevReq-Rate Class'!J114+'Misc  RevReq-Rate Class'!L114)</f>
        <v>2314.287396237851</v>
      </c>
      <c r="F11" s="217">
        <f>('Misc  RevReq-Rate Class'!M114+'Misc  RevReq-Rate Class'!O114)</f>
        <v>190969.35445253894</v>
      </c>
      <c r="G11" s="217">
        <f>('Misc  RevReq-Rate Class'!P114+'Misc  RevReq-Rate Class'!R114)</f>
        <v>88293.79945981065</v>
      </c>
      <c r="H11" s="217">
        <f>('Misc  RevReq-Rate Class'!S114+'Misc  RevReq-Rate Class'!U114)</f>
        <v>76947.64939821095</v>
      </c>
      <c r="I11" s="217">
        <f>('Misc  RevReq-Rate Class'!V114+'Misc  RevReq-Rate Class'!X114)</f>
        <v>48049.667312188954</v>
      </c>
      <c r="J11" s="217">
        <f>('Misc  RevReq-Rate Class'!Y114+'Misc  RevReq-Rate Class'!AA114)</f>
        <v>349860.1757028532</v>
      </c>
      <c r="K11" s="217">
        <f>('Misc  RevReq-Rate Class'!AB114+'Misc  RevReq-Rate Class'!AD114)</f>
        <v>179415.13193843816</v>
      </c>
      <c r="L11" s="217"/>
      <c r="M11" s="217">
        <f t="shared" si="0"/>
        <v>4317824.19</v>
      </c>
      <c r="N11" s="229"/>
    </row>
    <row r="12" spans="2:14" ht="15">
      <c r="B12" s="229"/>
      <c r="C12" s="229"/>
      <c r="D12" s="217"/>
      <c r="E12" s="217"/>
      <c r="F12" s="217"/>
      <c r="G12" s="217"/>
      <c r="H12" s="217"/>
      <c r="I12" s="217"/>
      <c r="J12" s="217"/>
      <c r="K12" s="217"/>
      <c r="L12" s="217"/>
      <c r="M12" s="217">
        <f t="shared" si="0"/>
        <v>0</v>
      </c>
      <c r="N12" s="229"/>
    </row>
    <row r="13" spans="1:14" ht="15">
      <c r="A13" s="216" t="s">
        <v>178</v>
      </c>
      <c r="B13" s="229"/>
      <c r="C13" s="229"/>
      <c r="D13" s="217">
        <f>('Misc  RevReq-Rate Class'!G115+'Misc  RevReq-Rate Class'!I115)</f>
        <v>2824424.6100549214</v>
      </c>
      <c r="E13" s="217">
        <f>('Misc  RevReq-Rate Class'!J115+'Misc  RevReq-Rate Class'!L115)</f>
        <v>5366.219050687761</v>
      </c>
      <c r="F13" s="217">
        <f>('Misc  RevReq-Rate Class'!M115+'Misc  RevReq-Rate Class'!O115)</f>
        <v>249897.50639154125</v>
      </c>
      <c r="G13" s="217">
        <f>('Misc  RevReq-Rate Class'!P115+'Misc  RevReq-Rate Class'!R115)</f>
        <v>63504.03522237483</v>
      </c>
      <c r="H13" s="217">
        <f>('Misc  RevReq-Rate Class'!S115+'Misc  RevReq-Rate Class'!U115)</f>
        <v>30022.770578704345</v>
      </c>
      <c r="I13" s="217">
        <f>('Misc  RevReq-Rate Class'!V115+'Misc  RevReq-Rate Class'!X115)</f>
        <v>11810.479692989456</v>
      </c>
      <c r="J13" s="217">
        <f>('Misc  RevReq-Rate Class'!Y115+'Misc  RevReq-Rate Class'!AA115)</f>
        <v>132831.40014574374</v>
      </c>
      <c r="K13" s="217">
        <f>('Misc  RevReq-Rate Class'!AB115+'Misc  RevReq-Rate Class'!AD115)</f>
        <v>298963.2388630372</v>
      </c>
      <c r="L13" s="217"/>
      <c r="M13" s="217">
        <f t="shared" si="0"/>
        <v>3616820.26</v>
      </c>
      <c r="N13" s="229"/>
    </row>
    <row r="14" spans="2:14" ht="15">
      <c r="B14" s="229"/>
      <c r="C14" s="229"/>
      <c r="D14" s="217"/>
      <c r="E14" s="217"/>
      <c r="F14" s="217"/>
      <c r="G14" s="217"/>
      <c r="H14" s="217"/>
      <c r="I14" s="217"/>
      <c r="J14" s="217"/>
      <c r="K14" s="217"/>
      <c r="L14" s="217"/>
      <c r="M14" s="217">
        <f t="shared" si="0"/>
        <v>0</v>
      </c>
      <c r="N14" s="229"/>
    </row>
    <row r="15" spans="1:14" ht="15">
      <c r="A15" s="216" t="s">
        <v>282</v>
      </c>
      <c r="B15" s="229"/>
      <c r="C15" s="229"/>
      <c r="D15" s="217">
        <f>('Misc  RevReq-Rate Class'!G116+'Misc  RevReq-Rate Class'!I116)</f>
        <v>2837708.222970184</v>
      </c>
      <c r="E15" s="217">
        <f>('Misc  RevReq-Rate Class'!J116+'Misc  RevReq-Rate Class'!L116)</f>
        <v>1162.503310269823</v>
      </c>
      <c r="F15" s="217">
        <f>('Misc  RevReq-Rate Class'!M116+'Misc  RevReq-Rate Class'!O116)</f>
        <v>161136.51763714888</v>
      </c>
      <c r="G15" s="217">
        <f>('Misc  RevReq-Rate Class'!P116+'Misc  RevReq-Rate Class'!R116)</f>
        <v>69521.05020576662</v>
      </c>
      <c r="H15" s="217">
        <f>('Misc  RevReq-Rate Class'!S116+'Misc  RevReq-Rate Class'!U116)</f>
        <v>74671.95053013819</v>
      </c>
      <c r="I15" s="217">
        <f>('Misc  RevReq-Rate Class'!V116+'Misc  RevReq-Rate Class'!X116)</f>
        <v>46775.74987754566</v>
      </c>
      <c r="J15" s="217">
        <f>+('Misc  RevReq-Rate Class'!Y116+'Misc  RevReq-Rate Class'!AA116)</f>
        <v>333193.5316048265</v>
      </c>
      <c r="K15" s="217">
        <f>('Misc  RevReq-Rate Class'!AB116+'Misc  RevReq-Rate Class'!AD116)</f>
        <v>241050.97386412075</v>
      </c>
      <c r="L15" s="217"/>
      <c r="M15" s="217">
        <f t="shared" si="0"/>
        <v>3765220.5000000005</v>
      </c>
      <c r="N15" s="229"/>
    </row>
    <row r="16" spans="2:14" ht="15">
      <c r="B16" s="229"/>
      <c r="C16" s="229"/>
      <c r="D16" s="217"/>
      <c r="E16" s="217"/>
      <c r="F16" s="217"/>
      <c r="G16" s="217"/>
      <c r="H16" s="217"/>
      <c r="I16" s="217"/>
      <c r="J16" s="217"/>
      <c r="K16" s="217"/>
      <c r="L16" s="217"/>
      <c r="M16" s="217">
        <f t="shared" si="0"/>
        <v>0</v>
      </c>
      <c r="N16" s="229"/>
    </row>
    <row r="17" spans="1:15" ht="15">
      <c r="A17" s="216" t="s">
        <v>180</v>
      </c>
      <c r="B17" s="229"/>
      <c r="C17" s="229"/>
      <c r="D17" s="217">
        <f>('Misc  RevReq-Rate Class'!G117+'Misc  RevReq-Rate Class'!I117)</f>
        <v>641096.2254771743</v>
      </c>
      <c r="E17" s="217">
        <f>('Misc  RevReq-Rate Class'!J117+'Misc  RevReq-Rate Class'!L117)</f>
        <v>262.5302673343827</v>
      </c>
      <c r="F17" s="217">
        <f>('Misc  RevReq-Rate Class'!M117+'Misc  RevReq-Rate Class'!O117)</f>
        <v>36402.250773396125</v>
      </c>
      <c r="G17" s="217">
        <f>('Misc  RevReq-Rate Class'!P117+'Misc  RevReq-Rate Class'!R117)</f>
        <v>15706.239718496494</v>
      </c>
      <c r="H17" s="217">
        <f>('Misc  RevReq-Rate Class'!S117+'Misc  RevReq-Rate Class'!U117)</f>
        <v>16871.06463205338</v>
      </c>
      <c r="I17" s="217">
        <f>('Misc  RevReq-Rate Class'!V117+'Misc  RevReq-Rate Class'!X117)</f>
        <v>10568.459638614033</v>
      </c>
      <c r="J17" s="217">
        <f>('Misc  RevReq-Rate Class'!Y117+'Misc  RevReq-Rate Class'!AA117)</f>
        <v>75280.23368036852</v>
      </c>
      <c r="K17" s="217">
        <f>('Misc  RevReq-Rate Class'!AB117+'Misc  RevReq-Rate Class'!AD117)</f>
        <v>54459.33034836285</v>
      </c>
      <c r="L17" s="217"/>
      <c r="M17" s="217">
        <f t="shared" si="0"/>
        <v>850646.3345357999</v>
      </c>
      <c r="N17" s="229"/>
      <c r="O17" s="216">
        <f>(M17*'[1]Sheet1'!$P$23)</f>
        <v>1046490.543651591</v>
      </c>
    </row>
    <row r="18" spans="2:14" ht="15">
      <c r="B18" s="229"/>
      <c r="C18" s="229"/>
      <c r="D18" s="217"/>
      <c r="E18" s="217"/>
      <c r="F18" s="217"/>
      <c r="G18" s="217"/>
      <c r="H18" s="217"/>
      <c r="I18" s="217"/>
      <c r="J18" s="217"/>
      <c r="K18" s="217"/>
      <c r="L18" s="217"/>
      <c r="M18" s="217">
        <f t="shared" si="0"/>
        <v>0</v>
      </c>
      <c r="N18" s="229"/>
    </row>
    <row r="19" spans="1:14" ht="15">
      <c r="A19" s="216" t="s">
        <v>55</v>
      </c>
      <c r="B19" s="229"/>
      <c r="C19" s="218">
        <f aca="true" t="shared" si="1" ref="C19:K19">SUM(C9,C11,C13,C15,C17)</f>
        <v>655.5</v>
      </c>
      <c r="D19" s="218">
        <f t="shared" si="1"/>
        <v>30708293.63737704</v>
      </c>
      <c r="E19" s="218">
        <f t="shared" si="1"/>
        <v>47093.25146779873</v>
      </c>
      <c r="F19" s="218">
        <f t="shared" si="1"/>
        <v>1542727.6051355447</v>
      </c>
      <c r="G19" s="218">
        <f t="shared" si="1"/>
        <v>854957.6329506965</v>
      </c>
      <c r="H19" s="218">
        <f t="shared" si="1"/>
        <v>1286462.9687703878</v>
      </c>
      <c r="I19" s="218">
        <f t="shared" si="1"/>
        <v>1117153.1795813444</v>
      </c>
      <c r="J19" s="218">
        <f t="shared" si="1"/>
        <v>6813603.998801092</v>
      </c>
      <c r="K19" s="218">
        <f t="shared" si="1"/>
        <v>1458656.1397338924</v>
      </c>
      <c r="L19" s="218"/>
      <c r="M19" s="218">
        <f t="shared" si="0"/>
        <v>43829603.91381779</v>
      </c>
      <c r="N19" s="229"/>
    </row>
    <row r="20" spans="2:14" ht="15">
      <c r="B20" s="229"/>
      <c r="C20" s="229"/>
      <c r="D20" s="217"/>
      <c r="E20" s="217"/>
      <c r="F20" s="217"/>
      <c r="G20" s="217"/>
      <c r="H20" s="217"/>
      <c r="I20" s="217"/>
      <c r="J20" s="217"/>
      <c r="K20" s="217"/>
      <c r="L20" s="217"/>
      <c r="M20" s="217">
        <f>SUM(C20:K20)</f>
        <v>0</v>
      </c>
      <c r="N20" s="229"/>
    </row>
    <row r="21" spans="1:14" ht="15">
      <c r="A21" s="216" t="s">
        <v>276</v>
      </c>
      <c r="B21" s="229"/>
      <c r="C21" s="230">
        <f aca="true" t="shared" si="2" ref="C21:K21">(C7-C19)</f>
        <v>124.20000000000005</v>
      </c>
      <c r="D21" s="230">
        <f>(D7-D19)</f>
        <v>-2484678.832347039</v>
      </c>
      <c r="E21" s="230">
        <f t="shared" si="2"/>
        <v>-9193.77068779873</v>
      </c>
      <c r="F21" s="230">
        <f t="shared" si="2"/>
        <v>-42086.059545544675</v>
      </c>
      <c r="G21" s="230">
        <f t="shared" si="2"/>
        <v>-17600.32285069651</v>
      </c>
      <c r="H21" s="230">
        <f t="shared" si="2"/>
        <v>-16133.021320387954</v>
      </c>
      <c r="I21" s="230">
        <f t="shared" si="2"/>
        <v>26297.25441865553</v>
      </c>
      <c r="J21" s="230">
        <f t="shared" si="2"/>
        <v>-1874.5890410915017</v>
      </c>
      <c r="K21" s="230">
        <f t="shared" si="2"/>
        <v>-94338.10973389237</v>
      </c>
      <c r="L21" s="229"/>
      <c r="M21" s="217">
        <f t="shared" si="0"/>
        <v>-2639483.251107795</v>
      </c>
      <c r="N21" s="229"/>
    </row>
    <row r="22" spans="2:14" ht="15"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17">
        <f t="shared" si="0"/>
        <v>0</v>
      </c>
      <c r="N22" s="229"/>
    </row>
    <row r="23" spans="1:14" ht="15">
      <c r="A23" s="216" t="s">
        <v>583</v>
      </c>
      <c r="B23" s="229"/>
      <c r="C23" s="229"/>
      <c r="D23" s="217">
        <f>('StmtOper-Unbund'!F31)</f>
        <v>1533910.7045054156</v>
      </c>
      <c r="E23" s="217">
        <f>('StmtOper-Unbund'!G31)</f>
        <v>0</v>
      </c>
      <c r="F23" s="217">
        <f>('StmtOper-Unbund'!H31)</f>
        <v>92453.74736001415</v>
      </c>
      <c r="G23" s="217">
        <f>('StmtOper-Unbund'!I31)</f>
        <v>9746.629992772576</v>
      </c>
      <c r="H23" s="217">
        <f>('StmtOper-Unbund'!J31)</f>
        <v>3341.7017118077406</v>
      </c>
      <c r="I23" s="217">
        <f>('StmtOper-Unbund'!K31)</f>
        <v>0</v>
      </c>
      <c r="J23" s="217">
        <f>('StmtOper-Unbund'!L31)</f>
        <v>0</v>
      </c>
      <c r="K23" s="217">
        <f>('StmtOper-Unbund'!M31)</f>
        <v>3341.7017118077406</v>
      </c>
      <c r="L23" s="217" t="s">
        <v>24</v>
      </c>
      <c r="M23" s="217">
        <f t="shared" si="0"/>
        <v>1642794.4852818176</v>
      </c>
      <c r="N23" s="229"/>
    </row>
    <row r="24" spans="1:14" ht="15">
      <c r="A24" s="216" t="s">
        <v>584</v>
      </c>
      <c r="B24" s="229"/>
      <c r="C24" s="263"/>
      <c r="D24" s="218">
        <f>('StmtOper-Unbund'!F32)</f>
        <v>205688.28390685274</v>
      </c>
      <c r="E24" s="218">
        <f>('StmtOper-Unbund'!G32)</f>
        <v>0</v>
      </c>
      <c r="F24" s="218">
        <f>('StmtOper-Unbund'!H32)</f>
        <v>12397.496529219827</v>
      </c>
      <c r="G24" s="218">
        <f>('StmtOper-Unbund'!I32)</f>
        <v>1306.964995550283</v>
      </c>
      <c r="H24" s="218">
        <f>('StmtOper-Unbund'!J32)</f>
        <v>448.1022841886684</v>
      </c>
      <c r="I24" s="218">
        <f>('StmtOper-Unbund'!K32)</f>
        <v>0</v>
      </c>
      <c r="J24" s="218">
        <f>('StmtOper-Unbund'!L32)</f>
        <v>0</v>
      </c>
      <c r="K24" s="218">
        <f>('StmtOper-Unbund'!M32)</f>
        <v>448.1022841886684</v>
      </c>
      <c r="L24" s="218" t="s">
        <v>24</v>
      </c>
      <c r="M24" s="218">
        <f t="shared" si="0"/>
        <v>220288.9500000002</v>
      </c>
      <c r="N24" s="229"/>
    </row>
    <row r="25" spans="2:14" ht="15"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 t="s">
        <v>24</v>
      </c>
      <c r="M25" s="217" t="s">
        <v>24</v>
      </c>
      <c r="N25" s="229"/>
    </row>
    <row r="26" spans="1:14" ht="15.75" thickBot="1">
      <c r="A26" s="216" t="s">
        <v>283</v>
      </c>
      <c r="B26" s="229"/>
      <c r="C26" s="239">
        <f>(C21+C24+C23)</f>
        <v>124.20000000000005</v>
      </c>
      <c r="D26" s="239">
        <f>(D21+D24+D23)</f>
        <v>-745079.8439347707</v>
      </c>
      <c r="E26" s="239">
        <f aca="true" t="shared" si="3" ref="E26:M26">(E21+E24+E23)</f>
        <v>-9193.77068779873</v>
      </c>
      <c r="F26" s="239">
        <f t="shared" si="3"/>
        <v>62765.1843436893</v>
      </c>
      <c r="G26" s="239">
        <f t="shared" si="3"/>
        <v>-6546.727862373651</v>
      </c>
      <c r="H26" s="239">
        <f t="shared" si="3"/>
        <v>-12343.217324391546</v>
      </c>
      <c r="I26" s="239">
        <f t="shared" si="3"/>
        <v>26297.25441865553</v>
      </c>
      <c r="J26" s="239">
        <f t="shared" si="3"/>
        <v>-1874.5890410915017</v>
      </c>
      <c r="K26" s="239">
        <f t="shared" si="3"/>
        <v>-90548.30573789596</v>
      </c>
      <c r="L26" s="239" t="s">
        <v>24</v>
      </c>
      <c r="M26" s="239">
        <f t="shared" si="3"/>
        <v>-776399.8158259774</v>
      </c>
      <c r="N26" s="229"/>
    </row>
    <row r="27" spans="2:14" ht="15.75" thickTop="1"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</row>
    <row r="28" spans="1:14" ht="15">
      <c r="A28" s="216" t="s">
        <v>200</v>
      </c>
      <c r="B28" s="229"/>
      <c r="C28" s="232" t="s">
        <v>24</v>
      </c>
      <c r="D28" s="231">
        <f aca="true" t="shared" si="4" ref="D28:K28">(D17+D26)/(D17)</f>
        <v>-0.16219658504493667</v>
      </c>
      <c r="E28" s="231">
        <f t="shared" si="4"/>
        <v>-34.019850401053745</v>
      </c>
      <c r="F28" s="231">
        <f t="shared" si="4"/>
        <v>2.724211635549745</v>
      </c>
      <c r="G28" s="231">
        <f t="shared" si="4"/>
        <v>0.5831766240862936</v>
      </c>
      <c r="H28" s="231">
        <f t="shared" si="4"/>
        <v>0.2683794654582359</v>
      </c>
      <c r="I28" s="231">
        <f t="shared" si="4"/>
        <v>3.4882769408110454</v>
      </c>
      <c r="J28" s="231">
        <f t="shared" si="4"/>
        <v>0.9750985225543959</v>
      </c>
      <c r="K28" s="231">
        <f t="shared" si="4"/>
        <v>-0.6626775459536663</v>
      </c>
      <c r="L28" s="231" t="s">
        <v>24</v>
      </c>
      <c r="M28" s="231">
        <f>(M17+M26)/(M17)</f>
        <v>0.0872824765069247</v>
      </c>
      <c r="N28" s="229"/>
    </row>
    <row r="29" spans="1:14" ht="15">
      <c r="A29" s="216" t="s">
        <v>588</v>
      </c>
      <c r="B29" s="229"/>
      <c r="C29" s="229"/>
      <c r="D29" s="232">
        <f aca="true" t="shared" si="5" ref="D29:K29">(D17+D21+D23)/(D17)</f>
        <v>-0.48303497986430544</v>
      </c>
      <c r="E29" s="232">
        <f t="shared" si="5"/>
        <v>-34.019850401053745</v>
      </c>
      <c r="F29" s="232">
        <f t="shared" si="5"/>
        <v>2.383642130482759</v>
      </c>
      <c r="G29" s="232">
        <f t="shared" si="5"/>
        <v>0.4999635177683547</v>
      </c>
      <c r="H29" s="232">
        <f t="shared" si="5"/>
        <v>0.2418190619530939</v>
      </c>
      <c r="I29" s="232">
        <f t="shared" si="5"/>
        <v>3.4882769408110454</v>
      </c>
      <c r="J29" s="232">
        <f t="shared" si="5"/>
        <v>0.9750985225543959</v>
      </c>
      <c r="K29" s="232">
        <f t="shared" si="5"/>
        <v>-0.6709057463616087</v>
      </c>
      <c r="L29" s="232" t="s">
        <v>24</v>
      </c>
      <c r="M29" s="232">
        <f>(M17+M21+M23)/(M17)</f>
        <v>-0.17168407757834328</v>
      </c>
      <c r="N29" s="229"/>
    </row>
    <row r="30" spans="2:14" ht="15"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</row>
    <row r="31" spans="1:14" ht="15">
      <c r="A31" s="216" t="s">
        <v>18</v>
      </c>
      <c r="B31" s="229"/>
      <c r="C31" s="229"/>
      <c r="D31" s="217">
        <f>('RateBase-Rate Class'!D26)</f>
        <v>50880506.87717397</v>
      </c>
      <c r="E31" s="217">
        <f>('RateBase-Rate Class'!E26)</f>
        <v>20529.292135479805</v>
      </c>
      <c r="F31" s="217">
        <f>('RateBase-Rate Class'!F26)</f>
        <v>2884892.192848476</v>
      </c>
      <c r="G31" s="217">
        <f>('RateBase-Rate Class'!G26)</f>
        <v>1132433.070102186</v>
      </c>
      <c r="H31" s="217">
        <f>('RateBase-Rate Class'!H26)</f>
        <v>1225404.1358429422</v>
      </c>
      <c r="I31" s="217">
        <f>('RateBase-Rate Class'!I26)</f>
        <v>751619.5351195756</v>
      </c>
      <c r="J31" s="217">
        <f>('RateBase-Rate Class'!J26)</f>
        <v>5419838.788363526</v>
      </c>
      <c r="K31" s="217">
        <f>('RateBase-Rate Class'!K26)</f>
        <v>4203457.108413859</v>
      </c>
      <c r="L31" s="229"/>
      <c r="M31" s="217">
        <f>('RateBase-Rate Class'!L26)</f>
        <v>66518681</v>
      </c>
      <c r="N31" s="229"/>
    </row>
    <row r="32" spans="1:14" ht="15">
      <c r="A32" s="216" t="s">
        <v>589</v>
      </c>
      <c r="B32" s="229"/>
      <c r="C32" s="229"/>
      <c r="D32" s="237">
        <f aca="true" t="shared" si="6" ref="D32:K32">(D26+D17)/(D31)</f>
        <v>-0.0020436828333611897</v>
      </c>
      <c r="E32" s="237">
        <f t="shared" si="6"/>
        <v>-0.4350486301000562</v>
      </c>
      <c r="F32" s="237">
        <f t="shared" si="6"/>
        <v>0.03437474556689406</v>
      </c>
      <c r="G32" s="237">
        <f t="shared" si="6"/>
        <v>0.008088347203862855</v>
      </c>
      <c r="H32" s="237">
        <f t="shared" si="6"/>
        <v>0.0036949828837872976</v>
      </c>
      <c r="I32" s="237">
        <f t="shared" si="6"/>
        <v>0.049048371329790647</v>
      </c>
      <c r="J32" s="237">
        <f t="shared" si="6"/>
        <v>0.01354387971776578</v>
      </c>
      <c r="K32" s="237">
        <f t="shared" si="6"/>
        <v>-0.008585546244136889</v>
      </c>
      <c r="L32" s="237" t="s">
        <v>24</v>
      </c>
      <c r="M32" s="237">
        <f>(M26+M17)/(M31)</f>
        <v>0.0011161754501689918</v>
      </c>
      <c r="N32" s="229"/>
    </row>
    <row r="33" spans="4:13" ht="15">
      <c r="D33" s="219"/>
      <c r="E33" s="219"/>
      <c r="F33" s="219"/>
      <c r="G33" s="219"/>
      <c r="H33" s="219"/>
      <c r="I33" s="219"/>
      <c r="J33" s="219"/>
      <c r="K33" s="219"/>
      <c r="L33" s="219"/>
      <c r="M33" s="219"/>
    </row>
    <row r="34" spans="4:13" ht="15">
      <c r="D34" s="219"/>
      <c r="E34" s="219"/>
      <c r="F34" s="219"/>
      <c r="G34" s="219"/>
      <c r="H34" s="219"/>
      <c r="I34" s="219"/>
      <c r="J34" s="219"/>
      <c r="K34" s="219"/>
      <c r="L34" s="219"/>
      <c r="M34" s="219"/>
    </row>
    <row r="35" spans="4:13" ht="15">
      <c r="D35" s="219"/>
      <c r="E35" s="219"/>
      <c r="F35" s="219"/>
      <c r="G35" s="219"/>
      <c r="H35" s="219"/>
      <c r="I35" s="219"/>
      <c r="J35" s="219"/>
      <c r="K35" s="219"/>
      <c r="L35" s="219"/>
      <c r="M35" s="219">
        <f>(M17-M26)</f>
        <v>1627046.1503617773</v>
      </c>
    </row>
    <row r="36" spans="4:13" ht="15">
      <c r="D36" s="219"/>
      <c r="E36" s="219"/>
      <c r="F36" s="219"/>
      <c r="G36" s="219"/>
      <c r="H36" s="219"/>
      <c r="I36" s="219"/>
      <c r="J36" s="219"/>
      <c r="K36" s="219"/>
      <c r="L36" s="219"/>
      <c r="M36" s="219"/>
    </row>
    <row r="37" spans="4:13" ht="15">
      <c r="D37" s="219"/>
      <c r="E37" s="219"/>
      <c r="F37" s="219"/>
      <c r="G37" s="219"/>
      <c r="H37" s="219"/>
      <c r="I37" s="219"/>
      <c r="J37" s="219"/>
      <c r="K37" s="219"/>
      <c r="L37" s="219"/>
      <c r="M37" s="219"/>
    </row>
    <row r="38" spans="4:13" ht="15">
      <c r="D38" s="219"/>
      <c r="E38" s="219"/>
      <c r="F38" s="219"/>
      <c r="G38" s="219"/>
      <c r="H38" s="219"/>
      <c r="I38" s="219"/>
      <c r="J38" s="219"/>
      <c r="K38" s="219"/>
      <c r="L38" s="219"/>
      <c r="M38" s="219"/>
    </row>
    <row r="41" spans="1:15" s="221" customFormat="1" ht="15">
      <c r="A41" s="221" t="s">
        <v>586</v>
      </c>
      <c r="C41" s="222">
        <f>('StmtOper-Unbund'!E10)</f>
        <v>655.5</v>
      </c>
      <c r="D41" s="222">
        <f>('StmtOper-Unbund'!F10)</f>
        <v>21023090.454535037</v>
      </c>
      <c r="E41" s="222">
        <f>('StmtOper-Unbund'!G10)</f>
        <v>37987.71144326891</v>
      </c>
      <c r="F41" s="222">
        <f>('StmtOper-Unbund'!H10)</f>
        <v>904321.9758809194</v>
      </c>
      <c r="G41" s="222">
        <f>('StmtOper-Unbund'!I10)</f>
        <v>617932.508344248</v>
      </c>
      <c r="H41" s="222">
        <f>('StmtOper-Unbund'!J10)</f>
        <v>1087949.533631281</v>
      </c>
      <c r="I41" s="222">
        <f>('StmtOper-Unbund'!K10)</f>
        <v>999948.8230600063</v>
      </c>
      <c r="J41" s="222">
        <f>('StmtOper-Unbund'!L10)</f>
        <v>5922438.6576673</v>
      </c>
      <c r="K41" s="222">
        <f>('StmtOper-Unbund'!M10)</f>
        <v>684767.4647199335</v>
      </c>
      <c r="L41" s="222" t="s">
        <v>24</v>
      </c>
      <c r="M41" s="222">
        <f>('StmtOper-Unbund'!O10)</f>
        <v>31279092.629281994</v>
      </c>
      <c r="O41" s="223">
        <f>SUM(C41:K41)</f>
        <v>31279092.629281994</v>
      </c>
    </row>
    <row r="42" spans="1:15" s="221" customFormat="1" ht="15">
      <c r="A42" s="221" t="s">
        <v>587</v>
      </c>
      <c r="C42" s="222">
        <f>('StmtOper-Unbund'!E27)</f>
        <v>0</v>
      </c>
      <c r="D42" s="222">
        <f>('StmtOper-Unbund'!F27)</f>
        <v>9685203.182842001</v>
      </c>
      <c r="E42" s="222">
        <f>('StmtOper-Unbund'!G27)</f>
        <v>9105.540024529819</v>
      </c>
      <c r="F42" s="222">
        <f>('StmtOper-Unbund'!H27)</f>
        <v>638405.6292546252</v>
      </c>
      <c r="G42" s="222">
        <f>('StmtOper-Unbund'!I27)</f>
        <v>237025.12460644857</v>
      </c>
      <c r="H42" s="222">
        <f>('StmtOper-Unbund'!J27)</f>
        <v>198513.43513910688</v>
      </c>
      <c r="I42" s="222">
        <f>('StmtOper-Unbund'!K27)</f>
        <v>117204.3565213381</v>
      </c>
      <c r="J42" s="222">
        <f>('StmtOper-Unbund'!L27)</f>
        <v>891165.341133792</v>
      </c>
      <c r="K42" s="222">
        <f>('StmtOper-Unbund'!M27)</f>
        <v>773888.6750139591</v>
      </c>
      <c r="L42" s="222" t="s">
        <v>24</v>
      </c>
      <c r="M42" s="222">
        <f>('StmtOper-Unbund'!O27)</f>
        <v>12550511.2845358</v>
      </c>
      <c r="O42" s="223">
        <f>SUM(C42:K42)</f>
        <v>12550511.284535801</v>
      </c>
    </row>
    <row r="43" s="221" customFormat="1" ht="15">
      <c r="O43" s="223">
        <f>SUM(C43:K43)</f>
        <v>0</v>
      </c>
    </row>
    <row r="44" spans="3:15" s="221" customFormat="1" ht="15">
      <c r="C44" s="222">
        <f>SUM(C11:C17)</f>
        <v>0</v>
      </c>
      <c r="D44" s="222">
        <f>SUM(D11:D17)</f>
        <v>9685203.182842001</v>
      </c>
      <c r="E44" s="222">
        <f aca="true" t="shared" si="7" ref="E44:M44">SUM(E11:E17)</f>
        <v>9105.540024529819</v>
      </c>
      <c r="F44" s="222">
        <f t="shared" si="7"/>
        <v>638405.6292546252</v>
      </c>
      <c r="G44" s="222">
        <f t="shared" si="7"/>
        <v>237025.12460644857</v>
      </c>
      <c r="H44" s="222">
        <f t="shared" si="7"/>
        <v>198513.43513910685</v>
      </c>
      <c r="I44" s="222">
        <f t="shared" si="7"/>
        <v>117204.35652133811</v>
      </c>
      <c r="J44" s="222">
        <f t="shared" si="7"/>
        <v>891165.341133792</v>
      </c>
      <c r="K44" s="222">
        <f t="shared" si="7"/>
        <v>773888.675013959</v>
      </c>
      <c r="L44" s="222" t="s">
        <v>24</v>
      </c>
      <c r="M44" s="222">
        <f t="shared" si="7"/>
        <v>12550511.284535801</v>
      </c>
      <c r="O44" s="223">
        <f>SUM(C44:K44)</f>
        <v>12550511.284535801</v>
      </c>
    </row>
    <row r="45" s="221" customFormat="1" ht="15"/>
    <row r="46" spans="4:13" s="221" customFormat="1" ht="15">
      <c r="D46" s="223">
        <f>(D42-D44)</f>
        <v>0</v>
      </c>
      <c r="E46" s="223">
        <f aca="true" t="shared" si="8" ref="E46:K46">(E42-E44)</f>
        <v>0</v>
      </c>
      <c r="F46" s="223">
        <f t="shared" si="8"/>
        <v>0</v>
      </c>
      <c r="G46" s="223">
        <f t="shared" si="8"/>
        <v>0</v>
      </c>
      <c r="H46" s="223">
        <f t="shared" si="8"/>
        <v>2.9103830456733704E-11</v>
      </c>
      <c r="I46" s="223">
        <f t="shared" si="8"/>
        <v>-1.4551915228366852E-11</v>
      </c>
      <c r="J46" s="223">
        <f t="shared" si="8"/>
        <v>0</v>
      </c>
      <c r="K46" s="223">
        <f t="shared" si="8"/>
        <v>1.1641532182693481E-10</v>
      </c>
      <c r="L46" s="223" t="s">
        <v>24</v>
      </c>
      <c r="M46" s="223">
        <f>(M42-M44)</f>
        <v>-1.862645149230957E-09</v>
      </c>
    </row>
  </sheetData>
  <sheetProtection/>
  <printOptions headings="1" horizontalCentered="1" verticalCentered="1"/>
  <pageMargins left="0.75" right="0.75" top="1" bottom="1" header="0.5" footer="0.5"/>
  <pageSetup horizontalDpi="300" verticalDpi="300" orientation="portrait" r:id="rId1"/>
  <headerFooter alignWithMargins="0">
    <oddHeader xml:space="preserve">&amp;C&amp;"Arial,Bold"&amp;11Cumberland Valley Electric, Inc.
Gray, KY
Case No. 2005-00187
Statement of Operations
Based on Expenses Category for each Rate Class&amp;RExhibit S
Schedule 2
&amp;P of &amp;N </oddHeader>
  </headerFooter>
  <colBreaks count="1" manualBreakCount="1">
    <brk id="7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PageLayoutView="0" workbookViewId="0" topLeftCell="A1">
      <selection activeCell="L19" sqref="L19"/>
    </sheetView>
  </sheetViews>
  <sheetFormatPr defaultColWidth="11.00390625" defaultRowHeight="12.75"/>
  <cols>
    <col min="1" max="1" width="4.140625" style="366" customWidth="1"/>
    <col min="2" max="2" width="43.7109375" style="366" customWidth="1"/>
    <col min="3" max="3" width="15.57421875" style="366" customWidth="1"/>
    <col min="4" max="4" width="15.00390625" style="366" customWidth="1"/>
    <col min="5" max="5" width="9.7109375" style="366" customWidth="1"/>
    <col min="6" max="6" width="14.7109375" style="366" customWidth="1"/>
    <col min="7" max="7" width="11.7109375" style="366" customWidth="1"/>
    <col min="8" max="8" width="15.421875" style="366" customWidth="1"/>
    <col min="9" max="9" width="8.7109375" style="366" customWidth="1"/>
    <col min="10" max="10" width="14.28125" style="366" customWidth="1"/>
    <col min="11" max="11" width="9.7109375" style="366" customWidth="1"/>
    <col min="12" max="13" width="11.00390625" style="366" customWidth="1"/>
    <col min="14" max="14" width="15.28125" style="366" bestFit="1" customWidth="1"/>
    <col min="15" max="16384" width="11.00390625" style="366" customWidth="1"/>
  </cols>
  <sheetData>
    <row r="1" spans="1:2" ht="15.75">
      <c r="A1" s="364">
        <v>1</v>
      </c>
      <c r="B1" s="365"/>
    </row>
    <row r="2" spans="1:9" ht="15.75" customHeight="1">
      <c r="A2" s="364">
        <f aca="true" t="shared" si="0" ref="A2:A28">(A1+1)</f>
        <v>2</v>
      </c>
      <c r="B2" s="367"/>
      <c r="C2" s="368"/>
      <c r="D2" s="368"/>
      <c r="E2" s="369" t="s">
        <v>104</v>
      </c>
      <c r="F2" s="369" t="s">
        <v>477</v>
      </c>
      <c r="G2" s="369" t="s">
        <v>104</v>
      </c>
      <c r="H2" s="368"/>
      <c r="I2" s="369" t="s">
        <v>104</v>
      </c>
    </row>
    <row r="3" spans="1:11" ht="15.75" customHeight="1">
      <c r="A3" s="364">
        <f t="shared" si="0"/>
        <v>3</v>
      </c>
      <c r="B3" s="369" t="s">
        <v>136</v>
      </c>
      <c r="C3" s="369" t="s">
        <v>478</v>
      </c>
      <c r="D3" s="369" t="s">
        <v>479</v>
      </c>
      <c r="E3" s="369" t="s">
        <v>480</v>
      </c>
      <c r="F3" s="369" t="s">
        <v>481</v>
      </c>
      <c r="G3" s="369" t="s">
        <v>480</v>
      </c>
      <c r="H3" s="369" t="s">
        <v>482</v>
      </c>
      <c r="I3" s="369" t="s">
        <v>480</v>
      </c>
      <c r="J3" s="370" t="s">
        <v>483</v>
      </c>
      <c r="K3" s="371"/>
    </row>
    <row r="4" spans="1:11" ht="15.75" customHeight="1">
      <c r="A4" s="364">
        <f t="shared" si="0"/>
        <v>4</v>
      </c>
      <c r="B4" s="372" t="s">
        <v>484</v>
      </c>
      <c r="C4" s="372" t="s">
        <v>485</v>
      </c>
      <c r="D4" s="373" t="s">
        <v>185</v>
      </c>
      <c r="E4" s="372" t="s">
        <v>88</v>
      </c>
      <c r="F4" s="369" t="s">
        <v>24</v>
      </c>
      <c r="G4" s="372" t="s">
        <v>88</v>
      </c>
      <c r="H4" s="372" t="s">
        <v>185</v>
      </c>
      <c r="I4" s="372" t="s">
        <v>88</v>
      </c>
      <c r="J4" s="372" t="s">
        <v>121</v>
      </c>
      <c r="K4" s="372" t="s">
        <v>104</v>
      </c>
    </row>
    <row r="5" spans="1:7" ht="15.75" customHeight="1">
      <c r="A5" s="364">
        <f t="shared" si="0"/>
        <v>5</v>
      </c>
      <c r="G5" s="374"/>
    </row>
    <row r="6" spans="1:11" ht="15.75" customHeight="1">
      <c r="A6" s="364">
        <f t="shared" si="0"/>
        <v>6</v>
      </c>
      <c r="E6" s="374"/>
      <c r="G6" s="374"/>
      <c r="I6" s="374"/>
      <c r="K6" s="374"/>
    </row>
    <row r="7" spans="1:11" ht="24.75" customHeight="1">
      <c r="A7" s="364">
        <f t="shared" si="0"/>
        <v>7</v>
      </c>
      <c r="B7" s="365" t="s">
        <v>486</v>
      </c>
      <c r="C7" s="375">
        <f>('[6]Revenue Analysis'!C11)</f>
        <v>300860320</v>
      </c>
      <c r="D7" s="376">
        <f>('[6]Revenue Analysis'!E12)</f>
        <v>27951430.0516</v>
      </c>
      <c r="E7" s="377">
        <f aca="true" t="shared" si="1" ref="E7:E16">(D7/$D$19)</f>
        <v>0.6811009862414003</v>
      </c>
      <c r="F7" s="376">
        <f>('[6]Revenue Analysis'!I12)</f>
        <v>28053473.5816</v>
      </c>
      <c r="G7" s="377">
        <f aca="true" t="shared" si="2" ref="G7:G16">(F7/$F$19)</f>
        <v>0.6810728672372451</v>
      </c>
      <c r="H7" s="376">
        <f>('[6]Revenue Analysis'!M12)</f>
        <v>29682221.835200004</v>
      </c>
      <c r="I7" s="377">
        <f>(H7/$H$19)</f>
        <v>0.687624686206637</v>
      </c>
      <c r="J7" s="376">
        <f>+H7-F7</f>
        <v>1628748.253600005</v>
      </c>
      <c r="K7" s="378">
        <f aca="true" t="shared" si="3" ref="K7:K16">+J7/F7</f>
        <v>0.05805870167422993</v>
      </c>
    </row>
    <row r="8" spans="1:11" ht="24.75" customHeight="1">
      <c r="A8" s="364">
        <f t="shared" si="0"/>
        <v>8</v>
      </c>
      <c r="B8" s="365" t="s">
        <v>487</v>
      </c>
      <c r="C8" s="375">
        <f>('[6]Revenue Analysis'!C45)</f>
        <v>1734061</v>
      </c>
      <c r="D8" s="376">
        <f>('[6]Revenue Analysis'!E46)</f>
        <v>169299.65000000002</v>
      </c>
      <c r="E8" s="379">
        <f>(D8/$D$19)</f>
        <v>0.004125375995877652</v>
      </c>
      <c r="F8" s="376">
        <f>('[6]Revenue Analysis'!I46)</f>
        <v>170141.22343</v>
      </c>
      <c r="G8" s="379">
        <f t="shared" si="2"/>
        <v>0.004130631828520747</v>
      </c>
      <c r="H8" s="376">
        <f>('[6]Revenue Analysis'!M46)</f>
        <v>181320.10796000002</v>
      </c>
      <c r="I8" s="379">
        <f aca="true" t="shared" si="4" ref="I8:I16">(H8/$H$19)</f>
        <v>0.00420050032073714</v>
      </c>
      <c r="J8" s="376">
        <f>+H8-F8</f>
        <v>11178.88453000001</v>
      </c>
      <c r="K8" s="380">
        <f t="shared" si="3"/>
        <v>0.06570356263248135</v>
      </c>
    </row>
    <row r="9" spans="1:14" ht="24.75" customHeight="1">
      <c r="A9" s="364">
        <f t="shared" si="0"/>
        <v>9</v>
      </c>
      <c r="B9" s="365" t="s">
        <v>488</v>
      </c>
      <c r="C9" s="375">
        <f>('[6]Revenue Analysis'!C75)</f>
        <v>737631</v>
      </c>
      <c r="D9" s="375">
        <f>('[6]Revenue Analysis'!E75)</f>
        <v>37815.21000000001</v>
      </c>
      <c r="E9" s="379">
        <f t="shared" si="1"/>
        <v>0.0009214547083415266</v>
      </c>
      <c r="F9" s="375">
        <f>('[6]Revenue Analysis'!I75)</f>
        <v>37899.48078</v>
      </c>
      <c r="G9" s="379">
        <f t="shared" si="2"/>
        <v>0.0009201109433580983</v>
      </c>
      <c r="H9" s="375">
        <f>('[6]Revenue Analysis'!M75)</f>
        <v>63701.813160000005</v>
      </c>
      <c r="I9" s="379">
        <f t="shared" si="4"/>
        <v>0.0014757297997481148</v>
      </c>
      <c r="J9" s="381">
        <f aca="true" t="shared" si="5" ref="J9:J16">+H9-F9</f>
        <v>25802.332380000007</v>
      </c>
      <c r="K9" s="380">
        <f t="shared" si="3"/>
        <v>0.6808096535616974</v>
      </c>
      <c r="N9" s="382">
        <f>SUM(J7:J9)</f>
        <v>1665729.470510005</v>
      </c>
    </row>
    <row r="10" spans="1:14" ht="24.75" customHeight="1">
      <c r="A10" s="364">
        <f t="shared" si="0"/>
        <v>10</v>
      </c>
      <c r="B10" s="365" t="s">
        <v>489</v>
      </c>
      <c r="C10" s="375">
        <f>('[6]Revenue Analysis'!C108+'[6]Revenue Analysis'!C109)</f>
        <v>14488863</v>
      </c>
      <c r="D10" s="375">
        <f>('[6]Revenue Analysis'!E110)</f>
        <v>1493911.06559</v>
      </c>
      <c r="E10" s="379">
        <f t="shared" si="1"/>
        <v>0.036402584706825974</v>
      </c>
      <c r="F10" s="375">
        <f>('[6]Revenue Analysis'!I110)</f>
        <v>1500641.54559</v>
      </c>
      <c r="G10" s="379">
        <f t="shared" si="2"/>
        <v>0.03643207452287344</v>
      </c>
      <c r="H10" s="375">
        <f>('[6]Revenue Analysis'!M110)</f>
        <v>1598047.86109</v>
      </c>
      <c r="I10" s="379">
        <f t="shared" si="4"/>
        <v>0.037020717826522984</v>
      </c>
      <c r="J10" s="381">
        <f t="shared" si="5"/>
        <v>97406.31550000003</v>
      </c>
      <c r="K10" s="380">
        <f t="shared" si="3"/>
        <v>0.0649097819437641</v>
      </c>
      <c r="N10" s="382">
        <f>SUM(F7:F9)</f>
        <v>28261514.28581</v>
      </c>
    </row>
    <row r="11" spans="1:14" ht="24.75" customHeight="1">
      <c r="A11" s="364">
        <f t="shared" si="0"/>
        <v>11</v>
      </c>
      <c r="B11" s="365" t="s">
        <v>490</v>
      </c>
      <c r="C11" s="375">
        <f>('[6]Revenue Analysis'!C139+'[6]Revenue Analysis'!C140)</f>
        <v>7393144</v>
      </c>
      <c r="D11" s="375">
        <f>('[6]Revenue Analysis'!E141)</f>
        <v>836667.3101</v>
      </c>
      <c r="E11" s="379">
        <f t="shared" si="1"/>
        <v>0.020387326480722574</v>
      </c>
      <c r="F11" s="375">
        <f>('[6]Revenue Analysis'!I141)</f>
        <v>837357.3101</v>
      </c>
      <c r="G11" s="379">
        <f t="shared" si="2"/>
        <v>0.020329081260936226</v>
      </c>
      <c r="H11" s="375">
        <f>('[6]Revenue Analysis'!M141)</f>
        <v>865013.9786</v>
      </c>
      <c r="I11" s="379">
        <f t="shared" si="4"/>
        <v>0.020039098450972535</v>
      </c>
      <c r="J11" s="381">
        <f t="shared" si="5"/>
        <v>27656.66850000003</v>
      </c>
      <c r="K11" s="380">
        <f t="shared" si="3"/>
        <v>0.03302851502747038</v>
      </c>
      <c r="N11" s="366">
        <f>(N9/N10)</f>
        <v>0.058939852042760546</v>
      </c>
    </row>
    <row r="12" spans="1:11" ht="24.75" customHeight="1">
      <c r="A12" s="364">
        <f t="shared" si="0"/>
        <v>12</v>
      </c>
      <c r="B12" s="365" t="s">
        <v>491</v>
      </c>
      <c r="C12" s="375">
        <f>('[6]Revenue Analysis'!C169)</f>
        <v>15867403</v>
      </c>
      <c r="D12" s="375">
        <f>('[6]Revenue Analysis'!E170)</f>
        <v>1269444.02745</v>
      </c>
      <c r="E12" s="379">
        <f t="shared" si="1"/>
        <v>0.030932928207190506</v>
      </c>
      <c r="F12" s="375">
        <f>('[6]Revenue Analysis'!I170)</f>
        <v>1270329.9474499999</v>
      </c>
      <c r="G12" s="379">
        <f t="shared" si="2"/>
        <v>0.03084064642228755</v>
      </c>
      <c r="H12" s="375">
        <f>('[6]Revenue Analysis'!M170)</f>
        <v>1301704.2012</v>
      </c>
      <c r="I12" s="379">
        <f t="shared" si="4"/>
        <v>0.030155557351927587</v>
      </c>
      <c r="J12" s="381">
        <f t="shared" si="5"/>
        <v>31374.25375000015</v>
      </c>
      <c r="K12" s="380">
        <f t="shared" si="3"/>
        <v>0.0246977203150877</v>
      </c>
    </row>
    <row r="13" spans="1:11" ht="24.75" customHeight="1">
      <c r="A13" s="364">
        <f t="shared" si="0"/>
        <v>13</v>
      </c>
      <c r="B13" s="365" t="s">
        <v>492</v>
      </c>
      <c r="C13" s="375">
        <f>('[6]Revenue Analysis'!C200)</f>
        <v>16450200</v>
      </c>
      <c r="D13" s="375">
        <f>('[6]Revenue Analysis'!E201)</f>
        <v>1139142.93</v>
      </c>
      <c r="E13" s="379">
        <f t="shared" si="1"/>
        <v>0.027757841787007447</v>
      </c>
      <c r="F13" s="375">
        <f>('[6]Revenue Analysis'!I201)</f>
        <v>1143450.434</v>
      </c>
      <c r="G13" s="379">
        <f t="shared" si="2"/>
        <v>0.027760307947706054</v>
      </c>
      <c r="H13" s="375">
        <f>('[6]Revenue Analysis'!M201)</f>
        <v>1144200.434</v>
      </c>
      <c r="I13" s="379">
        <f t="shared" si="4"/>
        <v>0.026506791464435072</v>
      </c>
      <c r="J13" s="381">
        <f t="shared" si="5"/>
        <v>750</v>
      </c>
      <c r="K13" s="380">
        <f t="shared" si="3"/>
        <v>0.0006559094978663501</v>
      </c>
    </row>
    <row r="14" spans="1:11" ht="24.75" customHeight="1">
      <c r="A14" s="364">
        <f t="shared" si="0"/>
        <v>14</v>
      </c>
      <c r="B14" s="365" t="s">
        <v>493</v>
      </c>
      <c r="C14" s="375">
        <f>('[6]Revenue Analysis'!C231)</f>
        <v>90899192</v>
      </c>
      <c r="D14" s="375">
        <f>('[6]Revenue Analysis'!E232)</f>
        <v>6806613.45976</v>
      </c>
      <c r="E14" s="379">
        <f t="shared" si="1"/>
        <v>0.16585881766507868</v>
      </c>
      <c r="F14" s="375">
        <f>('[6]Revenue Analysis'!I232)</f>
        <v>6811729.40976</v>
      </c>
      <c r="G14" s="379">
        <f t="shared" si="2"/>
        <v>0.1653728928239522</v>
      </c>
      <c r="H14" s="375">
        <f>('[6]Revenue Analysis'!M232)</f>
        <v>6836329.40976</v>
      </c>
      <c r="I14" s="379">
        <f t="shared" si="4"/>
        <v>0.15837186620634758</v>
      </c>
      <c r="J14" s="381">
        <f t="shared" si="5"/>
        <v>24600</v>
      </c>
      <c r="K14" s="380">
        <f t="shared" si="3"/>
        <v>0.0036114176768021</v>
      </c>
    </row>
    <row r="15" spans="1:11" ht="24.75" customHeight="1">
      <c r="A15" s="364">
        <f t="shared" si="0"/>
        <v>15</v>
      </c>
      <c r="B15" s="365" t="s">
        <v>494</v>
      </c>
      <c r="C15" s="375">
        <v>11317722</v>
      </c>
      <c r="D15" s="375">
        <f>('[6]Revenue Analysis'!E269)</f>
        <v>1333495</v>
      </c>
      <c r="E15" s="379">
        <f t="shared" si="1"/>
        <v>0.03249367771063241</v>
      </c>
      <c r="F15" s="375">
        <f>('[6]Revenue Analysis'!I269)</f>
        <v>1364318.03</v>
      </c>
      <c r="G15" s="379">
        <f t="shared" si="2"/>
        <v>0.03312245771678781</v>
      </c>
      <c r="H15" s="375">
        <f>('[6]Revenue Analysis'!M269)</f>
        <v>1492992.7921000002</v>
      </c>
      <c r="I15" s="379">
        <f t="shared" si="4"/>
        <v>0.034586989676058257</v>
      </c>
      <c r="J15" s="381">
        <f t="shared" si="5"/>
        <v>128674.76210000017</v>
      </c>
      <c r="K15" s="380">
        <f t="shared" si="3"/>
        <v>0.09431434553423014</v>
      </c>
    </row>
    <row r="16" spans="1:11" ht="24.75" customHeight="1">
      <c r="A16" s="364">
        <f t="shared" si="0"/>
        <v>16</v>
      </c>
      <c r="B16" s="365" t="s">
        <v>495</v>
      </c>
      <c r="C16" s="375">
        <f>+'[7]rate class'!B294</f>
        <v>27600</v>
      </c>
      <c r="D16" s="375">
        <f>('[6]Revenue Analysis'!E298)</f>
        <v>780</v>
      </c>
      <c r="E16" s="379">
        <f t="shared" si="1"/>
        <v>1.9006496922968052E-05</v>
      </c>
      <c r="F16" s="375">
        <f>+'[7]rate class'!E298</f>
        <v>779.7</v>
      </c>
      <c r="G16" s="379">
        <f t="shared" si="2"/>
        <v>1.8929296332600295E-05</v>
      </c>
      <c r="H16" s="375">
        <f>+'[7]rate class'!G298</f>
        <v>779.7</v>
      </c>
      <c r="I16" s="379">
        <f t="shared" si="4"/>
        <v>1.8062696613887167E-05</v>
      </c>
      <c r="J16" s="381">
        <f t="shared" si="5"/>
        <v>0</v>
      </c>
      <c r="K16" s="380">
        <f t="shared" si="3"/>
        <v>0</v>
      </c>
    </row>
    <row r="17" spans="1:11" ht="24.75" customHeight="1">
      <c r="A17" s="364">
        <f t="shared" si="0"/>
        <v>17</v>
      </c>
      <c r="B17" s="365" t="s">
        <v>496</v>
      </c>
      <c r="C17" s="383"/>
      <c r="D17" s="383"/>
      <c r="E17" s="384"/>
      <c r="F17" s="385"/>
      <c r="G17" s="369"/>
      <c r="H17" s="383">
        <v>0</v>
      </c>
      <c r="I17" s="369"/>
      <c r="J17" s="386">
        <v>-379</v>
      </c>
      <c r="K17" s="369"/>
    </row>
    <row r="18" spans="1:11" ht="24.75" customHeight="1">
      <c r="A18" s="364">
        <f t="shared" si="0"/>
        <v>18</v>
      </c>
      <c r="B18" s="365"/>
      <c r="C18" s="375"/>
      <c r="D18" s="375"/>
      <c r="E18" s="369"/>
      <c r="F18" s="365"/>
      <c r="G18" s="369"/>
      <c r="H18" s="365"/>
      <c r="I18" s="369"/>
      <c r="J18" s="365"/>
      <c r="K18" s="369"/>
    </row>
    <row r="19" spans="1:16" ht="24.75" customHeight="1" thickBot="1">
      <c r="A19" s="364">
        <f t="shared" si="0"/>
        <v>19</v>
      </c>
      <c r="B19" s="365" t="s">
        <v>497</v>
      </c>
      <c r="C19" s="387">
        <f aca="true" t="shared" si="6" ref="C19:H19">SUM(C7:C17)</f>
        <v>459776136</v>
      </c>
      <c r="D19" s="388">
        <f t="shared" si="6"/>
        <v>41038598.704500005</v>
      </c>
      <c r="E19" s="389">
        <f t="shared" si="6"/>
        <v>1</v>
      </c>
      <c r="F19" s="390">
        <f t="shared" si="6"/>
        <v>41190120.66271</v>
      </c>
      <c r="G19" s="391">
        <f t="shared" si="6"/>
        <v>0.9999999999999998</v>
      </c>
      <c r="H19" s="390">
        <f t="shared" si="6"/>
        <v>43166312.13307</v>
      </c>
      <c r="I19" s="377">
        <f>(H19/$H$19)</f>
        <v>1</v>
      </c>
      <c r="J19" s="390">
        <f>SUM(J7:J17)</f>
        <v>1975812.4703600055</v>
      </c>
      <c r="K19" s="378">
        <f>+J19/F19</f>
        <v>0.04796811562022775</v>
      </c>
      <c r="P19" s="382">
        <f>(J19-'[8]adjusted is'!$I$9)</f>
        <v>0.9110096849035472</v>
      </c>
    </row>
    <row r="20" spans="1:11" ht="24.75" customHeight="1" thickTop="1">
      <c r="A20" s="364">
        <f t="shared" si="0"/>
        <v>20</v>
      </c>
      <c r="B20" s="365"/>
      <c r="C20" s="365"/>
      <c r="D20" s="365"/>
      <c r="E20" s="369"/>
      <c r="F20" s="365"/>
      <c r="G20" s="369"/>
      <c r="H20" s="365"/>
      <c r="I20" s="369"/>
      <c r="J20" s="365"/>
      <c r="K20" s="369"/>
    </row>
    <row r="21" spans="1:11" ht="24.75" customHeight="1">
      <c r="A21" s="364">
        <f t="shared" si="0"/>
        <v>21</v>
      </c>
      <c r="B21" s="365" t="s">
        <v>498</v>
      </c>
      <c r="C21" s="365"/>
      <c r="D21" s="375">
        <f>('[6]Revenue Analysis'!E326)</f>
        <v>-1665195.555946526</v>
      </c>
      <c r="E21" s="365"/>
      <c r="F21" s="365"/>
      <c r="G21" s="365"/>
      <c r="H21" s="365"/>
      <c r="I21" s="369"/>
      <c r="J21" s="376" t="s">
        <v>24</v>
      </c>
      <c r="K21" s="369"/>
    </row>
    <row r="22" spans="1:14" ht="24.75" customHeight="1">
      <c r="A22" s="364">
        <f t="shared" si="0"/>
        <v>22</v>
      </c>
      <c r="B22" s="365" t="s">
        <v>499</v>
      </c>
      <c r="C22" s="365"/>
      <c r="D22" s="383">
        <f>('[6]Revenue Analysis'!E327)</f>
        <v>4648100.722435659</v>
      </c>
      <c r="E22" s="365"/>
      <c r="F22" s="365"/>
      <c r="G22" s="365"/>
      <c r="H22" s="365"/>
      <c r="I22" s="365"/>
      <c r="J22" s="365"/>
      <c r="K22" s="365"/>
      <c r="N22" s="392" t="s">
        <v>126</v>
      </c>
    </row>
    <row r="23" spans="1:14" ht="24.75" customHeight="1" thickBot="1">
      <c r="A23" s="364">
        <f t="shared" si="0"/>
        <v>23</v>
      </c>
      <c r="B23" s="365"/>
      <c r="C23" s="365"/>
      <c r="D23" s="390">
        <f>SUM(D19:D22)</f>
        <v>44021503.87098914</v>
      </c>
      <c r="E23" s="365"/>
      <c r="F23" s="365"/>
      <c r="G23" s="365"/>
      <c r="H23" s="365"/>
      <c r="I23" s="365"/>
      <c r="J23" s="365"/>
      <c r="K23" s="365"/>
      <c r="N23" s="393" t="s">
        <v>24</v>
      </c>
    </row>
    <row r="24" spans="1:11" ht="24.75" customHeight="1" thickTop="1">
      <c r="A24" s="364">
        <f t="shared" si="0"/>
        <v>24</v>
      </c>
      <c r="B24" s="365" t="s">
        <v>500</v>
      </c>
      <c r="C24" s="365"/>
      <c r="D24" s="375" t="s">
        <v>24</v>
      </c>
      <c r="E24" s="365"/>
      <c r="F24" s="394">
        <f>(F19-D19)</f>
        <v>151521.9582099989</v>
      </c>
      <c r="G24" s="376"/>
      <c r="H24" s="394">
        <f>(H19-F19)</f>
        <v>1976191.470359996</v>
      </c>
      <c r="I24" s="365"/>
      <c r="J24" s="365"/>
      <c r="K24" s="365"/>
    </row>
    <row r="25" spans="1:11" ht="15.75" customHeight="1">
      <c r="A25" s="364">
        <f t="shared" si="0"/>
        <v>25</v>
      </c>
      <c r="B25" s="365"/>
      <c r="C25" s="365"/>
      <c r="D25" s="375"/>
      <c r="E25" s="365"/>
      <c r="H25" s="365"/>
      <c r="I25" s="365"/>
      <c r="J25" s="365"/>
      <c r="K25" s="365"/>
    </row>
    <row r="26" spans="1:11" ht="15.75" customHeight="1">
      <c r="A26" s="364">
        <f t="shared" si="0"/>
        <v>26</v>
      </c>
      <c r="B26" s="365"/>
      <c r="C26" s="365"/>
      <c r="D26" s="395"/>
      <c r="E26" s="365"/>
      <c r="F26" s="381"/>
      <c r="G26" s="365"/>
      <c r="H26" s="365"/>
      <c r="I26" s="365"/>
      <c r="J26" s="365"/>
      <c r="K26" s="365"/>
    </row>
    <row r="27" spans="1:11" ht="15.75" customHeight="1">
      <c r="A27" s="364">
        <f t="shared" si="0"/>
        <v>27</v>
      </c>
      <c r="B27" s="365"/>
      <c r="C27" s="365"/>
      <c r="D27" s="396" t="s">
        <v>24</v>
      </c>
      <c r="E27" s="365"/>
      <c r="F27" s="365"/>
      <c r="G27" s="365"/>
      <c r="H27" s="365"/>
      <c r="I27" s="365"/>
      <c r="J27" s="365"/>
      <c r="K27" s="365"/>
    </row>
    <row r="28" spans="1:11" ht="15.75" customHeight="1">
      <c r="A28" s="364">
        <f t="shared" si="0"/>
        <v>28</v>
      </c>
      <c r="B28" s="365"/>
      <c r="C28" s="365"/>
      <c r="D28" s="365"/>
      <c r="E28" s="365"/>
      <c r="F28" s="375"/>
      <c r="G28" s="365"/>
      <c r="H28" s="365"/>
      <c r="I28" s="365"/>
      <c r="J28" s="365"/>
      <c r="K28" s="365"/>
    </row>
    <row r="29" spans="1:11" ht="15.75" customHeight="1">
      <c r="A29" s="364"/>
      <c r="B29" s="365"/>
      <c r="C29" s="365"/>
      <c r="D29" s="365"/>
      <c r="E29" s="365"/>
      <c r="F29" s="365"/>
      <c r="G29" s="365"/>
      <c r="H29" s="365"/>
      <c r="I29" s="365"/>
      <c r="J29" s="365"/>
      <c r="K29" s="365"/>
    </row>
    <row r="30" ht="15.75">
      <c r="A30" s="364"/>
    </row>
    <row r="31" ht="15.75">
      <c r="A31" s="364"/>
    </row>
    <row r="32" ht="15.75">
      <c r="A32" s="364"/>
    </row>
    <row r="33" ht="15.75">
      <c r="A33" s="364"/>
    </row>
    <row r="34" spans="1:5" ht="15.75">
      <c r="A34" s="364">
        <v>1</v>
      </c>
      <c r="E34" s="397" t="s">
        <v>501</v>
      </c>
    </row>
    <row r="35" spans="1:5" ht="15.75">
      <c r="A35" s="364">
        <f aca="true" t="shared" si="7" ref="A35:A53">(A34+1)</f>
        <v>2</v>
      </c>
      <c r="E35" s="397" t="s">
        <v>502</v>
      </c>
    </row>
    <row r="36" spans="1:5" ht="15.75">
      <c r="A36" s="364">
        <f t="shared" si="7"/>
        <v>3</v>
      </c>
      <c r="E36" s="397" t="s">
        <v>503</v>
      </c>
    </row>
    <row r="37" spans="1:7" ht="15.75">
      <c r="A37" s="364">
        <f t="shared" si="7"/>
        <v>4</v>
      </c>
      <c r="B37" s="432" t="s">
        <v>24</v>
      </c>
      <c r="C37" s="432"/>
      <c r="D37" s="432"/>
      <c r="E37" s="432"/>
      <c r="F37" s="365"/>
      <c r="G37" s="365"/>
    </row>
    <row r="38" spans="1:7" ht="15.75">
      <c r="A38" s="364">
        <f t="shared" si="7"/>
        <v>5</v>
      </c>
      <c r="B38" s="432" t="s">
        <v>24</v>
      </c>
      <c r="C38" s="432"/>
      <c r="D38" s="432"/>
      <c r="E38" s="432"/>
      <c r="F38" s="365"/>
      <c r="G38" s="365"/>
    </row>
    <row r="39" spans="1:7" ht="15.75">
      <c r="A39" s="364">
        <f t="shared" si="7"/>
        <v>6</v>
      </c>
      <c r="B39" s="434" t="s">
        <v>24</v>
      </c>
      <c r="C39" s="434"/>
      <c r="D39" s="434"/>
      <c r="E39" s="434"/>
      <c r="F39" s="365"/>
      <c r="G39" s="365"/>
    </row>
    <row r="40" spans="1:7" ht="15.75">
      <c r="A40" s="364">
        <f t="shared" si="7"/>
        <v>7</v>
      </c>
      <c r="B40" s="433" t="s">
        <v>24</v>
      </c>
      <c r="C40" s="433"/>
      <c r="D40" s="433"/>
      <c r="E40" s="433"/>
      <c r="F40" s="365"/>
      <c r="G40" s="365"/>
    </row>
    <row r="41" spans="1:7" ht="15.75">
      <c r="A41" s="364">
        <f t="shared" si="7"/>
        <v>8</v>
      </c>
      <c r="B41" s="365"/>
      <c r="C41" s="365"/>
      <c r="D41" s="365"/>
      <c r="E41" s="365"/>
      <c r="F41" s="365"/>
      <c r="G41" s="365"/>
    </row>
    <row r="42" spans="1:7" ht="15.75">
      <c r="A42" s="364">
        <f t="shared" si="7"/>
        <v>9</v>
      </c>
      <c r="B42" s="365"/>
      <c r="C42" s="365"/>
      <c r="D42" s="365"/>
      <c r="E42" s="365"/>
      <c r="F42" s="365"/>
      <c r="G42" s="365"/>
    </row>
    <row r="43" spans="1:7" ht="15.75">
      <c r="A43" s="364">
        <f t="shared" si="7"/>
        <v>10</v>
      </c>
      <c r="B43" s="365"/>
      <c r="C43" s="365"/>
      <c r="D43" s="365"/>
      <c r="E43" s="365"/>
      <c r="F43" s="365"/>
      <c r="G43" s="365"/>
    </row>
    <row r="44" spans="1:7" ht="15.75">
      <c r="A44" s="364">
        <f t="shared" si="7"/>
        <v>11</v>
      </c>
      <c r="B44" s="365" t="s">
        <v>504</v>
      </c>
      <c r="C44" s="365"/>
      <c r="D44" s="375">
        <f>D19</f>
        <v>41038598.704500005</v>
      </c>
      <c r="E44" s="365"/>
      <c r="F44" s="365"/>
      <c r="G44" s="365"/>
    </row>
    <row r="45" spans="1:7" ht="15.75">
      <c r="A45" s="364">
        <f t="shared" si="7"/>
        <v>12</v>
      </c>
      <c r="B45" s="365"/>
      <c r="C45" s="365"/>
      <c r="D45" s="365"/>
      <c r="E45" s="365"/>
      <c r="F45" s="365"/>
      <c r="G45" s="365"/>
    </row>
    <row r="46" spans="1:7" ht="15.75">
      <c r="A46" s="364">
        <f t="shared" si="7"/>
        <v>13</v>
      </c>
      <c r="B46" s="365" t="s">
        <v>505</v>
      </c>
      <c r="C46" s="365"/>
      <c r="D46" s="365"/>
      <c r="E46" s="365"/>
      <c r="F46" s="365"/>
      <c r="G46" s="365"/>
    </row>
    <row r="47" spans="1:7" ht="15.75">
      <c r="A47" s="364">
        <f t="shared" si="7"/>
        <v>14</v>
      </c>
      <c r="B47" s="365" t="s">
        <v>506</v>
      </c>
      <c r="C47" s="365"/>
      <c r="D47" s="383">
        <f>F19</f>
        <v>41190120.66271</v>
      </c>
      <c r="E47" s="365"/>
      <c r="F47" s="365"/>
      <c r="G47" s="365"/>
    </row>
    <row r="48" spans="1:7" ht="15.75">
      <c r="A48" s="364">
        <f t="shared" si="7"/>
        <v>15</v>
      </c>
      <c r="B48" s="365"/>
      <c r="C48" s="365"/>
      <c r="D48" s="365"/>
      <c r="E48" s="365"/>
      <c r="F48" s="365"/>
      <c r="G48" s="365"/>
    </row>
    <row r="49" spans="1:7" ht="16.5" thickBot="1">
      <c r="A49" s="364">
        <f t="shared" si="7"/>
        <v>16</v>
      </c>
      <c r="B49" s="365" t="s">
        <v>507</v>
      </c>
      <c r="C49" s="365"/>
      <c r="D49" s="387">
        <f>+D47-D44</f>
        <v>151521.9582099989</v>
      </c>
      <c r="E49" s="365"/>
      <c r="F49" s="365"/>
      <c r="G49" s="365"/>
    </row>
    <row r="50" spans="1:7" ht="16.5" thickTop="1">
      <c r="A50" s="364">
        <f t="shared" si="7"/>
        <v>17</v>
      </c>
      <c r="B50" s="365"/>
      <c r="C50" s="365"/>
      <c r="D50" s="365"/>
      <c r="E50" s="365"/>
      <c r="F50" s="365"/>
      <c r="G50" s="365"/>
    </row>
    <row r="51" spans="1:7" ht="15.75">
      <c r="A51" s="364">
        <f t="shared" si="7"/>
        <v>18</v>
      </c>
      <c r="B51" s="398"/>
      <c r="C51" s="399"/>
      <c r="D51" s="399"/>
      <c r="E51" s="367"/>
      <c r="F51" s="365"/>
      <c r="G51" s="365"/>
    </row>
    <row r="52" spans="1:7" ht="15.75">
      <c r="A52" s="364">
        <f t="shared" si="7"/>
        <v>19</v>
      </c>
      <c r="B52" s="398"/>
      <c r="C52" s="399"/>
      <c r="D52" s="400"/>
      <c r="E52" s="367"/>
      <c r="F52" s="365"/>
      <c r="G52" s="365"/>
    </row>
    <row r="53" spans="1:7" ht="15.75">
      <c r="A53" s="364">
        <f t="shared" si="7"/>
        <v>20</v>
      </c>
      <c r="B53" s="399"/>
      <c r="C53" s="399"/>
      <c r="D53" s="399"/>
      <c r="E53" s="367"/>
      <c r="F53" s="365"/>
      <c r="G53" s="365"/>
    </row>
    <row r="54" spans="1:7" ht="15.75">
      <c r="A54" s="364">
        <f>(A53+1)</f>
        <v>21</v>
      </c>
      <c r="B54" s="398"/>
      <c r="C54" s="398"/>
      <c r="D54" s="398"/>
      <c r="E54" s="365"/>
      <c r="F54" s="365"/>
      <c r="G54" s="365"/>
    </row>
    <row r="55" spans="1:7" ht="15.75">
      <c r="A55" s="364">
        <f>(A54+1)</f>
        <v>22</v>
      </c>
      <c r="B55" s="398"/>
      <c r="C55" s="398"/>
      <c r="D55" s="395"/>
      <c r="E55" s="365"/>
      <c r="F55" s="365"/>
      <c r="G55" s="365"/>
    </row>
    <row r="56" spans="1:7" ht="15.75">
      <c r="A56" s="364">
        <f>(A55+1)</f>
        <v>23</v>
      </c>
      <c r="B56" s="398"/>
      <c r="C56" s="398"/>
      <c r="D56" s="398"/>
      <c r="E56" s="365"/>
      <c r="F56" s="365"/>
      <c r="G56" s="365"/>
    </row>
    <row r="57" spans="1:7" ht="15.75">
      <c r="A57" s="364">
        <f>(A56+1)</f>
        <v>24</v>
      </c>
      <c r="B57" s="398"/>
      <c r="C57" s="398"/>
      <c r="D57" s="398"/>
      <c r="E57" s="365"/>
      <c r="F57" s="365"/>
      <c r="G57" s="365"/>
    </row>
    <row r="58" spans="1:7" ht="15.75">
      <c r="A58" s="364"/>
      <c r="B58" s="365"/>
      <c r="C58" s="365"/>
      <c r="D58" s="365"/>
      <c r="E58" s="365"/>
      <c r="F58" s="365"/>
      <c r="G58" s="365"/>
    </row>
    <row r="59" spans="1:7" ht="15.75">
      <c r="A59" s="364"/>
      <c r="B59" s="365"/>
      <c r="C59" s="365"/>
      <c r="D59" s="365"/>
      <c r="E59" s="365"/>
      <c r="F59" s="365"/>
      <c r="G59" s="365"/>
    </row>
    <row r="60" spans="1:7" ht="15.75">
      <c r="A60" s="364"/>
      <c r="B60" s="365"/>
      <c r="C60" s="365"/>
      <c r="D60" s="365"/>
      <c r="E60" s="365"/>
      <c r="F60" s="365"/>
      <c r="G60" s="365"/>
    </row>
    <row r="61" spans="1:7" ht="15.75">
      <c r="A61" s="364"/>
      <c r="B61" s="365"/>
      <c r="C61" s="365"/>
      <c r="D61" s="365"/>
      <c r="E61" s="365"/>
      <c r="F61" s="365"/>
      <c r="G61" s="365"/>
    </row>
    <row r="62" spans="1:7" ht="15.75">
      <c r="A62" s="364">
        <f aca="true" t="shared" si="8" ref="A62:A99">(A61+1)</f>
        <v>1</v>
      </c>
      <c r="B62" s="365"/>
      <c r="C62" s="365"/>
      <c r="D62" s="365"/>
      <c r="E62" s="365"/>
      <c r="F62" s="365"/>
      <c r="G62" s="397" t="s">
        <v>508</v>
      </c>
    </row>
    <row r="63" spans="1:7" ht="15.75">
      <c r="A63" s="364">
        <f t="shared" si="8"/>
        <v>2</v>
      </c>
      <c r="B63" s="365"/>
      <c r="C63" s="365"/>
      <c r="D63" s="365"/>
      <c r="E63" s="365"/>
      <c r="F63" s="365"/>
      <c r="G63" s="397" t="s">
        <v>509</v>
      </c>
    </row>
    <row r="64" spans="1:7" ht="15.75">
      <c r="A64" s="364">
        <f t="shared" si="8"/>
        <v>3</v>
      </c>
      <c r="B64" s="365"/>
      <c r="C64" s="365"/>
      <c r="D64" s="365"/>
      <c r="E64" s="365"/>
      <c r="F64" s="365"/>
      <c r="G64" s="397" t="s">
        <v>503</v>
      </c>
    </row>
    <row r="65" spans="1:7" ht="15.75">
      <c r="A65" s="364">
        <f t="shared" si="8"/>
        <v>4</v>
      </c>
      <c r="B65" s="432" t="e">
        <f>#REF!</f>
        <v>#REF!</v>
      </c>
      <c r="C65" s="432"/>
      <c r="D65" s="432"/>
      <c r="E65" s="432"/>
      <c r="F65" s="432"/>
      <c r="G65" s="432"/>
    </row>
    <row r="66" spans="1:7" ht="15.75">
      <c r="A66" s="364">
        <f t="shared" si="8"/>
        <v>5</v>
      </c>
      <c r="B66" s="432" t="e">
        <f>#REF!</f>
        <v>#REF!</v>
      </c>
      <c r="C66" s="432"/>
      <c r="D66" s="432"/>
      <c r="E66" s="432"/>
      <c r="F66" s="432"/>
      <c r="G66" s="432"/>
    </row>
    <row r="67" spans="1:7" ht="15.75">
      <c r="A67" s="364">
        <f t="shared" si="8"/>
        <v>6</v>
      </c>
      <c r="B67" s="432" t="s">
        <v>510</v>
      </c>
      <c r="C67" s="432"/>
      <c r="D67" s="432"/>
      <c r="E67" s="432"/>
      <c r="F67" s="432"/>
      <c r="G67" s="432"/>
    </row>
    <row r="68" spans="1:7" ht="15.75">
      <c r="A68" s="364">
        <f t="shared" si="8"/>
        <v>7</v>
      </c>
      <c r="B68" s="433" t="e">
        <f>#REF!</f>
        <v>#REF!</v>
      </c>
      <c r="C68" s="433"/>
      <c r="D68" s="433"/>
      <c r="E68" s="433"/>
      <c r="F68" s="433"/>
      <c r="G68" s="433"/>
    </row>
    <row r="69" spans="1:7" ht="15.75">
      <c r="A69" s="364">
        <f t="shared" si="8"/>
        <v>8</v>
      </c>
      <c r="B69" s="365"/>
      <c r="C69" s="365"/>
      <c r="D69" s="365"/>
      <c r="E69" s="365"/>
      <c r="F69" s="365"/>
      <c r="G69" s="365"/>
    </row>
    <row r="70" spans="1:7" ht="15.75">
      <c r="A70" s="364">
        <f t="shared" si="8"/>
        <v>9</v>
      </c>
      <c r="B70" s="365"/>
      <c r="C70" s="365"/>
      <c r="D70" s="365"/>
      <c r="E70" s="365"/>
      <c r="F70" s="365"/>
      <c r="G70" s="365"/>
    </row>
    <row r="71" spans="1:7" ht="15.75">
      <c r="A71" s="364">
        <f t="shared" si="8"/>
        <v>10</v>
      </c>
      <c r="B71" s="365" t="s">
        <v>511</v>
      </c>
      <c r="C71" s="365"/>
      <c r="D71" s="365"/>
      <c r="E71" s="365"/>
      <c r="F71" s="365"/>
      <c r="G71" s="365"/>
    </row>
    <row r="72" spans="1:7" ht="15.75">
      <c r="A72" s="364">
        <f t="shared" si="8"/>
        <v>11</v>
      </c>
      <c r="B72" s="365" t="s">
        <v>512</v>
      </c>
      <c r="C72" s="365"/>
      <c r="D72" s="365"/>
      <c r="E72" s="365"/>
      <c r="F72" s="365"/>
      <c r="G72" s="365"/>
    </row>
    <row r="73" spans="1:7" ht="15.75">
      <c r="A73" s="364">
        <f t="shared" si="8"/>
        <v>12</v>
      </c>
      <c r="B73" s="365"/>
      <c r="C73" s="401" t="s">
        <v>513</v>
      </c>
      <c r="D73" s="401"/>
      <c r="E73" s="365"/>
      <c r="F73" s="401" t="s">
        <v>514</v>
      </c>
      <c r="G73" s="401"/>
    </row>
    <row r="74" spans="1:10" ht="15.75">
      <c r="A74" s="364">
        <f t="shared" si="8"/>
        <v>13</v>
      </c>
      <c r="B74" s="365"/>
      <c r="C74" s="368"/>
      <c r="D74" s="369" t="s">
        <v>515</v>
      </c>
      <c r="E74" s="365"/>
      <c r="F74" s="368"/>
      <c r="G74" s="369" t="s">
        <v>515</v>
      </c>
      <c r="J74" s="402"/>
    </row>
    <row r="75" spans="1:7" ht="15.75">
      <c r="A75" s="364">
        <f t="shared" si="8"/>
        <v>14</v>
      </c>
      <c r="B75" s="403" t="s">
        <v>91</v>
      </c>
      <c r="C75" s="372" t="s">
        <v>516</v>
      </c>
      <c r="D75" s="372" t="s">
        <v>517</v>
      </c>
      <c r="E75" s="365"/>
      <c r="F75" s="372" t="s">
        <v>516</v>
      </c>
      <c r="G75" s="372" t="s">
        <v>517</v>
      </c>
    </row>
    <row r="76" spans="1:7" ht="15.75">
      <c r="A76" s="364">
        <f t="shared" si="8"/>
        <v>15</v>
      </c>
      <c r="B76" s="365"/>
      <c r="C76" s="367"/>
      <c r="D76" s="367"/>
      <c r="E76" s="365"/>
      <c r="F76" s="365"/>
      <c r="G76" s="365"/>
    </row>
    <row r="77" spans="1:25" ht="15.75">
      <c r="A77" s="364">
        <f t="shared" si="8"/>
        <v>16</v>
      </c>
      <c r="B77" s="365" t="s">
        <v>92</v>
      </c>
      <c r="C77" s="404">
        <f>+'[7]detail'!J182</f>
        <v>4970</v>
      </c>
      <c r="D77" s="404">
        <f>+'[7]detail'!K182</f>
        <v>1368</v>
      </c>
      <c r="E77" s="365"/>
      <c r="F77" s="375">
        <f>+'[7]power cost'!O54</f>
        <v>-37919</v>
      </c>
      <c r="G77" s="375">
        <f>+'[7]power cost'!Q54</f>
        <v>497956</v>
      </c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404"/>
      <c r="V77" s="404"/>
      <c r="W77" s="404"/>
      <c r="X77" s="404"/>
      <c r="Y77" s="404"/>
    </row>
    <row r="78" spans="1:25" ht="15.75">
      <c r="A78" s="364">
        <f t="shared" si="8"/>
        <v>17</v>
      </c>
      <c r="B78" s="365" t="s">
        <v>93</v>
      </c>
      <c r="C78" s="404">
        <f>+'[7]detail'!J183</f>
        <v>5040</v>
      </c>
      <c r="D78" s="404">
        <f>+'[7]detail'!K183</f>
        <v>1378</v>
      </c>
      <c r="E78" s="365"/>
      <c r="F78" s="375">
        <f>+'[7]power cost'!O55</f>
        <v>-186080</v>
      </c>
      <c r="G78" s="375">
        <f>+'[7]power cost'!Q55</f>
        <v>476284</v>
      </c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404"/>
      <c r="V78" s="404"/>
      <c r="W78" s="404"/>
      <c r="X78" s="404"/>
      <c r="Y78" s="404"/>
    </row>
    <row r="79" spans="1:7" ht="15.75">
      <c r="A79" s="364">
        <f t="shared" si="8"/>
        <v>18</v>
      </c>
      <c r="B79" s="365" t="s">
        <v>94</v>
      </c>
      <c r="C79" s="404">
        <f>+'[7]detail'!J184</f>
        <v>4970</v>
      </c>
      <c r="D79" s="404">
        <f>+'[7]detail'!K184</f>
        <v>1390</v>
      </c>
      <c r="E79" s="365"/>
      <c r="F79" s="375">
        <f>+'[7]power cost'!O56</f>
        <v>-169487</v>
      </c>
      <c r="G79" s="375">
        <f>+'[7]power cost'!Q56</f>
        <v>491511</v>
      </c>
    </row>
    <row r="80" spans="1:7" ht="15.75">
      <c r="A80" s="364">
        <f t="shared" si="8"/>
        <v>19</v>
      </c>
      <c r="B80" s="365" t="s">
        <v>95</v>
      </c>
      <c r="C80" s="404">
        <f>+'[7]detail'!J185</f>
        <v>5180</v>
      </c>
      <c r="D80" s="404">
        <f>+'[7]detail'!K185</f>
        <v>1390</v>
      </c>
      <c r="E80" s="365"/>
      <c r="F80" s="375">
        <f>+'[7]power cost'!O57</f>
        <v>-171712</v>
      </c>
      <c r="G80" s="375">
        <f>+'[7]power cost'!Q57</f>
        <v>309221</v>
      </c>
    </row>
    <row r="81" spans="1:7" ht="15.75">
      <c r="A81" s="364">
        <f t="shared" si="8"/>
        <v>20</v>
      </c>
      <c r="B81" s="365" t="s">
        <v>96</v>
      </c>
      <c r="C81" s="404">
        <f>+'[7]detail'!J186</f>
        <v>5180</v>
      </c>
      <c r="D81" s="404">
        <f>+'[7]detail'!K186</f>
        <v>1390</v>
      </c>
      <c r="E81" s="365"/>
      <c r="F81" s="375">
        <f>+'[7]power cost'!O58</f>
        <v>-169424</v>
      </c>
      <c r="G81" s="375">
        <f>+'[7]power cost'!Q58</f>
        <v>196683</v>
      </c>
    </row>
    <row r="82" spans="1:7" ht="15.75">
      <c r="A82" s="364">
        <f t="shared" si="8"/>
        <v>21</v>
      </c>
      <c r="B82" s="365" t="s">
        <v>97</v>
      </c>
      <c r="C82" s="404">
        <f>+'[7]detail'!J187</f>
        <v>5110</v>
      </c>
      <c r="D82" s="404">
        <f>+'[7]detail'!K187</f>
        <v>1382</v>
      </c>
      <c r="E82" s="365"/>
      <c r="F82" s="375">
        <f>+'[7]power cost'!O59</f>
        <v>-243204</v>
      </c>
      <c r="G82" s="375">
        <f>+'[7]power cost'!Q59</f>
        <v>266978</v>
      </c>
    </row>
    <row r="83" spans="1:7" ht="15.75">
      <c r="A83" s="364">
        <f t="shared" si="8"/>
        <v>22</v>
      </c>
      <c r="B83" s="365" t="s">
        <v>98</v>
      </c>
      <c r="C83" s="404">
        <f>+'[7]detail'!J188</f>
        <v>60760</v>
      </c>
      <c r="D83" s="404">
        <f>+'[7]detail'!K188</f>
        <v>16404</v>
      </c>
      <c r="E83" s="365"/>
      <c r="F83" s="375">
        <f>+'[7]power cost'!O60</f>
        <v>-89820</v>
      </c>
      <c r="G83" s="375">
        <f>+'[7]power cost'!Q60</f>
        <v>425853</v>
      </c>
    </row>
    <row r="84" spans="1:7" ht="15.75">
      <c r="A84" s="364">
        <f t="shared" si="8"/>
        <v>23</v>
      </c>
      <c r="B84" s="365" t="s">
        <v>99</v>
      </c>
      <c r="C84" s="404" t="e">
        <f>+'[7]detail'!J189</f>
        <v>#REF!</v>
      </c>
      <c r="D84" s="404" t="e">
        <f>+'[7]detail'!K189</f>
        <v>#REF!</v>
      </c>
      <c r="E84" s="365"/>
      <c r="F84" s="375">
        <f>+'[7]power cost'!O61</f>
        <v>-110982</v>
      </c>
      <c r="G84" s="375">
        <f>+'[7]power cost'!Q61</f>
        <v>457113</v>
      </c>
    </row>
    <row r="85" spans="1:7" ht="15.75">
      <c r="A85" s="364">
        <f t="shared" si="8"/>
        <v>24</v>
      </c>
      <c r="B85" s="365" t="s">
        <v>100</v>
      </c>
      <c r="C85" s="404" t="e">
        <f>+'[7]detail'!J190</f>
        <v>#REF!</v>
      </c>
      <c r="D85" s="404" t="e">
        <f>+'[7]detail'!K190</f>
        <v>#REF!</v>
      </c>
      <c r="E85" s="365"/>
      <c r="F85" s="375">
        <f>+'[7]power cost'!O62</f>
        <v>-134650</v>
      </c>
      <c r="G85" s="375">
        <f>+'[7]power cost'!Q62</f>
        <v>364156</v>
      </c>
    </row>
    <row r="86" spans="1:10" ht="15.75">
      <c r="A86" s="364">
        <f t="shared" si="8"/>
        <v>25</v>
      </c>
      <c r="B86" s="365" t="s">
        <v>101</v>
      </c>
      <c r="C86" s="404" t="e">
        <f>+'[7]detail'!J191</f>
        <v>#REF!</v>
      </c>
      <c r="D86" s="404" t="str">
        <f>+'[7]detail'!K191</f>
        <v>Fuel</v>
      </c>
      <c r="E86" s="365"/>
      <c r="F86" s="375">
        <f>+'[7]power cost'!O63</f>
        <v>-117425</v>
      </c>
      <c r="G86" s="375">
        <f>+'[7]power cost'!Q63</f>
        <v>331163</v>
      </c>
      <c r="J86" s="403"/>
    </row>
    <row r="87" spans="1:9" ht="15.75">
      <c r="A87" s="364">
        <f t="shared" si="8"/>
        <v>26</v>
      </c>
      <c r="B87" s="365" t="s">
        <v>102</v>
      </c>
      <c r="C87" s="404" t="e">
        <f>+'[7]detail'!J192</f>
        <v>#REF!</v>
      </c>
      <c r="D87" s="404" t="str">
        <f>+'[7]detail'!K192</f>
        <v>Charge</v>
      </c>
      <c r="E87" s="365"/>
      <c r="F87" s="375">
        <f>+'[7]power cost'!O64</f>
        <v>-141395</v>
      </c>
      <c r="G87" s="375">
        <f>+'[7]power cost'!Q64</f>
        <v>325488</v>
      </c>
      <c r="H87" s="403"/>
      <c r="I87" s="403"/>
    </row>
    <row r="88" spans="1:7" ht="15.75">
      <c r="A88" s="364">
        <f t="shared" si="8"/>
        <v>27</v>
      </c>
      <c r="B88" s="365" t="s">
        <v>103</v>
      </c>
      <c r="C88" s="404" t="e">
        <f>+'[7]detail'!J193</f>
        <v>#REF!</v>
      </c>
      <c r="D88" s="404">
        <f>+'[7]detail'!K194</f>
        <v>-93896.15</v>
      </c>
      <c r="E88" s="365"/>
      <c r="F88" s="388">
        <f>+'[7]power cost'!O65</f>
        <v>-126849</v>
      </c>
      <c r="G88" s="388">
        <f>+'[7]power cost'!Q65</f>
        <v>411075</v>
      </c>
    </row>
    <row r="89" spans="1:7" ht="15.75">
      <c r="A89" s="364">
        <f t="shared" si="8"/>
        <v>28</v>
      </c>
      <c r="B89" s="365"/>
      <c r="C89" s="367"/>
      <c r="D89" s="367"/>
      <c r="E89" s="365"/>
      <c r="F89" s="365"/>
      <c r="G89" s="365"/>
    </row>
    <row r="90" spans="1:7" ht="16.5" thickBot="1">
      <c r="A90" s="364">
        <f t="shared" si="8"/>
        <v>29</v>
      </c>
      <c r="B90" s="365" t="s">
        <v>88</v>
      </c>
      <c r="C90" s="405" t="e">
        <f>SUM(C77:C88)</f>
        <v>#REF!</v>
      </c>
      <c r="D90" s="405" t="e">
        <f>SUM(D77:D88)</f>
        <v>#REF!</v>
      </c>
      <c r="E90" s="365"/>
      <c r="F90" s="387">
        <f>SUM(F77:F88)</f>
        <v>-1698947</v>
      </c>
      <c r="G90" s="387">
        <f>SUM(G77:G88)</f>
        <v>4553481</v>
      </c>
    </row>
    <row r="91" spans="1:7" ht="19.5" customHeight="1" thickTop="1">
      <c r="A91" s="364">
        <f t="shared" si="8"/>
        <v>30</v>
      </c>
      <c r="B91" s="365"/>
      <c r="C91" s="367"/>
      <c r="D91" s="404" t="e">
        <f>+C90+D90</f>
        <v>#REF!</v>
      </c>
      <c r="E91" s="365"/>
      <c r="F91" s="365"/>
      <c r="G91" s="404">
        <f>+F90+G90</f>
        <v>2854534</v>
      </c>
    </row>
    <row r="92" spans="1:7" ht="15.75">
      <c r="A92" s="364">
        <f t="shared" si="8"/>
        <v>31</v>
      </c>
      <c r="B92" s="365"/>
      <c r="C92" s="365"/>
      <c r="D92" s="365"/>
      <c r="E92" s="365"/>
      <c r="F92" s="365"/>
      <c r="G92" s="365"/>
    </row>
    <row r="93" spans="1:7" ht="15.75">
      <c r="A93" s="364">
        <f t="shared" si="8"/>
        <v>32</v>
      </c>
      <c r="B93" s="365" t="s">
        <v>518</v>
      </c>
      <c r="C93" s="365"/>
      <c r="D93" s="365"/>
      <c r="E93" s="365"/>
      <c r="F93" s="365"/>
      <c r="G93" s="365"/>
    </row>
    <row r="94" spans="1:7" ht="15.75">
      <c r="A94" s="364">
        <f t="shared" si="8"/>
        <v>33</v>
      </c>
      <c r="B94" s="365" t="s">
        <v>519</v>
      </c>
      <c r="C94" s="365"/>
      <c r="D94" s="365"/>
      <c r="E94" s="365"/>
      <c r="F94" s="398"/>
      <c r="G94" s="365"/>
    </row>
    <row r="95" spans="1:7" ht="15.75">
      <c r="A95" s="364">
        <f t="shared" si="8"/>
        <v>34</v>
      </c>
      <c r="B95" s="406" t="s">
        <v>520</v>
      </c>
      <c r="C95" s="365"/>
      <c r="D95" s="365"/>
      <c r="E95" s="365"/>
      <c r="F95" s="365"/>
      <c r="G95" s="365"/>
    </row>
    <row r="96" spans="1:7" ht="15.75">
      <c r="A96" s="364">
        <f t="shared" si="8"/>
        <v>35</v>
      </c>
      <c r="B96" s="365"/>
      <c r="C96" s="365"/>
      <c r="D96" s="365"/>
      <c r="E96" s="365"/>
      <c r="F96" s="365"/>
      <c r="G96" s="365"/>
    </row>
    <row r="97" spans="1:7" ht="15.75">
      <c r="A97" s="364">
        <f t="shared" si="8"/>
        <v>36</v>
      </c>
      <c r="B97" s="365"/>
      <c r="C97" s="365"/>
      <c r="D97" s="365"/>
      <c r="E97" s="365"/>
      <c r="F97" s="365"/>
      <c r="G97" s="365"/>
    </row>
    <row r="98" spans="1:7" ht="15.75">
      <c r="A98" s="364">
        <f t="shared" si="8"/>
        <v>37</v>
      </c>
      <c r="C98" s="365"/>
      <c r="D98" s="365"/>
      <c r="E98" s="365"/>
      <c r="F98" s="365"/>
      <c r="G98" s="365"/>
    </row>
    <row r="99" spans="1:7" ht="15.75">
      <c r="A99" s="364">
        <f t="shared" si="8"/>
        <v>38</v>
      </c>
      <c r="C99" s="365"/>
      <c r="D99" s="365"/>
      <c r="E99" s="365"/>
      <c r="F99" s="365"/>
      <c r="G99" s="365"/>
    </row>
  </sheetData>
  <sheetProtection/>
  <mergeCells count="8">
    <mergeCell ref="B67:G67"/>
    <mergeCell ref="B68:G68"/>
    <mergeCell ref="B37:E37"/>
    <mergeCell ref="B38:E38"/>
    <mergeCell ref="B39:E39"/>
    <mergeCell ref="B40:E40"/>
    <mergeCell ref="B65:G65"/>
    <mergeCell ref="B66:G6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O179"/>
  <sheetViews>
    <sheetView zoomScalePageLayoutView="0" workbookViewId="0" topLeftCell="A16">
      <selection activeCell="M24" sqref="M24"/>
    </sheetView>
  </sheetViews>
  <sheetFormatPr defaultColWidth="11.00390625" defaultRowHeight="12.75"/>
  <cols>
    <col min="1" max="1" width="14.8515625" style="0" customWidth="1"/>
    <col min="2" max="2" width="15.421875" style="0" customWidth="1"/>
    <col min="3" max="3" width="15.140625" style="0" customWidth="1"/>
    <col min="4" max="4" width="13.57421875" style="0" customWidth="1"/>
    <col min="5" max="5" width="16.140625" style="0" customWidth="1"/>
    <col min="6" max="6" width="13.28125" style="0" customWidth="1"/>
    <col min="7" max="11" width="11.00390625" style="0" customWidth="1"/>
    <col min="12" max="12" width="14.57421875" style="0" customWidth="1"/>
    <col min="13" max="13" width="13.7109375" style="0" customWidth="1"/>
    <col min="14" max="14" width="12.28125" style="0" bestFit="1" customWidth="1"/>
    <col min="15" max="15" width="13.28125" style="0" customWidth="1"/>
    <col min="16" max="16" width="14.140625" style="0" customWidth="1"/>
    <col min="17" max="17" width="14.421875" style="0" customWidth="1"/>
    <col min="18" max="19" width="12.8515625" style="0" customWidth="1"/>
    <col min="20" max="20" width="14.28125" style="0" customWidth="1"/>
    <col min="21" max="21" width="14.00390625" style="0" customWidth="1"/>
    <col min="22" max="22" width="13.57421875" style="0" customWidth="1"/>
    <col min="23" max="23" width="15.140625" style="0" customWidth="1"/>
  </cols>
  <sheetData>
    <row r="1" spans="1:67" ht="15">
      <c r="A1" s="146"/>
      <c r="B1" s="146"/>
      <c r="C1" s="146"/>
      <c r="D1" s="146"/>
      <c r="E1" s="146"/>
      <c r="F1" s="146"/>
      <c r="G1" s="146"/>
      <c r="H1" s="146"/>
      <c r="I1" s="146"/>
      <c r="J1" s="147"/>
      <c r="K1" s="148" t="s">
        <v>521</v>
      </c>
      <c r="L1" s="149"/>
      <c r="M1" s="149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</row>
    <row r="2" spans="1:67" ht="15">
      <c r="A2" s="146"/>
      <c r="B2" s="146"/>
      <c r="C2" s="146"/>
      <c r="D2" s="146"/>
      <c r="E2" s="146"/>
      <c r="F2" s="146"/>
      <c r="G2" s="146"/>
      <c r="H2" s="146"/>
      <c r="I2" s="146"/>
      <c r="J2" s="147"/>
      <c r="K2" s="148" t="s">
        <v>522</v>
      </c>
      <c r="L2" s="149"/>
      <c r="M2" s="149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</row>
    <row r="3" spans="1:67" ht="14.25">
      <c r="A3" s="146"/>
      <c r="B3" s="146"/>
      <c r="C3" s="146"/>
      <c r="D3" s="146"/>
      <c r="E3" s="146"/>
      <c r="F3" s="146"/>
      <c r="G3" s="146"/>
      <c r="H3" s="146"/>
      <c r="I3" s="146"/>
      <c r="J3" s="150"/>
      <c r="K3" s="151" t="s">
        <v>503</v>
      </c>
      <c r="L3" s="152"/>
      <c r="M3" s="152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</row>
    <row r="4" spans="1:67" ht="18">
      <c r="A4" s="436" t="str">
        <f>+'[2]rate class'!A1</f>
        <v>Cumberland Valley Electric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152"/>
      <c r="M4" s="152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</row>
    <row r="5" spans="1:67" ht="18">
      <c r="A5" s="436" t="str">
        <f>+'[2]rate class'!A2</f>
        <v>Case No.  2016-00xxx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153"/>
      <c r="M5" s="153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</row>
    <row r="6" spans="1:67" ht="14.25">
      <c r="A6" s="435" t="s">
        <v>48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</row>
    <row r="7" spans="1:67" ht="14.25">
      <c r="A7" s="435" t="s">
        <v>523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</row>
    <row r="8" spans="1:67" ht="15">
      <c r="A8" s="440">
        <f>+'[2]rate class'!A4</f>
        <v>42338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</row>
    <row r="9" spans="1:67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</row>
    <row r="10" spans="1:67" ht="18" customHeight="1">
      <c r="A10" s="146"/>
      <c r="B10" s="155" t="s">
        <v>524</v>
      </c>
      <c r="C10" s="441" t="s">
        <v>525</v>
      </c>
      <c r="D10" s="441"/>
      <c r="E10" s="441"/>
      <c r="F10" s="15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</row>
    <row r="11" spans="1:67" ht="18" customHeight="1">
      <c r="A11" s="146"/>
      <c r="B11" s="154"/>
      <c r="C11" s="438" t="s">
        <v>526</v>
      </c>
      <c r="D11" s="438"/>
      <c r="E11" s="154" t="s">
        <v>88</v>
      </c>
      <c r="F11" s="154" t="s">
        <v>527</v>
      </c>
      <c r="G11" s="154" t="s">
        <v>528</v>
      </c>
      <c r="H11" s="438" t="s">
        <v>529</v>
      </c>
      <c r="I11" s="438"/>
      <c r="J11" s="438"/>
      <c r="K11" s="438"/>
      <c r="L11" s="150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</row>
    <row r="12" spans="1:67" ht="18" customHeight="1">
      <c r="A12" s="156"/>
      <c r="B12" s="157" t="s">
        <v>526</v>
      </c>
      <c r="C12" s="157" t="s">
        <v>530</v>
      </c>
      <c r="D12" s="157" t="s">
        <v>531</v>
      </c>
      <c r="E12" s="157" t="s">
        <v>478</v>
      </c>
      <c r="F12" s="157" t="s">
        <v>371</v>
      </c>
      <c r="G12" s="157" t="s">
        <v>532</v>
      </c>
      <c r="H12" s="157">
        <v>1000</v>
      </c>
      <c r="I12" s="157">
        <v>3000</v>
      </c>
      <c r="J12" s="157">
        <v>7500</v>
      </c>
      <c r="K12" s="157">
        <v>15000</v>
      </c>
      <c r="L12" s="157"/>
      <c r="M12" s="157"/>
      <c r="N12" s="146"/>
      <c r="O12" s="146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</row>
    <row r="13" spans="1:67" ht="18" customHeight="1">
      <c r="A13" s="146" t="s">
        <v>103</v>
      </c>
      <c r="B13" s="158">
        <v>102515</v>
      </c>
      <c r="C13" s="158">
        <v>21140755</v>
      </c>
      <c r="D13" s="158">
        <v>26260493</v>
      </c>
      <c r="E13" s="158">
        <f aca="true" t="shared" si="0" ref="E13:E24">+C13+D13</f>
        <v>47401248</v>
      </c>
      <c r="F13" s="158">
        <v>2300</v>
      </c>
      <c r="G13" s="159">
        <v>18</v>
      </c>
      <c r="H13" s="159">
        <v>0</v>
      </c>
      <c r="I13" s="159">
        <v>3</v>
      </c>
      <c r="J13" s="159">
        <v>14</v>
      </c>
      <c r="K13" s="159">
        <v>1</v>
      </c>
      <c r="L13" s="158"/>
      <c r="M13" s="158"/>
      <c r="N13" s="146"/>
      <c r="O13" s="146"/>
      <c r="P13" s="158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</row>
    <row r="14" spans="1:67" ht="18" customHeight="1">
      <c r="A14" s="146" t="s">
        <v>92</v>
      </c>
      <c r="B14" s="158">
        <v>138722</v>
      </c>
      <c r="C14" s="158">
        <v>24696025</v>
      </c>
      <c r="D14" s="158">
        <v>31522111</v>
      </c>
      <c r="E14" s="158">
        <f>+C14+D14</f>
        <v>56218136</v>
      </c>
      <c r="F14" s="158">
        <v>2300</v>
      </c>
      <c r="G14" s="159">
        <v>18</v>
      </c>
      <c r="H14" s="159">
        <v>0</v>
      </c>
      <c r="I14" s="159">
        <v>3</v>
      </c>
      <c r="J14" s="159">
        <v>14</v>
      </c>
      <c r="K14" s="159">
        <v>1</v>
      </c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</row>
    <row r="15" spans="1:67" ht="18" customHeight="1">
      <c r="A15" s="146" t="s">
        <v>93</v>
      </c>
      <c r="B15" s="158">
        <v>158265</v>
      </c>
      <c r="C15" s="158">
        <v>24766977</v>
      </c>
      <c r="D15" s="158">
        <v>32107619</v>
      </c>
      <c r="E15" s="158">
        <f>+C15+D15</f>
        <v>56874596</v>
      </c>
      <c r="F15" s="158">
        <v>2300</v>
      </c>
      <c r="G15" s="159">
        <v>18</v>
      </c>
      <c r="H15" s="159">
        <v>0</v>
      </c>
      <c r="I15" s="159">
        <v>3</v>
      </c>
      <c r="J15" s="159">
        <v>14</v>
      </c>
      <c r="K15" s="159">
        <v>1</v>
      </c>
      <c r="L15" s="158"/>
      <c r="M15" s="158"/>
      <c r="N15" s="146"/>
      <c r="O15" s="146"/>
      <c r="P15" s="158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</row>
    <row r="16" spans="1:67" ht="18" customHeight="1">
      <c r="A16" s="146" t="s">
        <v>94</v>
      </c>
      <c r="B16" s="158">
        <v>125199</v>
      </c>
      <c r="C16" s="158">
        <v>18645216</v>
      </c>
      <c r="D16" s="158">
        <v>23648461</v>
      </c>
      <c r="E16" s="158">
        <f>+C16+D16</f>
        <v>42293677</v>
      </c>
      <c r="F16" s="158">
        <v>2300</v>
      </c>
      <c r="G16" s="159">
        <v>18</v>
      </c>
      <c r="H16" s="159">
        <v>0</v>
      </c>
      <c r="I16" s="159">
        <v>3</v>
      </c>
      <c r="J16" s="159">
        <v>14</v>
      </c>
      <c r="K16" s="159">
        <v>1</v>
      </c>
      <c r="L16" s="158"/>
      <c r="M16" s="158"/>
      <c r="N16" s="146"/>
      <c r="O16" s="146"/>
      <c r="P16" s="158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</row>
    <row r="17" spans="1:67" ht="18" customHeight="1">
      <c r="A17" s="146" t="s">
        <v>95</v>
      </c>
      <c r="B17" s="158">
        <v>70877</v>
      </c>
      <c r="C17" s="158">
        <v>13745870</v>
      </c>
      <c r="D17" s="158">
        <v>16891404</v>
      </c>
      <c r="E17" s="158">
        <f>+C17+D17</f>
        <v>30637274</v>
      </c>
      <c r="F17" s="158">
        <v>2300</v>
      </c>
      <c r="G17" s="159">
        <v>18</v>
      </c>
      <c r="H17" s="159">
        <v>0</v>
      </c>
      <c r="I17" s="159">
        <v>3</v>
      </c>
      <c r="J17" s="159">
        <v>14</v>
      </c>
      <c r="K17" s="159">
        <v>1</v>
      </c>
      <c r="L17" s="158"/>
      <c r="M17" s="158"/>
      <c r="N17" s="146"/>
      <c r="O17" s="146"/>
      <c r="P17" s="158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</row>
    <row r="18" spans="1:67" ht="18" customHeight="1">
      <c r="A18" s="146" t="s">
        <v>96</v>
      </c>
      <c r="B18" s="158">
        <v>63986</v>
      </c>
      <c r="C18" s="158">
        <v>19235617</v>
      </c>
      <c r="D18" s="158">
        <v>13988947</v>
      </c>
      <c r="E18" s="158">
        <f>+C18+D18</f>
        <v>33224564</v>
      </c>
      <c r="F18" s="158">
        <v>2300</v>
      </c>
      <c r="G18" s="159">
        <v>17</v>
      </c>
      <c r="H18" s="159">
        <v>0</v>
      </c>
      <c r="I18" s="159">
        <v>3</v>
      </c>
      <c r="J18" s="159">
        <v>13</v>
      </c>
      <c r="K18" s="159">
        <v>1</v>
      </c>
      <c r="L18" s="158"/>
      <c r="M18" s="158"/>
      <c r="N18" s="146"/>
      <c r="O18" s="146"/>
      <c r="P18" s="158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</row>
    <row r="19" spans="1:67" ht="18" customHeight="1">
      <c r="A19" s="146" t="s">
        <v>97</v>
      </c>
      <c r="B19" s="158">
        <v>83800</v>
      </c>
      <c r="C19" s="158">
        <v>22829495</v>
      </c>
      <c r="D19" s="158">
        <v>14910973</v>
      </c>
      <c r="E19" s="158">
        <f t="shared" si="0"/>
        <v>37740468</v>
      </c>
      <c r="F19" s="158">
        <v>2300</v>
      </c>
      <c r="G19" s="159">
        <v>17</v>
      </c>
      <c r="H19" s="159">
        <v>0</v>
      </c>
      <c r="I19" s="159">
        <v>3</v>
      </c>
      <c r="J19" s="159">
        <v>13</v>
      </c>
      <c r="K19" s="159">
        <v>1</v>
      </c>
      <c r="L19" s="158"/>
      <c r="M19" s="158"/>
      <c r="N19" s="146"/>
      <c r="O19" s="146"/>
      <c r="P19" s="158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</row>
    <row r="20" spans="1:67" ht="18" customHeight="1">
      <c r="A20" s="146" t="s">
        <v>98</v>
      </c>
      <c r="B20" s="158">
        <v>85298</v>
      </c>
      <c r="C20" s="158">
        <v>24415064</v>
      </c>
      <c r="D20" s="158">
        <v>16089065</v>
      </c>
      <c r="E20" s="158">
        <f t="shared" si="0"/>
        <v>40504129</v>
      </c>
      <c r="F20" s="158">
        <v>2300</v>
      </c>
      <c r="G20" s="159">
        <v>17</v>
      </c>
      <c r="H20" s="159">
        <v>0</v>
      </c>
      <c r="I20" s="159">
        <v>3</v>
      </c>
      <c r="J20" s="159">
        <v>13</v>
      </c>
      <c r="K20" s="159">
        <v>1</v>
      </c>
      <c r="L20" s="158"/>
      <c r="M20" s="158"/>
      <c r="N20" s="146"/>
      <c r="O20" s="146"/>
      <c r="P20" s="158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</row>
    <row r="21" spans="1:67" ht="18" customHeight="1">
      <c r="A21" s="146" t="s">
        <v>99</v>
      </c>
      <c r="B21" s="158">
        <v>82340</v>
      </c>
      <c r="C21" s="158">
        <v>22690202</v>
      </c>
      <c r="D21" s="158">
        <v>14816838</v>
      </c>
      <c r="E21" s="158">
        <f t="shared" si="0"/>
        <v>37507040</v>
      </c>
      <c r="F21" s="158">
        <v>2300</v>
      </c>
      <c r="G21" s="159">
        <f>+G20</f>
        <v>17</v>
      </c>
      <c r="H21" s="159">
        <v>0</v>
      </c>
      <c r="I21" s="159">
        <v>3</v>
      </c>
      <c r="J21" s="159">
        <v>13</v>
      </c>
      <c r="K21" s="159">
        <v>1</v>
      </c>
      <c r="L21" s="158"/>
      <c r="M21" s="158"/>
      <c r="N21" s="146"/>
      <c r="O21" s="146"/>
      <c r="P21" s="158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</row>
    <row r="22" spans="1:67" ht="18" customHeight="1">
      <c r="A22" s="146" t="s">
        <v>100</v>
      </c>
      <c r="B22" s="158">
        <v>78869</v>
      </c>
      <c r="C22" s="158">
        <v>19314298</v>
      </c>
      <c r="D22" s="158">
        <v>13303956</v>
      </c>
      <c r="E22" s="158">
        <f t="shared" si="0"/>
        <v>32618254</v>
      </c>
      <c r="F22" s="158">
        <v>2300</v>
      </c>
      <c r="G22" s="159">
        <f>+G21</f>
        <v>17</v>
      </c>
      <c r="H22" s="159">
        <v>0</v>
      </c>
      <c r="I22" s="159">
        <v>3</v>
      </c>
      <c r="J22" s="159">
        <v>13</v>
      </c>
      <c r="K22" s="159">
        <v>1</v>
      </c>
      <c r="L22" s="158"/>
      <c r="M22" s="158"/>
      <c r="N22" s="146"/>
      <c r="O22" s="146"/>
      <c r="P22" s="158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</row>
    <row r="23" spans="1:67" ht="18" customHeight="1">
      <c r="A23" s="146" t="s">
        <v>101</v>
      </c>
      <c r="B23" s="158">
        <v>74999</v>
      </c>
      <c r="C23" s="158">
        <v>14372963</v>
      </c>
      <c r="D23" s="158">
        <v>17330268</v>
      </c>
      <c r="E23" s="158">
        <f t="shared" si="0"/>
        <v>31703231</v>
      </c>
      <c r="F23" s="158">
        <v>2300</v>
      </c>
      <c r="G23" s="159">
        <f>+G22</f>
        <v>17</v>
      </c>
      <c r="H23" s="159">
        <v>0</v>
      </c>
      <c r="I23" s="159">
        <v>3</v>
      </c>
      <c r="J23" s="159">
        <v>13</v>
      </c>
      <c r="K23" s="159">
        <v>1</v>
      </c>
      <c r="L23" s="158"/>
      <c r="M23" s="158"/>
      <c r="N23" s="146"/>
      <c r="O23" s="146"/>
      <c r="P23" s="158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</row>
    <row r="24" spans="1:67" ht="18" customHeight="1">
      <c r="A24" s="146" t="s">
        <v>102</v>
      </c>
      <c r="B24" s="158">
        <v>95653</v>
      </c>
      <c r="C24" s="158">
        <v>15907230</v>
      </c>
      <c r="D24" s="158">
        <v>19426886</v>
      </c>
      <c r="E24" s="158">
        <f t="shared" si="0"/>
        <v>35334116</v>
      </c>
      <c r="F24" s="158">
        <v>2300</v>
      </c>
      <c r="G24" s="159">
        <f>+G23</f>
        <v>17</v>
      </c>
      <c r="H24" s="159">
        <v>0</v>
      </c>
      <c r="I24" s="159">
        <v>3</v>
      </c>
      <c r="J24" s="159">
        <v>13</v>
      </c>
      <c r="K24" s="159">
        <v>1</v>
      </c>
      <c r="L24" s="158"/>
      <c r="M24" s="158"/>
      <c r="N24" s="146"/>
      <c r="O24" s="146"/>
      <c r="P24" s="158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</row>
    <row r="25" spans="1:67" ht="18" customHeight="1">
      <c r="A25" s="146"/>
      <c r="B25" s="158"/>
      <c r="C25" s="158"/>
      <c r="D25" s="158"/>
      <c r="E25" s="158"/>
      <c r="F25" s="158"/>
      <c r="G25" s="154"/>
      <c r="H25" s="154"/>
      <c r="I25" s="154"/>
      <c r="J25" s="154"/>
      <c r="K25" s="154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</row>
    <row r="26" spans="1:67" ht="18" customHeight="1">
      <c r="A26" s="146" t="s">
        <v>88</v>
      </c>
      <c r="B26" s="158">
        <f aca="true" t="shared" si="1" ref="B26:G26">SUM(B13:B24)</f>
        <v>1160523</v>
      </c>
      <c r="C26" s="158">
        <f t="shared" si="1"/>
        <v>241759712</v>
      </c>
      <c r="D26" s="158">
        <f t="shared" si="1"/>
        <v>240297021</v>
      </c>
      <c r="E26" s="158">
        <f t="shared" si="1"/>
        <v>482056733</v>
      </c>
      <c r="F26" s="158">
        <f t="shared" si="1"/>
        <v>27600</v>
      </c>
      <c r="G26" s="159">
        <f t="shared" si="1"/>
        <v>209</v>
      </c>
      <c r="H26" s="159">
        <f>SUM(H13:H24)</f>
        <v>0</v>
      </c>
      <c r="I26" s="159">
        <f>SUM(I13:I24)</f>
        <v>36</v>
      </c>
      <c r="J26" s="159">
        <f>SUM(J13:J24)</f>
        <v>161</v>
      </c>
      <c r="K26" s="159">
        <f>SUM(K13:K24)</f>
        <v>12</v>
      </c>
      <c r="L26" s="158"/>
      <c r="M26" s="158"/>
      <c r="N26" s="146"/>
      <c r="O26" s="146"/>
      <c r="P26" s="158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</row>
    <row r="27" spans="1:67" ht="18" customHeight="1">
      <c r="A27" s="146"/>
      <c r="B27" s="146"/>
      <c r="C27" s="146"/>
      <c r="D27" s="146"/>
      <c r="E27" s="146"/>
      <c r="F27" s="146"/>
      <c r="G27" s="154"/>
      <c r="H27" s="154"/>
      <c r="I27" s="154"/>
      <c r="J27" s="154"/>
      <c r="K27" s="154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</row>
    <row r="28" spans="1:67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</row>
    <row r="29" spans="1:67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O29" s="146"/>
      <c r="P29" s="146"/>
      <c r="Q29" s="146"/>
      <c r="R29" s="151" t="s">
        <v>533</v>
      </c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</row>
    <row r="30" spans="1:67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O30" s="146"/>
      <c r="P30" s="146"/>
      <c r="Q30" s="146"/>
      <c r="R30" s="151" t="s">
        <v>534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</row>
    <row r="31" spans="1:67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O31" s="146"/>
      <c r="P31" s="146"/>
      <c r="Q31" s="146"/>
      <c r="R31" s="151" t="s">
        <v>503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</row>
    <row r="32" spans="1:67" ht="18">
      <c r="A32" s="436" t="str">
        <f>+A4</f>
        <v>Cumberland Valley Electric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160"/>
      <c r="P32" s="160"/>
      <c r="Q32" s="160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</row>
    <row r="33" spans="1:67" ht="18">
      <c r="A33" s="436" t="str">
        <f>+A5</f>
        <v>Case No.  2016-00xxx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160"/>
      <c r="P33" s="160"/>
      <c r="Q33" s="160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</row>
    <row r="34" spans="1:67" ht="14.25">
      <c r="A34" s="435" t="s">
        <v>48</v>
      </c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152"/>
      <c r="P34" s="152"/>
      <c r="Q34" s="152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</row>
    <row r="35" spans="1:67" ht="14.25">
      <c r="A35" s="437">
        <f>+A8</f>
        <v>42338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152"/>
      <c r="P35" s="152"/>
      <c r="Q35" s="152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</row>
    <row r="36" spans="1:67" ht="14.25">
      <c r="A36" s="146" t="s">
        <v>535</v>
      </c>
      <c r="B36" s="146"/>
      <c r="C36" s="146"/>
      <c r="D36" s="146"/>
      <c r="E36" s="154"/>
      <c r="F36" s="154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</row>
    <row r="37" spans="1:67" ht="14.25">
      <c r="A37" s="146" t="s">
        <v>536</v>
      </c>
      <c r="B37" s="146"/>
      <c r="C37" s="146"/>
      <c r="D37" s="161"/>
      <c r="E37" s="162"/>
      <c r="F37" s="16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</row>
    <row r="38" spans="1:67" ht="14.25">
      <c r="A38" s="146" t="s">
        <v>537</v>
      </c>
      <c r="B38" s="146"/>
      <c r="C38" s="163"/>
      <c r="D38" s="163">
        <v>7.17</v>
      </c>
      <c r="E38" s="163"/>
      <c r="F38" s="163"/>
      <c r="G38" s="164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</row>
    <row r="39" spans="1:67" ht="14.25">
      <c r="A39" s="146" t="s">
        <v>538</v>
      </c>
      <c r="B39" s="146"/>
      <c r="C39" s="163"/>
      <c r="D39" s="163">
        <v>6.02</v>
      </c>
      <c r="E39" s="163"/>
      <c r="F39" s="163"/>
      <c r="G39" s="164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</row>
    <row r="40" spans="1:67" ht="14.25">
      <c r="A40" s="146" t="s">
        <v>539</v>
      </c>
      <c r="B40" s="146"/>
      <c r="C40" s="165"/>
      <c r="D40" s="165">
        <v>0.042882</v>
      </c>
      <c r="E40" s="165"/>
      <c r="F40" s="165"/>
      <c r="G40" s="164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</row>
    <row r="41" spans="1:67" ht="14.25">
      <c r="A41" s="146" t="s">
        <v>540</v>
      </c>
      <c r="B41" s="146"/>
      <c r="C41" s="165"/>
      <c r="D41" s="165">
        <v>0.053279</v>
      </c>
      <c r="E41" s="165"/>
      <c r="F41" s="165"/>
      <c r="G41" s="164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</row>
    <row r="42" spans="1:67" ht="14.25">
      <c r="A42" s="146" t="s">
        <v>541</v>
      </c>
      <c r="B42" s="146"/>
      <c r="C42" s="165"/>
      <c r="D42" s="165">
        <v>0.044554</v>
      </c>
      <c r="E42" s="165"/>
      <c r="F42" s="165"/>
      <c r="G42" s="164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</row>
    <row r="43" spans="1:67" ht="14.25">
      <c r="A43" s="146" t="s">
        <v>542</v>
      </c>
      <c r="B43" s="146"/>
      <c r="C43" s="165"/>
      <c r="D43" s="166">
        <v>1088</v>
      </c>
      <c r="E43" s="166"/>
      <c r="F43" s="166"/>
      <c r="G43" s="164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</row>
    <row r="44" spans="1:67" ht="14.25">
      <c r="A44" s="146" t="s">
        <v>543</v>
      </c>
      <c r="B44" s="146"/>
      <c r="C44" s="166"/>
      <c r="D44" s="166">
        <v>2737</v>
      </c>
      <c r="E44" s="166"/>
      <c r="F44" s="166"/>
      <c r="G44" s="164"/>
      <c r="H44" s="146"/>
      <c r="I44" s="146"/>
      <c r="J44" s="146"/>
      <c r="K44" s="146"/>
      <c r="L44" s="146"/>
      <c r="M44" s="146"/>
      <c r="N44" s="166"/>
      <c r="O44" s="166"/>
      <c r="P44" s="16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</row>
    <row r="45" spans="1:67" ht="14.25">
      <c r="A45" s="146" t="s">
        <v>544</v>
      </c>
      <c r="B45" s="146"/>
      <c r="C45" s="166"/>
      <c r="D45" s="166">
        <v>3292</v>
      </c>
      <c r="E45" s="166"/>
      <c r="F45" s="166"/>
      <c r="G45" s="164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</row>
    <row r="46" spans="1:67" ht="14.25">
      <c r="A46" s="146" t="s">
        <v>545</v>
      </c>
      <c r="B46" s="146"/>
      <c r="C46" s="166"/>
      <c r="D46" s="166">
        <v>5310</v>
      </c>
      <c r="E46" s="166"/>
      <c r="F46" s="166"/>
      <c r="G46" s="164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</row>
    <row r="47" spans="1:67" ht="14.25">
      <c r="A47" s="146" t="s">
        <v>546</v>
      </c>
      <c r="B47" s="146"/>
      <c r="C47" s="166"/>
      <c r="D47" s="166">
        <v>144</v>
      </c>
      <c r="E47" s="166"/>
      <c r="F47" s="166"/>
      <c r="G47" s="164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</row>
    <row r="48" spans="1:67" ht="14.25">
      <c r="A48" s="146" t="s">
        <v>547</v>
      </c>
      <c r="B48" s="146"/>
      <c r="C48" s="165"/>
      <c r="D48" s="165">
        <v>0.02375</v>
      </c>
      <c r="E48" s="165"/>
      <c r="F48" s="165"/>
      <c r="G48" s="164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</row>
    <row r="49" spans="1:67" ht="14.25">
      <c r="A49" s="146"/>
      <c r="B49" s="146"/>
      <c r="C49" s="165"/>
      <c r="D49" s="165"/>
      <c r="E49" s="165"/>
      <c r="F49" s="165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</row>
    <row r="50" spans="1:67" ht="14.25">
      <c r="A50" s="146"/>
      <c r="B50" s="154" t="s">
        <v>524</v>
      </c>
      <c r="D50" s="150" t="s">
        <v>525</v>
      </c>
      <c r="E50" s="150"/>
      <c r="F50" s="150"/>
      <c r="G50" s="154"/>
      <c r="H50" s="150"/>
      <c r="I50" s="150" t="s">
        <v>529</v>
      </c>
      <c r="J50" s="150"/>
      <c r="K50" s="150"/>
      <c r="L50" s="154"/>
      <c r="M50" s="154"/>
      <c r="N50" s="154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</row>
    <row r="51" spans="1:67" ht="14.25">
      <c r="A51" s="146"/>
      <c r="B51" s="154"/>
      <c r="C51" s="167" t="s">
        <v>548</v>
      </c>
      <c r="D51" s="150" t="s">
        <v>526</v>
      </c>
      <c r="E51" s="150"/>
      <c r="F51" s="154" t="s">
        <v>42</v>
      </c>
      <c r="G51" s="154" t="s">
        <v>527</v>
      </c>
      <c r="H51" s="154" t="s">
        <v>549</v>
      </c>
      <c r="I51" s="146"/>
      <c r="J51" s="154"/>
      <c r="K51" s="154"/>
      <c r="L51" s="146"/>
      <c r="M51" s="154"/>
      <c r="N51" s="154" t="s">
        <v>550</v>
      </c>
      <c r="O51" s="154" t="s">
        <v>516</v>
      </c>
      <c r="P51" s="146"/>
      <c r="Q51" s="150" t="s">
        <v>515</v>
      </c>
      <c r="R51" s="154"/>
      <c r="S51" s="154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</row>
    <row r="52" spans="1:67" ht="14.25">
      <c r="A52" s="146"/>
      <c r="B52" s="157" t="s">
        <v>526</v>
      </c>
      <c r="C52" s="168" t="s">
        <v>551</v>
      </c>
      <c r="D52" s="157" t="s">
        <v>530</v>
      </c>
      <c r="E52" s="157" t="s">
        <v>531</v>
      </c>
      <c r="F52" s="157" t="s">
        <v>552</v>
      </c>
      <c r="G52" s="157" t="s">
        <v>371</v>
      </c>
      <c r="H52" s="157" t="s">
        <v>532</v>
      </c>
      <c r="I52" s="157">
        <v>1000</v>
      </c>
      <c r="J52" s="157">
        <v>3000</v>
      </c>
      <c r="K52" s="157">
        <v>7500</v>
      </c>
      <c r="L52" s="157">
        <v>15000</v>
      </c>
      <c r="M52" s="157" t="s">
        <v>88</v>
      </c>
      <c r="N52" s="157" t="s">
        <v>553</v>
      </c>
      <c r="O52" s="157" t="s">
        <v>468</v>
      </c>
      <c r="P52" s="157" t="s">
        <v>554</v>
      </c>
      <c r="Q52" s="157" t="s">
        <v>517</v>
      </c>
      <c r="R52" s="157" t="s">
        <v>88</v>
      </c>
      <c r="S52" s="157" t="s">
        <v>555</v>
      </c>
      <c r="T52" s="157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</row>
    <row r="53" spans="1:67" ht="14.25">
      <c r="A53" s="146"/>
      <c r="B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</row>
    <row r="54" spans="1:67" ht="18" customHeight="1">
      <c r="A54" s="146" t="s">
        <v>103</v>
      </c>
      <c r="B54" s="169">
        <f aca="true" t="shared" si="2" ref="B54:B65">(+B13*$D$39)</f>
        <v>617140.2999999999</v>
      </c>
      <c r="C54" s="169"/>
      <c r="D54" s="169">
        <f aca="true" t="shared" si="3" ref="D54:D64">+C13*$D$41</f>
        <v>1126358.285645</v>
      </c>
      <c r="E54" s="169">
        <f aca="true" t="shared" si="4" ref="E54:E65">+D13*$D$42</f>
        <v>1170010.0051220001</v>
      </c>
      <c r="F54" s="169">
        <f aca="true" t="shared" si="5" ref="F54:F63">SUM(D54:E54)</f>
        <v>2296368.290767</v>
      </c>
      <c r="G54" s="169">
        <f aca="true" t="shared" si="6" ref="G54:G65">+$D$48*F13</f>
        <v>54.625</v>
      </c>
      <c r="H54" s="169">
        <f aca="true" t="shared" si="7" ref="H54:H65">SUM(G13*$D$47)</f>
        <v>2592</v>
      </c>
      <c r="I54" s="169">
        <f aca="true" t="shared" si="8" ref="I54:I65">+H13*$D$43</f>
        <v>0</v>
      </c>
      <c r="J54" s="169">
        <f aca="true" t="shared" si="9" ref="J54:J65">+I13*$D$44</f>
        <v>8211</v>
      </c>
      <c r="K54" s="169">
        <f aca="true" t="shared" si="10" ref="K54:K65">+J13*$D$45</f>
        <v>46088</v>
      </c>
      <c r="L54" s="169">
        <f aca="true" t="shared" si="11" ref="L54:L65">+K13*$D$46</f>
        <v>5310</v>
      </c>
      <c r="M54" s="169">
        <f>SUM(I54:L54)</f>
        <v>59609</v>
      </c>
      <c r="N54" s="169">
        <f>+B54+C54+F54+G54+H54+M54</f>
        <v>2975764.215767</v>
      </c>
      <c r="O54" s="169">
        <v>-37919</v>
      </c>
      <c r="P54" s="169">
        <v>-2713</v>
      </c>
      <c r="Q54" s="169">
        <v>497956</v>
      </c>
      <c r="R54" s="169">
        <f aca="true" t="shared" si="12" ref="R54:R65">SUM(N54:Q54)</f>
        <v>3433088.215767</v>
      </c>
      <c r="S54" s="169">
        <v>3433087</v>
      </c>
      <c r="T54" s="169">
        <f aca="true" t="shared" si="13" ref="T54:T63">+S54-R54</f>
        <v>-1.2157669998705387</v>
      </c>
      <c r="U54" s="169"/>
      <c r="V54" s="169"/>
      <c r="W54" s="169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</row>
    <row r="55" spans="1:67" ht="18" customHeight="1">
      <c r="A55" s="146" t="s">
        <v>92</v>
      </c>
      <c r="B55" s="169">
        <f t="shared" si="2"/>
        <v>835106.44</v>
      </c>
      <c r="C55" s="169"/>
      <c r="D55" s="169">
        <f t="shared" si="3"/>
        <v>1315779.515975</v>
      </c>
      <c r="E55" s="169">
        <f t="shared" si="4"/>
        <v>1404436.1334940002</v>
      </c>
      <c r="F55" s="169">
        <f t="shared" si="5"/>
        <v>2720215.6494690003</v>
      </c>
      <c r="G55" s="169">
        <f t="shared" si="6"/>
        <v>54.625</v>
      </c>
      <c r="H55" s="169">
        <f t="shared" si="7"/>
        <v>2592</v>
      </c>
      <c r="I55" s="169">
        <f t="shared" si="8"/>
        <v>0</v>
      </c>
      <c r="J55" s="169">
        <f t="shared" si="9"/>
        <v>8211</v>
      </c>
      <c r="K55" s="169">
        <f t="shared" si="10"/>
        <v>46088</v>
      </c>
      <c r="L55" s="169">
        <f t="shared" si="11"/>
        <v>5310</v>
      </c>
      <c r="M55" s="169">
        <f aca="true" t="shared" si="14" ref="M55:M63">SUM(I55:L55)</f>
        <v>59609</v>
      </c>
      <c r="N55" s="169">
        <f aca="true" t="shared" si="15" ref="N55:N65">+B55+C55+F55+G55+H55+M55</f>
        <v>3617577.714469</v>
      </c>
      <c r="O55" s="169">
        <v>-186080</v>
      </c>
      <c r="P55" s="169">
        <v>-2656</v>
      </c>
      <c r="Q55" s="169">
        <v>476284</v>
      </c>
      <c r="R55" s="169">
        <f t="shared" si="12"/>
        <v>3905125.714469</v>
      </c>
      <c r="S55" s="169">
        <v>3905125</v>
      </c>
      <c r="T55" s="169">
        <f t="shared" si="13"/>
        <v>-0.7144690002314746</v>
      </c>
      <c r="U55" s="169"/>
      <c r="V55" s="169"/>
      <c r="W55" s="169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</row>
    <row r="56" spans="1:67" ht="18" customHeight="1">
      <c r="A56" s="146" t="s">
        <v>93</v>
      </c>
      <c r="B56" s="169">
        <f t="shared" si="2"/>
        <v>952755.2999999999</v>
      </c>
      <c r="C56" s="169"/>
      <c r="D56" s="169">
        <f t="shared" si="3"/>
        <v>1319559.767583</v>
      </c>
      <c r="E56" s="169">
        <f t="shared" si="4"/>
        <v>1430522.8569260002</v>
      </c>
      <c r="F56" s="169">
        <f t="shared" si="5"/>
        <v>2750082.624509</v>
      </c>
      <c r="G56" s="169">
        <f t="shared" si="6"/>
        <v>54.625</v>
      </c>
      <c r="H56" s="169">
        <f t="shared" si="7"/>
        <v>2592</v>
      </c>
      <c r="I56" s="169">
        <f t="shared" si="8"/>
        <v>0</v>
      </c>
      <c r="J56" s="169">
        <f t="shared" si="9"/>
        <v>8211</v>
      </c>
      <c r="K56" s="169">
        <f t="shared" si="10"/>
        <v>46088</v>
      </c>
      <c r="L56" s="169">
        <f t="shared" si="11"/>
        <v>5310</v>
      </c>
      <c r="M56" s="169">
        <f t="shared" si="14"/>
        <v>59609</v>
      </c>
      <c r="N56" s="169">
        <f t="shared" si="15"/>
        <v>3765093.549509</v>
      </c>
      <c r="O56" s="169">
        <v>-169487</v>
      </c>
      <c r="P56" s="169">
        <v>-2686</v>
      </c>
      <c r="Q56" s="169">
        <v>491511</v>
      </c>
      <c r="R56" s="169">
        <f t="shared" si="12"/>
        <v>4084431.549509</v>
      </c>
      <c r="S56" s="169">
        <v>4084433</v>
      </c>
      <c r="T56" s="169">
        <f t="shared" si="13"/>
        <v>1.4504909999668598</v>
      </c>
      <c r="U56" s="169"/>
      <c r="V56" s="169"/>
      <c r="W56" s="169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</row>
    <row r="57" spans="1:67" ht="18" customHeight="1">
      <c r="A57" s="146" t="s">
        <v>94</v>
      </c>
      <c r="B57" s="169">
        <f t="shared" si="2"/>
        <v>753697.98</v>
      </c>
      <c r="C57" s="169"/>
      <c r="D57" s="169">
        <f t="shared" si="3"/>
        <v>993398.463264</v>
      </c>
      <c r="E57" s="169">
        <f t="shared" si="4"/>
        <v>1053633.5313940002</v>
      </c>
      <c r="F57" s="169">
        <f t="shared" si="5"/>
        <v>2047031.9946580003</v>
      </c>
      <c r="G57" s="169">
        <f t="shared" si="6"/>
        <v>54.625</v>
      </c>
      <c r="H57" s="169">
        <f t="shared" si="7"/>
        <v>2592</v>
      </c>
      <c r="I57" s="169">
        <f t="shared" si="8"/>
        <v>0</v>
      </c>
      <c r="J57" s="169">
        <f t="shared" si="9"/>
        <v>8211</v>
      </c>
      <c r="K57" s="169">
        <f t="shared" si="10"/>
        <v>46088</v>
      </c>
      <c r="L57" s="169">
        <f t="shared" si="11"/>
        <v>5310</v>
      </c>
      <c r="M57" s="169">
        <f t="shared" si="14"/>
        <v>59609</v>
      </c>
      <c r="N57" s="169">
        <f t="shared" si="15"/>
        <v>2862985.5996580003</v>
      </c>
      <c r="O57" s="169">
        <v>-171712</v>
      </c>
      <c r="P57" s="169">
        <v>-2635</v>
      </c>
      <c r="Q57" s="169">
        <v>309221</v>
      </c>
      <c r="R57" s="169">
        <f t="shared" si="12"/>
        <v>2997859.5996580003</v>
      </c>
      <c r="S57" s="169">
        <v>2997862</v>
      </c>
      <c r="T57" s="169">
        <f t="shared" si="13"/>
        <v>2.4003419997170568</v>
      </c>
      <c r="U57" s="169"/>
      <c r="V57" s="169"/>
      <c r="W57" s="169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</row>
    <row r="58" spans="1:67" ht="18" customHeight="1">
      <c r="A58" s="146" t="s">
        <v>95</v>
      </c>
      <c r="B58" s="169">
        <f t="shared" si="2"/>
        <v>426679.54</v>
      </c>
      <c r="C58" s="169"/>
      <c r="D58" s="169">
        <f t="shared" si="3"/>
        <v>732366.20773</v>
      </c>
      <c r="E58" s="169">
        <f t="shared" si="4"/>
        <v>752579.613816</v>
      </c>
      <c r="F58" s="169">
        <f t="shared" si="5"/>
        <v>1484945.821546</v>
      </c>
      <c r="G58" s="169">
        <f t="shared" si="6"/>
        <v>54.625</v>
      </c>
      <c r="H58" s="169">
        <f t="shared" si="7"/>
        <v>2592</v>
      </c>
      <c r="I58" s="169">
        <f t="shared" si="8"/>
        <v>0</v>
      </c>
      <c r="J58" s="169">
        <f t="shared" si="9"/>
        <v>8211</v>
      </c>
      <c r="K58" s="169">
        <f t="shared" si="10"/>
        <v>46088</v>
      </c>
      <c r="L58" s="169">
        <f t="shared" si="11"/>
        <v>5310</v>
      </c>
      <c r="M58" s="169">
        <f t="shared" si="14"/>
        <v>59609</v>
      </c>
      <c r="N58" s="169">
        <f t="shared" si="15"/>
        <v>1973880.986546</v>
      </c>
      <c r="O58" s="169">
        <v>-169424</v>
      </c>
      <c r="P58" s="169">
        <v>-2712</v>
      </c>
      <c r="Q58" s="169">
        <v>196683</v>
      </c>
      <c r="R58" s="169">
        <f t="shared" si="12"/>
        <v>1998427.986546</v>
      </c>
      <c r="S58" s="169">
        <v>1998428</v>
      </c>
      <c r="T58" s="169">
        <f t="shared" si="13"/>
        <v>0.013453999999910593</v>
      </c>
      <c r="U58" s="169"/>
      <c r="V58" s="169"/>
      <c r="W58" s="169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</row>
    <row r="59" spans="1:67" ht="18" customHeight="1">
      <c r="A59" s="146" t="s">
        <v>96</v>
      </c>
      <c r="B59" s="169">
        <f>(+B18*$D$39)</f>
        <v>385195.72</v>
      </c>
      <c r="C59" s="169"/>
      <c r="D59" s="169">
        <f t="shared" si="3"/>
        <v>1024854.438143</v>
      </c>
      <c r="E59" s="169">
        <f t="shared" si="4"/>
        <v>623263.5446380001</v>
      </c>
      <c r="F59" s="169">
        <f t="shared" si="5"/>
        <v>1648117.982781</v>
      </c>
      <c r="G59" s="169">
        <f t="shared" si="6"/>
        <v>54.625</v>
      </c>
      <c r="H59" s="169">
        <f t="shared" si="7"/>
        <v>2448</v>
      </c>
      <c r="I59" s="169">
        <f t="shared" si="8"/>
        <v>0</v>
      </c>
      <c r="J59" s="169">
        <f t="shared" si="9"/>
        <v>8211</v>
      </c>
      <c r="K59" s="169">
        <f t="shared" si="10"/>
        <v>42796</v>
      </c>
      <c r="L59" s="169">
        <f t="shared" si="11"/>
        <v>5310</v>
      </c>
      <c r="M59" s="169">
        <f t="shared" si="14"/>
        <v>56317</v>
      </c>
      <c r="N59" s="169">
        <f t="shared" si="15"/>
        <v>2092133.327781</v>
      </c>
      <c r="O59" s="169">
        <v>-243204</v>
      </c>
      <c r="P59" s="169">
        <v>-3060</v>
      </c>
      <c r="Q59" s="169">
        <v>266978</v>
      </c>
      <c r="R59" s="169">
        <f t="shared" si="12"/>
        <v>2112847.327781</v>
      </c>
      <c r="S59" s="169">
        <v>2112845</v>
      </c>
      <c r="T59" s="169">
        <f t="shared" si="13"/>
        <v>-2.327781000174582</v>
      </c>
      <c r="U59" s="169"/>
      <c r="V59" s="169"/>
      <c r="W59" s="169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</row>
    <row r="60" spans="1:67" ht="18" customHeight="1">
      <c r="A60" s="146" t="s">
        <v>97</v>
      </c>
      <c r="B60" s="169">
        <f t="shared" si="2"/>
        <v>504475.99999999994</v>
      </c>
      <c r="C60" s="169"/>
      <c r="D60" s="169">
        <f t="shared" si="3"/>
        <v>1216332.664105</v>
      </c>
      <c r="E60" s="169">
        <f t="shared" si="4"/>
        <v>664343.491042</v>
      </c>
      <c r="F60" s="169">
        <f t="shared" si="5"/>
        <v>1880676.155147</v>
      </c>
      <c r="G60" s="169">
        <f t="shared" si="6"/>
        <v>54.625</v>
      </c>
      <c r="H60" s="169">
        <f t="shared" si="7"/>
        <v>2448</v>
      </c>
      <c r="I60" s="169">
        <f t="shared" si="8"/>
        <v>0</v>
      </c>
      <c r="J60" s="169">
        <f t="shared" si="9"/>
        <v>8211</v>
      </c>
      <c r="K60" s="169">
        <f t="shared" si="10"/>
        <v>42796</v>
      </c>
      <c r="L60" s="169">
        <f t="shared" si="11"/>
        <v>5310</v>
      </c>
      <c r="M60" s="169">
        <f t="shared" si="14"/>
        <v>56317</v>
      </c>
      <c r="N60" s="169">
        <f t="shared" si="15"/>
        <v>2443971.7801469998</v>
      </c>
      <c r="O60" s="169">
        <v>-89820</v>
      </c>
      <c r="P60" s="169">
        <v>-3238</v>
      </c>
      <c r="Q60" s="169">
        <v>425853</v>
      </c>
      <c r="R60" s="169">
        <f t="shared" si="12"/>
        <v>2776766.7801469998</v>
      </c>
      <c r="S60" s="169">
        <v>2776767</v>
      </c>
      <c r="T60" s="169">
        <f t="shared" si="13"/>
        <v>0.21985300024971366</v>
      </c>
      <c r="U60" s="169"/>
      <c r="V60" s="169"/>
      <c r="W60" s="169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</row>
    <row r="61" spans="1:67" ht="18" customHeight="1">
      <c r="A61" s="146" t="s">
        <v>98</v>
      </c>
      <c r="B61" s="169">
        <f t="shared" si="2"/>
        <v>513493.95999999996</v>
      </c>
      <c r="C61" s="169"/>
      <c r="D61" s="169">
        <f t="shared" si="3"/>
        <v>1300810.194856</v>
      </c>
      <c r="E61" s="169">
        <f t="shared" si="4"/>
        <v>716832.20201</v>
      </c>
      <c r="F61" s="169">
        <f t="shared" si="5"/>
        <v>2017642.3968659998</v>
      </c>
      <c r="G61" s="169">
        <f t="shared" si="6"/>
        <v>54.625</v>
      </c>
      <c r="H61" s="169">
        <f t="shared" si="7"/>
        <v>2448</v>
      </c>
      <c r="I61" s="169">
        <f t="shared" si="8"/>
        <v>0</v>
      </c>
      <c r="J61" s="169">
        <f t="shared" si="9"/>
        <v>8211</v>
      </c>
      <c r="K61" s="169">
        <f t="shared" si="10"/>
        <v>42796</v>
      </c>
      <c r="L61" s="169">
        <f t="shared" si="11"/>
        <v>5310</v>
      </c>
      <c r="M61" s="169">
        <f t="shared" si="14"/>
        <v>56317</v>
      </c>
      <c r="N61" s="169">
        <f t="shared" si="15"/>
        <v>2589955.9818659998</v>
      </c>
      <c r="O61" s="169">
        <v>-110982</v>
      </c>
      <c r="P61" s="169">
        <v>-3289</v>
      </c>
      <c r="Q61" s="169">
        <v>457113</v>
      </c>
      <c r="R61" s="169">
        <f t="shared" si="12"/>
        <v>2932797.9818659998</v>
      </c>
      <c r="S61" s="169">
        <v>2932799</v>
      </c>
      <c r="T61" s="169">
        <f t="shared" si="13"/>
        <v>1.0181340002454817</v>
      </c>
      <c r="U61" s="169"/>
      <c r="V61" s="169"/>
      <c r="W61" s="169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</row>
    <row r="62" spans="1:67" ht="18" customHeight="1">
      <c r="A62" s="146" t="s">
        <v>99</v>
      </c>
      <c r="B62" s="169">
        <f t="shared" si="2"/>
        <v>495686.8</v>
      </c>
      <c r="C62" s="169"/>
      <c r="D62" s="169">
        <f t="shared" si="3"/>
        <v>1208911.272358</v>
      </c>
      <c r="E62" s="169">
        <f t="shared" si="4"/>
        <v>660149.4002520001</v>
      </c>
      <c r="F62" s="169">
        <f t="shared" si="5"/>
        <v>1869060.6726100002</v>
      </c>
      <c r="G62" s="169">
        <f t="shared" si="6"/>
        <v>54.625</v>
      </c>
      <c r="H62" s="169">
        <f t="shared" si="7"/>
        <v>2448</v>
      </c>
      <c r="I62" s="169">
        <f t="shared" si="8"/>
        <v>0</v>
      </c>
      <c r="J62" s="169">
        <f t="shared" si="9"/>
        <v>8211</v>
      </c>
      <c r="K62" s="169">
        <f t="shared" si="10"/>
        <v>42796</v>
      </c>
      <c r="L62" s="169">
        <f t="shared" si="11"/>
        <v>5310</v>
      </c>
      <c r="M62" s="169">
        <f t="shared" si="14"/>
        <v>56317</v>
      </c>
      <c r="N62" s="169">
        <f t="shared" si="15"/>
        <v>2423567.09761</v>
      </c>
      <c r="O62" s="169">
        <v>-134650</v>
      </c>
      <c r="P62" s="169">
        <v>-3230</v>
      </c>
      <c r="Q62" s="169">
        <v>364156</v>
      </c>
      <c r="R62" s="169">
        <f t="shared" si="12"/>
        <v>2649843.09761</v>
      </c>
      <c r="S62" s="169">
        <v>2649845</v>
      </c>
      <c r="T62" s="169">
        <f t="shared" si="13"/>
        <v>1.9023899999447167</v>
      </c>
      <c r="U62" s="169"/>
      <c r="V62" s="169"/>
      <c r="W62" s="169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</row>
    <row r="63" spans="1:67" ht="18" customHeight="1">
      <c r="A63" s="146" t="s">
        <v>100</v>
      </c>
      <c r="B63" s="169">
        <f t="shared" si="2"/>
        <v>474791.37999999995</v>
      </c>
      <c r="C63" s="169"/>
      <c r="D63" s="169">
        <f t="shared" si="3"/>
        <v>1029046.483142</v>
      </c>
      <c r="E63" s="169">
        <f t="shared" si="4"/>
        <v>592744.455624</v>
      </c>
      <c r="F63" s="169">
        <f t="shared" si="5"/>
        <v>1621790.938766</v>
      </c>
      <c r="G63" s="169">
        <f t="shared" si="6"/>
        <v>54.625</v>
      </c>
      <c r="H63" s="169">
        <f t="shared" si="7"/>
        <v>2448</v>
      </c>
      <c r="I63" s="169">
        <f t="shared" si="8"/>
        <v>0</v>
      </c>
      <c r="J63" s="169">
        <f t="shared" si="9"/>
        <v>8211</v>
      </c>
      <c r="K63" s="169">
        <f t="shared" si="10"/>
        <v>42796</v>
      </c>
      <c r="L63" s="169">
        <f t="shared" si="11"/>
        <v>5310</v>
      </c>
      <c r="M63" s="169">
        <f t="shared" si="14"/>
        <v>56317</v>
      </c>
      <c r="N63" s="169">
        <f t="shared" si="15"/>
        <v>2155401.9437659997</v>
      </c>
      <c r="O63" s="169">
        <v>-117425</v>
      </c>
      <c r="P63" s="169">
        <v>-3246</v>
      </c>
      <c r="Q63" s="169">
        <v>331163</v>
      </c>
      <c r="R63" s="169">
        <f t="shared" si="12"/>
        <v>2365893.9437659997</v>
      </c>
      <c r="S63" s="169">
        <v>2365895</v>
      </c>
      <c r="T63" s="169">
        <f t="shared" si="13"/>
        <v>1.0562340002506971</v>
      </c>
      <c r="U63" s="169"/>
      <c r="V63" s="169"/>
      <c r="W63" s="169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</row>
    <row r="64" spans="1:67" ht="18" customHeight="1">
      <c r="A64" s="146" t="s">
        <v>101</v>
      </c>
      <c r="B64" s="169">
        <f t="shared" si="2"/>
        <v>451493.98</v>
      </c>
      <c r="C64" s="169"/>
      <c r="D64" s="169">
        <f t="shared" si="3"/>
        <v>765777.095677</v>
      </c>
      <c r="E64" s="169">
        <f t="shared" si="4"/>
        <v>772132.7604720001</v>
      </c>
      <c r="F64" s="169">
        <f>SUM(D64:E64)</f>
        <v>1537909.856149</v>
      </c>
      <c r="G64" s="169">
        <f t="shared" si="6"/>
        <v>54.625</v>
      </c>
      <c r="H64" s="169">
        <f t="shared" si="7"/>
        <v>2448</v>
      </c>
      <c r="I64" s="169">
        <f t="shared" si="8"/>
        <v>0</v>
      </c>
      <c r="J64" s="169">
        <f t="shared" si="9"/>
        <v>8211</v>
      </c>
      <c r="K64" s="169">
        <f t="shared" si="10"/>
        <v>42796</v>
      </c>
      <c r="L64" s="169">
        <f t="shared" si="11"/>
        <v>5310</v>
      </c>
      <c r="M64" s="169">
        <f>SUM(I64:L64)</f>
        <v>56317</v>
      </c>
      <c r="N64" s="169">
        <f t="shared" si="15"/>
        <v>2048223.461149</v>
      </c>
      <c r="O64" s="169">
        <v>-141395</v>
      </c>
      <c r="P64" s="169">
        <v>-3277</v>
      </c>
      <c r="Q64" s="169">
        <v>325488</v>
      </c>
      <c r="R64" s="169">
        <f t="shared" si="12"/>
        <v>2229039.461149</v>
      </c>
      <c r="S64" s="169">
        <v>2229037</v>
      </c>
      <c r="T64" s="169">
        <f>+S64-R64</f>
        <v>-2.461149000097066</v>
      </c>
      <c r="U64" s="169"/>
      <c r="V64" s="169"/>
      <c r="W64" s="169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</row>
    <row r="65" spans="1:67" ht="18" customHeight="1">
      <c r="A65" s="146" t="s">
        <v>102</v>
      </c>
      <c r="B65" s="169">
        <f t="shared" si="2"/>
        <v>575831.0599999999</v>
      </c>
      <c r="C65" s="169"/>
      <c r="D65" s="169">
        <f>+C24*$D$41+4</f>
        <v>847525.30717</v>
      </c>
      <c r="E65" s="169">
        <f t="shared" si="4"/>
        <v>865545.478844</v>
      </c>
      <c r="F65" s="169">
        <f>SUM(D65:E65)</f>
        <v>1713070.786014</v>
      </c>
      <c r="G65" s="169">
        <f t="shared" si="6"/>
        <v>54.625</v>
      </c>
      <c r="H65" s="169">
        <f t="shared" si="7"/>
        <v>2448</v>
      </c>
      <c r="I65" s="169">
        <f t="shared" si="8"/>
        <v>0</v>
      </c>
      <c r="J65" s="169">
        <f t="shared" si="9"/>
        <v>8211</v>
      </c>
      <c r="K65" s="169">
        <f t="shared" si="10"/>
        <v>42796</v>
      </c>
      <c r="L65" s="169">
        <f t="shared" si="11"/>
        <v>5310</v>
      </c>
      <c r="M65" s="169">
        <f>SUM(I65:L65)</f>
        <v>56317</v>
      </c>
      <c r="N65" s="169">
        <f t="shared" si="15"/>
        <v>2347721.471014</v>
      </c>
      <c r="O65" s="169">
        <v>-126849</v>
      </c>
      <c r="P65" s="169">
        <v>-3343</v>
      </c>
      <c r="Q65" s="169">
        <v>411075</v>
      </c>
      <c r="R65" s="169">
        <f t="shared" si="12"/>
        <v>2628604.471014</v>
      </c>
      <c r="S65" s="169">
        <v>2628603</v>
      </c>
      <c r="T65" s="169">
        <f>+S65-R65</f>
        <v>-1.4710140000097454</v>
      </c>
      <c r="U65" s="169"/>
      <c r="V65" s="169"/>
      <c r="W65" s="169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</row>
    <row r="66" spans="1:67" ht="18" customHeight="1">
      <c r="A66" s="146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</row>
    <row r="67" spans="1:67" ht="18" customHeight="1">
      <c r="A67" s="146" t="s">
        <v>88</v>
      </c>
      <c r="B67" s="170">
        <f aca="true" t="shared" si="16" ref="B67:R67">SUM(B54:B65)</f>
        <v>6986348.459999998</v>
      </c>
      <c r="C67" s="171">
        <f t="shared" si="16"/>
        <v>0</v>
      </c>
      <c r="D67" s="171">
        <f t="shared" si="16"/>
        <v>12880719.695648</v>
      </c>
      <c r="E67" s="171">
        <f t="shared" si="16"/>
        <v>10706193.473634</v>
      </c>
      <c r="F67" s="171">
        <f t="shared" si="16"/>
        <v>23586913.169281997</v>
      </c>
      <c r="G67" s="171">
        <f t="shared" si="16"/>
        <v>655.5</v>
      </c>
      <c r="H67" s="171">
        <f t="shared" si="16"/>
        <v>30096</v>
      </c>
      <c r="I67" s="171">
        <f t="shared" si="16"/>
        <v>0</v>
      </c>
      <c r="J67" s="171">
        <f t="shared" si="16"/>
        <v>98532</v>
      </c>
      <c r="K67" s="171">
        <f t="shared" si="16"/>
        <v>530012</v>
      </c>
      <c r="L67" s="171">
        <f t="shared" si="16"/>
        <v>63720</v>
      </c>
      <c r="M67" s="171">
        <f>SUM(M54:M65)</f>
        <v>692264</v>
      </c>
      <c r="N67" s="171">
        <f t="shared" si="16"/>
        <v>31296277.129282005</v>
      </c>
      <c r="O67" s="171">
        <f t="shared" si="16"/>
        <v>-1698947</v>
      </c>
      <c r="P67" s="171">
        <f t="shared" si="16"/>
        <v>-36085</v>
      </c>
      <c r="Q67" s="171">
        <f t="shared" si="16"/>
        <v>4553481</v>
      </c>
      <c r="R67" s="171">
        <f t="shared" si="16"/>
        <v>34114726.129282005</v>
      </c>
      <c r="S67" s="169"/>
      <c r="T67" s="169">
        <f>SUM(T54:T66)</f>
        <v>-0.1292820000089705</v>
      </c>
      <c r="U67" s="169"/>
      <c r="V67" s="169"/>
      <c r="W67" s="169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</row>
    <row r="68" spans="1:67" ht="18" customHeight="1">
      <c r="A68" s="146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</row>
    <row r="69" spans="1:67" ht="18" customHeight="1">
      <c r="A69" s="146" t="s">
        <v>556</v>
      </c>
      <c r="B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</row>
    <row r="70" spans="1:67" ht="18" customHeight="1">
      <c r="A70" s="146"/>
      <c r="B70" s="171">
        <f>(+B26*$D$39)</f>
        <v>6986348.46</v>
      </c>
      <c r="C70" s="171">
        <f>+C67</f>
        <v>0</v>
      </c>
      <c r="D70" s="171">
        <f>+C26*D41</f>
        <v>12880715.695648</v>
      </c>
      <c r="E70" s="171">
        <f>+D26*D42</f>
        <v>10706193.473634</v>
      </c>
      <c r="F70" s="170">
        <f>SUM(D70:E70)</f>
        <v>23586909.169282</v>
      </c>
      <c r="G70" s="172">
        <f>+F26*D48</f>
        <v>655.5</v>
      </c>
      <c r="H70" s="171">
        <f>+G24*12*D47</f>
        <v>29376</v>
      </c>
      <c r="I70" s="171">
        <f>+H24*12*E43</f>
        <v>0</v>
      </c>
      <c r="J70" s="171">
        <f>+I24*12*D44</f>
        <v>98532</v>
      </c>
      <c r="K70" s="171">
        <f>+J24*12*D45</f>
        <v>513552</v>
      </c>
      <c r="L70" s="171">
        <f>+K24*12*D46</f>
        <v>63720</v>
      </c>
      <c r="M70" s="171">
        <f>SUM(I70:L70)</f>
        <v>675804</v>
      </c>
      <c r="N70" s="169">
        <f>+B70+C70+F70+G70+H70+M70</f>
        <v>31279093.129282</v>
      </c>
      <c r="O70" s="171"/>
      <c r="P70" s="169"/>
      <c r="Q70" s="171"/>
      <c r="R70" s="171"/>
      <c r="S70" s="169"/>
      <c r="T70" s="169"/>
      <c r="U70" s="169"/>
      <c r="V70" s="169"/>
      <c r="W70" s="169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</row>
    <row r="71" spans="1:67" ht="18" customHeight="1">
      <c r="A71" s="146"/>
      <c r="B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</row>
    <row r="72" spans="1:67" ht="18" customHeight="1">
      <c r="A72" s="146"/>
      <c r="B72" s="169"/>
      <c r="D72" s="169"/>
      <c r="E72" s="169"/>
      <c r="F72" s="169"/>
      <c r="G72" s="169"/>
      <c r="H72" s="169"/>
      <c r="I72" s="169"/>
      <c r="J72" s="169" t="s">
        <v>557</v>
      </c>
      <c r="K72" s="169"/>
      <c r="L72" s="169"/>
      <c r="M72" s="169"/>
      <c r="N72" s="171">
        <f>+N70-N67</f>
        <v>-17184.000000003725</v>
      </c>
      <c r="O72" s="169"/>
      <c r="P72" s="169"/>
      <c r="Q72" s="173"/>
      <c r="R72" s="169"/>
      <c r="S72" s="169"/>
      <c r="T72" s="169"/>
      <c r="U72" s="169"/>
      <c r="V72" s="169"/>
      <c r="W72" s="169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</row>
    <row r="73" spans="1:67" ht="18" customHeight="1">
      <c r="A73" s="146"/>
      <c r="B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73"/>
      <c r="O73" s="169"/>
      <c r="P73" s="169"/>
      <c r="Q73" s="173"/>
      <c r="R73" s="169"/>
      <c r="S73" s="169"/>
      <c r="T73" s="169"/>
      <c r="U73" s="169"/>
      <c r="V73" s="169"/>
      <c r="W73" s="169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</row>
    <row r="74" spans="1:67" ht="18" customHeight="1">
      <c r="A74" s="146"/>
      <c r="B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73"/>
      <c r="O74" s="169"/>
      <c r="P74" s="169"/>
      <c r="Q74" s="173"/>
      <c r="R74" s="169"/>
      <c r="S74" s="169"/>
      <c r="T74" s="169"/>
      <c r="U74" s="169"/>
      <c r="V74" s="169"/>
      <c r="W74" s="169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</row>
    <row r="75" spans="1:67" ht="18" customHeight="1">
      <c r="A75" s="146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73"/>
      <c r="Q75" s="169"/>
      <c r="R75" s="169"/>
      <c r="S75" s="169"/>
      <c r="T75" s="169"/>
      <c r="U75" s="169"/>
      <c r="V75" s="169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</row>
    <row r="76" spans="1:67" ht="18" customHeight="1">
      <c r="A76" s="146"/>
      <c r="B76" s="169"/>
      <c r="C76" s="169"/>
      <c r="D76" s="169"/>
      <c r="E76" s="169"/>
      <c r="F76" s="169"/>
      <c r="G76" s="169"/>
      <c r="H76" s="169"/>
      <c r="I76" s="146"/>
      <c r="J76" s="169"/>
      <c r="K76" s="173"/>
      <c r="L76" s="169"/>
      <c r="M76" s="169"/>
      <c r="N76" s="173"/>
      <c r="O76" s="169"/>
      <c r="P76" s="146"/>
      <c r="Q76" s="146"/>
      <c r="R76" s="146"/>
      <c r="S76" s="146"/>
      <c r="T76" s="146"/>
      <c r="U76" s="146"/>
      <c r="V76" s="169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</row>
    <row r="77" spans="1:67" ht="14.25">
      <c r="A77" s="146"/>
      <c r="B77" s="174"/>
      <c r="C77" s="174"/>
      <c r="D77" s="174"/>
      <c r="E77" s="174"/>
      <c r="F77" s="174"/>
      <c r="G77" s="169"/>
      <c r="H77" s="169"/>
      <c r="I77" s="169"/>
      <c r="J77" s="169"/>
      <c r="K77" s="169"/>
      <c r="L77" s="169"/>
      <c r="M77" s="169"/>
      <c r="N77" s="169"/>
      <c r="O77" s="169"/>
      <c r="P77" s="146"/>
      <c r="Q77" s="146"/>
      <c r="R77" s="146"/>
      <c r="S77" s="146"/>
      <c r="T77" s="146"/>
      <c r="U77" s="146"/>
      <c r="V77" s="169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</row>
    <row r="78" spans="1:67" ht="14.25">
      <c r="A78" s="146"/>
      <c r="B78" s="174"/>
      <c r="C78" s="174"/>
      <c r="D78" s="174"/>
      <c r="E78" s="175" t="s">
        <v>558</v>
      </c>
      <c r="F78" s="174"/>
      <c r="G78" s="174"/>
      <c r="H78" s="174"/>
      <c r="I78" s="174"/>
      <c r="J78" s="174"/>
      <c r="K78" s="174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</row>
    <row r="79" spans="1:67" ht="14.25">
      <c r="A79" s="146"/>
      <c r="B79" s="174"/>
      <c r="C79" s="174"/>
      <c r="D79" s="174"/>
      <c r="E79" s="175" t="s">
        <v>559</v>
      </c>
      <c r="F79" s="174"/>
      <c r="G79" s="174"/>
      <c r="H79" s="174"/>
      <c r="I79" s="174"/>
      <c r="J79" s="174"/>
      <c r="K79" s="174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</row>
    <row r="80" spans="1:67" ht="14.25">
      <c r="A80" s="146"/>
      <c r="B80" s="176"/>
      <c r="C80" s="176"/>
      <c r="D80" s="176"/>
      <c r="E80" s="177" t="s">
        <v>503</v>
      </c>
      <c r="F80" s="176"/>
      <c r="G80" s="176"/>
      <c r="H80" s="176"/>
      <c r="I80" s="176"/>
      <c r="J80" s="176"/>
      <c r="K80" s="176"/>
      <c r="L80" s="17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</row>
    <row r="81" spans="1:67" ht="18">
      <c r="A81" s="436" t="str">
        <f>+'[2]rate class'!A1</f>
        <v>Cumberland Valley Electric</v>
      </c>
      <c r="B81" s="436"/>
      <c r="C81" s="436"/>
      <c r="D81" s="436"/>
      <c r="E81" s="43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</row>
    <row r="82" spans="1:67" ht="18">
      <c r="A82" s="436" t="str">
        <f>+'[2]rate class'!A2</f>
        <v>Case No.  2016-00xxx</v>
      </c>
      <c r="B82" s="436"/>
      <c r="C82" s="436"/>
      <c r="D82" s="436"/>
      <c r="E82" s="43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</row>
    <row r="83" spans="1:67" ht="14.25">
      <c r="A83" s="435" t="s">
        <v>560</v>
      </c>
      <c r="B83" s="435"/>
      <c r="C83" s="435"/>
      <c r="D83" s="435"/>
      <c r="E83" s="435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</row>
    <row r="84" spans="1:67" ht="14.25">
      <c r="A84" s="437">
        <f>+A8</f>
        <v>42338</v>
      </c>
      <c r="B84" s="437"/>
      <c r="C84" s="437"/>
      <c r="D84" s="437"/>
      <c r="E84" s="437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</row>
    <row r="85" spans="1:67" ht="14.2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</row>
    <row r="86" spans="1:67" ht="14.2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</row>
    <row r="87" spans="1:67" ht="14.25">
      <c r="A87" s="146" t="s">
        <v>561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</row>
    <row r="88" spans="1:67" ht="14.25">
      <c r="A88" s="146" t="s">
        <v>562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</row>
    <row r="89" spans="1:67" ht="14.2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</row>
    <row r="90" spans="1:67" ht="14.25">
      <c r="A90" s="146"/>
      <c r="B90" s="146"/>
      <c r="C90" s="146"/>
      <c r="D90" s="146"/>
      <c r="E90" s="146"/>
      <c r="F90" s="438"/>
      <c r="G90" s="438"/>
      <c r="H90" s="438"/>
      <c r="I90" s="438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</row>
    <row r="91" spans="1:67" ht="14.25">
      <c r="A91" s="146"/>
      <c r="B91" s="439" t="s">
        <v>563</v>
      </c>
      <c r="C91" s="439"/>
      <c r="D91" s="439" t="s">
        <v>564</v>
      </c>
      <c r="E91" s="439"/>
      <c r="F91" s="439"/>
      <c r="G91" s="439"/>
      <c r="H91" s="439"/>
      <c r="I91" s="439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</row>
    <row r="92" spans="1:67" ht="14.25">
      <c r="A92" s="146"/>
      <c r="B92" s="178" t="s">
        <v>516</v>
      </c>
      <c r="C92" s="178" t="s">
        <v>515</v>
      </c>
      <c r="D92" s="178" t="s">
        <v>516</v>
      </c>
      <c r="E92" s="178" t="s">
        <v>515</v>
      </c>
      <c r="F92" s="178"/>
      <c r="G92" s="178"/>
      <c r="H92" s="178"/>
      <c r="I92" s="178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</row>
    <row r="93" spans="1:67" ht="15">
      <c r="A93" s="72" t="s">
        <v>91</v>
      </c>
      <c r="B93" s="157" t="s">
        <v>468</v>
      </c>
      <c r="C93" s="157" t="s">
        <v>517</v>
      </c>
      <c r="D93" s="157" t="s">
        <v>468</v>
      </c>
      <c r="E93" s="157" t="s">
        <v>517</v>
      </c>
      <c r="F93" s="157"/>
      <c r="G93" s="157"/>
      <c r="H93" s="157"/>
      <c r="I93" s="157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</row>
    <row r="94" spans="1:67" ht="14.2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</row>
    <row r="95" spans="1:67" ht="14.25">
      <c r="A95" s="146" t="s">
        <v>98</v>
      </c>
      <c r="B95" s="169">
        <f>+'[2]detail'!K194</f>
        <v>-93896.15</v>
      </c>
      <c r="C95" s="169">
        <f>+'[2]detail'!L194</f>
        <v>433383.38000000006</v>
      </c>
      <c r="D95" s="169">
        <f>+O54+P54</f>
        <v>-40632</v>
      </c>
      <c r="E95" s="169">
        <f aca="true" t="shared" si="17" ref="E95:E106">+Q54</f>
        <v>497956</v>
      </c>
      <c r="F95" s="169"/>
      <c r="G95" s="169"/>
      <c r="H95" s="176"/>
      <c r="I95" s="17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</row>
    <row r="96" spans="1:67" ht="14.25">
      <c r="A96" s="146" t="s">
        <v>99</v>
      </c>
      <c r="B96" s="169">
        <f>+'[2]detail'!K195</f>
        <v>-47327.41</v>
      </c>
      <c r="C96" s="169">
        <f>+'[2]detail'!L195</f>
        <v>574006.88</v>
      </c>
      <c r="D96" s="169">
        <f aca="true" t="shared" si="18" ref="D96:D106">+O55+P55</f>
        <v>-188736</v>
      </c>
      <c r="E96" s="169">
        <f t="shared" si="17"/>
        <v>476284</v>
      </c>
      <c r="F96" s="169"/>
      <c r="G96" s="169"/>
      <c r="H96" s="176"/>
      <c r="I96" s="17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</row>
    <row r="97" spans="1:67" ht="14.25">
      <c r="A97" s="146" t="s">
        <v>100</v>
      </c>
      <c r="B97" s="169">
        <f>+'[2]detail'!K196</f>
        <v>-192519.63999999998</v>
      </c>
      <c r="C97" s="169">
        <f>+'[2]detail'!L196</f>
        <v>502248.23000000004</v>
      </c>
      <c r="D97" s="169">
        <f t="shared" si="18"/>
        <v>-172173</v>
      </c>
      <c r="E97" s="169">
        <f t="shared" si="17"/>
        <v>491511</v>
      </c>
      <c r="F97" s="169"/>
      <c r="G97" s="169"/>
      <c r="H97" s="176"/>
      <c r="I97" s="17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</row>
    <row r="98" spans="1:67" ht="14.25">
      <c r="A98" s="146" t="s">
        <v>101</v>
      </c>
      <c r="B98" s="169">
        <f>+'[2]detail'!K197</f>
        <v>-113232.33999999998</v>
      </c>
      <c r="C98" s="169">
        <f>+'[2]detail'!L197</f>
        <v>350914.42000000004</v>
      </c>
      <c r="D98" s="169">
        <f t="shared" si="18"/>
        <v>-174347</v>
      </c>
      <c r="E98" s="169">
        <f t="shared" si="17"/>
        <v>309221</v>
      </c>
      <c r="F98" s="169"/>
      <c r="G98" s="169"/>
      <c r="H98" s="176"/>
      <c r="I98" s="17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</row>
    <row r="99" spans="1:67" ht="14.25">
      <c r="A99" s="146" t="s">
        <v>102</v>
      </c>
      <c r="B99" s="169">
        <f>+'[2]detail'!K198</f>
        <v>-173857.91999999998</v>
      </c>
      <c r="C99" s="169">
        <f>+'[2]detail'!L198</f>
        <v>246849.65000000002</v>
      </c>
      <c r="D99" s="169">
        <f t="shared" si="18"/>
        <v>-172136</v>
      </c>
      <c r="E99" s="169">
        <f t="shared" si="17"/>
        <v>196683</v>
      </c>
      <c r="F99" s="169"/>
      <c r="G99" s="169"/>
      <c r="H99" s="176"/>
      <c r="I99" s="17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</row>
    <row r="100" spans="1:67" ht="14.25">
      <c r="A100" s="146" t="s">
        <v>103</v>
      </c>
      <c r="B100" s="169">
        <f>+'[2]detail'!K199</f>
        <v>-220781.4</v>
      </c>
      <c r="C100" s="169">
        <f>+'[2]detail'!L199</f>
        <v>211941.39</v>
      </c>
      <c r="D100" s="169">
        <f t="shared" si="18"/>
        <v>-246264</v>
      </c>
      <c r="E100" s="169">
        <f t="shared" si="17"/>
        <v>266978</v>
      </c>
      <c r="F100" s="169"/>
      <c r="G100" s="169"/>
      <c r="H100" s="176"/>
      <c r="I100" s="17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</row>
    <row r="101" spans="1:67" ht="14.25">
      <c r="A101" s="146" t="s">
        <v>92</v>
      </c>
      <c r="B101" s="169">
        <f>+'[2]detail'!K200</f>
        <v>-242124.02000000005</v>
      </c>
      <c r="C101" s="169">
        <f>+'[2]detail'!L200</f>
        <v>317573.61</v>
      </c>
      <c r="D101" s="169">
        <f t="shared" si="18"/>
        <v>-93058</v>
      </c>
      <c r="E101" s="169">
        <f t="shared" si="17"/>
        <v>425853</v>
      </c>
      <c r="F101" s="169"/>
      <c r="G101" s="169"/>
      <c r="H101" s="176"/>
      <c r="I101" s="17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</row>
    <row r="102" spans="1:67" ht="14.25">
      <c r="A102" s="146" t="s">
        <v>93</v>
      </c>
      <c r="B102" s="169">
        <f>+'[2]detail'!K201</f>
        <v>-69218.91</v>
      </c>
      <c r="C102" s="169">
        <f>+'[2]detail'!L201</f>
        <v>466435.26999999996</v>
      </c>
      <c r="D102" s="169">
        <f t="shared" si="18"/>
        <v>-114271</v>
      </c>
      <c r="E102" s="169">
        <f t="shared" si="17"/>
        <v>457113</v>
      </c>
      <c r="F102" s="169"/>
      <c r="G102" s="169"/>
      <c r="H102" s="176"/>
      <c r="I102" s="17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</row>
    <row r="103" spans="1:67" ht="14.25">
      <c r="A103" s="146" t="s">
        <v>94</v>
      </c>
      <c r="B103" s="169">
        <f>+'[2]detail'!K202</f>
        <v>-89933.58</v>
      </c>
      <c r="C103" s="169">
        <f>+'[2]detail'!L202</f>
        <v>430734.82000000007</v>
      </c>
      <c r="D103" s="169">
        <f t="shared" si="18"/>
        <v>-137880</v>
      </c>
      <c r="E103" s="169">
        <f t="shared" si="17"/>
        <v>364156</v>
      </c>
      <c r="F103" s="169"/>
      <c r="G103" s="169"/>
      <c r="H103" s="176"/>
      <c r="I103" s="17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</row>
    <row r="104" spans="1:67" ht="14.25">
      <c r="A104" s="146" t="s">
        <v>95</v>
      </c>
      <c r="B104" s="169">
        <f>+'[2]detail'!K203</f>
        <v>-128032.57999999999</v>
      </c>
      <c r="C104" s="169">
        <f>+'[2]detail'!L203</f>
        <v>334548.19</v>
      </c>
      <c r="D104" s="169">
        <f t="shared" si="18"/>
        <v>-120671</v>
      </c>
      <c r="E104" s="169">
        <f t="shared" si="17"/>
        <v>331163</v>
      </c>
      <c r="F104" s="169"/>
      <c r="G104" s="169"/>
      <c r="H104" s="176"/>
      <c r="I104" s="17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</row>
    <row r="105" spans="1:67" ht="14.25">
      <c r="A105" s="146" t="s">
        <v>96</v>
      </c>
      <c r="B105" s="169">
        <f>+'[2]detail'!K204</f>
        <v>-131233.15</v>
      </c>
      <c r="C105" s="169">
        <f>+'[2]detail'!L204</f>
        <v>362226.20000000007</v>
      </c>
      <c r="D105" s="169">
        <f t="shared" si="18"/>
        <v>-144672</v>
      </c>
      <c r="E105" s="169">
        <f t="shared" si="17"/>
        <v>325488</v>
      </c>
      <c r="F105" s="169"/>
      <c r="G105" s="169"/>
      <c r="H105" s="176"/>
      <c r="I105" s="17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</row>
    <row r="106" spans="1:67" ht="14.25">
      <c r="A106" s="146" t="s">
        <v>97</v>
      </c>
      <c r="B106" s="170">
        <f>+'[2]detail'!K205</f>
        <v>-163902.52000000002</v>
      </c>
      <c r="C106" s="170">
        <f>+'[2]detail'!L205</f>
        <v>417428.27</v>
      </c>
      <c r="D106" s="170">
        <f t="shared" si="18"/>
        <v>-130192</v>
      </c>
      <c r="E106" s="170">
        <f t="shared" si="17"/>
        <v>411075</v>
      </c>
      <c r="F106" s="169"/>
      <c r="G106" s="169"/>
      <c r="H106" s="176"/>
      <c r="I106" s="17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</row>
    <row r="107" spans="1:67" ht="14.25">
      <c r="A107" s="146"/>
      <c r="B107" s="169"/>
      <c r="C107" s="169"/>
      <c r="D107" s="169"/>
      <c r="E107" s="169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</row>
    <row r="108" spans="1:67" ht="17.25">
      <c r="A108" s="146" t="s">
        <v>88</v>
      </c>
      <c r="B108" s="179">
        <f>SUM(B95:B107)</f>
        <v>-1666059.62</v>
      </c>
      <c r="C108" s="179">
        <f>SUM(C95:C107)</f>
        <v>4648290.3100000005</v>
      </c>
      <c r="D108" s="179">
        <f>SUM(D95:D107)</f>
        <v>-1735032</v>
      </c>
      <c r="E108" s="179">
        <f>SUM(E95:E107)</f>
        <v>4553481</v>
      </c>
      <c r="F108" s="180"/>
      <c r="G108" s="180"/>
      <c r="H108" s="180">
        <f>+B108-D108</f>
        <v>68972.37999999989</v>
      </c>
      <c r="I108" s="180">
        <f>+C108-E108</f>
        <v>94809.31000000052</v>
      </c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</row>
    <row r="109" spans="1:67" ht="14.2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</row>
    <row r="110" spans="1:67" ht="14.2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</row>
    <row r="111" spans="1:67" ht="14.25">
      <c r="A111" s="146" t="s">
        <v>518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</row>
    <row r="112" spans="1:67" ht="14.25">
      <c r="A112" s="146" t="s">
        <v>519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</row>
    <row r="113" spans="1:67" ht="14.25">
      <c r="A113" s="146" t="s">
        <v>520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</row>
    <row r="114" spans="1:67" ht="14.2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</row>
    <row r="115" spans="1:67" ht="14.2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</row>
    <row r="116" spans="1:67" ht="15">
      <c r="A116" s="181" t="s">
        <v>565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</row>
    <row r="117" spans="1:67" ht="14.25">
      <c r="A117" s="146"/>
      <c r="B117" s="435" t="s">
        <v>566</v>
      </c>
      <c r="C117" s="43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</row>
    <row r="118" spans="1:67" ht="14.25">
      <c r="A118" s="146"/>
      <c r="B118" s="178" t="s">
        <v>563</v>
      </c>
      <c r="C118" s="178" t="s">
        <v>567</v>
      </c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</row>
    <row r="119" spans="1:67" ht="14.2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</row>
    <row r="120" spans="1:67" ht="14.25">
      <c r="A120" s="146" t="s">
        <v>92</v>
      </c>
      <c r="B120" s="158">
        <f>+'[2]detail'!D194</f>
        <v>42375019</v>
      </c>
      <c r="C120" s="158">
        <f aca="true" t="shared" si="19" ref="C120:C131">+E13</f>
        <v>47401248</v>
      </c>
      <c r="D120" s="182">
        <f>(+C120-B120)/C120</f>
        <v>0.10603579466937242</v>
      </c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</row>
    <row r="121" spans="1:67" ht="14.25">
      <c r="A121" s="146" t="s">
        <v>93</v>
      </c>
      <c r="B121" s="158">
        <f>+'[2]detail'!D195</f>
        <v>50714679</v>
      </c>
      <c r="C121" s="158">
        <f t="shared" si="19"/>
        <v>56218136</v>
      </c>
      <c r="D121" s="182">
        <f aca="true" t="shared" si="20" ref="D121:D131">(+C121-B121)/C121</f>
        <v>0.09789469006941105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</row>
    <row r="122" spans="1:67" ht="14.25">
      <c r="A122" s="146" t="s">
        <v>94</v>
      </c>
      <c r="B122" s="158">
        <f>+'[2]detail'!D196</f>
        <v>57374459</v>
      </c>
      <c r="C122" s="158">
        <f t="shared" si="19"/>
        <v>56874596</v>
      </c>
      <c r="D122" s="182">
        <f t="shared" si="20"/>
        <v>-0.008788862429897524</v>
      </c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</row>
    <row r="123" spans="1:67" ht="14.25">
      <c r="A123" s="146" t="s">
        <v>95</v>
      </c>
      <c r="B123" s="158">
        <f>+'[2]detail'!D197</f>
        <v>39102962</v>
      </c>
      <c r="C123" s="158">
        <f t="shared" si="19"/>
        <v>42293677</v>
      </c>
      <c r="D123" s="182">
        <f t="shared" si="20"/>
        <v>0.07544189170404834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</row>
    <row r="124" spans="1:67" ht="14.25">
      <c r="A124" s="146" t="s">
        <v>96</v>
      </c>
      <c r="B124" s="158">
        <f>+'[2]detail'!D198</f>
        <v>32547417</v>
      </c>
      <c r="C124" s="158">
        <f t="shared" si="19"/>
        <v>30637274</v>
      </c>
      <c r="D124" s="182">
        <f t="shared" si="20"/>
        <v>-0.06234702865535622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</row>
    <row r="125" spans="1:67" ht="14.25">
      <c r="A125" s="146" t="s">
        <v>97</v>
      </c>
      <c r="B125" s="158">
        <f>+'[2]detail'!D199</f>
        <v>30633633</v>
      </c>
      <c r="C125" s="158">
        <f t="shared" si="19"/>
        <v>33224564</v>
      </c>
      <c r="D125" s="182">
        <f t="shared" si="20"/>
        <v>0.07798239278625296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</row>
    <row r="126" spans="1:67" ht="14.25">
      <c r="A126" s="146" t="s">
        <v>98</v>
      </c>
      <c r="B126" s="158">
        <f>+'[2]detail'!D200</f>
        <v>35220035</v>
      </c>
      <c r="C126" s="158">
        <f t="shared" si="19"/>
        <v>37740468</v>
      </c>
      <c r="D126" s="182">
        <f t="shared" si="20"/>
        <v>0.06678330009050232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</row>
    <row r="127" spans="1:67" ht="14.25">
      <c r="A127" s="146" t="s">
        <v>99</v>
      </c>
      <c r="B127" s="158">
        <f>+'[2]detail'!D201</f>
        <v>39083562</v>
      </c>
      <c r="C127" s="158">
        <f t="shared" si="19"/>
        <v>40504129</v>
      </c>
      <c r="D127" s="182">
        <f t="shared" si="20"/>
        <v>0.03507215276743761</v>
      </c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</row>
    <row r="128" spans="1:67" ht="14.25">
      <c r="A128" s="146" t="s">
        <v>100</v>
      </c>
      <c r="B128" s="158">
        <f>+'[2]detail'!D202</f>
        <v>35367916</v>
      </c>
      <c r="C128" s="158">
        <f t="shared" si="19"/>
        <v>37507040</v>
      </c>
      <c r="D128" s="182">
        <f t="shared" si="20"/>
        <v>0.05703259974660757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</row>
    <row r="129" spans="1:67" ht="14.25">
      <c r="A129" s="146" t="s">
        <v>101</v>
      </c>
      <c r="B129" s="158">
        <f>+'[2]detail'!D203</f>
        <v>31880074</v>
      </c>
      <c r="C129" s="158">
        <f t="shared" si="19"/>
        <v>32618254</v>
      </c>
      <c r="D129" s="182">
        <f t="shared" si="20"/>
        <v>0.022630886374236953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</row>
    <row r="130" spans="1:67" ht="14.25">
      <c r="A130" s="146" t="s">
        <v>102</v>
      </c>
      <c r="B130" s="158">
        <f>+'[2]detail'!D204</f>
        <v>30669915</v>
      </c>
      <c r="C130" s="158">
        <f t="shared" si="19"/>
        <v>31703231</v>
      </c>
      <c r="D130" s="182">
        <f t="shared" si="20"/>
        <v>0.032593397184028344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</row>
    <row r="131" spans="1:67" ht="14.25">
      <c r="A131" s="146" t="s">
        <v>103</v>
      </c>
      <c r="B131" s="158">
        <f>+'[2]detail'!D205</f>
        <v>34589270</v>
      </c>
      <c r="C131" s="158">
        <f t="shared" si="19"/>
        <v>35334116</v>
      </c>
      <c r="D131" s="182">
        <f t="shared" si="20"/>
        <v>0.021080080226147442</v>
      </c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</row>
    <row r="132" spans="1:67" ht="14.25">
      <c r="A132" s="146"/>
      <c r="B132" s="146"/>
      <c r="C132" s="146"/>
      <c r="D132" s="182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</row>
    <row r="133" spans="1:67" ht="16.5">
      <c r="A133" s="146"/>
      <c r="B133" s="183">
        <f>SUM(B120:B132)</f>
        <v>459558941</v>
      </c>
      <c r="C133" s="183">
        <f>SUM(C120:C132)</f>
        <v>482056733</v>
      </c>
      <c r="D133" s="182">
        <f>(+C133-B133)/C133</f>
        <v>0.046670423748650346</v>
      </c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</row>
    <row r="134" spans="1:67" ht="14.2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</row>
    <row r="135" spans="1:67" ht="14.2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</row>
    <row r="136" spans="1:67" ht="14.2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</row>
    <row r="137" spans="1:67" ht="14.2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</row>
    <row r="138" spans="1:67" ht="14.2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</row>
    <row r="139" spans="1:67" ht="14.2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</row>
    <row r="140" spans="1:67" ht="14.2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</row>
    <row r="141" spans="1:67" ht="14.2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</row>
    <row r="142" spans="1:67" ht="14.2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</row>
    <row r="143" spans="1:67" ht="14.2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</row>
    <row r="144" spans="1:67" ht="14.2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</row>
    <row r="145" spans="1:67" ht="14.2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</row>
    <row r="146" spans="1:67" ht="14.2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</row>
    <row r="147" spans="1:67" ht="14.2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</row>
    <row r="148" spans="1:67" ht="14.2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</row>
    <row r="149" spans="1:67" ht="14.2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</row>
    <row r="150" spans="1:67" ht="14.2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</row>
    <row r="151" spans="1:67" ht="14.2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</row>
    <row r="152" spans="1:67" ht="14.2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</row>
    <row r="153" spans="1:67" ht="14.2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</row>
    <row r="154" spans="1:67" ht="14.2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</row>
    <row r="155" spans="1:67" ht="14.2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</row>
    <row r="156" spans="1:67" ht="14.2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</row>
    <row r="157" spans="1:67" ht="14.2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</row>
    <row r="158" spans="1:67" ht="14.2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</row>
    <row r="159" spans="1:67" ht="14.2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</row>
    <row r="160" spans="1:67" ht="14.2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</row>
    <row r="161" spans="1:67" ht="14.2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</row>
    <row r="162" spans="1:67" ht="14.2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</row>
    <row r="163" spans="1:67" ht="14.2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</row>
    <row r="164" spans="1:67" ht="14.2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</row>
    <row r="165" spans="1:67" ht="14.2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</row>
    <row r="166" spans="1:67" ht="14.2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</row>
    <row r="167" spans="1:67" ht="14.2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</row>
    <row r="168" spans="1:67" ht="14.2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</row>
    <row r="169" spans="1:67" ht="14.2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</row>
    <row r="170" spans="1:67" ht="14.2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</row>
    <row r="171" spans="1:67" ht="14.2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</row>
    <row r="172" spans="1:67" ht="14.2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</row>
    <row r="173" spans="1:67" ht="14.2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</row>
    <row r="174" spans="1:67" ht="14.2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</row>
    <row r="175" spans="1:67" ht="14.2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</row>
    <row r="176" spans="1:67" ht="14.2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</row>
    <row r="177" spans="1:67" ht="14.2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</row>
    <row r="178" spans="1:67" ht="14.2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</row>
    <row r="179" spans="1:67" ht="14.2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</row>
  </sheetData>
  <sheetProtection/>
  <mergeCells count="22">
    <mergeCell ref="A4:K4"/>
    <mergeCell ref="A5:K5"/>
    <mergeCell ref="A6:K6"/>
    <mergeCell ref="A7:K7"/>
    <mergeCell ref="A8:K8"/>
    <mergeCell ref="C10:E10"/>
    <mergeCell ref="C11:D11"/>
    <mergeCell ref="H11:K11"/>
    <mergeCell ref="A32:N32"/>
    <mergeCell ref="A33:N33"/>
    <mergeCell ref="A34:N34"/>
    <mergeCell ref="A35:N35"/>
    <mergeCell ref="B117:C117"/>
    <mergeCell ref="A81:E81"/>
    <mergeCell ref="A82:E82"/>
    <mergeCell ref="A83:E83"/>
    <mergeCell ref="A84:E84"/>
    <mergeCell ref="F90:I90"/>
    <mergeCell ref="B91:C91"/>
    <mergeCell ref="D91:E91"/>
    <mergeCell ref="F91:G91"/>
    <mergeCell ref="H91:I9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7">
      <selection activeCell="I25" sqref="I25"/>
    </sheetView>
  </sheetViews>
  <sheetFormatPr defaultColWidth="9.140625" defaultRowHeight="12.75"/>
  <cols>
    <col min="1" max="1" width="16.140625" style="0" customWidth="1"/>
    <col min="2" max="2" width="11.8515625" style="0" customWidth="1"/>
    <col min="3" max="3" width="12.8515625" style="0" customWidth="1"/>
  </cols>
  <sheetData>
    <row r="2" spans="2:3" ht="12.75">
      <c r="B2" s="261"/>
      <c r="C2" s="261" t="s">
        <v>628</v>
      </c>
    </row>
    <row r="3" spans="2:3" ht="12.75">
      <c r="B3" s="261" t="s">
        <v>4</v>
      </c>
      <c r="C3" s="261" t="s">
        <v>629</v>
      </c>
    </row>
    <row r="5" spans="1:3" ht="12.75">
      <c r="A5" s="260" t="s">
        <v>617</v>
      </c>
      <c r="B5" s="8">
        <f>(4176+35386+12801+3819+20364+7817+1968)</f>
        <v>86331</v>
      </c>
      <c r="C5" s="8">
        <v>408034</v>
      </c>
    </row>
    <row r="6" spans="1:3" ht="12.75">
      <c r="A6" s="260" t="s">
        <v>616</v>
      </c>
      <c r="B6" s="8">
        <v>45952</v>
      </c>
      <c r="C6" s="8">
        <v>427412</v>
      </c>
    </row>
    <row r="7" spans="1:3" ht="12.75">
      <c r="A7" s="260" t="s">
        <v>618</v>
      </c>
      <c r="B7" s="8">
        <f>(90446+17690+6401+1911+12067+6080)</f>
        <v>134595</v>
      </c>
      <c r="C7" s="8">
        <v>400843</v>
      </c>
    </row>
    <row r="8" spans="1:3" ht="12.75">
      <c r="A8" s="260" t="s">
        <v>619</v>
      </c>
      <c r="B8" s="8">
        <f>(84352+8842+3201+957+24133+5211)</f>
        <v>126696</v>
      </c>
      <c r="C8" s="8">
        <v>435042</v>
      </c>
    </row>
    <row r="9" spans="1:3" ht="12.75">
      <c r="A9" s="260" t="s">
        <v>620</v>
      </c>
      <c r="B9" s="8">
        <f>(75916+36200+4343)</f>
        <v>116459</v>
      </c>
      <c r="C9" s="8">
        <v>415723</v>
      </c>
    </row>
    <row r="10" spans="1:3" ht="12.75">
      <c r="A10" s="260" t="s">
        <v>621</v>
      </c>
      <c r="B10" s="8">
        <f>(67481+98718+34581+11130+48267+3474)</f>
        <v>263651</v>
      </c>
      <c r="C10" s="8">
        <v>445259</v>
      </c>
    </row>
    <row r="11" spans="1:3" ht="12.75">
      <c r="A11" s="260" t="s">
        <v>622</v>
      </c>
      <c r="B11" s="8">
        <f>(59046+88834+31437+10118+60334+2606)</f>
        <v>252375</v>
      </c>
      <c r="C11" s="8">
        <v>459672</v>
      </c>
    </row>
    <row r="12" spans="1:3" ht="12.75">
      <c r="A12" s="260" t="s">
        <v>623</v>
      </c>
      <c r="B12" s="8">
        <f>(50611+79950+28393+9106+72401+1737)</f>
        <v>242198</v>
      </c>
      <c r="C12" s="8">
        <v>462209</v>
      </c>
    </row>
    <row r="13" spans="1:3" ht="12.75">
      <c r="A13" s="260" t="s">
        <v>624</v>
      </c>
      <c r="B13" s="8">
        <f>(9781+71066+25149+8094+84467+869)</f>
        <v>199426</v>
      </c>
      <c r="C13" s="8">
        <v>440648</v>
      </c>
    </row>
    <row r="14" spans="1:3" ht="12.75">
      <c r="A14" s="260" t="s">
        <v>625</v>
      </c>
      <c r="B14" s="8">
        <f>(7825+62182+22005+7082+96534+10422)</f>
        <v>206050</v>
      </c>
      <c r="C14" s="8">
        <v>418702</v>
      </c>
    </row>
    <row r="15" spans="1:3" ht="12.75">
      <c r="A15" s="260" t="s">
        <v>626</v>
      </c>
      <c r="B15" s="8">
        <f>(5868+53298+18861+6070+72401+9554)</f>
        <v>166052</v>
      </c>
      <c r="C15" s="8">
        <v>453121</v>
      </c>
    </row>
    <row r="16" spans="1:3" ht="12.75">
      <c r="A16" s="260" t="s">
        <v>627</v>
      </c>
      <c r="B16" s="8">
        <v>126053</v>
      </c>
      <c r="C16" s="8">
        <v>380193</v>
      </c>
    </row>
    <row r="17" spans="1:3" ht="12.75">
      <c r="A17" s="260" t="s">
        <v>615</v>
      </c>
      <c r="B17" s="14">
        <v>86055</v>
      </c>
      <c r="C17" s="14">
        <v>407597</v>
      </c>
    </row>
    <row r="19" spans="1:3" ht="12.75">
      <c r="A19" t="s">
        <v>630</v>
      </c>
      <c r="B19" s="9">
        <f>AVERAGE(B6:B17)</f>
        <v>163796.83333333334</v>
      </c>
      <c r="C19" s="9">
        <f>AVERAGE(C5:C17)</f>
        <v>427265.76923076925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zoomScale="120" zoomScaleNormal="120" zoomScalePageLayoutView="0" workbookViewId="0" topLeftCell="A12">
      <selection activeCell="C39" sqref="C39"/>
    </sheetView>
  </sheetViews>
  <sheetFormatPr defaultColWidth="9.140625" defaultRowHeight="12.75"/>
  <cols>
    <col min="1" max="1" width="2.8515625" style="128" customWidth="1"/>
    <col min="2" max="2" width="29.57421875" style="128" customWidth="1"/>
    <col min="3" max="3" width="16.00390625" style="128" customWidth="1"/>
    <col min="4" max="12" width="13.8515625" style="128" customWidth="1"/>
    <col min="13" max="16384" width="9.140625" style="128" customWidth="1"/>
  </cols>
  <sheetData>
    <row r="1" spans="1:12" ht="12.75">
      <c r="A1" s="129"/>
      <c r="B1" s="129"/>
      <c r="C1" s="129"/>
      <c r="D1" s="130" t="s">
        <v>343</v>
      </c>
      <c r="E1" s="130" t="s">
        <v>343</v>
      </c>
      <c r="F1" s="130" t="s">
        <v>298</v>
      </c>
      <c r="G1" s="130" t="s">
        <v>298</v>
      </c>
      <c r="H1" s="130" t="s">
        <v>302</v>
      </c>
      <c r="I1" s="130" t="s">
        <v>304</v>
      </c>
      <c r="J1" s="130" t="s">
        <v>306</v>
      </c>
      <c r="K1" s="130" t="s">
        <v>307</v>
      </c>
      <c r="L1" s="130" t="s">
        <v>24</v>
      </c>
    </row>
    <row r="2" spans="1:12" ht="12.75">
      <c r="A2" s="129"/>
      <c r="B2" s="319" t="s">
        <v>452</v>
      </c>
      <c r="C2" s="129"/>
      <c r="D2" s="130" t="s">
        <v>434</v>
      </c>
      <c r="E2" s="130" t="s">
        <v>435</v>
      </c>
      <c r="F2" s="130" t="s">
        <v>428</v>
      </c>
      <c r="G2" s="130" t="s">
        <v>428</v>
      </c>
      <c r="H2" s="130" t="s">
        <v>429</v>
      </c>
      <c r="I2" s="130" t="s">
        <v>135</v>
      </c>
      <c r="J2" s="130" t="s">
        <v>135</v>
      </c>
      <c r="K2" s="130" t="s">
        <v>16</v>
      </c>
      <c r="L2" s="130" t="s">
        <v>24</v>
      </c>
    </row>
    <row r="3" spans="1:12" ht="12.75">
      <c r="A3" s="129"/>
      <c r="B3" s="129"/>
      <c r="C3" s="319" t="s">
        <v>121</v>
      </c>
      <c r="D3" s="130" t="s">
        <v>430</v>
      </c>
      <c r="E3" s="130" t="s">
        <v>136</v>
      </c>
      <c r="F3" s="130" t="s">
        <v>431</v>
      </c>
      <c r="G3" s="130" t="s">
        <v>432</v>
      </c>
      <c r="H3" s="130" t="s">
        <v>436</v>
      </c>
      <c r="I3" s="130" t="s">
        <v>437</v>
      </c>
      <c r="J3" s="130" t="s">
        <v>438</v>
      </c>
      <c r="K3" s="130" t="s">
        <v>433</v>
      </c>
      <c r="L3" s="130" t="s">
        <v>88</v>
      </c>
    </row>
    <row r="4" spans="1:12" ht="12.75">
      <c r="A4" s="129"/>
      <c r="B4" s="131" t="s">
        <v>207</v>
      </c>
      <c r="C4" s="132"/>
      <c r="D4" s="131"/>
      <c r="E4" s="129"/>
      <c r="F4" s="129"/>
      <c r="G4" s="129"/>
      <c r="H4" s="129"/>
      <c r="I4" s="129"/>
      <c r="J4" s="129"/>
      <c r="K4" s="129"/>
      <c r="L4" s="129"/>
    </row>
    <row r="5" spans="1:12" ht="12.75">
      <c r="A5" s="129"/>
      <c r="B5" s="320" t="s">
        <v>10</v>
      </c>
      <c r="C5" s="321">
        <f>('Classification 1'!F86)</f>
        <v>6986348.459999998</v>
      </c>
      <c r="D5" s="322">
        <f>($C$5*' Energy &amp; Demand Allocations'!C57)</f>
        <v>5059146.93777554</v>
      </c>
      <c r="E5" s="129"/>
      <c r="F5" s="322">
        <f>($C$5*' Energy &amp; Demand Allocations'!E57)</f>
        <v>139656.90740389106</v>
      </c>
      <c r="G5" s="322">
        <f>($C$5*' Energy &amp; Demand Allocations'!F57)</f>
        <v>218266.71523027655</v>
      </c>
      <c r="H5" s="322">
        <f>($C$5*' Energy &amp; Demand Allocations'!G57)</f>
        <v>241748.6409918969</v>
      </c>
      <c r="I5" s="322">
        <f>($C$5*' Energy &amp; Demand Allocations'!H57)</f>
        <v>132975.6349419055</v>
      </c>
      <c r="J5" s="322">
        <f>($C$5*' Energy &amp; Demand Allocations'!I57)</f>
        <v>1107059.0821582843</v>
      </c>
      <c r="K5" s="322">
        <f>($C$5*' Energy &amp; Demand Allocations'!J57)</f>
        <v>87494.54149820357</v>
      </c>
      <c r="L5" s="323">
        <f>SUM(D5:K5)</f>
        <v>6986348.459999999</v>
      </c>
    </row>
    <row r="6" spans="1:12" ht="12.75">
      <c r="A6" s="129"/>
      <c r="B6" s="131" t="s">
        <v>427</v>
      </c>
      <c r="C6" s="321">
        <f>('Classification 1'!H86)</f>
        <v>705176</v>
      </c>
      <c r="D6" s="322">
        <f>($C$6*' Energy &amp; Demand Allocations'!C90)</f>
        <v>470409.3039165638</v>
      </c>
      <c r="E6" s="129"/>
      <c r="F6" s="322">
        <f>($C$6*' Energy &amp; Demand Allocations'!E90)</f>
        <v>18494.22318303224</v>
      </c>
      <c r="G6" s="322">
        <f>($C$6*' Energy &amp; Demand Allocations'!F90)</f>
        <v>18921.734186764108</v>
      </c>
      <c r="H6" s="322">
        <f>($C$6*' Energy &amp; Demand Allocations'!G90)</f>
        <v>29035.770080734223</v>
      </c>
      <c r="I6" s="322">
        <f>($C$6*' Energy &amp; Demand Allocations'!H90)</f>
        <v>19794.24528074414</v>
      </c>
      <c r="J6" s="322">
        <f>($C$6*' Energy &amp; Demand Allocations'!I90)</f>
        <v>134106.3154070158</v>
      </c>
      <c r="K6" s="322">
        <f>($C$6*' Energy &amp; Demand Allocations'!J90)</f>
        <v>14414.40794514565</v>
      </c>
      <c r="L6" s="323">
        <f>SUM(D6:K6)</f>
        <v>705176</v>
      </c>
    </row>
    <row r="7" spans="1:12" ht="12.75">
      <c r="A7" s="129"/>
      <c r="B7" s="129" t="s">
        <v>444</v>
      </c>
      <c r="C7" s="321">
        <f>SUM(C5:C6)</f>
        <v>7691524.459999998</v>
      </c>
      <c r="D7" s="321">
        <f aca="true" t="shared" si="0" ref="D7:L7">SUM(D5:D6)</f>
        <v>5529556.241692104</v>
      </c>
      <c r="E7" s="321">
        <f t="shared" si="0"/>
        <v>0</v>
      </c>
      <c r="F7" s="321">
        <f>SUM(F5:F6)</f>
        <v>158151.1305869233</v>
      </c>
      <c r="G7" s="321">
        <f t="shared" si="0"/>
        <v>237188.44941704065</v>
      </c>
      <c r="H7" s="321">
        <f t="shared" si="0"/>
        <v>270784.41107263113</v>
      </c>
      <c r="I7" s="321">
        <f t="shared" si="0"/>
        <v>152769.88022264963</v>
      </c>
      <c r="J7" s="321">
        <f t="shared" si="0"/>
        <v>1241165.3975653</v>
      </c>
      <c r="K7" s="321">
        <f t="shared" si="0"/>
        <v>101908.94944334922</v>
      </c>
      <c r="L7" s="321">
        <f t="shared" si="0"/>
        <v>7691524.459999999</v>
      </c>
    </row>
    <row r="8" spans="1:12" ht="12.75">
      <c r="A8" s="129"/>
      <c r="B8" s="129"/>
      <c r="C8" s="321"/>
      <c r="D8" s="131"/>
      <c r="E8" s="129"/>
      <c r="F8" s="129"/>
      <c r="G8" s="129"/>
      <c r="H8" s="129"/>
      <c r="I8" s="129"/>
      <c r="J8" s="129"/>
      <c r="K8" s="129"/>
      <c r="L8" s="129"/>
    </row>
    <row r="9" spans="1:12" ht="12.75">
      <c r="A9" s="129"/>
      <c r="B9" s="320" t="s">
        <v>42</v>
      </c>
      <c r="C9" s="321">
        <f>('Classification 1'!G106)</f>
        <v>23587568.669281997</v>
      </c>
      <c r="D9" s="321">
        <f>($C$9*' Energy &amp; Demand Allocations'!C90)</f>
        <v>15734811.960136326</v>
      </c>
      <c r="E9" s="129"/>
      <c r="F9" s="321">
        <f>($C$9*' Energy &amp; Demand Allocations'!E90)</f>
        <v>618616.8549621656</v>
      </c>
      <c r="G9" s="321">
        <f>($C$9*' Energy &amp; Demand Allocations'!F90)</f>
        <v>632916.7533668178</v>
      </c>
      <c r="H9" s="321">
        <f>($C$9*' Energy &amp; Demand Allocations'!G90)</f>
        <v>971223.0998286982</v>
      </c>
      <c r="I9" s="321">
        <f>($C$9*' Energy &amp; Demand Allocations'!H90)</f>
        <v>662101.546019949</v>
      </c>
      <c r="J9" s="321">
        <f>($C$9*' Energy &amp; Demand Allocations'!I90)</f>
        <v>4485748.1304629985</v>
      </c>
      <c r="K9" s="321">
        <f>($C$9*' Energy &amp; Demand Allocations'!J90)</f>
        <v>482150.3245050413</v>
      </c>
      <c r="L9" s="323">
        <f>SUM(D9:K9)</f>
        <v>23587568.669282</v>
      </c>
    </row>
    <row r="10" spans="1:12" ht="12.75">
      <c r="A10" s="129"/>
      <c r="B10" s="131" t="s">
        <v>24</v>
      </c>
      <c r="C10" s="321"/>
      <c r="D10" s="131"/>
      <c r="E10" s="129"/>
      <c r="F10" s="129"/>
      <c r="G10" s="129"/>
      <c r="H10" s="129"/>
      <c r="I10" s="129"/>
      <c r="J10" s="129"/>
      <c r="K10" s="129"/>
      <c r="L10" s="129"/>
    </row>
    <row r="11" spans="1:12" ht="12.75">
      <c r="A11" s="129"/>
      <c r="B11" s="131" t="s">
        <v>442</v>
      </c>
      <c r="C11" s="324"/>
      <c r="D11" s="131"/>
      <c r="E11" s="129"/>
      <c r="F11" s="129"/>
      <c r="G11" s="129"/>
      <c r="H11" s="129"/>
      <c r="I11" s="129"/>
      <c r="J11" s="129"/>
      <c r="K11" s="129"/>
      <c r="L11" s="129"/>
    </row>
    <row r="12" spans="1:12" ht="12.75">
      <c r="A12" s="129"/>
      <c r="B12" s="320" t="s">
        <v>142</v>
      </c>
      <c r="C12" s="321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ht="12.75">
      <c r="A13" s="129"/>
      <c r="B13" s="131" t="s">
        <v>414</v>
      </c>
      <c r="C13" s="321">
        <f>('Classification 1'!I86)</f>
        <v>52704.39031458335</v>
      </c>
      <c r="D13" s="321">
        <f>($C$13*' Energy &amp; Demand Allocations'!C90)</f>
        <v>35158.08189902952</v>
      </c>
      <c r="E13" s="129"/>
      <c r="F13" s="321">
        <f>($C$13*' Energy &amp; Demand Allocations'!E90)</f>
        <v>1382.2460736093503</v>
      </c>
      <c r="G13" s="321">
        <f>($C$13*' Energy &amp; Demand Allocations'!F90)</f>
        <v>1414.1979647747667</v>
      </c>
      <c r="H13" s="321">
        <f>($C$13*' Energy &amp; Demand Allocations'!G90)</f>
        <v>2170.1143536074933</v>
      </c>
      <c r="I13" s="321">
        <f>($C$13*' Energy &amp; Demand Allocations'!H90)</f>
        <v>1479.4088699260024</v>
      </c>
      <c r="J13" s="321">
        <f>($C$13*' Energy &amp; Demand Allocations'!I90)</f>
        <v>10023.017786853186</v>
      </c>
      <c r="K13" s="321">
        <f>($C$13*' Energy &amp; Demand Allocations'!J90)</f>
        <v>1077.3233667830266</v>
      </c>
      <c r="L13" s="323">
        <f>SUM(D13:K13)</f>
        <v>52704.390314583354</v>
      </c>
    </row>
    <row r="14" spans="1:12" ht="12.75">
      <c r="A14" s="129"/>
      <c r="B14" s="131" t="s">
        <v>25</v>
      </c>
      <c r="C14" s="321">
        <f>('Classification 1'!J86)</f>
        <v>4092867.7387046292</v>
      </c>
      <c r="D14" s="321">
        <f>($C$14*' Energy &amp; Demand Allocations'!C90)</f>
        <v>2730273.1005970216</v>
      </c>
      <c r="E14" s="129"/>
      <c r="F14" s="321">
        <f>($C$14*' Energy &amp; Demand Allocations'!E90)</f>
        <v>107341.15939600313</v>
      </c>
      <c r="G14" s="321">
        <f>($C$14*' Energy &amp; Demand Allocations'!F90)</f>
        <v>109822.44916638015</v>
      </c>
      <c r="H14" s="321">
        <f>($C$14*' Energy &amp; Demand Allocations'!G90)</f>
        <v>168524.68976806104</v>
      </c>
      <c r="I14" s="321">
        <f>($C$14*' Energy &amp; Demand Allocations'!H90)</f>
        <v>114886.53601592233</v>
      </c>
      <c r="J14" s="321">
        <f>($C$14*' Energy &amp; Demand Allocations'!I90)</f>
        <v>778358.0437875403</v>
      </c>
      <c r="K14" s="321">
        <f>($C$14*' Energy &amp; Demand Allocations'!J90)</f>
        <v>83661.75997370062</v>
      </c>
      <c r="L14" s="323">
        <f>SUM(D14:K14)</f>
        <v>4092867.7387046292</v>
      </c>
    </row>
    <row r="15" spans="1:13" ht="12.75">
      <c r="A15" s="129"/>
      <c r="B15" s="131" t="s">
        <v>124</v>
      </c>
      <c r="C15" s="321">
        <f>('Classification 1'!L86)</f>
        <v>480244.6653791152</v>
      </c>
      <c r="D15" s="321">
        <f>($C$15*' Energy &amp; Demand Allocations'!C90)</f>
        <v>320361.95042178506</v>
      </c>
      <c r="E15" s="321">
        <f>($C$15*' Energy &amp; Demand Allocations'!D90)</f>
        <v>0</v>
      </c>
      <c r="F15" s="321">
        <f>($C$15*' Energy &amp; Demand Allocations'!E90)</f>
        <v>12595.085516214383</v>
      </c>
      <c r="G15" s="321">
        <f>($C$15*' Energy &amp; Demand Allocations'!F90)</f>
        <v>12886.232519137198</v>
      </c>
      <c r="H15" s="321">
        <f>($C$15*' Energy &amp; Demand Allocations'!G90)</f>
        <v>19774.175080330486</v>
      </c>
      <c r="I15" s="321">
        <f>($C$15*' Energy &amp; Demand Allocations'!H90)</f>
        <v>13480.437084193309</v>
      </c>
      <c r="J15" s="321">
        <f>($C$15*' Energy &amp; Demand Allocations'!I90)</f>
        <v>91330.16802595151</v>
      </c>
      <c r="K15" s="321">
        <f>($C$15*' Energy &amp; Demand Allocations'!J90)</f>
        <v>9816.616731503243</v>
      </c>
      <c r="L15" s="321">
        <f>($C$15*' Energy &amp; Demand Allocations'!K90)</f>
        <v>480244.6653791152</v>
      </c>
      <c r="M15" s="128" t="s">
        <v>24</v>
      </c>
    </row>
    <row r="16" spans="1:12" ht="12.75">
      <c r="A16" s="129"/>
      <c r="B16" s="131" t="s">
        <v>443</v>
      </c>
      <c r="C16" s="321">
        <f>SUM(C13:C15)</f>
        <v>4625816.794398327</v>
      </c>
      <c r="D16" s="321">
        <f aca="true" t="shared" si="1" ref="D16:K16">SUM(D13:D15)</f>
        <v>3085793.1329178363</v>
      </c>
      <c r="E16" s="321">
        <f>SUM(E13:E15)</f>
        <v>0</v>
      </c>
      <c r="F16" s="321">
        <f t="shared" si="1"/>
        <v>121318.49098582687</v>
      </c>
      <c r="G16" s="321">
        <f t="shared" si="1"/>
        <v>124122.8796502921</v>
      </c>
      <c r="H16" s="321">
        <f t="shared" si="1"/>
        <v>190468.97920199903</v>
      </c>
      <c r="I16" s="321">
        <f t="shared" si="1"/>
        <v>129846.38197004165</v>
      </c>
      <c r="J16" s="321">
        <f t="shared" si="1"/>
        <v>879711.2296003449</v>
      </c>
      <c r="K16" s="321">
        <f t="shared" si="1"/>
        <v>94555.70007198688</v>
      </c>
      <c r="L16" s="323">
        <f>SUM(D16:K16)</f>
        <v>4625816.794398327</v>
      </c>
    </row>
    <row r="17" spans="1:12" ht="12.75">
      <c r="A17" s="129"/>
      <c r="B17" s="132"/>
      <c r="C17" s="324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2.75">
      <c r="A18" s="129"/>
      <c r="B18" s="132" t="s">
        <v>439</v>
      </c>
      <c r="C18" s="324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12.75">
      <c r="A19" s="129"/>
      <c r="B19" s="131" t="s">
        <v>25</v>
      </c>
      <c r="C19" s="321">
        <f>('Classification 1'!K86)</f>
        <v>3461944.8501239237</v>
      </c>
      <c r="D19" s="321">
        <f>($C$19*'Consume Allocations'!$G9)</f>
        <v>3221566.5364184827</v>
      </c>
      <c r="E19" s="321">
        <f>($C$19*'Consume Allocations'!$G11)</f>
        <v>0</v>
      </c>
      <c r="F19" s="321">
        <f>($C$19*'Consume Allocations'!$G12)</f>
        <v>194174.20961120795</v>
      </c>
      <c r="G19" s="321">
        <f>($C$19*'Consume Allocations'!$G13)</f>
        <v>20470.172699976745</v>
      </c>
      <c r="H19" s="321">
        <f>($C$19*'Consume Allocations'!$G14)</f>
        <v>7018.344925706312</v>
      </c>
      <c r="I19" s="321">
        <f>($C$19*'Consume Allocations'!$G15)</f>
        <v>146.21551928554814</v>
      </c>
      <c r="J19" s="321">
        <f>($C$19*'Consume Allocations'!$G16)</f>
        <v>11551.026023558305</v>
      </c>
      <c r="K19" s="321">
        <f>($C$19*'Consume Allocations'!$G17)</f>
        <v>7018.344925706312</v>
      </c>
      <c r="L19" s="323">
        <f>SUM(D19:K19)</f>
        <v>3461944.850123924</v>
      </c>
    </row>
    <row r="20" spans="1:12" ht="12.75">
      <c r="A20" s="129"/>
      <c r="B20" s="131" t="s">
        <v>124</v>
      </c>
      <c r="C20" s="321">
        <f>('Classification 1'!M86)</f>
        <v>152781.29598918057</v>
      </c>
      <c r="D20" s="321">
        <f>($C$20*'Consume Allocations'!$G25)</f>
        <v>132564.80558406533</v>
      </c>
      <c r="E20" s="321">
        <f>($C$20*'Consume Allocations'!$G27)</f>
        <v>0</v>
      </c>
      <c r="F20" s="321">
        <f>($C$20*'Consume Allocations'!$G28)</f>
        <v>10281.47869228435</v>
      </c>
      <c r="G20" s="321">
        <f>($C$20*'Consume Allocations'!$G29)</f>
        <v>1940.3691872761144</v>
      </c>
      <c r="H20" s="321">
        <f>($C$20*'Consume Allocations'!$G30)</f>
        <v>2108.885996154865</v>
      </c>
      <c r="I20" s="321">
        <f>($C$20*'Consume Allocations'!$G31)</f>
        <v>507.9517533653827</v>
      </c>
      <c r="J20" s="321">
        <f>($C$20*'Consume Allocations'!$G32)</f>
        <v>5206.312303007323</v>
      </c>
      <c r="K20" s="321">
        <f>($C$20*'Consume Allocations'!$G33)</f>
        <v>171.49247302723666</v>
      </c>
      <c r="L20" s="323">
        <f>SUM(D20:K20)</f>
        <v>152781.29598918057</v>
      </c>
    </row>
    <row r="21" spans="1:12" ht="12.75">
      <c r="A21" s="129"/>
      <c r="B21" s="131" t="s">
        <v>13</v>
      </c>
      <c r="C21" s="321">
        <f>('Classification 1'!N86)</f>
        <v>1021855.3783683976</v>
      </c>
      <c r="D21" s="321">
        <f>($C$21*'Consume Allocations'!$G42)</f>
        <v>897691.7556385306</v>
      </c>
      <c r="E21" s="321">
        <f>($C$21*'Consume Allocations'!$G44)</f>
        <v>0</v>
      </c>
      <c r="F21" s="321">
        <f>($C$21*'Consume Allocations'!$G45)</f>
        <v>80634.21657924312</v>
      </c>
      <c r="G21" s="321">
        <f>($C$21*'Consume Allocations'!$G46)</f>
        <v>8500.59512130575</v>
      </c>
      <c r="H21" s="321">
        <f>($C$21*'Consume Allocations'!$G47)</f>
        <v>6940.011049892944</v>
      </c>
      <c r="I21" s="321">
        <f>($C$21*'Consume Allocations'!$G48)</f>
        <v>138.0180327076492</v>
      </c>
      <c r="J21" s="321">
        <f>($C$21*'Consume Allocations'!$G49)</f>
        <v>10903.424583904287</v>
      </c>
      <c r="K21" s="321">
        <f>($C$21*'Consume Allocations'!$G50)</f>
        <v>17047.357362813174</v>
      </c>
      <c r="L21" s="323">
        <f>SUM(D21:K21)</f>
        <v>1021855.3783683976</v>
      </c>
    </row>
    <row r="22" spans="1:12" ht="12.75">
      <c r="A22" s="129"/>
      <c r="B22" s="131" t="s">
        <v>14</v>
      </c>
      <c r="C22" s="321">
        <f>('Classification 1'!O86)</f>
        <v>1240791.743687994</v>
      </c>
      <c r="D22" s="321">
        <f>($C$22*'Consume Allocations'!$G58)</f>
        <v>1077830.0782470305</v>
      </c>
      <c r="E22" s="321">
        <f>($C$22*'Consume Allocations'!$G60)</f>
        <v>4353.781916397482</v>
      </c>
      <c r="F22" s="321">
        <f>($C$22*'Consume Allocations'!$G61)</f>
        <v>64964.29646040287</v>
      </c>
      <c r="G22" s="321">
        <f>($C$22*'Consume Allocations'!$G62)</f>
        <v>58097.123612935735</v>
      </c>
      <c r="H22" s="321">
        <f>($C$22*'Consume Allocations'!$G63)</f>
        <v>2348.1071009784173</v>
      </c>
      <c r="I22" s="321">
        <f>($C$22*'Consume Allocations'!$G64)</f>
        <v>414.97945437811234</v>
      </c>
      <c r="J22" s="321">
        <f>($C$22*'Consume Allocations'!$G65)</f>
        <v>32783.376895870875</v>
      </c>
      <c r="K22" s="321">
        <f>($C$22*'Consume Allocations'!$G66)</f>
        <v>0</v>
      </c>
      <c r="L22" s="323">
        <f>SUM(D22:K22)</f>
        <v>1240791.7436879938</v>
      </c>
    </row>
    <row r="23" spans="1:12" ht="12.75">
      <c r="A23" s="129"/>
      <c r="B23" s="131" t="s">
        <v>440</v>
      </c>
      <c r="C23" s="129"/>
      <c r="D23" s="131"/>
      <c r="E23" s="129"/>
      <c r="F23" s="129"/>
      <c r="G23" s="129"/>
      <c r="H23" s="129"/>
      <c r="I23" s="129"/>
      <c r="J23" s="129"/>
      <c r="K23" s="129"/>
      <c r="L23" s="129"/>
    </row>
    <row r="24" spans="1:12" ht="12.75">
      <c r="A24" s="129"/>
      <c r="B24" s="131" t="s">
        <v>441</v>
      </c>
      <c r="C24" s="321">
        <f>('Classification 1'!P86)</f>
        <v>2788128.11142515</v>
      </c>
      <c r="D24" s="321">
        <f>($C$24*'Consume Allocations'!$I76)</f>
        <v>2173702.5519588715</v>
      </c>
      <c r="E24" s="321">
        <f>($C$24*'Consume Allocations'!$I78)</f>
        <v>5121.925785073817</v>
      </c>
      <c r="F24" s="321">
        <f>($C$24*'Consume Allocations'!$I79)</f>
        <v>218360.1105161486</v>
      </c>
      <c r="G24" s="321">
        <f>($C$24*'Consume Allocations'!$I80)</f>
        <v>46039.782337742174</v>
      </c>
      <c r="H24" s="321">
        <f>($C$24*'Consume Allocations'!$I81)</f>
        <v>13417.307995570576</v>
      </c>
      <c r="I24" s="321">
        <f>($C$24*'Consume Allocations'!$I82)</f>
        <v>1052.3378820055354</v>
      </c>
      <c r="J24" s="321">
        <f>($C$24*'Consume Allocations'!$I83)</f>
        <v>57155.10121642564</v>
      </c>
      <c r="K24" s="321">
        <f>($C$24*'Consume Allocations'!$I84)</f>
        <v>273278.99373331247</v>
      </c>
      <c r="L24" s="323">
        <f>SUM(D24:K24)</f>
        <v>2788128.1114251507</v>
      </c>
    </row>
    <row r="25" spans="1:12" ht="12.75">
      <c r="A25" s="129"/>
      <c r="B25" s="131" t="s">
        <v>447</v>
      </c>
      <c r="C25" s="321">
        <f>SUM(C19:C24)</f>
        <v>8665501.379594646</v>
      </c>
      <c r="D25" s="321">
        <f aca="true" t="shared" si="2" ref="D25:L25">SUM(D19:D24)</f>
        <v>7503355.72784698</v>
      </c>
      <c r="E25" s="321">
        <f t="shared" si="2"/>
        <v>9475.7077014713</v>
      </c>
      <c r="F25" s="321">
        <f t="shared" si="2"/>
        <v>568414.3118592869</v>
      </c>
      <c r="G25" s="321">
        <f t="shared" si="2"/>
        <v>135048.04295923654</v>
      </c>
      <c r="H25" s="321">
        <f t="shared" si="2"/>
        <v>31832.657068303117</v>
      </c>
      <c r="I25" s="321">
        <f t="shared" si="2"/>
        <v>2259.5026417422278</v>
      </c>
      <c r="J25" s="321">
        <f t="shared" si="2"/>
        <v>117599.24102276642</v>
      </c>
      <c r="K25" s="321">
        <f t="shared" si="2"/>
        <v>297516.1884948592</v>
      </c>
      <c r="L25" s="321">
        <f t="shared" si="2"/>
        <v>8665501.379594646</v>
      </c>
    </row>
    <row r="26" spans="1:12" ht="12.75">
      <c r="A26" s="129"/>
      <c r="B26" s="129"/>
      <c r="C26" s="129"/>
      <c r="D26" s="131"/>
      <c r="E26" s="129"/>
      <c r="F26" s="129"/>
      <c r="G26" s="129"/>
      <c r="H26" s="129"/>
      <c r="I26" s="129"/>
      <c r="J26" s="129"/>
      <c r="K26" s="129"/>
      <c r="L26" s="129"/>
    </row>
    <row r="27" spans="1:12" ht="12.75">
      <c r="A27" s="129"/>
      <c r="B27" s="131" t="s">
        <v>192</v>
      </c>
      <c r="C27" s="321">
        <f>('Classification 1'!Q86)</f>
        <v>458604.4422383046</v>
      </c>
      <c r="D27" s="131"/>
      <c r="E27" s="129"/>
      <c r="F27" s="129"/>
      <c r="G27" s="129"/>
      <c r="H27" s="129"/>
      <c r="I27" s="129"/>
      <c r="J27" s="129"/>
      <c r="K27" s="323">
        <f>(C27)</f>
        <v>458604.4422383046</v>
      </c>
      <c r="L27" s="323">
        <f>SUM(D27:K27)</f>
        <v>458604.4422383046</v>
      </c>
    </row>
    <row r="28" spans="1:12" ht="12.75">
      <c r="A28" s="129"/>
      <c r="B28" s="131"/>
      <c r="C28" s="321"/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ht="12.75">
      <c r="A29" s="129"/>
      <c r="B29" s="131" t="s">
        <v>448</v>
      </c>
      <c r="C29" s="321">
        <f>(C7)</f>
        <v>7691524.459999998</v>
      </c>
      <c r="D29" s="321">
        <f aca="true" t="shared" si="3" ref="D29:K29">(D7)</f>
        <v>5529556.241692104</v>
      </c>
      <c r="E29" s="321">
        <f t="shared" si="3"/>
        <v>0</v>
      </c>
      <c r="F29" s="321">
        <f t="shared" si="3"/>
        <v>158151.1305869233</v>
      </c>
      <c r="G29" s="321">
        <f t="shared" si="3"/>
        <v>237188.44941704065</v>
      </c>
      <c r="H29" s="321">
        <f t="shared" si="3"/>
        <v>270784.41107263113</v>
      </c>
      <c r="I29" s="321">
        <f t="shared" si="3"/>
        <v>152769.88022264963</v>
      </c>
      <c r="J29" s="321">
        <f t="shared" si="3"/>
        <v>1241165.3975653</v>
      </c>
      <c r="K29" s="321">
        <f t="shared" si="3"/>
        <v>101908.94944334922</v>
      </c>
      <c r="L29" s="323">
        <f aca="true" t="shared" si="4" ref="L29:L34">SUM(D29:K29)</f>
        <v>7691524.459999999</v>
      </c>
    </row>
    <row r="30" spans="1:12" ht="12.75">
      <c r="A30" s="129"/>
      <c r="B30" s="131" t="s">
        <v>449</v>
      </c>
      <c r="C30" s="323">
        <f>(C9)</f>
        <v>23587568.669281997</v>
      </c>
      <c r="D30" s="323">
        <f aca="true" t="shared" si="5" ref="D30:K30">(D9)</f>
        <v>15734811.960136326</v>
      </c>
      <c r="E30" s="323">
        <f t="shared" si="5"/>
        <v>0</v>
      </c>
      <c r="F30" s="323">
        <f t="shared" si="5"/>
        <v>618616.8549621656</v>
      </c>
      <c r="G30" s="323">
        <f t="shared" si="5"/>
        <v>632916.7533668178</v>
      </c>
      <c r="H30" s="323">
        <f t="shared" si="5"/>
        <v>971223.0998286982</v>
      </c>
      <c r="I30" s="323">
        <f t="shared" si="5"/>
        <v>662101.546019949</v>
      </c>
      <c r="J30" s="323">
        <f t="shared" si="5"/>
        <v>4485748.1304629985</v>
      </c>
      <c r="K30" s="323">
        <f t="shared" si="5"/>
        <v>482150.3245050413</v>
      </c>
      <c r="L30" s="323">
        <f t="shared" si="4"/>
        <v>23587568.669282</v>
      </c>
    </row>
    <row r="31" spans="1:12" ht="12.75">
      <c r="A31" s="129"/>
      <c r="B31" s="129" t="s">
        <v>268</v>
      </c>
      <c r="C31" s="323">
        <f>(C16)</f>
        <v>4625816.794398327</v>
      </c>
      <c r="D31" s="323">
        <f aca="true" t="shared" si="6" ref="D31:K31">(D16)</f>
        <v>3085793.1329178363</v>
      </c>
      <c r="E31" s="323">
        <f t="shared" si="6"/>
        <v>0</v>
      </c>
      <c r="F31" s="323">
        <f t="shared" si="6"/>
        <v>121318.49098582687</v>
      </c>
      <c r="G31" s="323">
        <f t="shared" si="6"/>
        <v>124122.8796502921</v>
      </c>
      <c r="H31" s="323">
        <f t="shared" si="6"/>
        <v>190468.97920199903</v>
      </c>
      <c r="I31" s="323">
        <f t="shared" si="6"/>
        <v>129846.38197004165</v>
      </c>
      <c r="J31" s="323">
        <f t="shared" si="6"/>
        <v>879711.2296003449</v>
      </c>
      <c r="K31" s="323">
        <f t="shared" si="6"/>
        <v>94555.70007198688</v>
      </c>
      <c r="L31" s="323">
        <f t="shared" si="4"/>
        <v>4625816.794398327</v>
      </c>
    </row>
    <row r="32" spans="1:12" ht="12.75">
      <c r="A32" s="129"/>
      <c r="B32" s="129" t="s">
        <v>450</v>
      </c>
      <c r="C32" s="323">
        <f>(C25)</f>
        <v>8665501.379594646</v>
      </c>
      <c r="D32" s="323">
        <f>(D25)</f>
        <v>7503355.72784698</v>
      </c>
      <c r="E32" s="323">
        <f aca="true" t="shared" si="7" ref="E32:J32">(E25)</f>
        <v>9475.7077014713</v>
      </c>
      <c r="F32" s="323">
        <f t="shared" si="7"/>
        <v>568414.3118592869</v>
      </c>
      <c r="G32" s="323">
        <f t="shared" si="7"/>
        <v>135048.04295923654</v>
      </c>
      <c r="H32" s="323">
        <f t="shared" si="7"/>
        <v>31832.657068303117</v>
      </c>
      <c r="I32" s="323">
        <f t="shared" si="7"/>
        <v>2259.5026417422278</v>
      </c>
      <c r="J32" s="323">
        <f t="shared" si="7"/>
        <v>117599.24102276642</v>
      </c>
      <c r="K32" s="323">
        <f>(K25)</f>
        <v>297516.1884948592</v>
      </c>
      <c r="L32" s="323">
        <f t="shared" si="4"/>
        <v>8665501.379594645</v>
      </c>
    </row>
    <row r="33" spans="1:12" ht="12.75">
      <c r="A33" s="129"/>
      <c r="B33" s="129" t="s">
        <v>451</v>
      </c>
      <c r="C33" s="323">
        <f>(C27)</f>
        <v>458604.4422383046</v>
      </c>
      <c r="D33" s="129"/>
      <c r="E33" s="129"/>
      <c r="F33" s="129"/>
      <c r="G33" s="129"/>
      <c r="H33" s="129"/>
      <c r="I33" s="129"/>
      <c r="J33" s="129"/>
      <c r="K33" s="323">
        <f>(K27)</f>
        <v>458604.4422383046</v>
      </c>
      <c r="L33" s="323">
        <f t="shared" si="4"/>
        <v>458604.4422383046</v>
      </c>
    </row>
    <row r="34" spans="1:12" ht="12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323">
        <f t="shared" si="4"/>
        <v>0</v>
      </c>
    </row>
    <row r="35" spans="1:12" ht="12.75">
      <c r="A35" s="129"/>
      <c r="B35" s="129"/>
      <c r="C35" s="323">
        <f>SUM(C29:C33)</f>
        <v>45029015.74551327</v>
      </c>
      <c r="D35" s="323">
        <f aca="true" t="shared" si="8" ref="D35:J35">SUM(D29:D32)</f>
        <v>31853517.062593248</v>
      </c>
      <c r="E35" s="323">
        <f t="shared" si="8"/>
        <v>9475.7077014713</v>
      </c>
      <c r="F35" s="323">
        <f t="shared" si="8"/>
        <v>1466500.7883942025</v>
      </c>
      <c r="G35" s="323">
        <f t="shared" si="8"/>
        <v>1129276.1253933872</v>
      </c>
      <c r="H35" s="323">
        <f t="shared" si="8"/>
        <v>1464309.1471716315</v>
      </c>
      <c r="I35" s="323">
        <f t="shared" si="8"/>
        <v>946977.3108543826</v>
      </c>
      <c r="J35" s="323">
        <f t="shared" si="8"/>
        <v>6724223.9986514095</v>
      </c>
      <c r="K35" s="323">
        <f>SUM(K29:K33)</f>
        <v>1434735.604753541</v>
      </c>
      <c r="L35" s="323">
        <f>SUM(D35:K35)</f>
        <v>45029015.74551327</v>
      </c>
    </row>
    <row r="37" spans="4:10" ht="12.75">
      <c r="D37" s="8">
        <f>('[5]Revenue Analysis'!$C$6)+('[5]Revenue Analysis'!$C$39)</f>
        <v>264252</v>
      </c>
      <c r="E37" s="191" t="s">
        <v>24</v>
      </c>
      <c r="F37" s="8">
        <f>('[5]Revenue Analysis'!$C$101)</f>
        <v>15967</v>
      </c>
      <c r="G37" s="8">
        <f>('[5]Revenue Analysis'!$C$131)</f>
        <v>1654</v>
      </c>
      <c r="H37" s="8">
        <f>('[5]Revenue Analysis'!$C$163)</f>
        <v>577</v>
      </c>
      <c r="I37" s="8">
        <f>('[5]Revenue Analysis'!$C$194)</f>
        <v>15</v>
      </c>
      <c r="J37" s="8">
        <f>('[5]Revenue Analysis'!$C$224)</f>
        <v>984</v>
      </c>
    </row>
    <row r="38" ht="12.75">
      <c r="C38" s="133" t="s">
        <v>24</v>
      </c>
    </row>
    <row r="39" spans="4:10" ht="12.75">
      <c r="D39" s="144">
        <f>(D25/D37)</f>
        <v>28.394697969540363</v>
      </c>
      <c r="E39" s="144" t="s">
        <v>24</v>
      </c>
      <c r="F39" s="144">
        <f>(F25/F37)</f>
        <v>35.59931808475524</v>
      </c>
      <c r="G39" s="144">
        <f>(G25/G37)</f>
        <v>81.6493609185227</v>
      </c>
      <c r="H39" s="144">
        <f>(H25/H37)</f>
        <v>55.16924968510072</v>
      </c>
      <c r="I39" s="144">
        <f>(I25/I37)</f>
        <v>150.63350944948186</v>
      </c>
      <c r="J39" s="144">
        <f>(J25/J37)</f>
        <v>119.51142380362441</v>
      </c>
    </row>
    <row r="40" ht="12.75">
      <c r="C40" s="134" t="s">
        <v>24</v>
      </c>
    </row>
    <row r="41" ht="12.75">
      <c r="C41" s="128" t="s">
        <v>24</v>
      </c>
    </row>
    <row r="42" ht="12.75">
      <c r="C42" s="133" t="s">
        <v>24</v>
      </c>
    </row>
  </sheetData>
  <sheetProtection/>
  <printOptions gridLines="1" headings="1" horizontalCentered="1" verticalCentered="1"/>
  <pageMargins left="0.7" right="0.7" top="0.75" bottom="0.75" header="0.3" footer="0.3"/>
  <pageSetup horizontalDpi="600" verticalDpi="600" orientation="landscape" r:id="rId1"/>
  <headerFooter>
    <oddHeader>&amp;C&amp;"Calibri,Bold"&amp;12CUMBLERLAND VALLEY ELECTRIC
CASE NO. 2016-00XXX
REVENUE REQUIREMENTS FOR EACH RATE CLASS&amp;REXHIBIT ____
PAGE ____ OF ____
WITNESS:  James Adkins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31"/>
  <sheetViews>
    <sheetView zoomScalePageLayoutView="0" workbookViewId="0" topLeftCell="A1">
      <selection activeCell="M29" sqref="M29"/>
    </sheetView>
  </sheetViews>
  <sheetFormatPr defaultColWidth="9.140625" defaultRowHeight="12.75"/>
  <sheetData>
    <row r="3" spans="2:9" ht="18">
      <c r="B3" s="422" t="s">
        <v>24</v>
      </c>
      <c r="C3" s="422"/>
      <c r="D3" s="422"/>
      <c r="E3" s="422"/>
      <c r="F3" s="422"/>
      <c r="G3" s="422"/>
      <c r="H3" s="422"/>
      <c r="I3" s="422"/>
    </row>
    <row r="5" spans="2:5" ht="15">
      <c r="B5" s="61" t="s">
        <v>484</v>
      </c>
      <c r="C5" s="61"/>
      <c r="D5" s="61"/>
      <c r="E5" s="61"/>
    </row>
    <row r="6" spans="2:5" ht="15">
      <c r="B6" s="61"/>
      <c r="C6" s="61"/>
      <c r="D6" s="61"/>
      <c r="E6" s="61"/>
    </row>
    <row r="7" spans="2:5" ht="15">
      <c r="B7" s="71" t="s">
        <v>633</v>
      </c>
      <c r="C7" s="61" t="s">
        <v>634</v>
      </c>
      <c r="D7" s="61"/>
      <c r="E7" s="61"/>
    </row>
    <row r="8" spans="2:5" ht="15">
      <c r="B8" s="71"/>
      <c r="C8" s="61"/>
      <c r="D8" s="61"/>
      <c r="E8" s="61"/>
    </row>
    <row r="9" spans="2:5" ht="15">
      <c r="B9" s="71" t="s">
        <v>635</v>
      </c>
      <c r="C9" s="61" t="s">
        <v>637</v>
      </c>
      <c r="D9" s="61"/>
      <c r="E9" s="61"/>
    </row>
    <row r="10" spans="2:5" ht="15">
      <c r="B10" s="71"/>
      <c r="C10" s="61"/>
      <c r="D10" s="61"/>
      <c r="E10" s="61"/>
    </row>
    <row r="11" spans="2:5" ht="15">
      <c r="B11" s="71" t="s">
        <v>636</v>
      </c>
      <c r="C11" s="61" t="s">
        <v>639</v>
      </c>
      <c r="D11" s="61"/>
      <c r="E11" s="61"/>
    </row>
    <row r="12" spans="2:5" ht="15">
      <c r="B12" s="71"/>
      <c r="C12" s="61"/>
      <c r="D12" s="61"/>
      <c r="E12" s="61"/>
    </row>
    <row r="13" spans="2:5" ht="15">
      <c r="B13" s="71" t="s">
        <v>638</v>
      </c>
      <c r="C13" s="61" t="s">
        <v>641</v>
      </c>
      <c r="D13" s="61"/>
      <c r="E13" s="61"/>
    </row>
    <row r="14" spans="2:5" ht="15">
      <c r="B14" s="71"/>
      <c r="C14" s="61"/>
      <c r="D14" s="61"/>
      <c r="E14" s="61"/>
    </row>
    <row r="15" spans="2:5" ht="15">
      <c r="B15" s="71" t="s">
        <v>640</v>
      </c>
      <c r="C15" s="61" t="s">
        <v>643</v>
      </c>
      <c r="D15" s="61"/>
      <c r="E15" s="61"/>
    </row>
    <row r="16" spans="2:5" ht="15">
      <c r="B16" s="71"/>
      <c r="C16" s="61"/>
      <c r="D16" s="61"/>
      <c r="E16" s="61"/>
    </row>
    <row r="17" spans="2:5" ht="15">
      <c r="B17" s="71" t="s">
        <v>642</v>
      </c>
      <c r="C17" s="61" t="s">
        <v>645</v>
      </c>
      <c r="D17" s="61"/>
      <c r="E17" s="61"/>
    </row>
    <row r="18" spans="2:5" ht="15">
      <c r="B18" s="71"/>
      <c r="C18" s="61"/>
      <c r="D18" s="61"/>
      <c r="E18" s="61"/>
    </row>
    <row r="19" spans="2:5" ht="15">
      <c r="B19" s="71" t="s">
        <v>644</v>
      </c>
      <c r="C19" s="61" t="s">
        <v>647</v>
      </c>
      <c r="D19" s="61"/>
      <c r="E19" s="61"/>
    </row>
    <row r="20" spans="2:5" ht="15">
      <c r="B20" s="71"/>
      <c r="C20" s="61"/>
      <c r="D20" s="61"/>
      <c r="E20" s="61"/>
    </row>
    <row r="21" spans="2:5" ht="15">
      <c r="B21" s="71" t="s">
        <v>646</v>
      </c>
      <c r="C21" s="61" t="s">
        <v>649</v>
      </c>
      <c r="D21" s="61"/>
      <c r="E21" s="61"/>
    </row>
    <row r="22" spans="2:5" ht="15">
      <c r="B22" s="71"/>
      <c r="C22" s="61"/>
      <c r="D22" s="61"/>
      <c r="E22" s="61"/>
    </row>
    <row r="23" spans="2:5" ht="15">
      <c r="B23" s="71" t="s">
        <v>648</v>
      </c>
      <c r="C23" s="61" t="s">
        <v>651</v>
      </c>
      <c r="D23" s="61"/>
      <c r="E23" s="61"/>
    </row>
    <row r="24" spans="2:5" ht="15">
      <c r="B24" s="71"/>
      <c r="C24" s="61"/>
      <c r="D24" s="61"/>
      <c r="E24" s="61"/>
    </row>
    <row r="25" spans="2:5" ht="15">
      <c r="B25" s="71" t="s">
        <v>650</v>
      </c>
      <c r="C25" s="61" t="s">
        <v>653</v>
      </c>
      <c r="D25" s="61"/>
      <c r="E25" s="61"/>
    </row>
    <row r="26" spans="2:5" ht="15">
      <c r="B26" s="61"/>
      <c r="C26" s="61"/>
      <c r="D26" s="61"/>
      <c r="E26" s="61"/>
    </row>
    <row r="27" spans="2:5" ht="15">
      <c r="B27" s="71" t="s">
        <v>652</v>
      </c>
      <c r="C27" s="61" t="s">
        <v>655</v>
      </c>
      <c r="D27" s="61"/>
      <c r="E27" s="61"/>
    </row>
    <row r="28" spans="2:5" ht="15">
      <c r="B28" s="71"/>
      <c r="C28" s="61"/>
      <c r="D28" s="61"/>
      <c r="E28" s="61"/>
    </row>
    <row r="29" spans="2:5" ht="15">
      <c r="B29" s="71" t="s">
        <v>654</v>
      </c>
      <c r="C29" s="61" t="s">
        <v>656</v>
      </c>
      <c r="D29" s="61"/>
      <c r="E29" s="61"/>
    </row>
    <row r="30" spans="2:5" ht="15">
      <c r="B30" s="71"/>
      <c r="D30" s="61"/>
      <c r="E30" s="61"/>
    </row>
    <row r="31" spans="2:5" ht="15">
      <c r="B31" s="71" t="s">
        <v>24</v>
      </c>
      <c r="D31" s="61"/>
      <c r="E31" s="61"/>
    </row>
  </sheetData>
  <sheetProtection/>
  <mergeCells count="1">
    <mergeCell ref="B3:I3"/>
  </mergeCells>
  <printOptions horizontalCentered="1" verticalCentered="1"/>
  <pageMargins left="0.7" right="0.7" top="0.75" bottom="0.75" header="0.3" footer="0.3"/>
  <pageSetup horizontalDpi="600" verticalDpi="600" orientation="portrait" r:id="rId1"/>
  <headerFooter>
    <oddHeader>&amp;C&amp;"Arial,Bold"&amp;14CUMBERLAND VALLEY ELECTRIC
CASE NO. 2016-00169
OUTLINE&amp;RRevision 2 Exhibit R
Page ____ of ____
Witness:  James R Adkins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H225"/>
  <sheetViews>
    <sheetView zoomScalePageLayoutView="0" workbookViewId="0" topLeftCell="R1">
      <selection activeCell="Z26" sqref="Z26"/>
    </sheetView>
  </sheetViews>
  <sheetFormatPr defaultColWidth="9.140625" defaultRowHeight="12.75"/>
  <cols>
    <col min="1" max="1" width="3.8515625" style="1" customWidth="1"/>
    <col min="2" max="2" width="6.00390625" style="1" customWidth="1"/>
    <col min="3" max="3" width="22.8515625" style="0" customWidth="1"/>
    <col min="4" max="4" width="15.28125" style="0" customWidth="1"/>
    <col min="5" max="5" width="6.421875" style="1" customWidth="1"/>
    <col min="6" max="6" width="13.421875" style="8" customWidth="1"/>
    <col min="7" max="7" width="11.57421875" style="0" customWidth="1"/>
    <col min="8" max="8" width="12.28125" style="0" customWidth="1"/>
    <col min="9" max="9" width="12.00390625" style="0" customWidth="1"/>
    <col min="10" max="10" width="11.00390625" style="0" customWidth="1"/>
    <col min="11" max="11" width="10.8515625" style="0" customWidth="1"/>
    <col min="12" max="12" width="10.7109375" style="0" customWidth="1"/>
    <col min="13" max="13" width="10.421875" style="0" customWidth="1"/>
    <col min="14" max="14" width="11.28125" style="0" customWidth="1"/>
    <col min="15" max="15" width="10.140625" style="0" customWidth="1"/>
    <col min="16" max="16" width="11.00390625" style="0" customWidth="1"/>
    <col min="17" max="17" width="11.7109375" style="0" customWidth="1"/>
    <col min="18" max="18" width="9.140625" style="0" customWidth="1"/>
    <col min="19" max="20" width="9.57421875" style="0" customWidth="1"/>
    <col min="21" max="31" width="10.28125" style="0" customWidth="1"/>
    <col min="32" max="32" width="13.8515625" style="0" customWidth="1"/>
    <col min="33" max="33" width="13.140625" style="0" customWidth="1"/>
    <col min="34" max="34" width="10.7109375" style="0" customWidth="1"/>
  </cols>
  <sheetData>
    <row r="1" spans="1:32" ht="12.75">
      <c r="A1" s="4"/>
      <c r="B1" s="4"/>
      <c r="C1" s="3"/>
      <c r="D1" s="3"/>
      <c r="E1" s="4"/>
      <c r="F1" s="10"/>
      <c r="G1" s="3"/>
      <c r="H1" s="3"/>
      <c r="I1" s="3"/>
      <c r="J1" s="3"/>
      <c r="K1" s="3"/>
      <c r="L1" s="3"/>
      <c r="M1" s="3"/>
      <c r="N1" s="3"/>
      <c r="O1" s="3"/>
      <c r="P1" s="3"/>
      <c r="Q1" s="70" t="s">
        <v>24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4"/>
      <c r="B2" s="4"/>
      <c r="C2" s="3"/>
      <c r="D2" s="3"/>
      <c r="E2" s="4"/>
      <c r="F2" s="17"/>
      <c r="G2" s="443" t="s">
        <v>343</v>
      </c>
      <c r="H2" s="443"/>
      <c r="I2" s="443"/>
      <c r="J2" s="3"/>
      <c r="K2" s="34" t="s">
        <v>576</v>
      </c>
      <c r="L2" s="3"/>
      <c r="M2" s="443" t="s">
        <v>298</v>
      </c>
      <c r="N2" s="443"/>
      <c r="O2" s="443"/>
      <c r="P2" s="443" t="s">
        <v>298</v>
      </c>
      <c r="Q2" s="443"/>
      <c r="R2" s="443"/>
      <c r="S2" s="443" t="s">
        <v>302</v>
      </c>
      <c r="T2" s="443"/>
      <c r="U2" s="443"/>
      <c r="V2" s="443" t="s">
        <v>304</v>
      </c>
      <c r="W2" s="443"/>
      <c r="X2" s="443"/>
      <c r="Y2" s="443" t="s">
        <v>306</v>
      </c>
      <c r="Z2" s="443"/>
      <c r="AA2" s="443"/>
      <c r="AB2" s="446" t="s">
        <v>307</v>
      </c>
      <c r="AC2" s="446"/>
      <c r="AD2" s="446"/>
      <c r="AE2" s="4"/>
      <c r="AF2" s="3"/>
    </row>
    <row r="3" spans="1:32" ht="12.75">
      <c r="A3" s="4"/>
      <c r="B3" s="4"/>
      <c r="C3" s="3"/>
      <c r="D3" s="4" t="s">
        <v>24</v>
      </c>
      <c r="E3" s="4"/>
      <c r="F3" s="17" t="s">
        <v>88</v>
      </c>
      <c r="G3" s="442" t="s">
        <v>223</v>
      </c>
      <c r="H3" s="442"/>
      <c r="I3" s="442"/>
      <c r="J3" s="444" t="s">
        <v>577</v>
      </c>
      <c r="K3" s="445"/>
      <c r="L3" s="445"/>
      <c r="M3" s="5"/>
      <c r="N3" s="105" t="s">
        <v>578</v>
      </c>
      <c r="O3" s="5"/>
      <c r="P3" s="444" t="s">
        <v>579</v>
      </c>
      <c r="Q3" s="445"/>
      <c r="R3" s="445"/>
      <c r="S3" s="445" t="s">
        <v>344</v>
      </c>
      <c r="T3" s="445"/>
      <c r="U3" s="445"/>
      <c r="V3" s="444" t="s">
        <v>580</v>
      </c>
      <c r="W3" s="445"/>
      <c r="X3" s="445"/>
      <c r="Y3" s="444" t="s">
        <v>581</v>
      </c>
      <c r="Z3" s="445"/>
      <c r="AA3" s="445"/>
      <c r="AB3" s="447" t="s">
        <v>17</v>
      </c>
      <c r="AC3" s="447"/>
      <c r="AD3" s="447"/>
      <c r="AE3" s="4"/>
      <c r="AF3" s="3"/>
    </row>
    <row r="4" spans="1:32" ht="12.75">
      <c r="A4" s="4"/>
      <c r="B4" s="4"/>
      <c r="C4" s="3"/>
      <c r="D4" s="4" t="s">
        <v>24</v>
      </c>
      <c r="E4" s="74" t="s">
        <v>8</v>
      </c>
      <c r="F4" s="75" t="s">
        <v>118</v>
      </c>
      <c r="G4" s="28" t="s">
        <v>10</v>
      </c>
      <c r="H4" s="28" t="s">
        <v>42</v>
      </c>
      <c r="I4" s="28" t="s">
        <v>11</v>
      </c>
      <c r="J4" s="28" t="s">
        <v>10</v>
      </c>
      <c r="K4" s="28" t="s">
        <v>42</v>
      </c>
      <c r="L4" s="28" t="s">
        <v>11</v>
      </c>
      <c r="M4" s="28" t="s">
        <v>10</v>
      </c>
      <c r="N4" s="28" t="s">
        <v>42</v>
      </c>
      <c r="O4" s="28" t="s">
        <v>11</v>
      </c>
      <c r="P4" s="28" t="s">
        <v>10</v>
      </c>
      <c r="Q4" s="28" t="s">
        <v>42</v>
      </c>
      <c r="R4" s="28" t="s">
        <v>11</v>
      </c>
      <c r="S4" s="28" t="s">
        <v>10</v>
      </c>
      <c r="T4" s="28" t="s">
        <v>42</v>
      </c>
      <c r="U4" s="28" t="s">
        <v>11</v>
      </c>
      <c r="V4" s="28" t="s">
        <v>10</v>
      </c>
      <c r="W4" s="30" t="s">
        <v>42</v>
      </c>
      <c r="X4" s="28" t="s">
        <v>11</v>
      </c>
      <c r="Y4" s="28" t="s">
        <v>10</v>
      </c>
      <c r="Z4" s="30" t="s">
        <v>42</v>
      </c>
      <c r="AA4" s="28" t="s">
        <v>11</v>
      </c>
      <c r="AB4" s="28" t="s">
        <v>10</v>
      </c>
      <c r="AC4" s="28" t="s">
        <v>42</v>
      </c>
      <c r="AD4" s="28" t="s">
        <v>11</v>
      </c>
      <c r="AE4" s="28"/>
      <c r="AF4" s="3"/>
    </row>
    <row r="5" spans="1:32" ht="12.75">
      <c r="A5" s="4"/>
      <c r="B5" s="4"/>
      <c r="C5" s="3"/>
      <c r="D5" s="3"/>
      <c r="E5" s="4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2.75">
      <c r="A6" s="4">
        <v>1</v>
      </c>
      <c r="B6" s="4"/>
      <c r="C6" s="31" t="s">
        <v>48</v>
      </c>
      <c r="D6" s="3"/>
      <c r="E6" s="4"/>
      <c r="F6" s="10"/>
      <c r="G6" s="3"/>
      <c r="H6" s="3"/>
      <c r="I6" s="3"/>
      <c r="J6" s="10">
        <f>($F$7*' Energy &amp; Demand Allocations'!F56)</f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12.75">
      <c r="A7" s="4">
        <v>2</v>
      </c>
      <c r="B7" s="4"/>
      <c r="C7" s="3" t="s">
        <v>289</v>
      </c>
      <c r="D7" s="3"/>
      <c r="E7" s="4" t="s">
        <v>24</v>
      </c>
      <c r="F7" s="10">
        <f>('Classification 1'!F10)</f>
        <v>6986348.459999998</v>
      </c>
      <c r="G7" s="10">
        <f>($F$7*' Energy &amp; Demand Allocations'!C57)</f>
        <v>5059146.93777554</v>
      </c>
      <c r="H7" s="10" t="s">
        <v>24</v>
      </c>
      <c r="I7" s="3"/>
      <c r="J7" s="10">
        <f>($F$7*' Energy &amp; Demand Allocations'!D57)</f>
        <v>0</v>
      </c>
      <c r="K7" s="3" t="s">
        <v>24</v>
      </c>
      <c r="L7" s="3"/>
      <c r="M7" s="10">
        <f>($F$7*' Energy &amp; Demand Allocations'!E57)</f>
        <v>139656.90740389106</v>
      </c>
      <c r="N7" s="3"/>
      <c r="O7" s="3"/>
      <c r="P7" s="10">
        <f>($F$7*' Energy &amp; Demand Allocations'!F57)</f>
        <v>218266.71523027655</v>
      </c>
      <c r="Q7" s="3"/>
      <c r="R7" s="3"/>
      <c r="S7" s="10">
        <f>($F$7*' Energy &amp; Demand Allocations'!G57)</f>
        <v>241748.6409918969</v>
      </c>
      <c r="T7" s="3"/>
      <c r="U7" s="3"/>
      <c r="V7" s="10">
        <f>($F$7*' Energy &amp; Demand Allocations'!H57)</f>
        <v>132975.6349419055</v>
      </c>
      <c r="W7" s="3"/>
      <c r="X7" s="10" t="s">
        <v>24</v>
      </c>
      <c r="Y7" s="10">
        <f>($F$7*' Energy &amp; Demand Allocations'!I57)</f>
        <v>1107059.0821582843</v>
      </c>
      <c r="Z7" s="3"/>
      <c r="AA7" s="3"/>
      <c r="AB7" s="10">
        <f>($F$7*' Energy &amp; Demand Allocations'!J57)</f>
        <v>87494.54149820357</v>
      </c>
      <c r="AC7" s="3"/>
      <c r="AD7" s="3"/>
      <c r="AE7" s="3"/>
      <c r="AF7" s="27">
        <f>SUM(G7:AE7)</f>
        <v>6986348.459999999</v>
      </c>
      <c r="AG7" s="9">
        <f>(AF7-F7)</f>
        <v>9.313225746154785E-10</v>
      </c>
    </row>
    <row r="8" spans="1:33" ht="12.75">
      <c r="A8" s="4">
        <v>3</v>
      </c>
      <c r="B8" s="4"/>
      <c r="C8" s="3" t="s">
        <v>157</v>
      </c>
      <c r="D8" s="3" t="s">
        <v>24</v>
      </c>
      <c r="E8" s="4" t="s">
        <v>24</v>
      </c>
      <c r="F8" s="10">
        <f>('Classification 1'!G7)</f>
        <v>23587568.669281997</v>
      </c>
      <c r="G8" s="3"/>
      <c r="H8" s="10">
        <f>($F$8*' Energy &amp; Demand Allocations'!C26)</f>
        <v>15494190.212842934</v>
      </c>
      <c r="I8" s="3"/>
      <c r="J8" s="3"/>
      <c r="K8" s="10">
        <f>($F$8*' Energy &amp; Demand Allocations'!D26)</f>
        <v>37987.71144326891</v>
      </c>
      <c r="L8" s="3"/>
      <c r="M8" s="3"/>
      <c r="N8" s="10">
        <f>($F$8*' Energy &amp; Demand Allocations'!E26)</f>
        <v>746170.845293996</v>
      </c>
      <c r="O8" s="3"/>
      <c r="P8" s="3"/>
      <c r="Q8" s="10">
        <f>($F$8*' Energy &amp; Demand Allocations'!F26)</f>
        <v>380744.05892720737</v>
      </c>
      <c r="R8" s="3"/>
      <c r="S8" s="3"/>
      <c r="T8" s="10">
        <f>($F$8*' Energy &amp; Demand Allocations'!G26)</f>
        <v>817165.1225586499</v>
      </c>
      <c r="U8" s="3"/>
      <c r="V8" s="3"/>
      <c r="W8" s="10">
        <f>($F$8*' Energy &amp; Demand Allocations'!H26)</f>
        <v>847178.9428373566</v>
      </c>
      <c r="X8" s="3"/>
      <c r="Y8" s="3"/>
      <c r="Z8" s="10">
        <f>($F$8*' Energy &amp; Demand Allocations'!I26)</f>
        <v>4681273.260102</v>
      </c>
      <c r="AA8" s="3"/>
      <c r="AB8" s="3"/>
      <c r="AC8" s="10">
        <f>($F$8*' Energy &amp; Demand Allocations'!J26)</f>
        <v>582858.5152765842</v>
      </c>
      <c r="AD8" s="3"/>
      <c r="AE8" s="3"/>
      <c r="AF8" s="27">
        <f>SUM(G8:AE8)</f>
        <v>23587568.669282</v>
      </c>
      <c r="AG8" s="9">
        <f>(AF8-F8)</f>
        <v>3.725290298461914E-09</v>
      </c>
    </row>
    <row r="9" spans="1:33" ht="12.75">
      <c r="A9" s="4">
        <v>5</v>
      </c>
      <c r="B9" s="4"/>
      <c r="C9" s="3" t="s">
        <v>158</v>
      </c>
      <c r="D9" s="3" t="s">
        <v>24</v>
      </c>
      <c r="E9" s="4"/>
      <c r="F9" s="10">
        <f>('Classification 1'!H10)</f>
        <v>705176</v>
      </c>
      <c r="G9" s="14">
        <f>($F$9*' Energy &amp; Demand Allocations'!C90)</f>
        <v>470409.3039165638</v>
      </c>
      <c r="H9" s="5"/>
      <c r="I9" s="5"/>
      <c r="J9" s="14">
        <f>($F$9*' Energy &amp; Demand Allocations'!D90)</f>
        <v>0</v>
      </c>
      <c r="K9" s="5"/>
      <c r="L9" s="5"/>
      <c r="M9" s="14">
        <f>($F$9*' Energy &amp; Demand Allocations'!E90)</f>
        <v>18494.22318303224</v>
      </c>
      <c r="N9" s="5"/>
      <c r="O9" s="5"/>
      <c r="P9" s="14">
        <f>($F$9*' Energy &amp; Demand Allocations'!F90)</f>
        <v>18921.734186764108</v>
      </c>
      <c r="Q9" s="5"/>
      <c r="R9" s="5"/>
      <c r="S9" s="14">
        <f>($F$9*' Energy &amp; Demand Allocations'!G90)</f>
        <v>29035.770080734223</v>
      </c>
      <c r="T9" s="5"/>
      <c r="U9" s="5"/>
      <c r="V9" s="10">
        <f>($F$9*' Energy &amp; Demand Allocations'!H90)</f>
        <v>19794.24528074414</v>
      </c>
      <c r="W9" s="5"/>
      <c r="X9" s="5"/>
      <c r="Y9" s="14">
        <f>($F$9*' Energy &amp; Demand Allocations'!I90)</f>
        <v>134106.3154070158</v>
      </c>
      <c r="Z9" s="5"/>
      <c r="AA9" s="5"/>
      <c r="AB9" s="14">
        <f>($F$9*' Energy &amp; Demand Allocations'!J90)</f>
        <v>14414.40794514565</v>
      </c>
      <c r="AC9" s="5"/>
      <c r="AD9" s="5"/>
      <c r="AE9" s="3"/>
      <c r="AF9" s="27">
        <f>SUM(G9:AE9)</f>
        <v>705176</v>
      </c>
      <c r="AG9" s="9">
        <f>(AF9-F9)</f>
        <v>0</v>
      </c>
    </row>
    <row r="10" spans="1:33" ht="12.75">
      <c r="A10" s="4"/>
      <c r="B10" s="4"/>
      <c r="C10" s="3"/>
      <c r="D10" s="3"/>
      <c r="E10" s="4"/>
      <c r="F10" s="10"/>
      <c r="G10" s="10"/>
      <c r="H10" s="3"/>
      <c r="I10" s="3"/>
      <c r="J10" s="10"/>
      <c r="K10" s="3"/>
      <c r="L10" s="3"/>
      <c r="M10" s="10"/>
      <c r="N10" s="3"/>
      <c r="O10" s="3"/>
      <c r="P10" s="10"/>
      <c r="Q10" s="3"/>
      <c r="R10" s="3"/>
      <c r="S10" s="10"/>
      <c r="T10" s="3"/>
      <c r="U10" s="3"/>
      <c r="V10" s="10"/>
      <c r="W10" s="3"/>
      <c r="X10" s="3"/>
      <c r="Y10" s="10"/>
      <c r="Z10" s="3"/>
      <c r="AA10" s="3"/>
      <c r="AB10" s="10"/>
      <c r="AC10" s="3"/>
      <c r="AD10" s="3"/>
      <c r="AE10" s="3"/>
      <c r="AF10" s="27"/>
      <c r="AG10" s="9"/>
    </row>
    <row r="11" spans="1:32" ht="12.75">
      <c r="A11" s="4">
        <v>6</v>
      </c>
      <c r="B11" s="4"/>
      <c r="C11" s="3" t="s">
        <v>24</v>
      </c>
      <c r="D11" s="3" t="s">
        <v>24</v>
      </c>
      <c r="E11" s="4"/>
      <c r="F11" s="15">
        <f aca="true" t="shared" si="0" ref="F11:K11">SUM(F7:F9)</f>
        <v>31279093.129281994</v>
      </c>
      <c r="G11" s="15">
        <f t="shared" si="0"/>
        <v>5529556.241692104</v>
      </c>
      <c r="H11" s="15">
        <f t="shared" si="0"/>
        <v>15494190.212842934</v>
      </c>
      <c r="I11" s="15">
        <f t="shared" si="0"/>
        <v>0</v>
      </c>
      <c r="J11" s="15">
        <f t="shared" si="0"/>
        <v>0</v>
      </c>
      <c r="K11" s="15">
        <f t="shared" si="0"/>
        <v>37987.71144326891</v>
      </c>
      <c r="L11" s="15">
        <f aca="true" t="shared" si="1" ref="L11:AD11">SUM(L7:L9)</f>
        <v>0</v>
      </c>
      <c r="M11" s="15">
        <f t="shared" si="1"/>
        <v>158151.1305869233</v>
      </c>
      <c r="N11" s="15">
        <f t="shared" si="1"/>
        <v>746170.845293996</v>
      </c>
      <c r="O11" s="15">
        <f t="shared" si="1"/>
        <v>0</v>
      </c>
      <c r="P11" s="15">
        <f t="shared" si="1"/>
        <v>237188.44941704065</v>
      </c>
      <c r="Q11" s="15">
        <f t="shared" si="1"/>
        <v>380744.05892720737</v>
      </c>
      <c r="R11" s="15">
        <f t="shared" si="1"/>
        <v>0</v>
      </c>
      <c r="S11" s="15">
        <f t="shared" si="1"/>
        <v>270784.41107263113</v>
      </c>
      <c r="T11" s="15">
        <f t="shared" si="1"/>
        <v>817165.1225586499</v>
      </c>
      <c r="U11" s="15">
        <f t="shared" si="1"/>
        <v>0</v>
      </c>
      <c r="V11" s="15">
        <f t="shared" si="1"/>
        <v>152769.88022264963</v>
      </c>
      <c r="W11" s="15">
        <f t="shared" si="1"/>
        <v>847178.9428373566</v>
      </c>
      <c r="X11" s="15">
        <f t="shared" si="1"/>
        <v>0</v>
      </c>
      <c r="Y11" s="15">
        <f t="shared" si="1"/>
        <v>1241165.3975653</v>
      </c>
      <c r="Z11" s="15">
        <f t="shared" si="1"/>
        <v>4681273.260102</v>
      </c>
      <c r="AA11" s="15">
        <f t="shared" si="1"/>
        <v>0</v>
      </c>
      <c r="AB11" s="15">
        <f t="shared" si="1"/>
        <v>101908.94944334922</v>
      </c>
      <c r="AC11" s="15">
        <f t="shared" si="1"/>
        <v>582858.5152765842</v>
      </c>
      <c r="AD11" s="15">
        <f t="shared" si="1"/>
        <v>0</v>
      </c>
      <c r="AE11" s="3"/>
      <c r="AF11" s="27">
        <f>SUM(G11:AE11)</f>
        <v>31279093.12928199</v>
      </c>
    </row>
    <row r="12" spans="1:32" ht="12.75">
      <c r="A12" s="4">
        <v>8</v>
      </c>
      <c r="B12" s="4"/>
      <c r="C12" s="3"/>
      <c r="D12" s="3"/>
      <c r="E12" s="4"/>
      <c r="F12" s="10"/>
      <c r="G12" s="3"/>
      <c r="H12" s="3" t="s">
        <v>24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>
      <c r="A13" s="4">
        <v>9</v>
      </c>
      <c r="B13" s="4"/>
      <c r="C13" s="31" t="s">
        <v>25</v>
      </c>
      <c r="D13" s="3"/>
      <c r="E13" s="4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4" ht="12.75">
      <c r="A14" s="4">
        <v>10</v>
      </c>
      <c r="B14" s="4"/>
      <c r="C14" s="3" t="s">
        <v>159</v>
      </c>
      <c r="D14" s="3"/>
      <c r="E14" s="4"/>
      <c r="F14" s="10">
        <f>('Classification 1'!I112+'Classification 1'!J112)</f>
        <v>1688741.40235774</v>
      </c>
      <c r="G14" s="10">
        <f>($F$14*' Energy &amp; Demand Allocations'!C90)</f>
        <v>1126526.8068938626</v>
      </c>
      <c r="H14" s="3"/>
      <c r="I14" s="3"/>
      <c r="J14" s="10">
        <f>($F$14*' Energy &amp; Demand Allocations'!D90)</f>
        <v>0</v>
      </c>
      <c r="K14" s="3"/>
      <c r="L14" s="3"/>
      <c r="M14" s="10">
        <f>($F$14*' Energy &amp; Demand Allocations'!E90)</f>
        <v>44289.596347055056</v>
      </c>
      <c r="N14" s="3"/>
      <c r="O14" s="3"/>
      <c r="P14" s="10">
        <f>($F$14*' Energy &amp; Demand Allocations'!F90)</f>
        <v>45313.39116135037</v>
      </c>
      <c r="Q14" s="3"/>
      <c r="R14" s="3"/>
      <c r="S14" s="10">
        <f>($F$14*' Energy &amp; Demand Allocations'!G90)</f>
        <v>69534.28234182108</v>
      </c>
      <c r="T14" s="3"/>
      <c r="U14" s="3"/>
      <c r="V14" s="10">
        <f>($F$14*' Energy &amp; Demand Allocations'!H90)</f>
        <v>47402.863305071274</v>
      </c>
      <c r="W14" s="3"/>
      <c r="X14" s="3"/>
      <c r="Y14" s="10">
        <f>($F$14*' Energy &amp; Demand Allocations'!I90)</f>
        <v>321155.12601885665</v>
      </c>
      <c r="Z14" s="3"/>
      <c r="AA14" s="3"/>
      <c r="AB14" s="10">
        <f>($F$14*' Energy &amp; Demand Allocations'!J90)</f>
        <v>34519.33628972315</v>
      </c>
      <c r="AC14" s="3"/>
      <c r="AD14" s="3"/>
      <c r="AE14" s="3"/>
      <c r="AF14" s="27">
        <f aca="true" t="shared" si="2" ref="AF14:AF23">SUM(G14:AE14)</f>
        <v>1688741.4023577403</v>
      </c>
      <c r="AG14" s="9">
        <f aca="true" t="shared" si="3" ref="AG14:AG21">(AF14-F14)</f>
        <v>2.3283064365386963E-10</v>
      </c>
      <c r="AH14" t="s">
        <v>24</v>
      </c>
    </row>
    <row r="15" spans="1:33" ht="12.75">
      <c r="A15" s="4">
        <v>11</v>
      </c>
      <c r="B15" s="4"/>
      <c r="C15" s="3" t="s">
        <v>166</v>
      </c>
      <c r="D15" s="3"/>
      <c r="E15" s="4"/>
      <c r="F15" s="10">
        <f>('Classification 1'!K113)</f>
        <v>1403242.0379885838</v>
      </c>
      <c r="G15" s="3"/>
      <c r="H15" s="3"/>
      <c r="I15" s="10">
        <f>($F$15*'Consume Allocations'!$G$9)</f>
        <v>1305808.667610021</v>
      </c>
      <c r="J15" s="3"/>
      <c r="K15" s="3"/>
      <c r="L15" s="10">
        <f>($F$15*'Consume Allocations'!$G$11)</f>
        <v>0</v>
      </c>
      <c r="M15" s="3"/>
      <c r="N15" s="3"/>
      <c r="O15" s="10">
        <f>($F$15*'Consume Allocations'!$G$12)</f>
        <v>78705.30161966631</v>
      </c>
      <c r="P15" s="3"/>
      <c r="Q15" s="3"/>
      <c r="R15" s="10">
        <f>($F$15*'Consume Allocations'!$G$13)</f>
        <v>8297.245652675667</v>
      </c>
      <c r="S15" s="3"/>
      <c r="T15" s="3"/>
      <c r="U15" s="10">
        <f>($F$15*'Consume Allocations'!$G$14)</f>
        <v>2844.7699380602285</v>
      </c>
      <c r="V15" s="3"/>
      <c r="W15" s="3"/>
      <c r="X15" s="10">
        <f>($F$15*'Consume Allocations'!$G$15)</f>
        <v>59.26604037625475</v>
      </c>
      <c r="Y15" s="3"/>
      <c r="Z15" s="3"/>
      <c r="AA15" s="10">
        <f>($F$15*'Consume Allocations'!$G$16)</f>
        <v>4682.017189724126</v>
      </c>
      <c r="AB15" s="3"/>
      <c r="AC15" s="3"/>
      <c r="AD15" s="10">
        <f>($F$15*'Consume Allocations'!$G$17)</f>
        <v>2844.7699380602285</v>
      </c>
      <c r="AE15" s="10"/>
      <c r="AF15" s="27">
        <f t="shared" si="2"/>
        <v>1403242.037988584</v>
      </c>
      <c r="AG15" s="9">
        <f t="shared" si="3"/>
        <v>2.3283064365386963E-10</v>
      </c>
    </row>
    <row r="16" spans="1:34" ht="12.75">
      <c r="A16" s="4">
        <v>12</v>
      </c>
      <c r="B16" s="4"/>
      <c r="C16" s="3" t="s">
        <v>160</v>
      </c>
      <c r="D16" s="3"/>
      <c r="E16" s="4"/>
      <c r="F16" s="10">
        <f>('Classification 1'!I114+'Classification 1'!J114)</f>
        <v>380079.28807901026</v>
      </c>
      <c r="G16" s="10">
        <f>($F$16*' Energy &amp; Demand Allocations'!C90)</f>
        <v>253543.55981818773</v>
      </c>
      <c r="H16" s="3"/>
      <c r="I16" s="3"/>
      <c r="J16" s="10">
        <f>($F$16*' Energy &amp; Demand Allocations'!D90)</f>
        <v>0</v>
      </c>
      <c r="K16" s="3"/>
      <c r="L16" s="3"/>
      <c r="M16" s="10">
        <f>($F$16*' Energy &amp; Demand Allocations'!E90)</f>
        <v>9968.108927390072</v>
      </c>
      <c r="N16" s="3"/>
      <c r="O16" s="3"/>
      <c r="P16" s="10">
        <f>($F$16*' Energy &amp; Demand Allocations'!F90)</f>
        <v>10198.530946778637</v>
      </c>
      <c r="Q16" s="3"/>
      <c r="R16" s="3"/>
      <c r="S16" s="10">
        <f>($F$16*' Energy &amp; Demand Allocations'!G90)</f>
        <v>15649.844607745144</v>
      </c>
      <c r="T16" s="3"/>
      <c r="U16" s="3"/>
      <c r="V16" s="10">
        <f>($F$16*' Energy &amp; Demand Allocations'!H90)</f>
        <v>10668.80134089439</v>
      </c>
      <c r="W16" s="3"/>
      <c r="X16" s="3"/>
      <c r="Y16" s="10">
        <f>($F$16*' Energy &amp; Demand Allocations'!I90)</f>
        <v>72281.2927365619</v>
      </c>
      <c r="Z16" s="3"/>
      <c r="AA16" s="3"/>
      <c r="AB16" s="10">
        <f>($F$16*' Energy &amp; Demand Allocations'!J90)</f>
        <v>7769.149701452386</v>
      </c>
      <c r="AC16" s="3"/>
      <c r="AD16" s="3"/>
      <c r="AE16" s="3"/>
      <c r="AF16" s="27">
        <f t="shared" si="2"/>
        <v>380079.28807901026</v>
      </c>
      <c r="AG16" s="9">
        <f t="shared" si="3"/>
        <v>0</v>
      </c>
      <c r="AH16" t="s">
        <v>24</v>
      </c>
    </row>
    <row r="17" spans="1:33" ht="12.75">
      <c r="A17" s="4">
        <v>13</v>
      </c>
      <c r="B17" s="4"/>
      <c r="C17" s="3" t="s">
        <v>167</v>
      </c>
      <c r="D17" s="3"/>
      <c r="E17" s="4"/>
      <c r="F17" s="10">
        <f>('Classification 1'!K115)</f>
        <v>323354.0423591328</v>
      </c>
      <c r="G17" s="3"/>
      <c r="H17" s="3"/>
      <c r="I17" s="10">
        <f>($F$17*'Consume Allocations'!$G$9)</f>
        <v>300902.1250706919</v>
      </c>
      <c r="J17" s="3"/>
      <c r="K17" s="3"/>
      <c r="L17" s="10">
        <f>($F$17*'Consume Allocations'!$G$11)</f>
        <v>0</v>
      </c>
      <c r="M17" s="3"/>
      <c r="N17" s="3"/>
      <c r="O17" s="10">
        <f>($F$17*'Consume Allocations'!$G$12)</f>
        <v>18136.341945893833</v>
      </c>
      <c r="P17" s="3"/>
      <c r="Q17" s="3"/>
      <c r="R17" s="10">
        <f>($F$17*'Consume Allocations'!$G$13)</f>
        <v>1911.963759356278</v>
      </c>
      <c r="S17" s="3"/>
      <c r="T17" s="3"/>
      <c r="U17" s="10">
        <f>($F$17*'Consume Allocations'!$G$14)</f>
        <v>655.5304317792953</v>
      </c>
      <c r="V17" s="3"/>
      <c r="W17" s="3"/>
      <c r="X17" s="10">
        <f>($F$17*'Consume Allocations'!$G$15)</f>
        <v>13.656883995401984</v>
      </c>
      <c r="Y17" s="3"/>
      <c r="Z17" s="3"/>
      <c r="AA17" s="10">
        <f>($F$17*'Consume Allocations'!$G$16)</f>
        <v>1078.8938356367569</v>
      </c>
      <c r="AB17" s="3"/>
      <c r="AC17" s="3"/>
      <c r="AD17" s="10">
        <f>($F$17*'Consume Allocations'!$G$17)</f>
        <v>655.5304317792953</v>
      </c>
      <c r="AE17" s="10"/>
      <c r="AF17" s="27">
        <f t="shared" si="2"/>
        <v>323354.0423591327</v>
      </c>
      <c r="AG17" s="9">
        <f t="shared" si="3"/>
        <v>-5.820766091346741E-11</v>
      </c>
    </row>
    <row r="18" spans="1:34" ht="12.75">
      <c r="A18" s="4">
        <v>14</v>
      </c>
      <c r="B18" s="4"/>
      <c r="C18" s="3" t="s">
        <v>161</v>
      </c>
      <c r="D18" s="3"/>
      <c r="E18" s="4"/>
      <c r="F18" s="10">
        <f>('Classification 1'!I116+'Classification 1'!J116)</f>
        <v>1344610.599098239</v>
      </c>
      <c r="G18" s="10">
        <f>($F$18*' Energy &amp; Demand Allocations'!C90)</f>
        <v>896963.7877078013</v>
      </c>
      <c r="H18" s="3"/>
      <c r="I18" s="3"/>
      <c r="J18" s="10">
        <f>($F$18*' Energy &amp; Demand Allocations'!D90)</f>
        <v>0</v>
      </c>
      <c r="K18" s="3"/>
      <c r="L18" s="3"/>
      <c r="M18" s="10">
        <f>($F$18*' Energy &amp; Demand Allocations'!E90)</f>
        <v>35264.28652420605</v>
      </c>
      <c r="N18" s="3"/>
      <c r="O18" s="3"/>
      <c r="P18" s="10">
        <f>($F$18*' Energy &amp; Demand Allocations'!F90)</f>
        <v>36079.45298881771</v>
      </c>
      <c r="Q18" s="3"/>
      <c r="R18" s="3"/>
      <c r="S18" s="10">
        <f>($F$18*' Energy &amp; Demand Allocations'!G90)</f>
        <v>55364.62415557927</v>
      </c>
      <c r="T18" s="3"/>
      <c r="U18" s="3"/>
      <c r="V18" s="10">
        <f>($F$18*' Energy &amp; Demand Allocations'!H90)</f>
        <v>37743.133637047875</v>
      </c>
      <c r="W18" s="3"/>
      <c r="X18" s="3"/>
      <c r="Y18" s="10">
        <f>($F$18*' Energy &amp; Demand Allocations'!I90)</f>
        <v>255710.30934445435</v>
      </c>
      <c r="Z18" s="3"/>
      <c r="AA18" s="3"/>
      <c r="AB18" s="10">
        <f>($F$18*' Energy &amp; Demand Allocations'!J90)</f>
        <v>27485.004740332497</v>
      </c>
      <c r="AC18" s="3"/>
      <c r="AD18" s="3"/>
      <c r="AE18" s="3"/>
      <c r="AF18" s="27">
        <f t="shared" si="2"/>
        <v>1344610.599098239</v>
      </c>
      <c r="AG18" s="9">
        <f t="shared" si="3"/>
        <v>0</v>
      </c>
      <c r="AH18" t="s">
        <v>24</v>
      </c>
    </row>
    <row r="19" spans="1:33" ht="12.75">
      <c r="A19" s="4">
        <v>15</v>
      </c>
      <c r="B19" s="4"/>
      <c r="C19" s="3" t="s">
        <v>168</v>
      </c>
      <c r="D19" s="3"/>
      <c r="E19" s="4"/>
      <c r="F19" s="10">
        <f>('Classification 1'!K117)</f>
        <v>1123567.4802318013</v>
      </c>
      <c r="G19" s="3"/>
      <c r="H19" s="3"/>
      <c r="I19" s="10">
        <f>($F$19*'Consume Allocations'!$G$9)</f>
        <v>1045553.165179173</v>
      </c>
      <c r="J19" s="3"/>
      <c r="K19" s="3"/>
      <c r="L19" s="10">
        <f>($F$19*'Consume Allocations'!$G$11)</f>
        <v>0</v>
      </c>
      <c r="M19" s="3"/>
      <c r="N19" s="3"/>
      <c r="O19" s="10">
        <f>($F$19*'Consume Allocations'!$G$12)</f>
        <v>63018.86276757326</v>
      </c>
      <c r="P19" s="3"/>
      <c r="Q19" s="3"/>
      <c r="R19" s="10">
        <f>($F$19*'Consume Allocations'!$G$13)</f>
        <v>6643.554809834531</v>
      </c>
      <c r="S19" s="3"/>
      <c r="T19" s="3"/>
      <c r="U19" s="10">
        <f>($F$19*'Consume Allocations'!$G$14)</f>
        <v>2277.7902205146966</v>
      </c>
      <c r="V19" s="3"/>
      <c r="W19" s="3"/>
      <c r="X19" s="10">
        <f>($F$19*'Consume Allocations'!$G$15)</f>
        <v>47.453962927389505</v>
      </c>
      <c r="Y19" s="3"/>
      <c r="Z19" s="3"/>
      <c r="AA19" s="10">
        <f>($F$19*'Consume Allocations'!$G$16)</f>
        <v>3748.863071263771</v>
      </c>
      <c r="AB19" s="3"/>
      <c r="AC19" s="3"/>
      <c r="AD19" s="10">
        <f>($F$19*'Consume Allocations'!$G$17)</f>
        <v>2277.7902205146966</v>
      </c>
      <c r="AE19" s="10"/>
      <c r="AF19" s="27">
        <f t="shared" si="2"/>
        <v>1123567.4802318013</v>
      </c>
      <c r="AG19" s="9">
        <f t="shared" si="3"/>
        <v>0</v>
      </c>
    </row>
    <row r="20" spans="1:34" ht="12.75">
      <c r="A20" s="4">
        <v>16</v>
      </c>
      <c r="B20" s="4"/>
      <c r="C20" s="3" t="s">
        <v>162</v>
      </c>
      <c r="D20" s="3"/>
      <c r="E20" s="4"/>
      <c r="F20" s="10">
        <f>('Classification 1'!I118+'Classification 1'!J118)</f>
        <v>303792.87945403456</v>
      </c>
      <c r="G20" s="10">
        <f>($F$20*' Energy &amp; Demand Allocations'!C90)</f>
        <v>202654.3684963484</v>
      </c>
      <c r="H20" s="3"/>
      <c r="I20" s="3"/>
      <c r="J20" s="10">
        <f>($F$20*' Energy &amp; Demand Allocations'!D90)</f>
        <v>0</v>
      </c>
      <c r="K20" s="3"/>
      <c r="L20" s="3"/>
      <c r="M20" s="10">
        <f>($F$20*' Energy &amp; Demand Allocations'!E90)</f>
        <v>7967.391564714235</v>
      </c>
      <c r="N20" s="3"/>
      <c r="O20" s="3"/>
      <c r="P20" s="10">
        <f>($F$20*' Energy &amp; Demand Allocations'!F90)</f>
        <v>8151.565159422489</v>
      </c>
      <c r="Q20" s="3"/>
      <c r="R20" s="3"/>
      <c r="S20" s="10">
        <f>($F$20*' Energy &amp; Demand Allocations'!G90)</f>
        <v>12508.735691503334</v>
      </c>
      <c r="T20" s="3"/>
      <c r="U20" s="3"/>
      <c r="V20" s="10">
        <f>($F$20*' Energy &amp; Demand Allocations'!H90)</f>
        <v>8527.446723167972</v>
      </c>
      <c r="W20" s="3"/>
      <c r="X20" s="3"/>
      <c r="Y20" s="10">
        <f>($F$20*' Energy &amp; Demand Allocations'!I90)</f>
        <v>57773.582354572885</v>
      </c>
      <c r="Z20" s="3"/>
      <c r="AA20" s="3"/>
      <c r="AB20" s="10">
        <f>($F$20*' Energy &amp; Demand Allocations'!J90)</f>
        <v>6209.789464305237</v>
      </c>
      <c r="AC20" s="3"/>
      <c r="AD20" s="3"/>
      <c r="AE20" s="3"/>
      <c r="AF20" s="27">
        <f t="shared" si="2"/>
        <v>303792.8794540345</v>
      </c>
      <c r="AG20" s="9">
        <f t="shared" si="3"/>
        <v>-5.820766091346741E-11</v>
      </c>
      <c r="AH20" t="s">
        <v>24</v>
      </c>
    </row>
    <row r="21" spans="1:33" ht="12.75">
      <c r="A21" s="4">
        <v>17</v>
      </c>
      <c r="B21" s="4"/>
      <c r="C21" s="3" t="s">
        <v>163</v>
      </c>
      <c r="D21" s="3"/>
      <c r="E21" s="4"/>
      <c r="F21" s="14">
        <f>('Classification 1'!K119)</f>
        <v>253851.15748730535</v>
      </c>
      <c r="G21" s="5"/>
      <c r="H21" s="5"/>
      <c r="I21" s="14">
        <f>($F$21*'Consume Allocations'!$G$9)</f>
        <v>236225.13633136795</v>
      </c>
      <c r="J21" s="5"/>
      <c r="K21" s="5"/>
      <c r="L21" s="14">
        <f>($F$21*'Consume Allocations'!$G$11)</f>
        <v>0</v>
      </c>
      <c r="M21" s="5"/>
      <c r="N21" s="5"/>
      <c r="O21" s="14">
        <f>($F$21*'Consume Allocations'!$G$12)</f>
        <v>14238.051152728027</v>
      </c>
      <c r="P21" s="5"/>
      <c r="Q21" s="5"/>
      <c r="R21" s="14">
        <f>($F$21*'Consume Allocations'!$G$13)</f>
        <v>1500.9993685104848</v>
      </c>
      <c r="S21" s="5"/>
      <c r="T21" s="5"/>
      <c r="U21" s="14">
        <f>($F$21*'Consume Allocations'!$G$14)</f>
        <v>514.6283549178805</v>
      </c>
      <c r="V21" s="5"/>
      <c r="W21" s="5"/>
      <c r="X21" s="14">
        <f>($F$21*'Consume Allocations'!$G$15)</f>
        <v>10.721424060789177</v>
      </c>
      <c r="Y21" s="5"/>
      <c r="Z21" s="5"/>
      <c r="AA21" s="14">
        <f>($F$21*'Consume Allocations'!$G$16)</f>
        <v>846.992500802345</v>
      </c>
      <c r="AB21" s="5"/>
      <c r="AC21" s="5"/>
      <c r="AD21" s="14">
        <f>($F$21*'Consume Allocations'!$G$17)</f>
        <v>514.6283549178805</v>
      </c>
      <c r="AE21" s="10"/>
      <c r="AF21" s="27">
        <f t="shared" si="2"/>
        <v>253851.15748730538</v>
      </c>
      <c r="AG21" s="9">
        <f t="shared" si="3"/>
        <v>2.9103830456733704E-11</v>
      </c>
    </row>
    <row r="22" spans="1:32" ht="12.75">
      <c r="A22" s="4">
        <v>18</v>
      </c>
      <c r="B22" s="4"/>
      <c r="C22" s="3" t="s">
        <v>24</v>
      </c>
      <c r="D22" s="3"/>
      <c r="E22" s="4"/>
      <c r="F22" s="1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7">
        <f t="shared" si="2"/>
        <v>0</v>
      </c>
    </row>
    <row r="23" spans="1:34" ht="12.75">
      <c r="A23" s="4">
        <v>19</v>
      </c>
      <c r="B23" s="4"/>
      <c r="C23" s="3" t="s">
        <v>202</v>
      </c>
      <c r="D23" s="3"/>
      <c r="E23" s="4"/>
      <c r="F23" s="10">
        <f aca="true" t="shared" si="4" ref="F23:Y23">SUM(F14:F21)</f>
        <v>6821238.887055848</v>
      </c>
      <c r="G23" s="10">
        <f t="shared" si="4"/>
        <v>2479688.5229162</v>
      </c>
      <c r="H23" s="10">
        <f t="shared" si="4"/>
        <v>0</v>
      </c>
      <c r="I23" s="10">
        <f t="shared" si="4"/>
        <v>2888489.0941912537</v>
      </c>
      <c r="J23" s="10">
        <f t="shared" si="4"/>
        <v>0</v>
      </c>
      <c r="K23" s="10">
        <f t="shared" si="4"/>
        <v>0</v>
      </c>
      <c r="L23" s="10">
        <f t="shared" si="4"/>
        <v>0</v>
      </c>
      <c r="M23" s="10">
        <f t="shared" si="4"/>
        <v>97489.3833633654</v>
      </c>
      <c r="N23" s="10">
        <f t="shared" si="4"/>
        <v>0</v>
      </c>
      <c r="O23" s="10">
        <f t="shared" si="4"/>
        <v>174098.5574858614</v>
      </c>
      <c r="P23" s="10">
        <f>SUM(P14:P21)</f>
        <v>99742.94025636921</v>
      </c>
      <c r="Q23" s="10">
        <f t="shared" si="4"/>
        <v>0</v>
      </c>
      <c r="R23" s="10">
        <f t="shared" si="4"/>
        <v>18353.763590376962</v>
      </c>
      <c r="S23" s="10">
        <f t="shared" si="4"/>
        <v>153057.48679664882</v>
      </c>
      <c r="T23" s="10">
        <f t="shared" si="4"/>
        <v>0</v>
      </c>
      <c r="U23" s="10">
        <f t="shared" si="4"/>
        <v>6292.718945272101</v>
      </c>
      <c r="V23" s="10">
        <f t="shared" si="4"/>
        <v>104342.24500618152</v>
      </c>
      <c r="W23" s="10"/>
      <c r="X23" s="10">
        <f t="shared" si="4"/>
        <v>131.09831135983544</v>
      </c>
      <c r="Y23" s="10">
        <f t="shared" si="4"/>
        <v>706920.3104544458</v>
      </c>
      <c r="Z23" s="10"/>
      <c r="AA23" s="10">
        <f>SUM(AA14:AA21)</f>
        <v>10356.766597427</v>
      </c>
      <c r="AB23" s="10">
        <f>SUM(AB14:AB21)</f>
        <v>75983.28019581328</v>
      </c>
      <c r="AC23" s="10"/>
      <c r="AD23" s="10">
        <f>SUM(AD14:AD21)</f>
        <v>6292.718945272101</v>
      </c>
      <c r="AE23" s="10"/>
      <c r="AF23" s="27">
        <f t="shared" si="2"/>
        <v>6821238.887055849</v>
      </c>
      <c r="AG23" s="9">
        <f>(AF23-F23)</f>
        <v>9.313225746154785E-10</v>
      </c>
      <c r="AH23" t="s">
        <v>197</v>
      </c>
    </row>
    <row r="24" spans="1:32" ht="12.75">
      <c r="A24" s="4">
        <v>20</v>
      </c>
      <c r="B24" s="4"/>
      <c r="C24" s="3" t="s">
        <v>24</v>
      </c>
      <c r="D24" s="3"/>
      <c r="E24" s="4"/>
      <c r="F24" s="1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4" ht="12.75">
      <c r="A25" s="4">
        <v>21</v>
      </c>
      <c r="B25" s="4"/>
      <c r="C25" s="3" t="s">
        <v>164</v>
      </c>
      <c r="D25" s="3"/>
      <c r="E25" s="4"/>
      <c r="F25" s="10">
        <f>('Classification 1'!I122+'Classification 1'!J122)</f>
        <v>428347.96003018867</v>
      </c>
      <c r="G25" s="10">
        <f>($F$25*' Energy &amp; Demand Allocations'!C90)</f>
        <v>285742.6595798512</v>
      </c>
      <c r="H25" s="3"/>
      <c r="I25" s="3"/>
      <c r="J25" s="10">
        <f>($F$25*' Energy &amp; Demand Allocations'!D90)</f>
        <v>0</v>
      </c>
      <c r="K25" s="3"/>
      <c r="L25" s="3"/>
      <c r="M25" s="10">
        <f>($F$25*' Energy &amp; Demand Allocations'!E90)</f>
        <v>11234.02210624707</v>
      </c>
      <c r="N25" s="3"/>
      <c r="O25" s="3"/>
      <c r="P25" s="10">
        <f>($F$25*' Energy &amp; Demand Allocations'!F90)</f>
        <v>11493.706874785708</v>
      </c>
      <c r="Q25" s="3"/>
      <c r="R25" s="3"/>
      <c r="S25" s="10">
        <f>($F$25*' Energy &amp; Demand Allocations'!G90)</f>
        <v>17637.3173250197</v>
      </c>
      <c r="T25" s="3"/>
      <c r="U25" s="3"/>
      <c r="V25" s="10">
        <f>($F$25*' Energy &amp; Demand Allocations'!H90)</f>
        <v>12023.699879666838</v>
      </c>
      <c r="W25" s="3"/>
      <c r="X25" s="3"/>
      <c r="Y25" s="10">
        <f>($F$25*' Energy &amp; Demand Allocations'!I90)</f>
        <v>81460.75111994776</v>
      </c>
      <c r="Z25" s="3"/>
      <c r="AA25" s="3"/>
      <c r="AB25" s="10">
        <f>($F$25*' Energy &amp; Demand Allocations'!J90)</f>
        <v>8755.803144670383</v>
      </c>
      <c r="AC25" s="3"/>
      <c r="AD25" s="3"/>
      <c r="AE25" s="3"/>
      <c r="AF25" s="27">
        <f>SUM(G25:AE25)</f>
        <v>428347.96003018867</v>
      </c>
      <c r="AG25" s="9">
        <f>(AF25-F25)</f>
        <v>0</v>
      </c>
      <c r="AH25" t="s">
        <v>24</v>
      </c>
    </row>
    <row r="26" spans="1:33" ht="12.75">
      <c r="A26" s="4">
        <v>22</v>
      </c>
      <c r="B26" s="4"/>
      <c r="C26" s="3" t="s">
        <v>165</v>
      </c>
      <c r="D26" s="3"/>
      <c r="E26" s="4"/>
      <c r="F26" s="10">
        <f>('Classification 1'!K123)</f>
        <v>357930.13205710053</v>
      </c>
      <c r="G26" s="3"/>
      <c r="H26" s="3"/>
      <c r="I26" s="10">
        <f>($F$26*'Consume Allocations'!$G$9)</f>
        <v>333077.44222722884</v>
      </c>
      <c r="J26" s="3"/>
      <c r="K26" s="3"/>
      <c r="L26" s="10">
        <f>($F$26*'Consume Allocations'!$G$11)</f>
        <v>0</v>
      </c>
      <c r="M26" s="3"/>
      <c r="N26" s="3"/>
      <c r="O26" s="10">
        <f>($F$26*'Consume Allocations'!$G$12)</f>
        <v>20075.652125346518</v>
      </c>
      <c r="P26" s="3"/>
      <c r="Q26" s="3"/>
      <c r="R26" s="10">
        <f>($F$26*'Consume Allocations'!$G$13)</f>
        <v>2116.4091095997837</v>
      </c>
      <c r="S26" s="3"/>
      <c r="T26" s="3"/>
      <c r="U26" s="10">
        <f>($F$26*'Consume Allocations'!$G$14)</f>
        <v>725.6259804342116</v>
      </c>
      <c r="V26" s="10"/>
      <c r="W26" s="10"/>
      <c r="X26" s="10">
        <f>($F$26*'Consume Allocations'!$G$15)</f>
        <v>15.117207925712739</v>
      </c>
      <c r="Y26" s="10"/>
      <c r="Z26" s="10"/>
      <c r="AA26" s="10">
        <f>($F$26*'Consume Allocations'!$G$16)</f>
        <v>1194.2594261313066</v>
      </c>
      <c r="AB26" s="10"/>
      <c r="AC26" s="10"/>
      <c r="AD26" s="10">
        <f>($F$26*'Consume Allocations'!$G$17)</f>
        <v>725.6259804342116</v>
      </c>
      <c r="AE26" s="10"/>
      <c r="AF26" s="27">
        <f>SUM(G26:AE26)</f>
        <v>357930.13205710053</v>
      </c>
      <c r="AG26" s="9">
        <f aca="true" t="shared" si="5" ref="AG26:AG43">(AF26-F26)</f>
        <v>0</v>
      </c>
    </row>
    <row r="27" spans="1:33" ht="12.75">
      <c r="A27" s="4">
        <v>23</v>
      </c>
      <c r="B27" s="4"/>
      <c r="C27" s="3"/>
      <c r="D27" s="3"/>
      <c r="E27" s="4"/>
      <c r="F27" s="1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7" t="s">
        <v>24</v>
      </c>
      <c r="AG27" s="9" t="s">
        <v>24</v>
      </c>
    </row>
    <row r="28" spans="1:34" ht="12.75">
      <c r="A28" s="4">
        <v>27</v>
      </c>
      <c r="B28" s="4"/>
      <c r="C28" s="29" t="s">
        <v>254</v>
      </c>
      <c r="D28" s="3"/>
      <c r="E28" s="4"/>
      <c r="F28" s="14">
        <f>SUM(F23,F25,F26)</f>
        <v>7607516.979143137</v>
      </c>
      <c r="G28" s="14">
        <f aca="true" t="shared" si="6" ref="G28:AF28">SUM(G23,G25,G26)</f>
        <v>2765431.1824960513</v>
      </c>
      <c r="H28" s="14">
        <f t="shared" si="6"/>
        <v>0</v>
      </c>
      <c r="I28" s="14">
        <f t="shared" si="6"/>
        <v>3221566.5364184827</v>
      </c>
      <c r="J28" s="14">
        <f t="shared" si="6"/>
        <v>0</v>
      </c>
      <c r="K28" s="14">
        <f t="shared" si="6"/>
        <v>0</v>
      </c>
      <c r="L28" s="14">
        <f t="shared" si="6"/>
        <v>0</v>
      </c>
      <c r="M28" s="14">
        <f t="shared" si="6"/>
        <v>108723.40546961247</v>
      </c>
      <c r="N28" s="14">
        <f t="shared" si="6"/>
        <v>0</v>
      </c>
      <c r="O28" s="14">
        <f t="shared" si="6"/>
        <v>194174.20961120795</v>
      </c>
      <c r="P28" s="14">
        <f t="shared" si="6"/>
        <v>111236.64713115492</v>
      </c>
      <c r="Q28" s="14">
        <f t="shared" si="6"/>
        <v>0</v>
      </c>
      <c r="R28" s="14">
        <f t="shared" si="6"/>
        <v>20470.172699976745</v>
      </c>
      <c r="S28" s="14">
        <f t="shared" si="6"/>
        <v>170694.8041216685</v>
      </c>
      <c r="T28" s="14">
        <f t="shared" si="6"/>
        <v>0</v>
      </c>
      <c r="U28" s="14">
        <f t="shared" si="6"/>
        <v>7018.344925706313</v>
      </c>
      <c r="V28" s="14">
        <f t="shared" si="6"/>
        <v>116365.94488584835</v>
      </c>
      <c r="W28" s="14">
        <f t="shared" si="6"/>
        <v>0</v>
      </c>
      <c r="X28" s="14">
        <f t="shared" si="6"/>
        <v>146.21551928554817</v>
      </c>
      <c r="Y28" s="14">
        <f t="shared" si="6"/>
        <v>788381.0615743935</v>
      </c>
      <c r="Z28" s="14">
        <f t="shared" si="6"/>
        <v>0</v>
      </c>
      <c r="AA28" s="14">
        <f t="shared" si="6"/>
        <v>11551.026023558306</v>
      </c>
      <c r="AB28" s="14">
        <f t="shared" si="6"/>
        <v>84739.08334048366</v>
      </c>
      <c r="AC28" s="14">
        <f t="shared" si="6"/>
        <v>0</v>
      </c>
      <c r="AD28" s="14">
        <f t="shared" si="6"/>
        <v>7018.344925706313</v>
      </c>
      <c r="AE28" s="14">
        <f t="shared" si="6"/>
        <v>0</v>
      </c>
      <c r="AF28" s="14">
        <f t="shared" si="6"/>
        <v>7607516.979143138</v>
      </c>
      <c r="AG28" s="9">
        <f t="shared" si="5"/>
        <v>9.313225746154785E-10</v>
      </c>
      <c r="AH28" t="s">
        <v>197</v>
      </c>
    </row>
    <row r="29" spans="1:33" ht="12.75">
      <c r="A29" s="4">
        <v>28</v>
      </c>
      <c r="B29" s="4"/>
      <c r="C29" s="3" t="s">
        <v>24</v>
      </c>
      <c r="D29" s="3"/>
      <c r="E29" s="4"/>
      <c r="F29" s="1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9">
        <f t="shared" si="5"/>
        <v>0</v>
      </c>
    </row>
    <row r="30" spans="1:33" ht="12.75">
      <c r="A30" s="4">
        <v>29</v>
      </c>
      <c r="B30" s="4"/>
      <c r="C30" s="31" t="s">
        <v>124</v>
      </c>
      <c r="D30" s="3"/>
      <c r="E30" s="4"/>
      <c r="F30" s="1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9">
        <f t="shared" si="5"/>
        <v>0</v>
      </c>
    </row>
    <row r="31" spans="1:34" ht="12.75">
      <c r="A31" s="4">
        <v>30</v>
      </c>
      <c r="B31" s="4"/>
      <c r="C31" s="3" t="s">
        <v>159</v>
      </c>
      <c r="D31" s="3"/>
      <c r="E31" s="4"/>
      <c r="F31" s="10">
        <f>('Classification 1'!L112)</f>
        <v>10662.736481009684</v>
      </c>
      <c r="G31" s="10">
        <f>($F$31*' Energy &amp; Demand Allocations'!C90)</f>
        <v>7112.905779376378</v>
      </c>
      <c r="H31" s="3"/>
      <c r="I31" s="3"/>
      <c r="J31" s="10">
        <f>($F$31*' Energy &amp; Demand Allocations'!D90)</f>
        <v>0</v>
      </c>
      <c r="K31" s="3"/>
      <c r="L31" s="3"/>
      <c r="M31" s="10">
        <f>($F$31*' Energy &amp; Demand Allocations'!E90)</f>
        <v>279.6451215322883</v>
      </c>
      <c r="N31" s="3"/>
      <c r="O31" s="3"/>
      <c r="P31" s="18">
        <f>($F$31*' Energy &amp; Demand Allocations'!F90)</f>
        <v>286.1093760950142</v>
      </c>
      <c r="Q31" s="3"/>
      <c r="R31" s="3"/>
      <c r="S31" s="10">
        <f>($F$31*' Energy &amp; Demand Allocations'!G90)</f>
        <v>439.0404167102316</v>
      </c>
      <c r="T31" s="3"/>
      <c r="U31" s="3"/>
      <c r="V31" s="10">
        <f>($F$31*' Energy &amp; Demand Allocations'!H90)</f>
        <v>299.3023319980322</v>
      </c>
      <c r="W31" s="3"/>
      <c r="X31" s="3"/>
      <c r="Y31" s="10">
        <f>($F$31*' Energy &amp; Demand Allocations'!I90)</f>
        <v>2027.7778903765563</v>
      </c>
      <c r="Z31" s="3"/>
      <c r="AA31" s="3"/>
      <c r="AB31" s="10">
        <f>($F$31*' Energy &amp; Demand Allocations'!J90)</f>
        <v>217.95556492118328</v>
      </c>
      <c r="AC31" s="3"/>
      <c r="AD31" s="3"/>
      <c r="AE31" s="3"/>
      <c r="AF31" s="27">
        <f aca="true" t="shared" si="7" ref="AF31:AF40">SUM(G31:AE31)</f>
        <v>10662.736481009684</v>
      </c>
      <c r="AG31" s="9">
        <f t="shared" si="5"/>
        <v>0</v>
      </c>
      <c r="AH31" t="s">
        <v>24</v>
      </c>
    </row>
    <row r="32" spans="1:33" ht="12.75">
      <c r="A32" s="4">
        <v>31</v>
      </c>
      <c r="B32" s="4"/>
      <c r="C32" s="3" t="s">
        <v>166</v>
      </c>
      <c r="D32" s="3"/>
      <c r="E32" s="4"/>
      <c r="F32" s="10">
        <f>('Classification 1'!M113)</f>
        <v>3392.159904730551</v>
      </c>
      <c r="G32" s="3"/>
      <c r="H32" s="3"/>
      <c r="I32" s="10">
        <f>(F32*'Consume Allocations'!$G$25)</f>
        <v>2943.298885961223</v>
      </c>
      <c r="J32" s="3"/>
      <c r="K32" s="3"/>
      <c r="L32" s="10">
        <f>(F32*'Consume Allocations'!$G$27)</f>
        <v>0</v>
      </c>
      <c r="M32" s="3"/>
      <c r="N32" s="3"/>
      <c r="O32" s="10">
        <f>(F32*'Consume Allocations'!$G$28)</f>
        <v>228.27676356259144</v>
      </c>
      <c r="P32" s="3"/>
      <c r="Q32" s="3"/>
      <c r="R32" s="10">
        <f>(F32*'Consume Allocations'!$G$29)</f>
        <v>43.08146828338698</v>
      </c>
      <c r="S32" s="3"/>
      <c r="T32" s="3"/>
      <c r="U32" s="10">
        <f>(F32*'Consume Allocations'!$G$30)</f>
        <v>46.822999330434264</v>
      </c>
      <c r="V32" s="3"/>
      <c r="W32" s="10"/>
      <c r="X32" s="10">
        <f>(F32*'Consume Allocations'!$G$31)</f>
        <v>11.277909119357473</v>
      </c>
      <c r="Y32" s="3"/>
      <c r="Z32" s="10"/>
      <c r="AA32" s="10">
        <f>(F32*'Consume Allocations'!$G$32)</f>
        <v>115.59427959700957</v>
      </c>
      <c r="AB32" s="3"/>
      <c r="AC32" s="10"/>
      <c r="AD32" s="10">
        <f>(F32*'Consume Allocations'!$G$33)</f>
        <v>3.807598876548826</v>
      </c>
      <c r="AE32" s="10"/>
      <c r="AF32" s="27">
        <f t="shared" si="7"/>
        <v>3392.1599047305517</v>
      </c>
      <c r="AG32" s="9">
        <f t="shared" si="5"/>
        <v>9.094947017729282E-13</v>
      </c>
    </row>
    <row r="33" spans="1:34" ht="12.75">
      <c r="A33" s="4">
        <v>32</v>
      </c>
      <c r="B33" s="4"/>
      <c r="C33" s="3" t="s">
        <v>160</v>
      </c>
      <c r="D33" s="3"/>
      <c r="E33" s="4"/>
      <c r="F33" s="10">
        <f>('Classification 1'!L114)</f>
        <v>2425.797026125346</v>
      </c>
      <c r="G33" s="10">
        <f>($F$33*' Energy &amp; Demand Allocations'!C90)</f>
        <v>1618.2023927395353</v>
      </c>
      <c r="H33" s="3"/>
      <c r="I33" s="10" t="s">
        <v>24</v>
      </c>
      <c r="J33" s="10">
        <f>($F$33*' Energy &amp; Demand Allocations'!D90)</f>
        <v>0</v>
      </c>
      <c r="K33" s="3"/>
      <c r="L33" s="10" t="s">
        <v>24</v>
      </c>
      <c r="M33" s="10">
        <f>($F$33*' Energy &amp; Demand Allocations'!E90)</f>
        <v>63.61990708404433</v>
      </c>
      <c r="N33" s="3"/>
      <c r="O33" s="3"/>
      <c r="P33" s="10">
        <f>($F$33*' Energy &amp; Demand Allocations'!F90)</f>
        <v>65.09053983599365</v>
      </c>
      <c r="Q33" s="3"/>
      <c r="R33" s="3"/>
      <c r="S33" s="10">
        <f>($F$33*' Energy &amp; Demand Allocations'!G90)</f>
        <v>99.88270263466761</v>
      </c>
      <c r="T33" s="3"/>
      <c r="U33" s="3"/>
      <c r="V33" s="10">
        <f>($F$33*' Energy &amp; Demand Allocations'!H90)</f>
        <v>68.0919675888357</v>
      </c>
      <c r="W33" s="3"/>
      <c r="X33" s="3"/>
      <c r="Y33" s="10">
        <f>($F$33*' Energy &amp; Demand Allocations'!I90)</f>
        <v>461.3241248978504</v>
      </c>
      <c r="Z33" s="3"/>
      <c r="AA33" s="3"/>
      <c r="AB33" s="10">
        <f>($F$33*' Energy &amp; Demand Allocations'!J90)</f>
        <v>49.5853913444188</v>
      </c>
      <c r="AC33" s="3"/>
      <c r="AD33" s="3"/>
      <c r="AE33" s="3"/>
      <c r="AF33" s="27">
        <f t="shared" si="7"/>
        <v>2425.797026125346</v>
      </c>
      <c r="AG33" s="9">
        <f t="shared" si="5"/>
        <v>0</v>
      </c>
      <c r="AH33" t="s">
        <v>24</v>
      </c>
    </row>
    <row r="34" spans="1:33" ht="12.75">
      <c r="A34" s="4">
        <v>33</v>
      </c>
      <c r="B34" s="4"/>
      <c r="C34" s="3" t="s">
        <v>167</v>
      </c>
      <c r="D34" s="3"/>
      <c r="E34" s="4"/>
      <c r="F34" s="10">
        <f>('Classification 1'!M115)</f>
        <v>771.7241651514402</v>
      </c>
      <c r="G34" s="3"/>
      <c r="H34" s="3"/>
      <c r="I34" s="10">
        <f>(F34*'Consume Allocations'!$G$25)</f>
        <v>669.6072530047825</v>
      </c>
      <c r="J34" s="3"/>
      <c r="K34" s="3"/>
      <c r="L34" s="10">
        <f>(F34*'Consume Allocations'!$G$27)</f>
        <v>0</v>
      </c>
      <c r="M34" s="3"/>
      <c r="N34" s="3"/>
      <c r="O34" s="10">
        <f>(F34*'Consume Allocations'!$G$28)</f>
        <v>51.933487728022364</v>
      </c>
      <c r="P34" s="3"/>
      <c r="Q34" s="3"/>
      <c r="R34" s="10">
        <f>(F34*'Consume Allocations'!$G$29)</f>
        <v>9.801132929532688</v>
      </c>
      <c r="S34" s="3"/>
      <c r="T34" s="3"/>
      <c r="U34" s="10">
        <f>(F34*'Consume Allocations'!$G$30)</f>
        <v>10.652339831555224</v>
      </c>
      <c r="V34" s="3"/>
      <c r="W34" s="10"/>
      <c r="X34" s="10">
        <f>(F34*'Consume Allocations'!$G$31)</f>
        <v>2.565750213500415</v>
      </c>
      <c r="Y34" s="3"/>
      <c r="Z34" s="10"/>
      <c r="AA34" s="10">
        <f>(F34*'Consume Allocations'!$G$32)</f>
        <v>26.29796395915196</v>
      </c>
      <c r="AB34" s="3"/>
      <c r="AC34" s="10"/>
      <c r="AD34" s="10">
        <f>(F34*'Consume Allocations'!$G$33)</f>
        <v>0.8662374848952209</v>
      </c>
      <c r="AE34" s="10"/>
      <c r="AF34" s="27">
        <f t="shared" si="7"/>
        <v>771.7241651514404</v>
      </c>
      <c r="AG34" s="9">
        <f>(AF34-F34)</f>
        <v>2.2737367544323206E-13</v>
      </c>
    </row>
    <row r="35" spans="1:34" ht="12.75">
      <c r="A35" s="4">
        <v>34</v>
      </c>
      <c r="B35" s="4"/>
      <c r="C35" s="3" t="s">
        <v>161</v>
      </c>
      <c r="D35" s="3"/>
      <c r="E35" s="4"/>
      <c r="F35" s="10">
        <f>('Classification 1'!L116)</f>
        <v>302450.24003687454</v>
      </c>
      <c r="G35" s="10">
        <f>($F$35*' Energy &amp; Demand Allocations'!C90)</f>
        <v>201758.71964607955</v>
      </c>
      <c r="H35" s="3"/>
      <c r="I35" s="10" t="s">
        <v>24</v>
      </c>
      <c r="J35" s="10">
        <f>($F$35*' Energy &amp; Demand Allocations'!D90)</f>
        <v>0</v>
      </c>
      <c r="K35" s="3"/>
      <c r="L35" s="10" t="s">
        <v>24</v>
      </c>
      <c r="M35" s="10">
        <f>($F$35*' Energy &amp; Demand Allocations'!E90)</f>
        <v>7932.178975182978</v>
      </c>
      <c r="N35" s="3"/>
      <c r="O35" s="3"/>
      <c r="P35" s="10">
        <f>($F$35*' Energy &amp; Demand Allocations'!F90)</f>
        <v>8115.53859845023</v>
      </c>
      <c r="Q35" s="3"/>
      <c r="R35" s="3"/>
      <c r="S35" s="10">
        <f>($F$35*' Energy &amp; Demand Allocations'!G90)</f>
        <v>12453.452231178551</v>
      </c>
      <c r="T35" s="3"/>
      <c r="U35" s="3"/>
      <c r="V35" s="10">
        <f>($F$35*' Energy &amp; Demand Allocations'!H90)</f>
        <v>8489.75892048203</v>
      </c>
      <c r="W35" s="3"/>
      <c r="X35" s="3"/>
      <c r="Y35" s="10">
        <f>($F$35*' Energy &amp; Demand Allocations'!I90)</f>
        <v>57518.24691327092</v>
      </c>
      <c r="Z35" s="3"/>
      <c r="AA35" s="3"/>
      <c r="AB35" s="10">
        <f>($F$35*' Energy &amp; Demand Allocations'!J90)</f>
        <v>6182.34475223027</v>
      </c>
      <c r="AC35" s="3"/>
      <c r="AD35" s="3"/>
      <c r="AE35" s="3"/>
      <c r="AF35" s="27">
        <f t="shared" si="7"/>
        <v>302450.24003687454</v>
      </c>
      <c r="AG35" s="9">
        <f t="shared" si="5"/>
        <v>0</v>
      </c>
      <c r="AH35" t="s">
        <v>24</v>
      </c>
    </row>
    <row r="36" spans="1:33" ht="12.75">
      <c r="A36" s="4">
        <v>35</v>
      </c>
      <c r="B36" s="4"/>
      <c r="C36" s="3" t="s">
        <v>168</v>
      </c>
      <c r="D36" s="3"/>
      <c r="E36" s="4"/>
      <c r="F36" s="10">
        <f>('Classification 1'!M117)</f>
        <v>96219.162806513</v>
      </c>
      <c r="G36" s="3"/>
      <c r="H36" s="3"/>
      <c r="I36" s="10">
        <f>(F36*'Consume Allocations'!$G$25)</f>
        <v>83487.14761399988</v>
      </c>
      <c r="J36" s="3"/>
      <c r="K36" s="3"/>
      <c r="L36" s="10">
        <f>(F36*'Consume Allocations'!$G$27)</f>
        <v>0</v>
      </c>
      <c r="M36" s="3"/>
      <c r="N36" s="3"/>
      <c r="O36" s="10">
        <f>(F36*'Consume Allocations'!$G$28)</f>
        <v>6475.107216361481</v>
      </c>
      <c r="P36" s="3"/>
      <c r="Q36" s="3"/>
      <c r="R36" s="10">
        <f>(F36*'Consume Allocations'!$G$29)</f>
        <v>1222.012796307758</v>
      </c>
      <c r="S36" s="3"/>
      <c r="T36" s="3"/>
      <c r="U36" s="10">
        <f>(F36*'Consume Allocations'!$G$30)</f>
        <v>1328.1419279148547</v>
      </c>
      <c r="V36" s="3"/>
      <c r="W36" s="10"/>
      <c r="X36" s="10">
        <f>(F36*'Consume Allocations'!$G$31)</f>
        <v>319.89971114251205</v>
      </c>
      <c r="Y36" s="3"/>
      <c r="Z36" s="10"/>
      <c r="AA36" s="10">
        <f>(F36*'Consume Allocations'!$G$32)</f>
        <v>3278.8503845397977</v>
      </c>
      <c r="AB36" s="3"/>
      <c r="AC36" s="10"/>
      <c r="AD36" s="10">
        <f>(F36*'Consume Allocations'!$G$33)</f>
        <v>108.00315624674211</v>
      </c>
      <c r="AE36" s="10"/>
      <c r="AF36" s="27">
        <f t="shared" si="7"/>
        <v>96219.16280651304</v>
      </c>
      <c r="AG36" s="9">
        <f t="shared" si="5"/>
        <v>2.9103830456733704E-11</v>
      </c>
    </row>
    <row r="37" spans="1:34" ht="12.75">
      <c r="A37" s="4">
        <v>36</v>
      </c>
      <c r="B37" s="4"/>
      <c r="C37" s="3" t="s">
        <v>162</v>
      </c>
      <c r="D37" s="3"/>
      <c r="E37" s="4"/>
      <c r="F37" s="10">
        <f>('Classification 1'!L78)</f>
        <v>68342.69370751272</v>
      </c>
      <c r="G37" s="10">
        <f>($F$37*' Energy &amp; Demand Allocations'!C90)</f>
        <v>45590.09236663469</v>
      </c>
      <c r="H37" s="3"/>
      <c r="I37" s="10" t="s">
        <v>24</v>
      </c>
      <c r="J37" s="10">
        <f>($F$37*' Energy &amp; Demand Allocations'!D90)</f>
        <v>0</v>
      </c>
      <c r="K37" s="3"/>
      <c r="L37" s="10" t="s">
        <v>24</v>
      </c>
      <c r="M37" s="10">
        <f>($F$37*' Energy &amp; Demand Allocations'!E90)</f>
        <v>1792.382370296711</v>
      </c>
      <c r="N37" s="3"/>
      <c r="O37" s="3"/>
      <c r="P37" s="10">
        <f>($F$37*' Energy &amp; Demand Allocations'!F90)</f>
        <v>1833.814939732764</v>
      </c>
      <c r="Q37" s="3"/>
      <c r="R37" s="3"/>
      <c r="S37" s="10">
        <f>($F$37*' Energy &amp; Demand Allocations'!G90)</f>
        <v>2814.024784152298</v>
      </c>
      <c r="T37" s="3"/>
      <c r="U37" s="3"/>
      <c r="V37" s="10">
        <f>($F$37*' Energy &amp; Demand Allocations'!H90)</f>
        <v>1918.3750473545272</v>
      </c>
      <c r="W37" s="3"/>
      <c r="X37" s="3"/>
      <c r="Y37" s="10">
        <f>($F$37*' Energy &amp; Demand Allocations'!I90)</f>
        <v>12997.020372367713</v>
      </c>
      <c r="Z37" s="3"/>
      <c r="AA37" s="3"/>
      <c r="AB37" s="10">
        <f>($F$37*' Energy &amp; Demand Allocations'!J90)</f>
        <v>1396.9838269740135</v>
      </c>
      <c r="AC37" s="3"/>
      <c r="AD37" s="3"/>
      <c r="AE37" s="3"/>
      <c r="AF37" s="27">
        <f t="shared" si="7"/>
        <v>68342.69370751274</v>
      </c>
      <c r="AG37" s="9">
        <f t="shared" si="5"/>
        <v>1.4551915228366852E-11</v>
      </c>
      <c r="AH37" t="s">
        <v>24</v>
      </c>
    </row>
    <row r="38" spans="1:33" ht="12.75">
      <c r="A38" s="4">
        <v>37</v>
      </c>
      <c r="B38" s="4"/>
      <c r="C38" s="3" t="s">
        <v>163</v>
      </c>
      <c r="D38" s="3"/>
      <c r="E38" s="4"/>
      <c r="F38" s="14">
        <f>('Classification 1'!M119)</f>
        <v>21742.01207999402</v>
      </c>
      <c r="G38" s="5"/>
      <c r="H38" s="5"/>
      <c r="I38" s="14">
        <f>(F38*'Consume Allocations'!$G$25)</f>
        <v>18865.042253568237</v>
      </c>
      <c r="J38" s="5"/>
      <c r="K38" s="5"/>
      <c r="L38" s="14">
        <f>(F38*'Consume Allocations'!$G$27)</f>
        <v>0</v>
      </c>
      <c r="M38" s="5"/>
      <c r="N38" s="5"/>
      <c r="O38" s="14">
        <f>(F38*'Consume Allocations'!$G$28)</f>
        <v>1463.137437606746</v>
      </c>
      <c r="P38" s="5"/>
      <c r="Q38" s="5"/>
      <c r="R38" s="14">
        <f>($F$38*'Consume Allocations'!$G$29)</f>
        <v>276.1302032180237</v>
      </c>
      <c r="S38" s="5"/>
      <c r="T38" s="5"/>
      <c r="U38" s="14">
        <f>(F38*'Consume Allocations'!$G$30)</f>
        <v>300.1115058415026</v>
      </c>
      <c r="V38" s="14"/>
      <c r="W38" s="14"/>
      <c r="X38" s="14">
        <f>(F38*'Consume Allocations'!$G$31)</f>
        <v>72.28563605394723</v>
      </c>
      <c r="Y38" s="14"/>
      <c r="Z38" s="14"/>
      <c r="AA38" s="14">
        <f>(F38*'Consume Allocations'!$G$32)</f>
        <v>740.9002800462096</v>
      </c>
      <c r="AB38" s="5"/>
      <c r="AC38" s="14"/>
      <c r="AD38" s="14">
        <f>(F38*'Consume Allocations'!$G$33)</f>
        <v>24.404763659357055</v>
      </c>
      <c r="AE38" s="10"/>
      <c r="AF38" s="27">
        <f t="shared" si="7"/>
        <v>21742.012079994027</v>
      </c>
      <c r="AG38" s="9">
        <f t="shared" si="5"/>
        <v>7.275957614183426E-12</v>
      </c>
    </row>
    <row r="39" spans="1:33" ht="12.75">
      <c r="A39" s="4">
        <v>38</v>
      </c>
      <c r="B39" s="4"/>
      <c r="C39" s="3" t="s">
        <v>24</v>
      </c>
      <c r="D39" s="3"/>
      <c r="E39" s="4"/>
      <c r="F39" s="10"/>
      <c r="G39" s="3"/>
      <c r="H39" s="3"/>
      <c r="I39" s="3"/>
      <c r="J39" s="3"/>
      <c r="K39" s="3"/>
      <c r="L39" s="10" t="s">
        <v>24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7">
        <f t="shared" si="7"/>
        <v>0</v>
      </c>
      <c r="AG39" s="9">
        <f t="shared" si="5"/>
        <v>0</v>
      </c>
    </row>
    <row r="40" spans="1:34" ht="12.75">
      <c r="A40" s="4">
        <v>39</v>
      </c>
      <c r="B40" s="4"/>
      <c r="C40" s="23" t="s">
        <v>203</v>
      </c>
      <c r="D40" s="3"/>
      <c r="E40" s="4"/>
      <c r="F40" s="10">
        <f aca="true" t="shared" si="8" ref="F40:AD40">SUM(F31:F38)</f>
        <v>506006.5262079114</v>
      </c>
      <c r="G40" s="10">
        <f t="shared" si="8"/>
        <v>256079.92018483015</v>
      </c>
      <c r="H40" s="10">
        <f t="shared" si="8"/>
        <v>0</v>
      </c>
      <c r="I40" s="10">
        <f t="shared" si="8"/>
        <v>105965.09600653412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f t="shared" si="8"/>
        <v>10067.826374096023</v>
      </c>
      <c r="N40" s="10">
        <f t="shared" si="8"/>
        <v>0</v>
      </c>
      <c r="O40" s="10">
        <f t="shared" si="8"/>
        <v>8218.45490525884</v>
      </c>
      <c r="P40" s="10">
        <f t="shared" si="8"/>
        <v>10300.553454114</v>
      </c>
      <c r="Q40" s="10">
        <f t="shared" si="8"/>
        <v>0</v>
      </c>
      <c r="R40" s="10">
        <f t="shared" si="8"/>
        <v>1551.0256007387015</v>
      </c>
      <c r="S40" s="10">
        <f t="shared" si="8"/>
        <v>15806.400134675749</v>
      </c>
      <c r="T40" s="10">
        <f t="shared" si="8"/>
        <v>0</v>
      </c>
      <c r="U40" s="10">
        <f t="shared" si="8"/>
        <v>1685.7287729183467</v>
      </c>
      <c r="V40" s="10">
        <f t="shared" si="8"/>
        <v>10775.528267423426</v>
      </c>
      <c r="W40" s="10">
        <f t="shared" si="8"/>
        <v>0</v>
      </c>
      <c r="X40" s="10">
        <f t="shared" si="8"/>
        <v>406.02900652931714</v>
      </c>
      <c r="Y40" s="10">
        <f t="shared" si="8"/>
        <v>73004.36930091305</v>
      </c>
      <c r="Z40" s="10">
        <f t="shared" si="8"/>
        <v>0</v>
      </c>
      <c r="AA40" s="10">
        <f t="shared" si="8"/>
        <v>4161.642908142169</v>
      </c>
      <c r="AB40" s="10">
        <f>SUM(AB31:AB37)</f>
        <v>7846.869535469887</v>
      </c>
      <c r="AC40" s="10">
        <f t="shared" si="8"/>
        <v>0</v>
      </c>
      <c r="AD40" s="10">
        <f t="shared" si="8"/>
        <v>137.0817562675432</v>
      </c>
      <c r="AE40" s="10"/>
      <c r="AF40" s="27">
        <f t="shared" si="7"/>
        <v>506006.5262079114</v>
      </c>
      <c r="AG40" s="9">
        <f t="shared" si="5"/>
        <v>0</v>
      </c>
      <c r="AH40" t="s">
        <v>197</v>
      </c>
    </row>
    <row r="41" spans="1:32" ht="12.75">
      <c r="A41" s="4">
        <v>40</v>
      </c>
      <c r="B41" s="4"/>
      <c r="C41" s="3" t="s">
        <v>24</v>
      </c>
      <c r="D41" s="3"/>
      <c r="E41" s="4"/>
      <c r="F41" s="10"/>
      <c r="G41" s="3"/>
      <c r="H41" s="3"/>
      <c r="I41" s="3"/>
      <c r="J41" s="3"/>
      <c r="K41" s="3"/>
      <c r="L41" s="10" t="s">
        <v>24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4" ht="12.75">
      <c r="A42" s="4">
        <v>41</v>
      </c>
      <c r="B42" s="4"/>
      <c r="C42" s="3" t="s">
        <v>164</v>
      </c>
      <c r="D42" s="3"/>
      <c r="E42" s="4"/>
      <c r="F42" s="10">
        <f>('Classification 1'!L122)</f>
        <v>96363.19812759293</v>
      </c>
      <c r="G42" s="10">
        <f>($F$42*' Energy &amp; Demand Allocations'!C90)</f>
        <v>64282.03023695491</v>
      </c>
      <c r="H42" s="3"/>
      <c r="I42" s="3"/>
      <c r="J42" s="10">
        <f>($F$42*' Energy &amp; Demand Allocations'!D90)</f>
        <v>0</v>
      </c>
      <c r="K42" s="3"/>
      <c r="L42" s="10" t="s">
        <v>24</v>
      </c>
      <c r="M42" s="10">
        <f>($F$42*' Energy &amp; Demand Allocations'!E90)</f>
        <v>2527.2591421183624</v>
      </c>
      <c r="N42" s="3"/>
      <c r="O42" s="3"/>
      <c r="P42" s="10">
        <f>($F$42*' Energy &amp; Demand Allocations'!F90)</f>
        <v>2585.6790650231974</v>
      </c>
      <c r="Q42" s="3"/>
      <c r="R42" s="3"/>
      <c r="S42" s="10">
        <f>($F$42*' Energy &amp; Demand Allocations'!G90)</f>
        <v>3967.77494565474</v>
      </c>
      <c r="T42" s="3"/>
      <c r="U42" s="3"/>
      <c r="V42" s="10">
        <f>($F$42*' Energy &amp; Demand Allocations'!H90)</f>
        <v>2704.908816769883</v>
      </c>
      <c r="W42" s="3"/>
      <c r="X42" s="3"/>
      <c r="Y42" s="10">
        <f>($F$42*' Energy &amp; Demand Allocations'!I90)</f>
        <v>18325.798725038476</v>
      </c>
      <c r="Z42" s="3"/>
      <c r="AA42" s="3"/>
      <c r="AB42" s="10">
        <f>($F$42*' Energy &amp; Demand Allocations'!J90)</f>
        <v>1969.7471960333587</v>
      </c>
      <c r="AC42" s="3"/>
      <c r="AD42" s="3"/>
      <c r="AE42" s="3"/>
      <c r="AF42" s="27">
        <f>SUM(G42:AE42)</f>
        <v>96363.19812759294</v>
      </c>
      <c r="AG42" s="9">
        <f t="shared" si="5"/>
        <v>1.4551915228366852E-11</v>
      </c>
      <c r="AH42" t="s">
        <v>24</v>
      </c>
    </row>
    <row r="43" spans="1:33" ht="12.75">
      <c r="A43" s="4">
        <v>42</v>
      </c>
      <c r="B43" s="4"/>
      <c r="C43" s="3" t="s">
        <v>165</v>
      </c>
      <c r="D43" s="3"/>
      <c r="E43" s="4"/>
      <c r="F43" s="10">
        <f>('Classification 1'!M123)</f>
        <v>30656.237032791567</v>
      </c>
      <c r="G43" s="3"/>
      <c r="H43" s="3"/>
      <c r="I43" s="10">
        <f>(F43*'Consume Allocations'!$G$25)</f>
        <v>26599.709577531215</v>
      </c>
      <c r="J43" s="3"/>
      <c r="K43" s="3"/>
      <c r="L43" s="10">
        <f>(F43*'Consume Allocations'!$G$27)</f>
        <v>0</v>
      </c>
      <c r="M43" s="3"/>
      <c r="N43" s="3"/>
      <c r="O43" s="10">
        <f>(F43*'Consume Allocations'!$G$28)</f>
        <v>2063.023787025512</v>
      </c>
      <c r="P43" s="3"/>
      <c r="Q43" s="3"/>
      <c r="R43" s="10">
        <f>($F$43*'Consume Allocations'!$G$29)</f>
        <v>389.34358653741344</v>
      </c>
      <c r="S43" s="3"/>
      <c r="T43" s="3"/>
      <c r="U43" s="10">
        <f>(F43*'Consume Allocations'!$G$30)</f>
        <v>423.15722323651863</v>
      </c>
      <c r="V43" s="3"/>
      <c r="W43" s="3"/>
      <c r="X43" s="10">
        <f>(F43*'Consume Allocations'!$G$31)</f>
        <v>101.92274683606558</v>
      </c>
      <c r="Y43" s="3"/>
      <c r="Z43" s="3"/>
      <c r="AA43" s="10">
        <f>(F43*'Consume Allocations'!$G$32)</f>
        <v>1044.6693948651555</v>
      </c>
      <c r="AB43" s="3"/>
      <c r="AC43" s="3"/>
      <c r="AD43" s="10">
        <f>(F43*'Consume Allocations'!$G$33)</f>
        <v>34.41071675969345</v>
      </c>
      <c r="AE43" s="10"/>
      <c r="AF43" s="27">
        <f>SUM(G43:AE43)</f>
        <v>30656.23703279157</v>
      </c>
      <c r="AG43" s="9">
        <f t="shared" si="5"/>
        <v>3.637978807091713E-12</v>
      </c>
    </row>
    <row r="44" spans="1:33" ht="12.75">
      <c r="A44" s="4">
        <v>43</v>
      </c>
      <c r="B44" s="4"/>
      <c r="C44" s="3"/>
      <c r="D44" s="3"/>
      <c r="E44" s="4"/>
      <c r="F44" s="10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27" t="s">
        <v>24</v>
      </c>
      <c r="AG44" s="9" t="s">
        <v>24</v>
      </c>
    </row>
    <row r="45" spans="1:34" ht="12.75">
      <c r="A45" s="4">
        <v>47</v>
      </c>
      <c r="B45" s="4"/>
      <c r="C45" s="29" t="s">
        <v>255</v>
      </c>
      <c r="D45" s="3"/>
      <c r="E45" s="4"/>
      <c r="F45" s="14">
        <f>SUM(F40,F42,F43)</f>
        <v>633025.961368296</v>
      </c>
      <c r="G45" s="14">
        <f aca="true" t="shared" si="9" ref="G45:AG45">SUM(G40,G42,G43)</f>
        <v>320361.95042178506</v>
      </c>
      <c r="H45" s="14">
        <f t="shared" si="9"/>
        <v>0</v>
      </c>
      <c r="I45" s="14">
        <f t="shared" si="9"/>
        <v>132564.80558406533</v>
      </c>
      <c r="J45" s="14">
        <f t="shared" si="9"/>
        <v>0</v>
      </c>
      <c r="K45" s="14">
        <f t="shared" si="9"/>
        <v>0</v>
      </c>
      <c r="L45" s="14">
        <f t="shared" si="9"/>
        <v>0</v>
      </c>
      <c r="M45" s="14">
        <f t="shared" si="9"/>
        <v>12595.085516214385</v>
      </c>
      <c r="N45" s="14">
        <f t="shared" si="9"/>
        <v>0</v>
      </c>
      <c r="O45" s="14">
        <f t="shared" si="9"/>
        <v>10281.478692284352</v>
      </c>
      <c r="P45" s="14">
        <f t="shared" si="9"/>
        <v>12886.232519137198</v>
      </c>
      <c r="Q45" s="14">
        <f t="shared" si="9"/>
        <v>0</v>
      </c>
      <c r="R45" s="14">
        <f t="shared" si="9"/>
        <v>1940.369187276115</v>
      </c>
      <c r="S45" s="14">
        <f t="shared" si="9"/>
        <v>19774.17508033049</v>
      </c>
      <c r="T45" s="14">
        <f t="shared" si="9"/>
        <v>0</v>
      </c>
      <c r="U45" s="14">
        <f t="shared" si="9"/>
        <v>2108.8859961548656</v>
      </c>
      <c r="V45" s="14">
        <f t="shared" si="9"/>
        <v>13480.437084193309</v>
      </c>
      <c r="W45" s="14">
        <f t="shared" si="9"/>
        <v>0</v>
      </c>
      <c r="X45" s="14">
        <f t="shared" si="9"/>
        <v>507.95175336538273</v>
      </c>
      <c r="Y45" s="14">
        <f t="shared" si="9"/>
        <v>91330.16802595153</v>
      </c>
      <c r="Z45" s="14">
        <f t="shared" si="9"/>
        <v>0</v>
      </c>
      <c r="AA45" s="14">
        <f t="shared" si="9"/>
        <v>5206.312303007325</v>
      </c>
      <c r="AB45" s="14">
        <f t="shared" si="9"/>
        <v>9816.616731503245</v>
      </c>
      <c r="AC45" s="14">
        <f t="shared" si="9"/>
        <v>0</v>
      </c>
      <c r="AD45" s="14">
        <f t="shared" si="9"/>
        <v>171.49247302723666</v>
      </c>
      <c r="AE45" s="14">
        <f t="shared" si="9"/>
        <v>0</v>
      </c>
      <c r="AF45" s="14">
        <f t="shared" si="9"/>
        <v>633025.961368296</v>
      </c>
      <c r="AG45" s="14">
        <f t="shared" si="9"/>
        <v>1.8189894035458565E-11</v>
      </c>
      <c r="AH45" t="s">
        <v>197</v>
      </c>
    </row>
    <row r="46" spans="1:32" ht="12.75">
      <c r="A46" s="4">
        <v>48</v>
      </c>
      <c r="B46" s="4"/>
      <c r="C46" s="23"/>
      <c r="D46" s="3"/>
      <c r="E46" s="4"/>
      <c r="F46" s="10"/>
      <c r="G46" s="10"/>
      <c r="H46" s="10"/>
      <c r="I46" s="10"/>
      <c r="J46" s="10"/>
      <c r="K46" s="10"/>
      <c r="L46" s="10" t="s">
        <v>24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27"/>
    </row>
    <row r="47" spans="1:32" ht="12.75">
      <c r="A47" s="4">
        <v>49</v>
      </c>
      <c r="B47" s="4"/>
      <c r="C47" s="31" t="s">
        <v>13</v>
      </c>
      <c r="D47" s="3"/>
      <c r="E47" s="4"/>
      <c r="F47" s="10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3" ht="12.75">
      <c r="A48" s="4">
        <v>50</v>
      </c>
      <c r="B48" s="4"/>
      <c r="C48" s="3" t="s">
        <v>166</v>
      </c>
      <c r="D48" s="3"/>
      <c r="E48" s="4"/>
      <c r="F48" s="10">
        <f>('Classification 1'!N113)</f>
        <v>417366.69744412834</v>
      </c>
      <c r="G48" s="3"/>
      <c r="H48" s="3"/>
      <c r="I48" s="10">
        <f>($F$48*'Consume Allocations'!$G$42)</f>
        <v>366653.2968411904</v>
      </c>
      <c r="J48" s="3"/>
      <c r="K48" s="3"/>
      <c r="L48" s="10">
        <f>(F48*'Consume Allocations'!$G$44)</f>
        <v>0</v>
      </c>
      <c r="M48" s="3"/>
      <c r="N48" s="3"/>
      <c r="O48" s="10">
        <f>(F48*'Consume Allocations'!$G$45)</f>
        <v>32934.246261353415</v>
      </c>
      <c r="P48" s="3"/>
      <c r="Q48" s="3"/>
      <c r="R48" s="10">
        <f>($F$48*'Consume Allocations'!$G$46)</f>
        <v>3471.983792612559</v>
      </c>
      <c r="S48" s="3"/>
      <c r="T48" s="3"/>
      <c r="U48" s="10">
        <f>(F48*'Consume Allocations'!$G$47)</f>
        <v>2834.5787020708167</v>
      </c>
      <c r="V48" s="10"/>
      <c r="W48" s="10"/>
      <c r="X48" s="10">
        <f>($F$48*'Consume Allocations'!$G$48)</f>
        <v>56.37209698979526</v>
      </c>
      <c r="Y48" s="10"/>
      <c r="Z48" s="10"/>
      <c r="AA48" s="10">
        <f>($F$48*'Consume Allocations'!$G$49)</f>
        <v>4453.395662193825</v>
      </c>
      <c r="AB48" s="10"/>
      <c r="AC48" s="10"/>
      <c r="AD48" s="10">
        <f>($F$48*'Consume Allocations'!$G$50)</f>
        <v>6962.82408771752</v>
      </c>
      <c r="AE48" s="10"/>
      <c r="AF48" s="27">
        <f>SUM(G48:AE48)</f>
        <v>417366.6974441283</v>
      </c>
      <c r="AG48" s="9">
        <f aca="true" t="shared" si="10" ref="AG48:AG97">(AF48-F48)</f>
        <v>-5.820766091346741E-11</v>
      </c>
    </row>
    <row r="49" spans="1:33" ht="12.75">
      <c r="A49" s="4">
        <v>51</v>
      </c>
      <c r="B49" s="4"/>
      <c r="C49" s="3" t="s">
        <v>167</v>
      </c>
      <c r="D49" s="3"/>
      <c r="E49" s="4"/>
      <c r="F49" s="10">
        <f>('Classification 1'!N115)</f>
        <v>94951.8817488259</v>
      </c>
      <c r="G49" s="3"/>
      <c r="H49" s="3"/>
      <c r="I49" s="10">
        <f>(F49*'Consume Allocations'!$G$42)</f>
        <v>83414.46669721983</v>
      </c>
      <c r="J49" s="3"/>
      <c r="K49" s="3"/>
      <c r="L49" s="10">
        <f>(F49*'Consume Allocations'!$G$44)</f>
        <v>0</v>
      </c>
      <c r="M49" s="3"/>
      <c r="N49" s="3"/>
      <c r="O49" s="10">
        <f>(F49*'Consume Allocations'!$G$45)</f>
        <v>7492.616626206421</v>
      </c>
      <c r="P49" s="3"/>
      <c r="Q49" s="3"/>
      <c r="R49" s="10">
        <f>($F$49*'Consume Allocations'!$G$46)</f>
        <v>789.884282883207</v>
      </c>
      <c r="S49" s="3"/>
      <c r="T49" s="3"/>
      <c r="U49" s="10">
        <f>(F49*'Consume Allocations'!$G$47)</f>
        <v>644.8731615986173</v>
      </c>
      <c r="V49" s="10"/>
      <c r="W49" s="10"/>
      <c r="X49" s="10">
        <f>($F$49*'Consume Allocations'!$G$48)</f>
        <v>12.824781469357472</v>
      </c>
      <c r="Y49" s="10"/>
      <c r="Z49" s="10"/>
      <c r="AA49" s="10">
        <f>($F$49*'Consume Allocations'!$G$49)</f>
        <v>1013.1577360792402</v>
      </c>
      <c r="AB49" s="10"/>
      <c r="AC49" s="10"/>
      <c r="AD49" s="10">
        <f>($F$49*'Consume Allocations'!$G$50)</f>
        <v>1584.0584633692163</v>
      </c>
      <c r="AE49" s="10"/>
      <c r="AF49" s="27">
        <f>SUM(G49:AE49)</f>
        <v>94951.88174882591</v>
      </c>
      <c r="AG49" s="9">
        <f t="shared" si="10"/>
        <v>1.4551915228366852E-11</v>
      </c>
    </row>
    <row r="50" spans="1:33" ht="12.75">
      <c r="A50" s="4">
        <v>52</v>
      </c>
      <c r="B50" s="4"/>
      <c r="C50" s="3" t="s">
        <v>168</v>
      </c>
      <c r="D50" s="3"/>
      <c r="E50" s="4"/>
      <c r="F50" s="10">
        <f>('Classification 1'!N117)</f>
        <v>329904.2751293035</v>
      </c>
      <c r="G50" s="3"/>
      <c r="H50" s="3"/>
      <c r="I50" s="10">
        <f>(F50*'Consume Allocations'!$G$42)</f>
        <v>289818.26019876654</v>
      </c>
      <c r="J50" s="3"/>
      <c r="K50" s="3"/>
      <c r="L50" s="10">
        <f>(F50*'Consume Allocations'!$G$44)</f>
        <v>0</v>
      </c>
      <c r="M50" s="3"/>
      <c r="N50" s="3"/>
      <c r="O50" s="10">
        <f>(F50*'Consume Allocations'!$G$45)</f>
        <v>26032.62001093477</v>
      </c>
      <c r="P50" s="3"/>
      <c r="Q50" s="3"/>
      <c r="R50" s="10">
        <f>($F$50*'Consume Allocations'!$G$46)</f>
        <v>2744.402711996135</v>
      </c>
      <c r="S50" s="3"/>
      <c r="T50" s="3"/>
      <c r="U50" s="10">
        <f>(F50*'Consume Allocations'!$G$47)</f>
        <v>2240.5707923757363</v>
      </c>
      <c r="V50" s="10"/>
      <c r="W50" s="10"/>
      <c r="X50" s="10">
        <f>($F$50*'Consume Allocations'!$G$48)</f>
        <v>44.55888768515551</v>
      </c>
      <c r="Y50" s="10"/>
      <c r="Z50" s="10"/>
      <c r="AA50" s="10">
        <f>($F$50*'Consume Allocations'!$G$49)</f>
        <v>3520.1521271272854</v>
      </c>
      <c r="AB50" s="10"/>
      <c r="AC50" s="10"/>
      <c r="AD50" s="10">
        <f>($F$50*'Consume Allocations'!$G$50)</f>
        <v>5503.710400417858</v>
      </c>
      <c r="AE50" s="10"/>
      <c r="AF50" s="27">
        <f>SUM(G50:AE50)</f>
        <v>329904.27512930345</v>
      </c>
      <c r="AG50" s="9">
        <f t="shared" si="10"/>
        <v>-5.820766091346741E-11</v>
      </c>
    </row>
    <row r="51" spans="1:33" ht="12.75">
      <c r="A51" s="4">
        <v>53</v>
      </c>
      <c r="B51" s="4"/>
      <c r="C51" s="3" t="s">
        <v>163</v>
      </c>
      <c r="D51" s="3"/>
      <c r="E51" s="4"/>
      <c r="F51" s="14">
        <f>('Classification 1'!N119)</f>
        <v>74536.31703159325</v>
      </c>
      <c r="G51" s="5"/>
      <c r="H51" s="5"/>
      <c r="I51" s="14">
        <f>(F51*'Consume Allocations'!$G$42)</f>
        <v>65479.556805540975</v>
      </c>
      <c r="J51" s="5"/>
      <c r="K51" s="5"/>
      <c r="L51" s="14">
        <f>(F51*'Consume Allocations'!$G$44)</f>
        <v>0</v>
      </c>
      <c r="M51" s="5"/>
      <c r="N51" s="5"/>
      <c r="O51" s="14">
        <f>(F51*'Consume Allocations'!$G$45)</f>
        <v>5881.632232675726</v>
      </c>
      <c r="P51" s="5"/>
      <c r="Q51" s="5"/>
      <c r="R51" s="14">
        <f>($F$51*'Consume Allocations'!$G$46)</f>
        <v>620.0515907941278</v>
      </c>
      <c r="S51" s="5"/>
      <c r="T51" s="5"/>
      <c r="U51" s="14">
        <f>(F51*'Consume Allocations'!$G$47)</f>
        <v>506.2192505592419</v>
      </c>
      <c r="V51" s="14"/>
      <c r="W51" s="14"/>
      <c r="X51" s="14">
        <f>($F$51*'Consume Allocations'!$G$48)</f>
        <v>10.067330524207867</v>
      </c>
      <c r="Y51" s="14"/>
      <c r="Z51" s="14"/>
      <c r="AA51" s="14">
        <f>($F$51*'Consume Allocations'!$G$49)</f>
        <v>795.3191114124214</v>
      </c>
      <c r="AB51" s="14"/>
      <c r="AC51" s="14"/>
      <c r="AD51" s="14">
        <f>($F$51*'Consume Allocations'!$G$50)</f>
        <v>1243.4707100865467</v>
      </c>
      <c r="AE51" s="10"/>
      <c r="AF51" s="27">
        <f>SUM(G51:AE51)</f>
        <v>74536.31703159325</v>
      </c>
      <c r="AG51" s="9">
        <f t="shared" si="10"/>
        <v>0</v>
      </c>
    </row>
    <row r="52" spans="1:33" ht="12.75">
      <c r="A52" s="4">
        <v>54</v>
      </c>
      <c r="B52" s="4"/>
      <c r="C52" s="3" t="s">
        <v>24</v>
      </c>
      <c r="D52" s="3"/>
      <c r="E52" s="4"/>
      <c r="F52" s="10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9">
        <f t="shared" si="10"/>
        <v>0</v>
      </c>
    </row>
    <row r="53" spans="1:34" ht="12.75">
      <c r="A53" s="4">
        <v>55</v>
      </c>
      <c r="B53" s="4"/>
      <c r="C53" s="23" t="s">
        <v>204</v>
      </c>
      <c r="D53" s="3"/>
      <c r="E53" s="4"/>
      <c r="F53" s="10">
        <f>SUM(F48:F51)</f>
        <v>916759.171353851</v>
      </c>
      <c r="G53" s="10">
        <f aca="true" t="shared" si="11" ref="G53:U53">SUM(G48:G51)</f>
        <v>0</v>
      </c>
      <c r="H53" s="10">
        <f t="shared" si="11"/>
        <v>0</v>
      </c>
      <c r="I53" s="10">
        <f t="shared" si="11"/>
        <v>805365.5805427177</v>
      </c>
      <c r="J53" s="10">
        <f t="shared" si="11"/>
        <v>0</v>
      </c>
      <c r="K53" s="10">
        <f t="shared" si="11"/>
        <v>0</v>
      </c>
      <c r="L53" s="10">
        <f t="shared" si="11"/>
        <v>0</v>
      </c>
      <c r="M53" s="10">
        <f t="shared" si="11"/>
        <v>0</v>
      </c>
      <c r="N53" s="10">
        <f t="shared" si="11"/>
        <v>0</v>
      </c>
      <c r="O53" s="10">
        <f t="shared" si="11"/>
        <v>72341.11513117033</v>
      </c>
      <c r="P53" s="10">
        <f t="shared" si="11"/>
        <v>0</v>
      </c>
      <c r="Q53" s="10">
        <f t="shared" si="11"/>
        <v>0</v>
      </c>
      <c r="R53" s="10">
        <f t="shared" si="11"/>
        <v>7626.32237828603</v>
      </c>
      <c r="S53" s="10">
        <f t="shared" si="11"/>
        <v>0</v>
      </c>
      <c r="T53" s="10">
        <f t="shared" si="11"/>
        <v>0</v>
      </c>
      <c r="U53" s="10">
        <f t="shared" si="11"/>
        <v>6226.241906604412</v>
      </c>
      <c r="V53" s="10"/>
      <c r="W53" s="10"/>
      <c r="X53" s="10">
        <f>SUM(X48:X51)</f>
        <v>123.8230966685161</v>
      </c>
      <c r="Y53" s="10"/>
      <c r="Z53" s="10"/>
      <c r="AA53" s="10">
        <f>SUM(AA48:AA51)</f>
        <v>9782.024636812772</v>
      </c>
      <c r="AB53" s="10"/>
      <c r="AC53" s="10"/>
      <c r="AD53" s="10">
        <f>SUM(AD48:AD51)</f>
        <v>15294.063661591143</v>
      </c>
      <c r="AE53" s="10"/>
      <c r="AF53" s="27">
        <f>SUM(G53:AE53)</f>
        <v>916759.1713538509</v>
      </c>
      <c r="AG53" s="9">
        <f t="shared" si="10"/>
        <v>-1.1641532182693481E-10</v>
      </c>
      <c r="AH53" t="s">
        <v>197</v>
      </c>
    </row>
    <row r="54" spans="1:33" ht="12.75">
      <c r="A54" s="4">
        <v>56</v>
      </c>
      <c r="B54" s="4"/>
      <c r="C54" s="3" t="s">
        <v>24</v>
      </c>
      <c r="D54" s="3"/>
      <c r="E54" s="4"/>
      <c r="F54" s="10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9">
        <f t="shared" si="10"/>
        <v>0</v>
      </c>
    </row>
    <row r="55" spans="1:33" ht="12.75">
      <c r="A55" s="4">
        <v>57</v>
      </c>
      <c r="B55" s="4"/>
      <c r="C55" s="3" t="s">
        <v>165</v>
      </c>
      <c r="D55" s="3"/>
      <c r="E55" s="4"/>
      <c r="F55" s="10">
        <f>('Classification 1'!N123)</f>
        <v>105096.20701454648</v>
      </c>
      <c r="G55" s="10">
        <v>0</v>
      </c>
      <c r="H55" s="10">
        <v>0</v>
      </c>
      <c r="I55" s="10">
        <f>(F55*'Consume Allocations'!$G$42)</f>
        <v>92326.17509581277</v>
      </c>
      <c r="J55" s="3"/>
      <c r="K55" s="3"/>
      <c r="L55" s="10">
        <f>(F55*'Consume Allocations'!$G$44)</f>
        <v>0</v>
      </c>
      <c r="M55" s="3"/>
      <c r="N55" s="3"/>
      <c r="O55" s="10">
        <f>(F55*'Consume Allocations'!$G$45)</f>
        <v>8293.101448072774</v>
      </c>
      <c r="P55" s="3"/>
      <c r="Q55" s="3"/>
      <c r="R55" s="10">
        <f>($F$55*'Consume Allocations'!$G$46)</f>
        <v>874.2727430197201</v>
      </c>
      <c r="S55" s="3"/>
      <c r="T55" s="3"/>
      <c r="U55" s="10">
        <f>(F55*'Consume Allocations'!$G$47)</f>
        <v>713.7691432885312</v>
      </c>
      <c r="V55" s="10"/>
      <c r="W55" s="10"/>
      <c r="X55" s="10">
        <f>($F$55*'Consume Allocations'!$G$48)</f>
        <v>14.194936039133093</v>
      </c>
      <c r="Y55" s="10"/>
      <c r="Z55" s="10"/>
      <c r="AA55" s="10">
        <f>($F$55*'Consume Allocations'!$G$49)</f>
        <v>1121.3999470915142</v>
      </c>
      <c r="AB55" s="10"/>
      <c r="AC55" s="10"/>
      <c r="AD55" s="10">
        <f>($F$55*'Consume Allocations'!$G$50)</f>
        <v>1753.293701222031</v>
      </c>
      <c r="AE55" s="10"/>
      <c r="AF55" s="27">
        <f>SUM(G55:AE55)</f>
        <v>105096.20701454648</v>
      </c>
      <c r="AG55" s="9">
        <f t="shared" si="10"/>
        <v>0</v>
      </c>
    </row>
    <row r="56" spans="1:33" ht="12.75">
      <c r="A56" s="4">
        <v>58</v>
      </c>
      <c r="B56" s="4"/>
      <c r="C56" s="3"/>
      <c r="D56" s="3"/>
      <c r="E56" s="4"/>
      <c r="F56" s="10"/>
      <c r="G56" s="3"/>
      <c r="H56" s="3"/>
      <c r="I56" s="3"/>
      <c r="J56" s="3"/>
      <c r="K56" s="3"/>
      <c r="L56" s="3"/>
      <c r="M56" s="3"/>
      <c r="N56" s="3"/>
      <c r="O56" s="10" t="s">
        <v>24</v>
      </c>
      <c r="P56" s="3"/>
      <c r="Q56" s="3"/>
      <c r="R56" s="10">
        <f>(F56*'Consume Allocations'!$G$46)</f>
        <v>0</v>
      </c>
      <c r="S56" s="3"/>
      <c r="T56" s="3"/>
      <c r="U56" s="3"/>
      <c r="V56" s="3"/>
      <c r="W56" s="3"/>
      <c r="X56" s="10" t="s">
        <v>24</v>
      </c>
      <c r="Y56" s="3"/>
      <c r="Z56" s="3"/>
      <c r="AA56" s="10" t="s">
        <v>24</v>
      </c>
      <c r="AB56" s="3"/>
      <c r="AC56" s="3"/>
      <c r="AD56" s="10" t="s">
        <v>24</v>
      </c>
      <c r="AE56" s="3"/>
      <c r="AF56" s="3"/>
      <c r="AG56" s="9">
        <f t="shared" si="10"/>
        <v>0</v>
      </c>
    </row>
    <row r="57" spans="1:34" ht="12.75">
      <c r="A57" s="4">
        <v>61</v>
      </c>
      <c r="B57" s="4"/>
      <c r="C57" s="29" t="s">
        <v>256</v>
      </c>
      <c r="D57" s="3"/>
      <c r="E57" s="4"/>
      <c r="F57" s="14">
        <f>(F53+F55)</f>
        <v>1021855.3783683975</v>
      </c>
      <c r="G57" s="14">
        <f aca="true" t="shared" si="12" ref="G57:AF57">(G53+G55)</f>
        <v>0</v>
      </c>
      <c r="H57" s="14">
        <f t="shared" si="12"/>
        <v>0</v>
      </c>
      <c r="I57" s="14">
        <f t="shared" si="12"/>
        <v>897691.7556385305</v>
      </c>
      <c r="J57" s="14">
        <f t="shared" si="12"/>
        <v>0</v>
      </c>
      <c r="K57" s="14">
        <f t="shared" si="12"/>
        <v>0</v>
      </c>
      <c r="L57" s="14">
        <f t="shared" si="12"/>
        <v>0</v>
      </c>
      <c r="M57" s="14">
        <f t="shared" si="12"/>
        <v>0</v>
      </c>
      <c r="N57" s="14">
        <f t="shared" si="12"/>
        <v>0</v>
      </c>
      <c r="O57" s="14">
        <f t="shared" si="12"/>
        <v>80634.2165792431</v>
      </c>
      <c r="P57" s="14">
        <f t="shared" si="12"/>
        <v>0</v>
      </c>
      <c r="Q57" s="14">
        <f t="shared" si="12"/>
        <v>0</v>
      </c>
      <c r="R57" s="14">
        <f t="shared" si="12"/>
        <v>8500.595121305749</v>
      </c>
      <c r="S57" s="14">
        <f t="shared" si="12"/>
        <v>0</v>
      </c>
      <c r="T57" s="14">
        <f t="shared" si="12"/>
        <v>0</v>
      </c>
      <c r="U57" s="14">
        <f t="shared" si="12"/>
        <v>6940.011049892943</v>
      </c>
      <c r="V57" s="14">
        <f t="shared" si="12"/>
        <v>0</v>
      </c>
      <c r="W57" s="14">
        <f t="shared" si="12"/>
        <v>0</v>
      </c>
      <c r="X57" s="14">
        <f t="shared" si="12"/>
        <v>138.01803270764918</v>
      </c>
      <c r="Y57" s="14">
        <f t="shared" si="12"/>
        <v>0</v>
      </c>
      <c r="Z57" s="14">
        <f t="shared" si="12"/>
        <v>0</v>
      </c>
      <c r="AA57" s="14">
        <f t="shared" si="12"/>
        <v>10903.424583904285</v>
      </c>
      <c r="AB57" s="14">
        <f t="shared" si="12"/>
        <v>0</v>
      </c>
      <c r="AC57" s="14">
        <f t="shared" si="12"/>
        <v>0</v>
      </c>
      <c r="AD57" s="14">
        <f t="shared" si="12"/>
        <v>17047.357362813174</v>
      </c>
      <c r="AE57" s="14">
        <f t="shared" si="12"/>
        <v>0</v>
      </c>
      <c r="AF57" s="14">
        <f t="shared" si="12"/>
        <v>1021855.3783683974</v>
      </c>
      <c r="AG57" s="9">
        <f t="shared" si="10"/>
        <v>-1.1641532182693481E-10</v>
      </c>
      <c r="AH57" t="s">
        <v>197</v>
      </c>
    </row>
    <row r="58" spans="1:33" ht="12.75">
      <c r="A58" s="4"/>
      <c r="B58" s="4"/>
      <c r="C58" s="5" t="s">
        <v>24</v>
      </c>
      <c r="D58" s="5"/>
      <c r="E58" s="6"/>
      <c r="F58" s="1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3"/>
      <c r="W58" s="3"/>
      <c r="X58" s="3"/>
      <c r="Y58" s="3"/>
      <c r="Z58" s="3"/>
      <c r="AA58" s="3"/>
      <c r="AB58" s="3"/>
      <c r="AC58" s="3"/>
      <c r="AE58" s="3"/>
      <c r="AF58" s="27" t="s">
        <v>24</v>
      </c>
      <c r="AG58" s="9" t="s">
        <v>24</v>
      </c>
    </row>
    <row r="59" spans="1:33" ht="12.75">
      <c r="A59" s="4">
        <v>1</v>
      </c>
      <c r="B59" s="4"/>
      <c r="C59" s="31" t="s">
        <v>14</v>
      </c>
      <c r="D59" s="3"/>
      <c r="E59" s="4"/>
      <c r="F59" s="1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7" t="s">
        <v>24</v>
      </c>
      <c r="AG59" s="9" t="s">
        <v>24</v>
      </c>
    </row>
    <row r="60" spans="1:33" ht="12.75">
      <c r="A60" s="4">
        <v>2</v>
      </c>
      <c r="B60" s="4"/>
      <c r="C60" s="3" t="s">
        <v>166</v>
      </c>
      <c r="D60" s="3"/>
      <c r="E60" s="4"/>
      <c r="F60" s="10">
        <f>('Classification 1'!O113)</f>
        <v>659552.717364668</v>
      </c>
      <c r="G60" s="3"/>
      <c r="H60" s="3"/>
      <c r="I60" s="10">
        <f>('Consume Allocations'!$G$58*$F$60)</f>
        <v>572929.1483293098</v>
      </c>
      <c r="J60" s="3"/>
      <c r="K60" s="3"/>
      <c r="L60" s="10">
        <f>('Consume Allocations'!$G$60*F60)</f>
        <v>2314.287396237851</v>
      </c>
      <c r="M60" s="3"/>
      <c r="N60" s="3"/>
      <c r="O60" s="10">
        <f>('Consume Allocations'!$G$61*F60)</f>
        <v>34532.28833936928</v>
      </c>
      <c r="P60" s="3"/>
      <c r="Q60" s="3"/>
      <c r="R60" s="10">
        <f>('Consume Allocations'!$G$62*F60)</f>
        <v>30881.98800879364</v>
      </c>
      <c r="S60" s="3"/>
      <c r="T60" s="3"/>
      <c r="U60" s="10">
        <f>('Consume Allocations'!$G$63*$F$60)</f>
        <v>1248.1550002181668</v>
      </c>
      <c r="V60" s="10"/>
      <c r="W60" s="10"/>
      <c r="X60" s="10">
        <f>('Consume Allocations'!$G$64*$F$60)</f>
        <v>220.58562863424027</v>
      </c>
      <c r="Y60" s="10"/>
      <c r="Z60" s="10"/>
      <c r="AA60" s="10">
        <f>('Consume Allocations'!$G$65*$F$60)</f>
        <v>17426.264662104983</v>
      </c>
      <c r="AB60" s="10"/>
      <c r="AC60" s="10"/>
      <c r="AD60" s="10">
        <f>('Consume Allocations'!$G$66*$F$60)</f>
        <v>0</v>
      </c>
      <c r="AE60" s="10"/>
      <c r="AF60" s="27">
        <f>SUM(G60:AE60)</f>
        <v>659552.7173646679</v>
      </c>
      <c r="AG60" s="9">
        <f t="shared" si="10"/>
        <v>-1.1641532182693481E-10</v>
      </c>
    </row>
    <row r="61" spans="1:33" ht="12.75">
      <c r="A61" s="4">
        <v>3</v>
      </c>
      <c r="B61" s="4"/>
      <c r="C61" s="3" t="s">
        <v>167</v>
      </c>
      <c r="D61" s="3"/>
      <c r="E61" s="4"/>
      <c r="F61" s="10">
        <f>('Classification 1'!O115)</f>
        <v>150049.75722748044</v>
      </c>
      <c r="G61" s="3"/>
      <c r="H61" s="3"/>
      <c r="I61" s="10">
        <f>('Consume Allocations'!$G$58*F61)</f>
        <v>130342.69642441372</v>
      </c>
      <c r="J61" s="3"/>
      <c r="K61" s="3"/>
      <c r="L61" s="10">
        <f>('Consume Allocations'!$G$60*F61)</f>
        <v>526.5056951741851</v>
      </c>
      <c r="M61" s="3"/>
      <c r="N61" s="3"/>
      <c r="O61" s="10">
        <f>('Consume Allocations'!$G$61*F61)</f>
        <v>7856.174867318178</v>
      </c>
      <c r="P61" s="3"/>
      <c r="Q61" s="3"/>
      <c r="R61" s="10">
        <f>('Consume Allocations'!$G$62*F61)</f>
        <v>7025.723162716334</v>
      </c>
      <c r="S61" s="3"/>
      <c r="T61" s="3"/>
      <c r="U61" s="10">
        <f>('Consume Allocations'!$G$63*$F$61)</f>
        <v>283.958127734392</v>
      </c>
      <c r="V61" s="10"/>
      <c r="W61" s="10"/>
      <c r="X61" s="10">
        <f>('Consume Allocations'!$G$64*$F$61)</f>
        <v>50.18373687654524</v>
      </c>
      <c r="Y61" s="10"/>
      <c r="Z61" s="10"/>
      <c r="AA61" s="10">
        <f>('Consume Allocations'!$G$65*$F$61)</f>
        <v>3964.515213247074</v>
      </c>
      <c r="AB61" s="10"/>
      <c r="AC61" s="10"/>
      <c r="AD61" s="10">
        <f>('Consume Allocations'!$G$66*$F$61)</f>
        <v>0</v>
      </c>
      <c r="AE61" s="10"/>
      <c r="AF61" s="27">
        <f>SUM(G61:AE61)</f>
        <v>150049.75722748044</v>
      </c>
      <c r="AG61" s="9">
        <f t="shared" si="10"/>
        <v>0</v>
      </c>
    </row>
    <row r="62" spans="1:33" ht="12.75">
      <c r="A62" s="4">
        <v>4</v>
      </c>
      <c r="B62" s="4"/>
      <c r="C62" s="3" t="s">
        <v>168</v>
      </c>
      <c r="D62" s="3"/>
      <c r="E62" s="4"/>
      <c r="F62" s="10">
        <f>('Classification 1'!O117)</f>
        <v>279189.21134056605</v>
      </c>
      <c r="G62" s="3"/>
      <c r="H62" s="3"/>
      <c r="I62" s="10">
        <f>('Consume Allocations'!$G$58*F62)</f>
        <v>242521.3828474645</v>
      </c>
      <c r="J62" s="3"/>
      <c r="K62" s="3"/>
      <c r="L62" s="10">
        <f>('Consume Allocations'!$G$60*F62)</f>
        <v>979.6397709537665</v>
      </c>
      <c r="M62" s="3"/>
      <c r="N62" s="3"/>
      <c r="O62" s="10">
        <f>('Consume Allocations'!$G$61*F62)</f>
        <v>14617.546245242718</v>
      </c>
      <c r="P62" s="3"/>
      <c r="Q62" s="3"/>
      <c r="R62" s="10">
        <f>('Consume Allocations'!$G$62*F62)</f>
        <v>13072.371093024907</v>
      </c>
      <c r="S62" s="3"/>
      <c r="T62" s="3"/>
      <c r="U62" s="10">
        <f>('Consume Allocations'!$G$63*$F$62)</f>
        <v>528.345045008773</v>
      </c>
      <c r="V62" s="10"/>
      <c r="W62" s="10"/>
      <c r="X62" s="10">
        <f>('Consume Allocations'!$G$64*$F$62)</f>
        <v>93.3740792358922</v>
      </c>
      <c r="Y62" s="10"/>
      <c r="Z62" s="10"/>
      <c r="AA62" s="10">
        <f>('Consume Allocations'!$G$65*$F$62)</f>
        <v>7376.552259635484</v>
      </c>
      <c r="AB62" s="10"/>
      <c r="AC62" s="10"/>
      <c r="AD62" s="10">
        <f>('Consume Allocations'!$G699*$F$62)</f>
        <v>0</v>
      </c>
      <c r="AE62" s="10"/>
      <c r="AF62" s="27">
        <f>SUM(G62:AE62)</f>
        <v>279189.211340566</v>
      </c>
      <c r="AG62" s="9">
        <f t="shared" si="10"/>
        <v>-5.820766091346741E-11</v>
      </c>
    </row>
    <row r="63" spans="1:33" ht="12.75">
      <c r="A63" s="4">
        <v>5</v>
      </c>
      <c r="B63" s="4"/>
      <c r="C63" s="3" t="s">
        <v>163</v>
      </c>
      <c r="D63" s="3"/>
      <c r="E63" s="4"/>
      <c r="F63" s="14">
        <f>('Classification 1'!O119)</f>
        <v>63070.563383933404</v>
      </c>
      <c r="G63" s="5"/>
      <c r="H63" s="5"/>
      <c r="I63" s="14">
        <f>('Consume Allocations'!$G$58*F63)</f>
        <v>54787.074956781085</v>
      </c>
      <c r="J63" s="5"/>
      <c r="K63" s="5"/>
      <c r="L63" s="14">
        <f>('Consume Allocations'!$G$60*F63)</f>
        <v>221.30666142393304</v>
      </c>
      <c r="M63" s="5"/>
      <c r="N63" s="5"/>
      <c r="O63" s="14">
        <f>('Consume Allocations'!$G$61*F63)</f>
        <v>3302.193779449248</v>
      </c>
      <c r="P63" s="5"/>
      <c r="Q63" s="5"/>
      <c r="R63" s="14">
        <f>('Consume Allocations'!$G$62*F63)</f>
        <v>2953.129190207822</v>
      </c>
      <c r="S63" s="5"/>
      <c r="T63" s="5"/>
      <c r="U63" s="14">
        <f>('Consume Allocations'!$G$63*$F$63)</f>
        <v>119.3564016668403</v>
      </c>
      <c r="V63" s="14"/>
      <c r="W63" s="14"/>
      <c r="X63" s="14">
        <f>('Consume Allocations'!$G$64*$F$63)</f>
        <v>21.09377993005587</v>
      </c>
      <c r="Y63" s="14"/>
      <c r="Z63" s="14"/>
      <c r="AA63" s="14">
        <f>('Consume Allocations'!$G$65*$F$63)</f>
        <v>1666.4086144744138</v>
      </c>
      <c r="AB63" s="14"/>
      <c r="AC63" s="14"/>
      <c r="AD63" s="14">
        <f>('Consume Allocations'!$G$66*$F$63)</f>
        <v>0</v>
      </c>
      <c r="AE63" s="10"/>
      <c r="AF63" s="27">
        <f>SUM(G63:AE63)</f>
        <v>63070.563383933404</v>
      </c>
      <c r="AG63" s="9">
        <f t="shared" si="10"/>
        <v>0</v>
      </c>
    </row>
    <row r="64" spans="1:33" ht="12.75">
      <c r="A64" s="4">
        <v>6</v>
      </c>
      <c r="B64" s="4"/>
      <c r="C64" s="3" t="s">
        <v>24</v>
      </c>
      <c r="D64" s="3"/>
      <c r="E64" s="4"/>
      <c r="F64" s="10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7" t="s">
        <v>24</v>
      </c>
      <c r="AG64" s="9" t="s">
        <v>24</v>
      </c>
    </row>
    <row r="65" spans="1:34" ht="12.75">
      <c r="A65" s="4">
        <v>7</v>
      </c>
      <c r="B65" s="4"/>
      <c r="C65" s="23" t="s">
        <v>204</v>
      </c>
      <c r="D65" s="3"/>
      <c r="E65" s="4"/>
      <c r="F65" s="10">
        <f>SUM(F60:F63)</f>
        <v>1151862.2493166479</v>
      </c>
      <c r="G65" s="10">
        <f aca="true" t="shared" si="13" ref="G65:U65">SUM(G60:G63)</f>
        <v>0</v>
      </c>
      <c r="H65" s="10">
        <f t="shared" si="13"/>
        <v>0</v>
      </c>
      <c r="I65" s="10">
        <f t="shared" si="13"/>
        <v>1000580.3025579691</v>
      </c>
      <c r="J65" s="10">
        <f t="shared" si="13"/>
        <v>0</v>
      </c>
      <c r="K65" s="10">
        <f t="shared" si="13"/>
        <v>0</v>
      </c>
      <c r="L65" s="10">
        <f t="shared" si="13"/>
        <v>4041.7395237897354</v>
      </c>
      <c r="M65" s="10">
        <f t="shared" si="13"/>
        <v>0</v>
      </c>
      <c r="N65" s="10">
        <f t="shared" si="13"/>
        <v>0</v>
      </c>
      <c r="O65" s="10">
        <f t="shared" si="13"/>
        <v>60308.203231379426</v>
      </c>
      <c r="P65" s="10">
        <f t="shared" si="13"/>
        <v>0</v>
      </c>
      <c r="Q65" s="10">
        <f t="shared" si="13"/>
        <v>0</v>
      </c>
      <c r="R65" s="10">
        <f t="shared" si="13"/>
        <v>53933.211454742705</v>
      </c>
      <c r="S65" s="10">
        <f t="shared" si="13"/>
        <v>0</v>
      </c>
      <c r="T65" s="10">
        <f t="shared" si="13"/>
        <v>0</v>
      </c>
      <c r="U65" s="10">
        <f t="shared" si="13"/>
        <v>2179.814574628172</v>
      </c>
      <c r="V65" s="10"/>
      <c r="W65" s="10"/>
      <c r="X65" s="10">
        <f>SUM(X60:X63)</f>
        <v>385.23722467673355</v>
      </c>
      <c r="Y65" s="10"/>
      <c r="Z65" s="10"/>
      <c r="AA65" s="10">
        <f>SUM(AA60:AA63)</f>
        <v>30433.740749461955</v>
      </c>
      <c r="AB65" s="10"/>
      <c r="AC65" s="10"/>
      <c r="AD65" s="10">
        <f>SUM(AD60:AD63)</f>
        <v>0</v>
      </c>
      <c r="AE65" s="10"/>
      <c r="AF65" s="27">
        <f>SUM(G65:AE65)</f>
        <v>1151862.2493166476</v>
      </c>
      <c r="AG65" s="9">
        <f t="shared" si="10"/>
        <v>-2.3283064365386963E-10</v>
      </c>
      <c r="AH65" t="s">
        <v>197</v>
      </c>
    </row>
    <row r="66" spans="1:33" ht="12.75">
      <c r="A66" s="4">
        <v>8</v>
      </c>
      <c r="B66" s="4"/>
      <c r="C66" s="3" t="s">
        <v>24</v>
      </c>
      <c r="D66" s="3"/>
      <c r="E66" s="4"/>
      <c r="F66" s="1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7" t="s">
        <v>24</v>
      </c>
      <c r="AG66" s="9" t="s">
        <v>24</v>
      </c>
    </row>
    <row r="67" spans="1:33" ht="12.75">
      <c r="A67" s="4">
        <v>9</v>
      </c>
      <c r="B67" s="4"/>
      <c r="C67" s="3" t="s">
        <v>165</v>
      </c>
      <c r="D67" s="3"/>
      <c r="E67" s="4"/>
      <c r="F67" s="10">
        <f>('Classification 1'!O123)</f>
        <v>88929.4943713461</v>
      </c>
      <c r="G67" s="3"/>
      <c r="H67" s="3"/>
      <c r="I67" s="10">
        <f>('Consume Allocations'!$G$58*F67)</f>
        <v>77249.77568906132</v>
      </c>
      <c r="J67" s="3"/>
      <c r="K67" s="3"/>
      <c r="L67" s="10">
        <f>('Consume Allocations'!$G$60*F67)</f>
        <v>312.04239260774557</v>
      </c>
      <c r="M67" s="3"/>
      <c r="N67" s="3"/>
      <c r="O67" s="10">
        <f>('Consume Allocations'!$G$61*F67)</f>
        <v>4656.09322902344</v>
      </c>
      <c r="P67" s="3"/>
      <c r="Q67" s="3"/>
      <c r="R67" s="10">
        <f>('Consume Allocations'!$G$62*F67)</f>
        <v>4163.9121581930285</v>
      </c>
      <c r="S67" s="3"/>
      <c r="T67" s="3"/>
      <c r="U67" s="10">
        <f>('Consume Allocations'!$G$63*$F$67)</f>
        <v>168.2925263502448</v>
      </c>
      <c r="V67" s="10"/>
      <c r="W67" s="10"/>
      <c r="X67" s="10">
        <f>('Consume Allocations'!$G$64*$F$67)</f>
        <v>29.742229701378776</v>
      </c>
      <c r="Y67" s="10"/>
      <c r="Z67" s="10"/>
      <c r="AA67" s="10">
        <f>('Consume Allocations'!$G$65*$F$67)</f>
        <v>2349.636146408923</v>
      </c>
      <c r="AB67" s="10"/>
      <c r="AC67" s="10"/>
      <c r="AD67" s="10">
        <f>('Consume Allocations'!$G$66*$F$67)</f>
        <v>0</v>
      </c>
      <c r="AE67" s="10"/>
      <c r="AF67" s="27">
        <f>SUM(G67:AE67)</f>
        <v>88929.49437134608</v>
      </c>
      <c r="AG67" s="9">
        <f t="shared" si="10"/>
        <v>-1.4551915228366852E-11</v>
      </c>
    </row>
    <row r="68" spans="1:33" ht="12.75">
      <c r="A68" s="4">
        <v>10</v>
      </c>
      <c r="B68" s="4"/>
      <c r="C68" s="3"/>
      <c r="D68" s="3"/>
      <c r="E68" s="4"/>
      <c r="F68" s="1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7" t="s">
        <v>24</v>
      </c>
      <c r="AG68" s="9" t="s">
        <v>24</v>
      </c>
    </row>
    <row r="69" spans="1:34" ht="12.75">
      <c r="A69" s="4">
        <v>13</v>
      </c>
      <c r="B69" s="4"/>
      <c r="C69" s="29" t="s">
        <v>257</v>
      </c>
      <c r="D69" s="3"/>
      <c r="E69" s="4"/>
      <c r="F69" s="14">
        <f>(F65+F67)</f>
        <v>1240791.743687994</v>
      </c>
      <c r="G69" s="14">
        <f aca="true" t="shared" si="14" ref="G69:AF69">(G65+G67)</f>
        <v>0</v>
      </c>
      <c r="H69" s="14">
        <f t="shared" si="14"/>
        <v>0</v>
      </c>
      <c r="I69" s="14">
        <f t="shared" si="14"/>
        <v>1077830.0782470305</v>
      </c>
      <c r="J69" s="14">
        <f t="shared" si="14"/>
        <v>0</v>
      </c>
      <c r="K69" s="14">
        <f t="shared" si="14"/>
        <v>0</v>
      </c>
      <c r="L69" s="14">
        <f t="shared" si="14"/>
        <v>4353.781916397481</v>
      </c>
      <c r="M69" s="14">
        <f t="shared" si="14"/>
        <v>0</v>
      </c>
      <c r="N69" s="14">
        <f t="shared" si="14"/>
        <v>0</v>
      </c>
      <c r="O69" s="14">
        <f t="shared" si="14"/>
        <v>64964.29646040287</v>
      </c>
      <c r="P69" s="14">
        <f t="shared" si="14"/>
        <v>0</v>
      </c>
      <c r="Q69" s="14">
        <f t="shared" si="14"/>
        <v>0</v>
      </c>
      <c r="R69" s="14">
        <f t="shared" si="14"/>
        <v>58097.123612935735</v>
      </c>
      <c r="S69" s="14">
        <f t="shared" si="14"/>
        <v>0</v>
      </c>
      <c r="T69" s="14">
        <f t="shared" si="14"/>
        <v>0</v>
      </c>
      <c r="U69" s="14">
        <f t="shared" si="14"/>
        <v>2348.107100978417</v>
      </c>
      <c r="V69" s="14">
        <f t="shared" si="14"/>
        <v>0</v>
      </c>
      <c r="W69" s="14">
        <f t="shared" si="14"/>
        <v>0</v>
      </c>
      <c r="X69" s="14">
        <f t="shared" si="14"/>
        <v>414.97945437811234</v>
      </c>
      <c r="Y69" s="14">
        <f t="shared" si="14"/>
        <v>0</v>
      </c>
      <c r="Z69" s="14">
        <f t="shared" si="14"/>
        <v>0</v>
      </c>
      <c r="AA69" s="14">
        <f t="shared" si="14"/>
        <v>32783.376895870875</v>
      </c>
      <c r="AB69" s="14">
        <f t="shared" si="14"/>
        <v>0</v>
      </c>
      <c r="AC69" s="14">
        <f t="shared" si="14"/>
        <v>0</v>
      </c>
      <c r="AD69" s="14">
        <f t="shared" si="14"/>
        <v>0</v>
      </c>
      <c r="AE69" s="14">
        <f t="shared" si="14"/>
        <v>0</v>
      </c>
      <c r="AF69" s="14">
        <f t="shared" si="14"/>
        <v>1240791.7436879938</v>
      </c>
      <c r="AG69" s="9">
        <f t="shared" si="10"/>
        <v>-2.3283064365386963E-10</v>
      </c>
      <c r="AH69" t="s">
        <v>197</v>
      </c>
    </row>
    <row r="70" spans="1:33" ht="14.25" customHeight="1">
      <c r="A70" s="4">
        <v>14</v>
      </c>
      <c r="B70" s="4"/>
      <c r="C70" s="3" t="s">
        <v>24</v>
      </c>
      <c r="D70" s="3"/>
      <c r="E70" s="4"/>
      <c r="F70" s="1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27">
        <f aca="true" t="shared" si="15" ref="AF70:AF80">SUM(G70:AE70)</f>
        <v>0</v>
      </c>
      <c r="AG70" s="9">
        <f t="shared" si="10"/>
        <v>0</v>
      </c>
    </row>
    <row r="71" spans="1:33" ht="12.75">
      <c r="A71" s="4">
        <v>15</v>
      </c>
      <c r="B71" s="4"/>
      <c r="C71" s="31" t="s">
        <v>17</v>
      </c>
      <c r="D71" s="3"/>
      <c r="E71" s="4"/>
      <c r="F71" s="1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7">
        <f>(F71)</f>
        <v>0</v>
      </c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>
        <f t="shared" si="15"/>
        <v>0</v>
      </c>
      <c r="AG71" s="9">
        <f t="shared" si="10"/>
        <v>0</v>
      </c>
    </row>
    <row r="72" spans="1:33" ht="12.75">
      <c r="A72" s="4">
        <v>16</v>
      </c>
      <c r="B72" s="4"/>
      <c r="C72" s="3" t="s">
        <v>171</v>
      </c>
      <c r="D72" s="3"/>
      <c r="E72" s="4"/>
      <c r="F72" s="10">
        <f>('Classification 1'!Q113)</f>
        <v>134866.43845913952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V72" s="27"/>
      <c r="W72" s="27"/>
      <c r="X72" s="27"/>
      <c r="Y72" s="27"/>
      <c r="Z72" s="27"/>
      <c r="AA72" s="27"/>
      <c r="AB72" s="27"/>
      <c r="AC72" s="27"/>
      <c r="AD72" s="27">
        <f>(F72)</f>
        <v>134866.43845913952</v>
      </c>
      <c r="AE72" s="27"/>
      <c r="AF72" s="27">
        <f t="shared" si="15"/>
        <v>134866.43845913952</v>
      </c>
      <c r="AG72" s="9">
        <f t="shared" si="10"/>
        <v>0</v>
      </c>
    </row>
    <row r="73" spans="1:33" ht="12.75">
      <c r="A73" s="4">
        <v>18</v>
      </c>
      <c r="B73" s="4"/>
      <c r="C73" s="3" t="s">
        <v>172</v>
      </c>
      <c r="D73" s="3"/>
      <c r="E73" s="4"/>
      <c r="F73" s="10">
        <f>('Classification 1'!Q115)</f>
        <v>30682.42434022134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V73" s="27"/>
      <c r="W73" s="27"/>
      <c r="X73" s="27"/>
      <c r="Y73" s="27"/>
      <c r="Z73" s="27"/>
      <c r="AA73" s="27"/>
      <c r="AB73" s="27"/>
      <c r="AC73" s="27"/>
      <c r="AD73" s="27">
        <f>(F73)</f>
        <v>30682.42434022134</v>
      </c>
      <c r="AE73" s="27"/>
      <c r="AF73" s="27">
        <f t="shared" si="15"/>
        <v>30682.42434022134</v>
      </c>
      <c r="AG73" s="9">
        <f t="shared" si="10"/>
        <v>0</v>
      </c>
    </row>
    <row r="74" spans="1:33" ht="12.75">
      <c r="A74" s="4">
        <v>20</v>
      </c>
      <c r="B74" s="4"/>
      <c r="C74" s="3" t="s">
        <v>173</v>
      </c>
      <c r="D74" s="3"/>
      <c r="E74" s="4"/>
      <c r="F74" s="10">
        <f>('Classification 1'!Q117)</f>
        <v>189737.48488512394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V74" s="27"/>
      <c r="W74" s="27"/>
      <c r="X74" s="27"/>
      <c r="Y74" s="27"/>
      <c r="Z74" s="27"/>
      <c r="AA74" s="27"/>
      <c r="AB74" s="27"/>
      <c r="AC74" s="27"/>
      <c r="AD74" s="27">
        <f>(F74)</f>
        <v>189737.48488512394</v>
      </c>
      <c r="AE74" s="27"/>
      <c r="AF74" s="27">
        <f t="shared" si="15"/>
        <v>189737.48488512394</v>
      </c>
      <c r="AG74" s="9">
        <f t="shared" si="10"/>
        <v>0</v>
      </c>
    </row>
    <row r="75" spans="1:33" ht="12.75">
      <c r="A75" s="4">
        <v>22</v>
      </c>
      <c r="B75" s="4"/>
      <c r="C75" s="3" t="s">
        <v>174</v>
      </c>
      <c r="D75" s="3"/>
      <c r="E75" s="4"/>
      <c r="F75" s="14">
        <f>('Classification 1'!Q119)</f>
        <v>42870.578653037235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V75" s="27"/>
      <c r="W75" s="27"/>
      <c r="X75" s="27"/>
      <c r="Y75" s="27"/>
      <c r="Z75" s="27"/>
      <c r="AA75" s="27"/>
      <c r="AB75" s="27"/>
      <c r="AC75" s="27"/>
      <c r="AD75" s="27">
        <f>(F75)</f>
        <v>42870.578653037235</v>
      </c>
      <c r="AE75" s="27"/>
      <c r="AF75" s="27">
        <f t="shared" si="15"/>
        <v>42870.578653037235</v>
      </c>
      <c r="AG75" s="9">
        <f t="shared" si="10"/>
        <v>0</v>
      </c>
    </row>
    <row r="76" spans="1:33" ht="12.75">
      <c r="A76" s="4">
        <v>24</v>
      </c>
      <c r="B76" s="4"/>
      <c r="C76" s="3" t="s">
        <v>24</v>
      </c>
      <c r="D76" s="3"/>
      <c r="E76" s="4"/>
      <c r="F76" s="1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27">
        <f t="shared" si="15"/>
        <v>0</v>
      </c>
      <c r="AG76" s="9">
        <f t="shared" si="10"/>
        <v>0</v>
      </c>
    </row>
    <row r="77" spans="1:34" ht="12.75">
      <c r="A77" s="4">
        <v>25</v>
      </c>
      <c r="B77" s="4"/>
      <c r="C77" s="23" t="s">
        <v>205</v>
      </c>
      <c r="D77" s="3"/>
      <c r="E77" s="4"/>
      <c r="F77" s="10">
        <f aca="true" t="shared" si="16" ref="F77:T77">SUM(F72:F75)</f>
        <v>398156.92633752205</v>
      </c>
      <c r="G77" s="10">
        <f t="shared" si="16"/>
        <v>0</v>
      </c>
      <c r="H77" s="10">
        <f t="shared" si="16"/>
        <v>0</v>
      </c>
      <c r="I77" s="10">
        <f t="shared" si="16"/>
        <v>0</v>
      </c>
      <c r="J77" s="10">
        <f t="shared" si="16"/>
        <v>0</v>
      </c>
      <c r="K77" s="10">
        <f t="shared" si="16"/>
        <v>0</v>
      </c>
      <c r="L77" s="10">
        <f t="shared" si="16"/>
        <v>0</v>
      </c>
      <c r="M77" s="10">
        <f t="shared" si="16"/>
        <v>0</v>
      </c>
      <c r="N77" s="10">
        <f t="shared" si="16"/>
        <v>0</v>
      </c>
      <c r="O77" s="10">
        <f t="shared" si="16"/>
        <v>0</v>
      </c>
      <c r="P77" s="10">
        <f t="shared" si="16"/>
        <v>0</v>
      </c>
      <c r="Q77" s="10">
        <f t="shared" si="16"/>
        <v>0</v>
      </c>
      <c r="R77" s="10">
        <f t="shared" si="16"/>
        <v>0</v>
      </c>
      <c r="S77" s="10">
        <f t="shared" si="16"/>
        <v>0</v>
      </c>
      <c r="T77" s="10">
        <f t="shared" si="16"/>
        <v>0</v>
      </c>
      <c r="V77" s="10"/>
      <c r="W77" s="10"/>
      <c r="X77" s="10"/>
      <c r="Y77" s="10"/>
      <c r="Z77" s="10"/>
      <c r="AA77" s="10"/>
      <c r="AB77" s="10"/>
      <c r="AC77" s="10"/>
      <c r="AD77" s="10">
        <f>SUM(AD72:AD75)</f>
        <v>398156.92633752205</v>
      </c>
      <c r="AE77" s="10"/>
      <c r="AF77" s="27">
        <f t="shared" si="15"/>
        <v>398156.92633752205</v>
      </c>
      <c r="AG77" s="9">
        <f t="shared" si="10"/>
        <v>0</v>
      </c>
      <c r="AH77" t="s">
        <v>197</v>
      </c>
    </row>
    <row r="78" spans="1:33" ht="12.75">
      <c r="A78" s="4">
        <v>26</v>
      </c>
      <c r="B78" s="4"/>
      <c r="C78" s="3" t="s">
        <v>24</v>
      </c>
      <c r="D78" s="3"/>
      <c r="E78" s="4"/>
      <c r="F78" s="10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27">
        <f t="shared" si="15"/>
        <v>0</v>
      </c>
      <c r="AG78" s="9">
        <f t="shared" si="10"/>
        <v>0</v>
      </c>
    </row>
    <row r="79" spans="1:33" ht="12.75">
      <c r="A79" s="4">
        <v>27</v>
      </c>
      <c r="B79" s="4"/>
      <c r="C79" s="3" t="s">
        <v>175</v>
      </c>
      <c r="D79" s="3"/>
      <c r="E79" s="4"/>
      <c r="F79" s="10">
        <f>(Functionalization!M72)</f>
        <v>53588.22331629654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V79" s="27"/>
      <c r="W79" s="27"/>
      <c r="X79" s="27"/>
      <c r="Y79" s="27"/>
      <c r="Z79" s="27"/>
      <c r="AA79" s="27"/>
      <c r="AB79" s="27"/>
      <c r="AC79" s="27"/>
      <c r="AD79" s="27">
        <f>(F79)</f>
        <v>53588.22331629654</v>
      </c>
      <c r="AE79" s="27"/>
      <c r="AF79" s="27">
        <f t="shared" si="15"/>
        <v>53588.22331629654</v>
      </c>
      <c r="AG79" s="9">
        <f t="shared" si="10"/>
        <v>0</v>
      </c>
    </row>
    <row r="80" spans="1:33" ht="12.75">
      <c r="A80" s="4">
        <v>29</v>
      </c>
      <c r="B80" s="4"/>
      <c r="C80" s="3" t="s">
        <v>24</v>
      </c>
      <c r="D80" s="3"/>
      <c r="E80" s="4"/>
      <c r="F80" s="1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V80" s="27"/>
      <c r="W80" s="27"/>
      <c r="X80" s="27"/>
      <c r="Y80" s="27"/>
      <c r="Z80" s="27"/>
      <c r="AA80" s="27"/>
      <c r="AB80" s="27"/>
      <c r="AC80" s="27"/>
      <c r="AD80" s="27" t="s">
        <v>24</v>
      </c>
      <c r="AE80" s="27"/>
      <c r="AF80" s="27">
        <f t="shared" si="15"/>
        <v>0</v>
      </c>
      <c r="AG80" s="9">
        <f t="shared" si="10"/>
        <v>0</v>
      </c>
    </row>
    <row r="81" spans="1:34" ht="12.75">
      <c r="A81" s="4">
        <v>33</v>
      </c>
      <c r="B81" s="4"/>
      <c r="C81" s="29" t="s">
        <v>258</v>
      </c>
      <c r="D81" s="3"/>
      <c r="E81" s="4"/>
      <c r="F81" s="14">
        <f>(F77+F79)</f>
        <v>451745.1496538186</v>
      </c>
      <c r="G81" s="14">
        <f aca="true" t="shared" si="17" ref="G81:AF81">(G77+G79)</f>
        <v>0</v>
      </c>
      <c r="H81" s="14">
        <f t="shared" si="17"/>
        <v>0</v>
      </c>
      <c r="I81" s="14">
        <f t="shared" si="17"/>
        <v>0</v>
      </c>
      <c r="J81" s="14">
        <f t="shared" si="17"/>
        <v>0</v>
      </c>
      <c r="K81" s="14">
        <f t="shared" si="17"/>
        <v>0</v>
      </c>
      <c r="L81" s="14">
        <f t="shared" si="17"/>
        <v>0</v>
      </c>
      <c r="M81" s="14">
        <f t="shared" si="17"/>
        <v>0</v>
      </c>
      <c r="N81" s="14">
        <f t="shared" si="17"/>
        <v>0</v>
      </c>
      <c r="O81" s="14">
        <f t="shared" si="17"/>
        <v>0</v>
      </c>
      <c r="P81" s="14">
        <f t="shared" si="17"/>
        <v>0</v>
      </c>
      <c r="Q81" s="14">
        <f t="shared" si="17"/>
        <v>0</v>
      </c>
      <c r="R81" s="14">
        <f t="shared" si="17"/>
        <v>0</v>
      </c>
      <c r="S81" s="14">
        <f t="shared" si="17"/>
        <v>0</v>
      </c>
      <c r="T81" s="14">
        <f t="shared" si="17"/>
        <v>0</v>
      </c>
      <c r="U81" s="14">
        <f t="shared" si="17"/>
        <v>0</v>
      </c>
      <c r="V81" s="14">
        <f t="shared" si="17"/>
        <v>0</v>
      </c>
      <c r="W81" s="14">
        <f t="shared" si="17"/>
        <v>0</v>
      </c>
      <c r="X81" s="14">
        <f t="shared" si="17"/>
        <v>0</v>
      </c>
      <c r="Y81" s="14">
        <f t="shared" si="17"/>
        <v>0</v>
      </c>
      <c r="Z81" s="14">
        <f t="shared" si="17"/>
        <v>0</v>
      </c>
      <c r="AA81" s="14">
        <f t="shared" si="17"/>
        <v>0</v>
      </c>
      <c r="AB81" s="14">
        <f t="shared" si="17"/>
        <v>0</v>
      </c>
      <c r="AC81" s="14">
        <f t="shared" si="17"/>
        <v>0</v>
      </c>
      <c r="AD81" s="14">
        <f t="shared" si="17"/>
        <v>451745.1496538186</v>
      </c>
      <c r="AE81" s="14">
        <f t="shared" si="17"/>
        <v>0</v>
      </c>
      <c r="AF81" s="14">
        <f t="shared" si="17"/>
        <v>451745.1496538186</v>
      </c>
      <c r="AG81" s="9">
        <f>(AF81-F81)</f>
        <v>0</v>
      </c>
      <c r="AH81" t="s">
        <v>197</v>
      </c>
    </row>
    <row r="82" spans="1:33" ht="12.75">
      <c r="A82" s="4">
        <v>34</v>
      </c>
      <c r="B82" s="4"/>
      <c r="C82" s="23"/>
      <c r="D82" s="3"/>
      <c r="E82" s="4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E82" s="10"/>
      <c r="AF82" s="27"/>
      <c r="AG82" s="9">
        <f t="shared" si="10"/>
        <v>0</v>
      </c>
    </row>
    <row r="83" spans="1:33" ht="12.75">
      <c r="A83" s="4">
        <v>35</v>
      </c>
      <c r="B83" s="4"/>
      <c r="C83" s="31" t="s">
        <v>125</v>
      </c>
      <c r="D83" s="3"/>
      <c r="E83" s="4"/>
      <c r="F83" s="1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27">
        <f aca="true" t="shared" si="18" ref="AF83:AF97">SUM(G83:AE83)</f>
        <v>0</v>
      </c>
      <c r="AG83" s="9">
        <f t="shared" si="10"/>
        <v>0</v>
      </c>
    </row>
    <row r="84" spans="1:33" ht="12.75">
      <c r="A84" s="4">
        <v>36</v>
      </c>
      <c r="B84" s="4"/>
      <c r="C84" s="3" t="s">
        <v>176</v>
      </c>
      <c r="D84" s="3"/>
      <c r="E84" s="4"/>
      <c r="F84" s="10">
        <f>('Classification 1'!P42)</f>
        <v>2029965.72</v>
      </c>
      <c r="G84" s="3"/>
      <c r="H84" s="3"/>
      <c r="I84" s="10">
        <f>($F$84*'Consume Allocations'!$I$76)</f>
        <v>1582617.9750748826</v>
      </c>
      <c r="J84" s="3"/>
      <c r="K84" s="3"/>
      <c r="L84" s="10">
        <f>(F84*'Consume Allocations'!$I$78)</f>
        <v>3729.144913204632</v>
      </c>
      <c r="M84" s="3"/>
      <c r="N84" s="3"/>
      <c r="O84" s="10">
        <f>(F84*'Consume Allocations'!$I$79)</f>
        <v>158982.48618734351</v>
      </c>
      <c r="P84" s="3"/>
      <c r="Q84" s="3"/>
      <c r="R84" s="10">
        <f>(F84*'Consume Allocations'!$I$80)</f>
        <v>33520.40371419894</v>
      </c>
      <c r="S84" s="3"/>
      <c r="T84" s="3"/>
      <c r="U84" s="10">
        <f>($F$84*'Consume Allocations'!$I$81)</f>
        <v>9768.803368137977</v>
      </c>
      <c r="V84" s="10"/>
      <c r="W84" s="10"/>
      <c r="X84" s="10">
        <f>($F$84*'Consume Allocations'!$I$82)</f>
        <v>766.1806563245472</v>
      </c>
      <c r="Y84" s="10"/>
      <c r="Z84" s="10"/>
      <c r="AA84" s="10">
        <f>($F$84*'Consume Allocations'!$I$83)</f>
        <v>41613.18689662696</v>
      </c>
      <c r="AB84" s="10"/>
      <c r="AC84" s="10"/>
      <c r="AD84" s="10">
        <f>($F$84*'Consume Allocations'!$I$84)</f>
        <v>198967.53918928083</v>
      </c>
      <c r="AE84" s="10"/>
      <c r="AF84" s="27">
        <f t="shared" si="18"/>
        <v>2029965.7200000002</v>
      </c>
      <c r="AG84" s="9">
        <f t="shared" si="10"/>
        <v>2.3283064365386963E-10</v>
      </c>
    </row>
    <row r="85" spans="1:33" ht="12.75">
      <c r="A85" s="4">
        <v>37</v>
      </c>
      <c r="B85" s="4"/>
      <c r="C85" s="3" t="s">
        <v>177</v>
      </c>
      <c r="D85" s="3"/>
      <c r="E85" s="4"/>
      <c r="F85" s="10">
        <f>('Classification 1'!P47)</f>
        <v>116266.8</v>
      </c>
      <c r="G85" s="3"/>
      <c r="H85" s="3"/>
      <c r="I85" s="10">
        <f>(F85*'Consume Allocations'!$I$76)</f>
        <v>90644.84477325872</v>
      </c>
      <c r="J85" s="3"/>
      <c r="K85" s="3"/>
      <c r="L85" s="10">
        <f>(F85*'Consume Allocations'!$I$78)</f>
        <v>213.58771802046996</v>
      </c>
      <c r="M85" s="3"/>
      <c r="N85" s="3"/>
      <c r="O85" s="10">
        <f>(F85*'Consume Allocations'!$I$79)</f>
        <v>9105.762103729827</v>
      </c>
      <c r="P85" s="3"/>
      <c r="Q85" s="3"/>
      <c r="R85" s="10">
        <f>(F85*'Consume Allocations'!$I$80)</f>
        <v>1919.8896001839998</v>
      </c>
      <c r="S85" s="3"/>
      <c r="T85" s="3"/>
      <c r="U85" s="10">
        <f>($F$85*'Consume Allocations'!$I$81)</f>
        <v>559.5106834821942</v>
      </c>
      <c r="V85" s="10"/>
      <c r="W85" s="10"/>
      <c r="X85" s="10">
        <f>($F$85*'Consume Allocations'!$I$82)</f>
        <v>43.88319086134857</v>
      </c>
      <c r="Y85" s="10"/>
      <c r="Z85" s="10"/>
      <c r="AA85" s="10">
        <f>($F$85*'Consume Allocations'!$I$83)</f>
        <v>2383.4058036569936</v>
      </c>
      <c r="AB85" s="10"/>
      <c r="AC85" s="10"/>
      <c r="AD85" s="10">
        <f>($F$85*'Consume Allocations'!$I$84)</f>
        <v>11395.916126806456</v>
      </c>
      <c r="AE85" s="10"/>
      <c r="AF85" s="27">
        <f t="shared" si="18"/>
        <v>116266.80000000002</v>
      </c>
      <c r="AG85" s="9">
        <f t="shared" si="10"/>
        <v>1.4551915228366852E-11</v>
      </c>
    </row>
    <row r="86" spans="1:33" ht="12.75">
      <c r="A86" s="4">
        <v>38</v>
      </c>
      <c r="B86" s="4"/>
      <c r="C86" s="3" t="s">
        <v>178</v>
      </c>
      <c r="D86" s="3"/>
      <c r="E86" s="4"/>
      <c r="F86" s="10">
        <f>('Classification 1'!P64)</f>
        <v>488272.8250540527</v>
      </c>
      <c r="G86" s="3"/>
      <c r="H86" s="3"/>
      <c r="I86" s="10">
        <f>(F86*'Consume Allocations'!$I$76)</f>
        <v>380671.13255052274</v>
      </c>
      <c r="J86" s="3"/>
      <c r="K86" s="3"/>
      <c r="L86" s="10">
        <f>(F86*'Consume Allocations'!$I$78)</f>
        <v>896.980724288475</v>
      </c>
      <c r="M86" s="3"/>
      <c r="N86" s="3"/>
      <c r="O86" s="10">
        <f>(F86*'Consume Allocations'!$I$79)</f>
        <v>38240.46233884734</v>
      </c>
      <c r="P86" s="3"/>
      <c r="Q86" s="3"/>
      <c r="R86" s="10">
        <f>(F86*'Consume Allocations'!$I$80)</f>
        <v>8062.748083491911</v>
      </c>
      <c r="S86" s="3"/>
      <c r="T86" s="3"/>
      <c r="U86" s="10">
        <f>($F$86*'Consume Allocations'!$I$81)</f>
        <v>2349.7151557604993</v>
      </c>
      <c r="V86" s="10"/>
      <c r="W86" s="10"/>
      <c r="X86" s="10">
        <f>($F$86*'Consume Allocations'!$I$82)</f>
        <v>184.2913847655294</v>
      </c>
      <c r="Y86" s="10"/>
      <c r="Z86" s="10"/>
      <c r="AA86" s="10">
        <f>($F$86*'Consume Allocations'!$I$83)</f>
        <v>10009.325835077814</v>
      </c>
      <c r="AB86" s="10"/>
      <c r="AC86" s="10"/>
      <c r="AD86" s="10">
        <f>($F$86*'Consume Allocations'!$I$84)</f>
        <v>47858.16898129841</v>
      </c>
      <c r="AE86" s="10"/>
      <c r="AF86" s="27">
        <f t="shared" si="18"/>
        <v>488272.82505405275</v>
      </c>
      <c r="AG86" s="9">
        <f t="shared" si="10"/>
        <v>5.820766091346741E-11</v>
      </c>
    </row>
    <row r="87" spans="1:33" ht="12.75">
      <c r="A87" s="4">
        <v>39</v>
      </c>
      <c r="B87" s="4"/>
      <c r="C87" s="3" t="s">
        <v>179</v>
      </c>
      <c r="D87" s="3"/>
      <c r="E87" s="4"/>
      <c r="F87" s="10">
        <f>('Classification 1'!P117)</f>
        <v>99542.0464715788</v>
      </c>
      <c r="G87" s="3"/>
      <c r="H87" s="3"/>
      <c r="I87" s="10">
        <f>(F87*'Consume Allocations'!$I$76)</f>
        <v>77605.75977689904</v>
      </c>
      <c r="J87" s="3"/>
      <c r="K87" s="3"/>
      <c r="L87" s="10">
        <f>(F87*'Consume Allocations'!$I$78)</f>
        <v>182.8635393160566</v>
      </c>
      <c r="M87" s="3"/>
      <c r="N87" s="3"/>
      <c r="O87" s="10">
        <f>(F87*'Consume Allocations'!$I$79)</f>
        <v>7795.915897647613</v>
      </c>
      <c r="P87" s="3"/>
      <c r="Q87" s="3"/>
      <c r="R87" s="10">
        <f>(F87*'Consume Allocations'!$I$80)</f>
        <v>1643.7172073353402</v>
      </c>
      <c r="S87" s="3"/>
      <c r="T87" s="3"/>
      <c r="U87" s="10">
        <f>($F$87*'Consume Allocations'!$I$81)</f>
        <v>479.02615756629916</v>
      </c>
      <c r="V87" s="10"/>
      <c r="W87" s="10"/>
      <c r="X87" s="10">
        <f>($F$87*'Consume Allocations'!$I$82)</f>
        <v>37.57067902480778</v>
      </c>
      <c r="Y87" s="10"/>
      <c r="Z87" s="10"/>
      <c r="AA87" s="10">
        <f>($F$87*'Consume Allocations'!$I$83)</f>
        <v>2040.5575045348721</v>
      </c>
      <c r="AB87" s="10"/>
      <c r="AC87" s="10"/>
      <c r="AD87" s="10">
        <f>($F$87*'Consume Allocations'!$I$84)</f>
        <v>9756.63570925477</v>
      </c>
      <c r="AE87" s="10"/>
      <c r="AF87" s="27">
        <f t="shared" si="18"/>
        <v>99542.0464715788</v>
      </c>
      <c r="AG87" s="9">
        <f t="shared" si="10"/>
        <v>0</v>
      </c>
    </row>
    <row r="88" spans="1:33" ht="12.75">
      <c r="A88" s="4">
        <v>40</v>
      </c>
      <c r="B88" s="4"/>
      <c r="C88" s="3" t="s">
        <v>180</v>
      </c>
      <c r="D88" s="3"/>
      <c r="E88" s="4"/>
      <c r="F88" s="14">
        <f>('Classification 1'!P119)</f>
        <v>22440.132738389584</v>
      </c>
      <c r="G88" s="5"/>
      <c r="H88" s="5"/>
      <c r="I88" s="14">
        <f>(F88*'Consume Allocations'!$I$76)</f>
        <v>17494.954266932993</v>
      </c>
      <c r="J88" s="5"/>
      <c r="K88" s="5"/>
      <c r="L88" s="14">
        <f>(F88*'Consume Allocations'!$I$78)</f>
        <v>41.22360591044968</v>
      </c>
      <c r="M88" s="5"/>
      <c r="N88" s="5"/>
      <c r="O88" s="14">
        <f>(F88*'Consume Allocations'!$I$79)</f>
        <v>1757.4622359254308</v>
      </c>
      <c r="P88" s="5"/>
      <c r="Q88" s="5"/>
      <c r="R88" s="14">
        <f>(F88*'Consume Allocations'!$I$80)</f>
        <v>370.54926661078366</v>
      </c>
      <c r="S88" s="5"/>
      <c r="T88" s="5"/>
      <c r="U88" s="14">
        <f>($F$88*'Consume Allocations'!$I$81)</f>
        <v>107.98864341228551</v>
      </c>
      <c r="V88" s="14"/>
      <c r="W88" s="14"/>
      <c r="X88" s="14">
        <f>($F$88*'Consume Allocations'!$I$82)</f>
        <v>8.469697522532199</v>
      </c>
      <c r="Y88" s="14"/>
      <c r="Z88" s="14"/>
      <c r="AA88" s="14">
        <f>($F$88*'Consume Allocations'!$I$83)</f>
        <v>460.01044669252997</v>
      </c>
      <c r="AB88" s="5"/>
      <c r="AC88" s="5"/>
      <c r="AD88" s="14">
        <f>($F$88*'Consume Allocations'!$I$84)</f>
        <v>2199.47457538258</v>
      </c>
      <c r="AE88" s="10"/>
      <c r="AF88" s="27">
        <f t="shared" si="18"/>
        <v>22440.132738389584</v>
      </c>
      <c r="AG88" s="9">
        <f t="shared" si="10"/>
        <v>0</v>
      </c>
    </row>
    <row r="89" spans="1:33" ht="12.75">
      <c r="A89" s="4">
        <v>41</v>
      </c>
      <c r="B89" s="4"/>
      <c r="C89" s="3"/>
      <c r="D89" s="3"/>
      <c r="E89" s="4"/>
      <c r="F89" s="10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10"/>
      <c r="AC89" s="10"/>
      <c r="AD89" s="3"/>
      <c r="AE89" s="3"/>
      <c r="AF89" s="27">
        <f t="shared" si="18"/>
        <v>0</v>
      </c>
      <c r="AG89" s="9">
        <f t="shared" si="10"/>
        <v>0</v>
      </c>
    </row>
    <row r="90" spans="1:34" ht="12.75">
      <c r="A90" s="4">
        <v>42</v>
      </c>
      <c r="B90" s="4"/>
      <c r="C90" s="23" t="s">
        <v>206</v>
      </c>
      <c r="D90" s="3"/>
      <c r="E90" s="4"/>
      <c r="F90" s="10">
        <f>SUM(F84:F88)</f>
        <v>2756487.5242640213</v>
      </c>
      <c r="G90" s="3"/>
      <c r="H90" s="3"/>
      <c r="I90" s="10">
        <f>SUM(I84:I88)</f>
        <v>2149034.666442496</v>
      </c>
      <c r="J90" s="10">
        <f aca="true" t="shared" si="19" ref="J90:U90">SUM(J84:J88)</f>
        <v>0</v>
      </c>
      <c r="K90" s="10">
        <f t="shared" si="19"/>
        <v>0</v>
      </c>
      <c r="L90" s="10">
        <f>SUM(L84:L88)</f>
        <v>5063.800500740083</v>
      </c>
      <c r="M90" s="10">
        <f t="shared" si="19"/>
        <v>0</v>
      </c>
      <c r="N90" s="10">
        <f t="shared" si="19"/>
        <v>0</v>
      </c>
      <c r="O90" s="10">
        <f t="shared" si="19"/>
        <v>215882.08876349372</v>
      </c>
      <c r="P90" s="10">
        <f t="shared" si="19"/>
        <v>0</v>
      </c>
      <c r="Q90" s="10">
        <f t="shared" si="19"/>
        <v>0</v>
      </c>
      <c r="R90" s="10">
        <f t="shared" si="19"/>
        <v>45517.30787182097</v>
      </c>
      <c r="S90" s="10">
        <f t="shared" si="19"/>
        <v>0</v>
      </c>
      <c r="T90" s="10">
        <f t="shared" si="19"/>
        <v>0</v>
      </c>
      <c r="U90" s="10">
        <f t="shared" si="19"/>
        <v>13265.044008359255</v>
      </c>
      <c r="V90" s="10"/>
      <c r="W90" s="10"/>
      <c r="X90" s="10">
        <f>SUM(X84:X88)</f>
        <v>1040.3956084987651</v>
      </c>
      <c r="Y90" s="10"/>
      <c r="Z90" s="10"/>
      <c r="AA90" s="10">
        <f>SUM(AA84:AA88)</f>
        <v>56506.48648658917</v>
      </c>
      <c r="AB90" s="3"/>
      <c r="AC90" s="3"/>
      <c r="AD90" s="10">
        <f>SUM(AD84:AD88)</f>
        <v>270177.73458202305</v>
      </c>
      <c r="AE90" s="10"/>
      <c r="AF90" s="27">
        <f t="shared" si="18"/>
        <v>2756487.524264021</v>
      </c>
      <c r="AG90" s="9">
        <f t="shared" si="10"/>
        <v>-4.656612873077393E-10</v>
      </c>
      <c r="AH90" t="s">
        <v>197</v>
      </c>
    </row>
    <row r="91" spans="1:33" ht="12.75">
      <c r="A91" s="4">
        <v>43</v>
      </c>
      <c r="B91" s="4"/>
      <c r="C91" s="3" t="s">
        <v>24</v>
      </c>
      <c r="D91" s="3"/>
      <c r="E91" s="4"/>
      <c r="F91" s="10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10"/>
      <c r="AC91" s="10"/>
      <c r="AD91" s="3"/>
      <c r="AE91" s="3"/>
      <c r="AF91" s="27">
        <f t="shared" si="18"/>
        <v>0</v>
      </c>
      <c r="AG91" s="9">
        <f t="shared" si="10"/>
        <v>0</v>
      </c>
    </row>
    <row r="92" spans="1:33" ht="12.75">
      <c r="A92" s="4">
        <v>44</v>
      </c>
      <c r="B92" s="4"/>
      <c r="C92" s="3" t="s">
        <v>123</v>
      </c>
      <c r="D92" s="3"/>
      <c r="E92" s="4"/>
      <c r="F92" s="10">
        <f>('Classification 1'!P123)</f>
        <v>31640.58716112931</v>
      </c>
      <c r="G92" s="3"/>
      <c r="H92" s="3"/>
      <c r="I92" s="10">
        <f>(F92*'Consume Allocations'!$I$76)</f>
        <v>24667.885516375518</v>
      </c>
      <c r="J92" s="10">
        <f>(G92*'Consume Allocations'!$I$76)</f>
        <v>0</v>
      </c>
      <c r="K92" s="10">
        <f>(H92*'Consume Allocations'!$I$76)</f>
        <v>0</v>
      </c>
      <c r="L92" s="10">
        <f>(F92*'Consume Allocations'!$I$78)</f>
        <v>58.125284333734044</v>
      </c>
      <c r="M92" s="3"/>
      <c r="N92" s="3"/>
      <c r="O92" s="10">
        <f>(F92*'Consume Allocations'!$I$79)</f>
        <v>2478.021752654857</v>
      </c>
      <c r="P92" s="3"/>
      <c r="Q92" s="3"/>
      <c r="R92" s="10">
        <f>(F92*'Consume Allocations'!$I$80)</f>
        <v>522.4744659212049</v>
      </c>
      <c r="S92" s="3"/>
      <c r="T92" s="3"/>
      <c r="U92" s="10">
        <f>($F$92*'Consume Allocations'!$I$81)</f>
        <v>152.26398721132256</v>
      </c>
      <c r="V92" s="10"/>
      <c r="W92" s="10"/>
      <c r="X92" s="10">
        <f>($F$92*'Consume Allocations'!$I$82)</f>
        <v>11.942273506770398</v>
      </c>
      <c r="Y92" s="10"/>
      <c r="Z92" s="10"/>
      <c r="AA92" s="10">
        <f>($F$92*'Consume Allocations'!$I$83)</f>
        <v>648.6147298364672</v>
      </c>
      <c r="AB92" s="3"/>
      <c r="AC92" s="3"/>
      <c r="AD92" s="10">
        <f>($F$92*'Consume Allocations'!$I$84)</f>
        <v>3101.259151289438</v>
      </c>
      <c r="AE92" s="10"/>
      <c r="AF92" s="27">
        <f t="shared" si="18"/>
        <v>31640.58716112931</v>
      </c>
      <c r="AG92" s="9">
        <f t="shared" si="10"/>
        <v>0</v>
      </c>
    </row>
    <row r="93" spans="1:33" ht="12.75">
      <c r="A93" s="4">
        <v>45</v>
      </c>
      <c r="B93" s="4"/>
      <c r="C93" s="3" t="s">
        <v>24</v>
      </c>
      <c r="D93" s="3"/>
      <c r="E93" s="4"/>
      <c r="F93" s="10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10"/>
      <c r="AC93" s="10"/>
      <c r="AD93" s="3"/>
      <c r="AE93" s="3"/>
      <c r="AF93" s="27">
        <f t="shared" si="18"/>
        <v>0</v>
      </c>
      <c r="AG93" s="9">
        <f t="shared" si="10"/>
        <v>0</v>
      </c>
    </row>
    <row r="94" spans="1:34" ht="12.75">
      <c r="A94" s="4">
        <v>48</v>
      </c>
      <c r="B94" s="4"/>
      <c r="C94" s="29" t="s">
        <v>259</v>
      </c>
      <c r="D94" s="3"/>
      <c r="E94" s="4"/>
      <c r="F94" s="16">
        <f>(F90+F92)</f>
        <v>2788128.1114251507</v>
      </c>
      <c r="G94" s="16">
        <f aca="true" t="shared" si="20" ref="G94:AF94">(G90+G92)</f>
        <v>0</v>
      </c>
      <c r="H94" s="16">
        <f t="shared" si="20"/>
        <v>0</v>
      </c>
      <c r="I94" s="16">
        <f t="shared" si="20"/>
        <v>2173702.551958871</v>
      </c>
      <c r="J94" s="16">
        <f t="shared" si="20"/>
        <v>0</v>
      </c>
      <c r="K94" s="16">
        <f t="shared" si="20"/>
        <v>0</v>
      </c>
      <c r="L94" s="16">
        <f t="shared" si="20"/>
        <v>5121.925785073818</v>
      </c>
      <c r="M94" s="16">
        <f t="shared" si="20"/>
        <v>0</v>
      </c>
      <c r="N94" s="16">
        <f t="shared" si="20"/>
        <v>0</v>
      </c>
      <c r="O94" s="16">
        <f t="shared" si="20"/>
        <v>218360.1105161486</v>
      </c>
      <c r="P94" s="16">
        <f t="shared" si="20"/>
        <v>0</v>
      </c>
      <c r="Q94" s="16">
        <f t="shared" si="20"/>
        <v>0</v>
      </c>
      <c r="R94" s="16">
        <f t="shared" si="20"/>
        <v>46039.78233774218</v>
      </c>
      <c r="S94" s="16">
        <f t="shared" si="20"/>
        <v>0</v>
      </c>
      <c r="T94" s="16">
        <f t="shared" si="20"/>
        <v>0</v>
      </c>
      <c r="U94" s="16">
        <f t="shared" si="20"/>
        <v>13417.307995570578</v>
      </c>
      <c r="V94" s="16">
        <f t="shared" si="20"/>
        <v>0</v>
      </c>
      <c r="W94" s="16">
        <f t="shared" si="20"/>
        <v>0</v>
      </c>
      <c r="X94" s="16">
        <f t="shared" si="20"/>
        <v>1052.3378820055354</v>
      </c>
      <c r="Y94" s="16">
        <f t="shared" si="20"/>
        <v>0</v>
      </c>
      <c r="Z94" s="16">
        <f t="shared" si="20"/>
        <v>0</v>
      </c>
      <c r="AA94" s="16">
        <f t="shared" si="20"/>
        <v>57155.10121642564</v>
      </c>
      <c r="AB94" s="16">
        <f t="shared" si="20"/>
        <v>0</v>
      </c>
      <c r="AC94" s="16">
        <f t="shared" si="20"/>
        <v>0</v>
      </c>
      <c r="AD94" s="16">
        <f t="shared" si="20"/>
        <v>273278.99373331247</v>
      </c>
      <c r="AE94" s="16">
        <f t="shared" si="20"/>
        <v>0</v>
      </c>
      <c r="AF94" s="16">
        <f t="shared" si="20"/>
        <v>2788128.11142515</v>
      </c>
      <c r="AG94" s="9">
        <f t="shared" si="10"/>
        <v>-4.656612873077393E-10</v>
      </c>
      <c r="AH94" t="s">
        <v>197</v>
      </c>
    </row>
    <row r="95" spans="1:33" ht="12.75">
      <c r="A95" s="4">
        <v>49</v>
      </c>
      <c r="B95" s="4"/>
      <c r="C95" s="3" t="s">
        <v>24</v>
      </c>
      <c r="D95" s="3"/>
      <c r="E95" s="4"/>
      <c r="F95" s="1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E95" s="3"/>
      <c r="AF95" s="27">
        <f t="shared" si="18"/>
        <v>0</v>
      </c>
      <c r="AG95" s="9">
        <f t="shared" si="10"/>
        <v>0</v>
      </c>
    </row>
    <row r="96" spans="1:33" ht="12.75">
      <c r="A96" s="4">
        <v>50</v>
      </c>
      <c r="B96" s="4"/>
      <c r="C96" s="3" t="s">
        <v>24</v>
      </c>
      <c r="D96" s="3"/>
      <c r="E96" s="4"/>
      <c r="F96" s="10"/>
      <c r="G96" s="3"/>
      <c r="H96" s="3"/>
      <c r="I96" s="3"/>
      <c r="J96" s="3"/>
      <c r="K96" s="3"/>
      <c r="L96" s="3"/>
      <c r="M96" s="3"/>
      <c r="N96" s="15" t="s">
        <v>24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27" t="s">
        <v>24</v>
      </c>
      <c r="AG96" s="9" t="s">
        <v>24</v>
      </c>
    </row>
    <row r="97" spans="1:33" ht="12.75">
      <c r="A97" s="4">
        <v>51</v>
      </c>
      <c r="B97" s="4"/>
      <c r="C97" s="3" t="s">
        <v>24</v>
      </c>
      <c r="D97" s="3"/>
      <c r="E97" s="4"/>
      <c r="F97" s="10"/>
      <c r="G97" s="3"/>
      <c r="H97" s="3"/>
      <c r="I97" s="3"/>
      <c r="J97" s="3"/>
      <c r="K97" s="3"/>
      <c r="L97" s="3"/>
      <c r="M97" s="3"/>
      <c r="N97" s="15" t="s">
        <v>24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27">
        <f t="shared" si="18"/>
        <v>0</v>
      </c>
      <c r="AG97" s="9">
        <f t="shared" si="10"/>
        <v>0</v>
      </c>
    </row>
    <row r="98" spans="1:34" ht="12.75">
      <c r="A98" s="4">
        <v>52</v>
      </c>
      <c r="B98" s="4"/>
      <c r="C98" s="29" t="s">
        <v>181</v>
      </c>
      <c r="D98" s="3"/>
      <c r="E98" s="4"/>
      <c r="F98" s="10">
        <f>(SUM(F11,F23,F40,F53,F65,F77,F90,))</f>
        <v>43829604.4138178</v>
      </c>
      <c r="G98" s="10">
        <f aca="true" t="shared" si="21" ref="G98:AG98">(SUM(G11,G23,G40,G53,G65,G77,G90,))</f>
        <v>8265324.684793135</v>
      </c>
      <c r="H98" s="10">
        <f t="shared" si="21"/>
        <v>15494190.212842934</v>
      </c>
      <c r="I98" s="10">
        <f t="shared" si="21"/>
        <v>6949434.739740971</v>
      </c>
      <c r="J98" s="10">
        <f t="shared" si="21"/>
        <v>0</v>
      </c>
      <c r="K98" s="10">
        <f t="shared" si="21"/>
        <v>37987.71144326891</v>
      </c>
      <c r="L98" s="10">
        <f t="shared" si="21"/>
        <v>9105.540024529819</v>
      </c>
      <c r="M98" s="10">
        <f t="shared" si="21"/>
        <v>265708.34032438474</v>
      </c>
      <c r="N98" s="10">
        <f t="shared" si="21"/>
        <v>746170.845293996</v>
      </c>
      <c r="O98" s="10">
        <f t="shared" si="21"/>
        <v>530848.4195171638</v>
      </c>
      <c r="P98" s="10">
        <f t="shared" si="21"/>
        <v>347231.9431275239</v>
      </c>
      <c r="Q98" s="10">
        <f t="shared" si="21"/>
        <v>380744.05892720737</v>
      </c>
      <c r="R98" s="10">
        <f t="shared" si="21"/>
        <v>126981.63089596537</v>
      </c>
      <c r="S98" s="10">
        <f t="shared" si="21"/>
        <v>439648.2980039557</v>
      </c>
      <c r="T98" s="10">
        <f t="shared" si="21"/>
        <v>817165.1225586499</v>
      </c>
      <c r="U98" s="10">
        <f t="shared" si="21"/>
        <v>29649.54820778229</v>
      </c>
      <c r="V98" s="10">
        <f t="shared" si="21"/>
        <v>267887.6534962546</v>
      </c>
      <c r="W98" s="10">
        <f t="shared" si="21"/>
        <v>847178.9428373566</v>
      </c>
      <c r="X98" s="10">
        <f t="shared" si="21"/>
        <v>2086.5832477331674</v>
      </c>
      <c r="Y98" s="10">
        <f t="shared" si="21"/>
        <v>2021090.077320659</v>
      </c>
      <c r="Z98" s="10">
        <f t="shared" si="21"/>
        <v>4681273.260102</v>
      </c>
      <c r="AA98" s="10">
        <f t="shared" si="21"/>
        <v>111240.66137843307</v>
      </c>
      <c r="AB98" s="10">
        <f t="shared" si="21"/>
        <v>185739.09917463237</v>
      </c>
      <c r="AC98" s="10">
        <f t="shared" si="21"/>
        <v>582858.5152765842</v>
      </c>
      <c r="AD98" s="10">
        <f t="shared" si="21"/>
        <v>690058.5252826759</v>
      </c>
      <c r="AE98" s="10">
        <f t="shared" si="21"/>
        <v>0</v>
      </c>
      <c r="AF98" s="10">
        <f t="shared" si="21"/>
        <v>43829604.4138178</v>
      </c>
      <c r="AG98" s="10">
        <f t="shared" si="21"/>
        <v>1.1641532182693481E-10</v>
      </c>
      <c r="AH98" s="9">
        <f>(AF98-F98)</f>
        <v>0</v>
      </c>
    </row>
    <row r="99" spans="1:33" ht="12.75">
      <c r="A99" s="4">
        <v>53</v>
      </c>
      <c r="B99" s="4"/>
      <c r="C99" s="3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9">
        <f aca="true" t="shared" si="22" ref="AG99:AG104">(AF99-F99)</f>
        <v>0</v>
      </c>
    </row>
    <row r="100" spans="1:33" ht="12.75">
      <c r="A100" s="4">
        <v>54</v>
      </c>
      <c r="B100" s="4"/>
      <c r="C100" s="29" t="s">
        <v>182</v>
      </c>
      <c r="D100" s="3"/>
      <c r="E100" s="4"/>
      <c r="F100" s="1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27">
        <f>SUM(G100:AE100)</f>
        <v>0</v>
      </c>
      <c r="AG100" s="9">
        <f t="shared" si="22"/>
        <v>0</v>
      </c>
    </row>
    <row r="101" spans="1:34" ht="12.75">
      <c r="A101" s="4">
        <v>55</v>
      </c>
      <c r="B101" s="4"/>
      <c r="C101" s="29" t="s">
        <v>183</v>
      </c>
      <c r="D101" s="3"/>
      <c r="E101" s="4"/>
      <c r="F101" s="14">
        <f>SUM(F11,F28,F45,F57,F69,F81,F94)</f>
        <v>45022156.4529288</v>
      </c>
      <c r="G101" s="14">
        <f aca="true" t="shared" si="23" ref="G101:AF101">SUM(G11,G28,G45,G57,G69,G81,G94)</f>
        <v>8615349.374609942</v>
      </c>
      <c r="H101" s="14">
        <f t="shared" si="23"/>
        <v>15494190.212842934</v>
      </c>
      <c r="I101" s="14">
        <f t="shared" si="23"/>
        <v>7503355.72784698</v>
      </c>
      <c r="J101" s="14">
        <f t="shared" si="23"/>
        <v>0</v>
      </c>
      <c r="K101" s="14">
        <f t="shared" si="23"/>
        <v>37987.71144326891</v>
      </c>
      <c r="L101" s="14">
        <f t="shared" si="23"/>
        <v>9475.7077014713</v>
      </c>
      <c r="M101" s="14">
        <f t="shared" si="23"/>
        <v>279469.62157275015</v>
      </c>
      <c r="N101" s="14">
        <f t="shared" si="23"/>
        <v>746170.845293996</v>
      </c>
      <c r="O101" s="14">
        <f t="shared" si="23"/>
        <v>568414.3118592869</v>
      </c>
      <c r="P101" s="14">
        <f t="shared" si="23"/>
        <v>361311.3290673328</v>
      </c>
      <c r="Q101" s="14">
        <f t="shared" si="23"/>
        <v>380744.05892720737</v>
      </c>
      <c r="R101" s="14">
        <f t="shared" si="23"/>
        <v>135048.04295923654</v>
      </c>
      <c r="S101" s="14">
        <f t="shared" si="23"/>
        <v>461253.39027463016</v>
      </c>
      <c r="T101" s="14">
        <f t="shared" si="23"/>
        <v>817165.1225586499</v>
      </c>
      <c r="U101" s="14">
        <f t="shared" si="23"/>
        <v>31832.657068303117</v>
      </c>
      <c r="V101" s="14">
        <f t="shared" si="23"/>
        <v>282616.26219269127</v>
      </c>
      <c r="W101" s="14">
        <f t="shared" si="23"/>
        <v>847178.9428373566</v>
      </c>
      <c r="X101" s="14">
        <f t="shared" si="23"/>
        <v>2259.5026417422278</v>
      </c>
      <c r="Y101" s="14">
        <f t="shared" si="23"/>
        <v>2120876.627165645</v>
      </c>
      <c r="Z101" s="14">
        <f t="shared" si="23"/>
        <v>4681273.260102</v>
      </c>
      <c r="AA101" s="14">
        <f t="shared" si="23"/>
        <v>117599.24102276642</v>
      </c>
      <c r="AB101" s="14">
        <f t="shared" si="23"/>
        <v>196464.64951533612</v>
      </c>
      <c r="AC101" s="14">
        <f t="shared" si="23"/>
        <v>582858.5152765842</v>
      </c>
      <c r="AD101" s="14">
        <f t="shared" si="23"/>
        <v>749261.3381486777</v>
      </c>
      <c r="AE101" s="14">
        <f t="shared" si="23"/>
        <v>0</v>
      </c>
      <c r="AF101" s="14">
        <f t="shared" si="23"/>
        <v>45022156.45292878</v>
      </c>
      <c r="AG101" s="9">
        <f t="shared" si="22"/>
        <v>-1.4901161193847656E-08</v>
      </c>
      <c r="AH101" s="9">
        <f>(AF101-F101)</f>
        <v>-1.4901161193847656E-08</v>
      </c>
    </row>
    <row r="102" spans="1:34" ht="12.75">
      <c r="A102" s="4">
        <v>56</v>
      </c>
      <c r="B102" s="4"/>
      <c r="C102" s="29"/>
      <c r="D102" s="3"/>
      <c r="E102" s="4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27"/>
      <c r="AG102" s="9">
        <f t="shared" si="22"/>
        <v>0</v>
      </c>
      <c r="AH102" s="9"/>
    </row>
    <row r="103" spans="1:33" ht="12.75">
      <c r="A103" s="4">
        <v>57</v>
      </c>
      <c r="B103" s="4"/>
      <c r="C103" s="29" t="s">
        <v>241</v>
      </c>
      <c r="D103" s="3"/>
      <c r="E103" s="4"/>
      <c r="F103" s="10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27">
        <f>SUM(G103:AE103)</f>
        <v>0</v>
      </c>
      <c r="AG103" s="9">
        <f t="shared" si="22"/>
        <v>0</v>
      </c>
    </row>
    <row r="104" spans="1:33" ht="12.75">
      <c r="A104" s="4">
        <v>58</v>
      </c>
      <c r="B104" s="4"/>
      <c r="C104" s="29" t="s">
        <v>242</v>
      </c>
      <c r="D104" s="3"/>
      <c r="E104" s="4"/>
      <c r="F104" s="107">
        <f>(F101-F98)</f>
        <v>1192552.0391109958</v>
      </c>
      <c r="G104" s="107">
        <f>(G101-G98)</f>
        <v>350024.68981680647</v>
      </c>
      <c r="H104" s="107">
        <f aca="true" t="shared" si="24" ref="H104:AC104">(H101-H98)</f>
        <v>0</v>
      </c>
      <c r="I104" s="107">
        <f t="shared" si="24"/>
        <v>553920.9881060096</v>
      </c>
      <c r="J104" s="107">
        <f t="shared" si="24"/>
        <v>0</v>
      </c>
      <c r="K104" s="107">
        <f t="shared" si="24"/>
        <v>0</v>
      </c>
      <c r="L104" s="107">
        <f t="shared" si="24"/>
        <v>370.16767694148075</v>
      </c>
      <c r="M104" s="107">
        <f t="shared" si="24"/>
        <v>13761.281248365412</v>
      </c>
      <c r="N104" s="107">
        <f t="shared" si="24"/>
        <v>0</v>
      </c>
      <c r="O104" s="107">
        <f t="shared" si="24"/>
        <v>37565.89234212309</v>
      </c>
      <c r="P104" s="107">
        <f t="shared" si="24"/>
        <v>14079.385939808912</v>
      </c>
      <c r="Q104" s="107">
        <f t="shared" si="24"/>
        <v>0</v>
      </c>
      <c r="R104" s="107">
        <f t="shared" si="24"/>
        <v>8066.412063271171</v>
      </c>
      <c r="S104" s="107">
        <f t="shared" si="24"/>
        <v>21605.092270674475</v>
      </c>
      <c r="T104" s="107">
        <f t="shared" si="24"/>
        <v>0</v>
      </c>
      <c r="U104" s="107">
        <f t="shared" si="24"/>
        <v>2183.108860520828</v>
      </c>
      <c r="V104" s="15">
        <f t="shared" si="24"/>
        <v>14728.608696436684</v>
      </c>
      <c r="W104" s="15">
        <f t="shared" si="24"/>
        <v>0</v>
      </c>
      <c r="X104" s="15">
        <f t="shared" si="24"/>
        <v>172.9193940090604</v>
      </c>
      <c r="Y104" s="15">
        <f t="shared" si="24"/>
        <v>99786.54984498583</v>
      </c>
      <c r="Z104" s="15">
        <f t="shared" si="24"/>
        <v>0</v>
      </c>
      <c r="AA104" s="15">
        <f t="shared" si="24"/>
        <v>6358.579644333353</v>
      </c>
      <c r="AB104" s="15">
        <f t="shared" si="24"/>
        <v>10725.550340703747</v>
      </c>
      <c r="AC104" s="15">
        <f t="shared" si="24"/>
        <v>0</v>
      </c>
      <c r="AD104" s="15">
        <f>(AD101-AD98)</f>
        <v>59202.812866001856</v>
      </c>
      <c r="AE104" s="15"/>
      <c r="AF104" s="249">
        <f>SUM(G104:AE104)</f>
        <v>1192552.0391109919</v>
      </c>
      <c r="AG104" s="9">
        <f t="shared" si="22"/>
        <v>-3.958120942115784E-09</v>
      </c>
    </row>
    <row r="105" spans="1:32" ht="15">
      <c r="A105" s="4"/>
      <c r="B105" s="4"/>
      <c r="C105" s="29"/>
      <c r="D105" s="3"/>
      <c r="E105" s="4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7"/>
    </row>
    <row r="106" spans="1:32" ht="15">
      <c r="A106" s="4"/>
      <c r="B106" s="4"/>
      <c r="C106" s="29"/>
      <c r="D106" s="3" t="s">
        <v>24</v>
      </c>
      <c r="E106" s="4"/>
      <c r="F106" s="20"/>
      <c r="G106" s="20"/>
      <c r="H106" s="20">
        <f>SUM(G101:I101)</f>
        <v>31612895.315299854</v>
      </c>
      <c r="I106" s="20"/>
      <c r="J106" s="20"/>
      <c r="K106" s="20">
        <f>SUM(J101:L101)</f>
        <v>47463.41914474021</v>
      </c>
      <c r="L106" s="20"/>
      <c r="M106" s="20"/>
      <c r="N106" s="20">
        <f>SUM(M101:O101)</f>
        <v>1594054.778726033</v>
      </c>
      <c r="O106" s="20"/>
      <c r="P106" s="20"/>
      <c r="Q106" s="20">
        <f>SUM(P101:R101)</f>
        <v>877103.4309537767</v>
      </c>
      <c r="R106" s="20"/>
      <c r="S106" s="20"/>
      <c r="T106" s="20">
        <f>SUM(S101:U101)</f>
        <v>1310251.169901583</v>
      </c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7"/>
    </row>
    <row r="107" spans="1:32" ht="15">
      <c r="A107" s="4"/>
      <c r="B107" s="4"/>
      <c r="C107" s="29"/>
      <c r="D107" s="3"/>
      <c r="E107" s="4"/>
      <c r="F107" s="10">
        <f>(Functionalization!E94-'Misc  RevReq-Rate Class'!F101)</f>
        <v>-1856223.672697328</v>
      </c>
      <c r="G107" s="20"/>
      <c r="H107" s="20">
        <f>SUM(G98:I98)</f>
        <v>30708949.637377042</v>
      </c>
      <c r="I107" s="20"/>
      <c r="J107" s="20"/>
      <c r="K107" s="20">
        <f>SUM(J98:L98)</f>
        <v>47093.251467798735</v>
      </c>
      <c r="L107" s="20"/>
      <c r="M107" s="20"/>
      <c r="N107" s="20">
        <f>SUM(M98:O98)</f>
        <v>1542727.6051355447</v>
      </c>
      <c r="O107" s="20"/>
      <c r="P107" s="20"/>
      <c r="Q107" s="20">
        <f>SUM(P98:R98)</f>
        <v>854957.6329506966</v>
      </c>
      <c r="R107" s="20"/>
      <c r="S107" s="20"/>
      <c r="T107" s="20">
        <f>SUM(S98:U98)</f>
        <v>1286462.9687703878</v>
      </c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7"/>
    </row>
    <row r="108" spans="1:32" ht="12.75">
      <c r="A108" s="4"/>
      <c r="B108" s="4"/>
      <c r="C108" s="3" t="s">
        <v>24</v>
      </c>
      <c r="D108" s="3"/>
      <c r="E108" s="4"/>
      <c r="G108" s="3"/>
      <c r="H108" s="3"/>
      <c r="I108" s="3"/>
      <c r="J108" s="3" t="s">
        <v>24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27">
        <f>SUM(G108:AE108)</f>
        <v>0</v>
      </c>
    </row>
    <row r="109" spans="1:32" ht="12.75">
      <c r="A109" s="4"/>
      <c r="B109" s="4"/>
      <c r="C109" s="3" t="s">
        <v>24</v>
      </c>
      <c r="D109" s="3"/>
      <c r="E109" s="4"/>
      <c r="F109" s="35" t="e">
        <f>SUM(#REF!,#REF!,#REF!,#REF!,#REF!,#REF!,#REF!,#REF!,#REF!)</f>
        <v>#REF!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27">
        <f>SUM(G109:AE109)</f>
        <v>0</v>
      </c>
    </row>
    <row r="110" spans="1:32" ht="12.75">
      <c r="A110" s="4"/>
      <c r="B110" s="4"/>
      <c r="C110" s="3" t="s">
        <v>24</v>
      </c>
      <c r="D110" s="3"/>
      <c r="E110" s="4"/>
      <c r="F110" s="10">
        <f>(497119+100134+46189-6347)</f>
        <v>637095</v>
      </c>
      <c r="G110" s="3" t="s">
        <v>24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27">
        <f>SUM(G110:AE110)</f>
        <v>0</v>
      </c>
    </row>
    <row r="111" spans="1:32" ht="12.75">
      <c r="A111" s="4"/>
      <c r="B111" s="4"/>
      <c r="C111" s="3" t="s">
        <v>24</v>
      </c>
      <c r="D111" s="3"/>
      <c r="E111" s="4"/>
      <c r="F111" s="10" t="e">
        <f>(F110-F109)</f>
        <v>#REF!</v>
      </c>
      <c r="G111" s="10" t="s">
        <v>24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27">
        <f>SUM(G111:AE111)</f>
        <v>0</v>
      </c>
    </row>
    <row r="112" spans="1:32" ht="12.75">
      <c r="A112" s="4"/>
      <c r="B112" s="4"/>
      <c r="C112" s="3" t="s">
        <v>24</v>
      </c>
      <c r="D112" s="3"/>
      <c r="E112" s="4"/>
      <c r="F112" s="10" t="s">
        <v>24</v>
      </c>
      <c r="G112" s="10" t="s">
        <v>24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7">
        <f>SUM(G112:AE112)</f>
        <v>0</v>
      </c>
    </row>
    <row r="113" spans="1:32" ht="12.75">
      <c r="A113" s="4"/>
      <c r="B113" s="4"/>
      <c r="C113" s="29" t="s">
        <v>48</v>
      </c>
      <c r="D113" s="3"/>
      <c r="E113" s="4"/>
      <c r="F113" s="10">
        <f>SUM(F11)</f>
        <v>31279093.129281994</v>
      </c>
      <c r="G113" s="10">
        <f aca="true" t="shared" si="25" ref="G113:AE113">SUM(G11)</f>
        <v>5529556.241692104</v>
      </c>
      <c r="H113" s="10">
        <f t="shared" si="25"/>
        <v>15494190.212842934</v>
      </c>
      <c r="I113" s="10">
        <f t="shared" si="25"/>
        <v>0</v>
      </c>
      <c r="J113" s="10">
        <f t="shared" si="25"/>
        <v>0</v>
      </c>
      <c r="K113" s="10">
        <f t="shared" si="25"/>
        <v>37987.71144326891</v>
      </c>
      <c r="L113" s="10">
        <f t="shared" si="25"/>
        <v>0</v>
      </c>
      <c r="M113" s="10">
        <f t="shared" si="25"/>
        <v>158151.1305869233</v>
      </c>
      <c r="N113" s="10">
        <f t="shared" si="25"/>
        <v>746170.845293996</v>
      </c>
      <c r="O113" s="10">
        <f t="shared" si="25"/>
        <v>0</v>
      </c>
      <c r="P113" s="10">
        <f t="shared" si="25"/>
        <v>237188.44941704065</v>
      </c>
      <c r="Q113" s="10">
        <f t="shared" si="25"/>
        <v>380744.05892720737</v>
      </c>
      <c r="R113" s="10">
        <f t="shared" si="25"/>
        <v>0</v>
      </c>
      <c r="S113" s="10">
        <f t="shared" si="25"/>
        <v>270784.41107263113</v>
      </c>
      <c r="T113" s="10">
        <f t="shared" si="25"/>
        <v>817165.1225586499</v>
      </c>
      <c r="U113" s="10">
        <f t="shared" si="25"/>
        <v>0</v>
      </c>
      <c r="V113" s="10">
        <f t="shared" si="25"/>
        <v>152769.88022264963</v>
      </c>
      <c r="W113" s="10">
        <f t="shared" si="25"/>
        <v>847178.9428373566</v>
      </c>
      <c r="X113" s="10">
        <f t="shared" si="25"/>
        <v>0</v>
      </c>
      <c r="Y113" s="10">
        <f t="shared" si="25"/>
        <v>1241165.3975653</v>
      </c>
      <c r="Z113" s="10">
        <f t="shared" si="25"/>
        <v>4681273.260102</v>
      </c>
      <c r="AA113" s="10">
        <f t="shared" si="25"/>
        <v>0</v>
      </c>
      <c r="AB113" s="10">
        <f t="shared" si="25"/>
        <v>101908.94944334922</v>
      </c>
      <c r="AC113" s="10">
        <f t="shared" si="25"/>
        <v>582858.5152765842</v>
      </c>
      <c r="AD113" s="10">
        <f t="shared" si="25"/>
        <v>0</v>
      </c>
      <c r="AE113" s="10">
        <f t="shared" si="25"/>
        <v>0</v>
      </c>
      <c r="AF113" s="10">
        <f>SUM(AF11)</f>
        <v>31279093.12928199</v>
      </c>
    </row>
    <row r="114" spans="1:32" ht="12.75">
      <c r="A114" s="4"/>
      <c r="B114" s="4"/>
      <c r="C114" s="29" t="s">
        <v>199</v>
      </c>
      <c r="D114" s="3"/>
      <c r="E114" s="4"/>
      <c r="F114" s="10">
        <f>SUM(F14,F15,F31,F32,F48,F60,F72,F84,F85)</f>
        <v>6464056.709999999</v>
      </c>
      <c r="G114" s="10">
        <f aca="true" t="shared" si="26" ref="G114:AD114">SUM(G14,G15,G31,G32,G48,G60,G72)</f>
        <v>1133639.712673239</v>
      </c>
      <c r="H114" s="10">
        <f t="shared" si="26"/>
        <v>0</v>
      </c>
      <c r="I114" s="10">
        <f t="shared" si="26"/>
        <v>2248334.4116664827</v>
      </c>
      <c r="J114" s="10">
        <f t="shared" si="26"/>
        <v>0</v>
      </c>
      <c r="K114" s="10">
        <f t="shared" si="26"/>
        <v>0</v>
      </c>
      <c r="L114" s="10">
        <f t="shared" si="26"/>
        <v>2314.287396237851</v>
      </c>
      <c r="M114" s="10">
        <f t="shared" si="26"/>
        <v>44569.241468587345</v>
      </c>
      <c r="N114" s="10">
        <f t="shared" si="26"/>
        <v>0</v>
      </c>
      <c r="O114" s="10">
        <f t="shared" si="26"/>
        <v>146400.1129839516</v>
      </c>
      <c r="P114" s="10">
        <f t="shared" si="26"/>
        <v>45599.50053744539</v>
      </c>
      <c r="Q114" s="10">
        <f t="shared" si="26"/>
        <v>0</v>
      </c>
      <c r="R114" s="10">
        <f t="shared" si="26"/>
        <v>42694.298922365255</v>
      </c>
      <c r="S114" s="10">
        <f t="shared" si="26"/>
        <v>69973.32275853131</v>
      </c>
      <c r="T114" s="10">
        <f t="shared" si="26"/>
        <v>0</v>
      </c>
      <c r="U114" s="10">
        <f t="shared" si="26"/>
        <v>6974.326639679646</v>
      </c>
      <c r="V114" s="10">
        <f t="shared" si="26"/>
        <v>47702.16563706931</v>
      </c>
      <c r="W114" s="10">
        <f t="shared" si="26"/>
        <v>0</v>
      </c>
      <c r="X114" s="10">
        <f t="shared" si="26"/>
        <v>347.50167511964776</v>
      </c>
      <c r="Y114" s="10">
        <f t="shared" si="26"/>
        <v>323182.9039092332</v>
      </c>
      <c r="Z114" s="10">
        <f t="shared" si="26"/>
        <v>0</v>
      </c>
      <c r="AA114" s="10">
        <f t="shared" si="26"/>
        <v>26677.271793619944</v>
      </c>
      <c r="AB114" s="10">
        <f t="shared" si="26"/>
        <v>34737.29185464433</v>
      </c>
      <c r="AC114" s="10">
        <f t="shared" si="26"/>
        <v>0</v>
      </c>
      <c r="AD114" s="10">
        <f t="shared" si="26"/>
        <v>144677.84008379382</v>
      </c>
      <c r="AE114" s="10">
        <f>SUM(AE14,AE15,AE31,AE32,AE48,AE60,AE72,AE84,AE85)</f>
        <v>0</v>
      </c>
      <c r="AF114" s="10">
        <f>SUM(AF14,AF15,AF31,AF32,AF48,AF60,AF72)</f>
        <v>4317824.19</v>
      </c>
    </row>
    <row r="115" spans="1:32" ht="12.75">
      <c r="A115" s="4"/>
      <c r="B115" s="4"/>
      <c r="C115" s="29" t="s">
        <v>178</v>
      </c>
      <c r="D115" s="3"/>
      <c r="E115" s="4"/>
      <c r="F115" s="10">
        <f>SUM(F16,F17,F33,F34,F49,F61,F73,F86)</f>
        <v>1470587.7400000002</v>
      </c>
      <c r="G115" s="10">
        <f aca="true" t="shared" si="27" ref="G115:AD115">SUM(G16,G17,G33,G34,G49,G61,G73,G86,G84,G85)</f>
        <v>255161.76221092726</v>
      </c>
      <c r="H115" s="10">
        <f t="shared" si="27"/>
        <v>0</v>
      </c>
      <c r="I115" s="10">
        <f t="shared" si="27"/>
        <v>2569262.847843994</v>
      </c>
      <c r="J115" s="10">
        <f t="shared" si="27"/>
        <v>0</v>
      </c>
      <c r="K115" s="10">
        <f t="shared" si="27"/>
        <v>0</v>
      </c>
      <c r="L115" s="10">
        <f t="shared" si="27"/>
        <v>5366.219050687761</v>
      </c>
      <c r="M115" s="10">
        <f t="shared" si="27"/>
        <v>10031.728834474117</v>
      </c>
      <c r="N115" s="10">
        <f t="shared" si="27"/>
        <v>0</v>
      </c>
      <c r="O115" s="10">
        <f t="shared" si="27"/>
        <v>239865.77755706714</v>
      </c>
      <c r="P115" s="10">
        <f t="shared" si="27"/>
        <v>10263.621486614631</v>
      </c>
      <c r="Q115" s="10">
        <f t="shared" si="27"/>
        <v>0</v>
      </c>
      <c r="R115" s="10">
        <f t="shared" si="27"/>
        <v>53240.413735760194</v>
      </c>
      <c r="S115" s="10">
        <f t="shared" si="27"/>
        <v>15749.727310379812</v>
      </c>
      <c r="T115" s="10">
        <f t="shared" si="27"/>
        <v>0</v>
      </c>
      <c r="U115" s="10">
        <f t="shared" si="27"/>
        <v>14273.04326832453</v>
      </c>
      <c r="V115" s="10">
        <f t="shared" si="27"/>
        <v>10736.893308483226</v>
      </c>
      <c r="W115" s="10">
        <f t="shared" si="27"/>
        <v>0</v>
      </c>
      <c r="X115" s="10">
        <f t="shared" si="27"/>
        <v>1073.5863845062302</v>
      </c>
      <c r="Y115" s="10">
        <f t="shared" si="27"/>
        <v>72742.61686145974</v>
      </c>
      <c r="Z115" s="10">
        <f t="shared" si="27"/>
        <v>0</v>
      </c>
      <c r="AA115" s="10">
        <f t="shared" si="27"/>
        <v>60088.783284283985</v>
      </c>
      <c r="AB115" s="10">
        <f t="shared" si="27"/>
        <v>7818.735092796805</v>
      </c>
      <c r="AC115" s="10">
        <f t="shared" si="27"/>
        <v>0</v>
      </c>
      <c r="AD115" s="10">
        <f t="shared" si="27"/>
        <v>291144.5037702404</v>
      </c>
      <c r="AE115" s="10">
        <f>SUM(AE16,AE17,AE33,AE34,AE49,AE61,AE73,AE86)</f>
        <v>0</v>
      </c>
      <c r="AF115" s="10">
        <f>SUM(AF16,AF17,AF33,AF34,AF49,AF61,AF73,AF86,AF84,AF85)</f>
        <v>3616820.2600000002</v>
      </c>
    </row>
    <row r="116" spans="1:32" ht="12.75">
      <c r="A116" s="4"/>
      <c r="B116" s="4"/>
      <c r="C116" s="29" t="s">
        <v>179</v>
      </c>
      <c r="D116" s="3"/>
      <c r="E116" s="4"/>
      <c r="F116" s="10">
        <f aca="true" t="shared" si="28" ref="F116:AF116">SUM(F18,F19,F35,F36,F50,F62,F74,F87)</f>
        <v>3765220.5</v>
      </c>
      <c r="G116" s="10">
        <f t="shared" si="28"/>
        <v>1098722.507353881</v>
      </c>
      <c r="H116" s="10">
        <f t="shared" si="28"/>
        <v>0</v>
      </c>
      <c r="I116" s="10">
        <f t="shared" si="28"/>
        <v>1738985.715616303</v>
      </c>
      <c r="J116" s="10">
        <f t="shared" si="28"/>
        <v>0</v>
      </c>
      <c r="K116" s="10">
        <f t="shared" si="28"/>
        <v>0</v>
      </c>
      <c r="L116" s="10">
        <f t="shared" si="28"/>
        <v>1162.503310269823</v>
      </c>
      <c r="M116" s="10">
        <f t="shared" si="28"/>
        <v>43196.46549938903</v>
      </c>
      <c r="N116" s="10">
        <f t="shared" si="28"/>
        <v>0</v>
      </c>
      <c r="O116" s="10">
        <f t="shared" si="28"/>
        <v>117940.05213775985</v>
      </c>
      <c r="P116" s="10">
        <f t="shared" si="28"/>
        <v>44194.99158726794</v>
      </c>
      <c r="Q116" s="10">
        <f t="shared" si="28"/>
        <v>0</v>
      </c>
      <c r="R116" s="10">
        <f t="shared" si="28"/>
        <v>25326.05861849867</v>
      </c>
      <c r="S116" s="10">
        <f t="shared" si="28"/>
        <v>67818.07638675782</v>
      </c>
      <c r="T116" s="10">
        <f t="shared" si="28"/>
        <v>0</v>
      </c>
      <c r="U116" s="10">
        <f t="shared" si="28"/>
        <v>6853.87414338036</v>
      </c>
      <c r="V116" s="10">
        <f t="shared" si="28"/>
        <v>46232.89255752991</v>
      </c>
      <c r="W116" s="10">
        <f t="shared" si="28"/>
        <v>0</v>
      </c>
      <c r="X116" s="10">
        <f t="shared" si="28"/>
        <v>542.8573200157571</v>
      </c>
      <c r="Y116" s="10">
        <f t="shared" si="28"/>
        <v>313228.5562577253</v>
      </c>
      <c r="Z116" s="10">
        <f t="shared" si="28"/>
        <v>0</v>
      </c>
      <c r="AA116" s="10">
        <f t="shared" si="28"/>
        <v>19964.975347101208</v>
      </c>
      <c r="AB116" s="10">
        <f t="shared" si="28"/>
        <v>33667.34949256277</v>
      </c>
      <c r="AC116" s="10">
        <f t="shared" si="28"/>
        <v>0</v>
      </c>
      <c r="AD116" s="10">
        <f t="shared" si="28"/>
        <v>207383.624371558</v>
      </c>
      <c r="AE116" s="10">
        <f t="shared" si="28"/>
        <v>0</v>
      </c>
      <c r="AF116" s="10">
        <f t="shared" si="28"/>
        <v>3765220.5000000005</v>
      </c>
    </row>
    <row r="117" spans="1:32" ht="12.75">
      <c r="A117" s="4"/>
      <c r="B117" s="4"/>
      <c r="C117" s="29" t="s">
        <v>180</v>
      </c>
      <c r="D117" s="3"/>
      <c r="E117" s="4"/>
      <c r="F117" s="10">
        <f aca="true" t="shared" si="29" ref="F117:AF117">SUM(F20,F21,F37,F38,F51,F63,F75,F88)</f>
        <v>850646.3345358</v>
      </c>
      <c r="G117" s="10">
        <f t="shared" si="29"/>
        <v>248244.4608629831</v>
      </c>
      <c r="H117" s="10">
        <f t="shared" si="29"/>
        <v>0</v>
      </c>
      <c r="I117" s="10">
        <f t="shared" si="29"/>
        <v>392851.7646141912</v>
      </c>
      <c r="J117" s="10">
        <f t="shared" si="29"/>
        <v>0</v>
      </c>
      <c r="K117" s="10">
        <f t="shared" si="29"/>
        <v>0</v>
      </c>
      <c r="L117" s="10">
        <f t="shared" si="29"/>
        <v>262.5302673343827</v>
      </c>
      <c r="M117" s="10">
        <f t="shared" si="29"/>
        <v>9759.773935010946</v>
      </c>
      <c r="N117" s="10">
        <f t="shared" si="29"/>
        <v>0</v>
      </c>
      <c r="O117" s="10">
        <f t="shared" si="29"/>
        <v>26642.476838385177</v>
      </c>
      <c r="P117" s="10">
        <f t="shared" si="29"/>
        <v>9985.380099155253</v>
      </c>
      <c r="Q117" s="10">
        <f t="shared" si="29"/>
        <v>0</v>
      </c>
      <c r="R117" s="10">
        <f t="shared" si="29"/>
        <v>5720.859619341242</v>
      </c>
      <c r="S117" s="10">
        <f t="shared" si="29"/>
        <v>15322.760475655632</v>
      </c>
      <c r="T117" s="10">
        <f t="shared" si="29"/>
        <v>0</v>
      </c>
      <c r="U117" s="10">
        <f t="shared" si="29"/>
        <v>1548.304156397751</v>
      </c>
      <c r="V117" s="10">
        <f t="shared" si="29"/>
        <v>10445.8217705225</v>
      </c>
      <c r="W117" s="10">
        <f t="shared" si="29"/>
        <v>0</v>
      </c>
      <c r="X117" s="10">
        <f t="shared" si="29"/>
        <v>122.63786809153234</v>
      </c>
      <c r="Y117" s="10">
        <f t="shared" si="29"/>
        <v>70770.6027269406</v>
      </c>
      <c r="Z117" s="10">
        <f t="shared" si="29"/>
        <v>0</v>
      </c>
      <c r="AA117" s="10">
        <f t="shared" si="29"/>
        <v>4509.63095342792</v>
      </c>
      <c r="AB117" s="10">
        <f t="shared" si="29"/>
        <v>7606.773291279251</v>
      </c>
      <c r="AC117" s="10">
        <f t="shared" si="29"/>
        <v>0</v>
      </c>
      <c r="AD117" s="10">
        <f t="shared" si="29"/>
        <v>46852.5570570836</v>
      </c>
      <c r="AE117" s="10">
        <f t="shared" si="29"/>
        <v>0</v>
      </c>
      <c r="AF117" s="10">
        <f t="shared" si="29"/>
        <v>850646.3345358</v>
      </c>
    </row>
    <row r="118" spans="1:32" ht="12.75">
      <c r="A118" s="4"/>
      <c r="B118" s="4"/>
      <c r="C118" s="29" t="s">
        <v>55</v>
      </c>
      <c r="D118" s="3"/>
      <c r="E118" s="4"/>
      <c r="F118" s="10">
        <f>SUM(F113:F117)</f>
        <v>43829604.41381779</v>
      </c>
      <c r="G118" s="10">
        <f aca="true" t="shared" si="30" ref="G118:AF118">SUM(G113:G117)</f>
        <v>8265324.684793133</v>
      </c>
      <c r="H118" s="10">
        <f t="shared" si="30"/>
        <v>15494190.212842934</v>
      </c>
      <c r="I118" s="10">
        <f t="shared" si="30"/>
        <v>6949434.73974097</v>
      </c>
      <c r="J118" s="10">
        <f t="shared" si="30"/>
        <v>0</v>
      </c>
      <c r="K118" s="10">
        <f t="shared" si="30"/>
        <v>37987.71144326891</v>
      </c>
      <c r="L118" s="10">
        <f t="shared" si="30"/>
        <v>9105.540024529819</v>
      </c>
      <c r="M118" s="10">
        <f t="shared" si="30"/>
        <v>265708.34032438474</v>
      </c>
      <c r="N118" s="10">
        <f t="shared" si="30"/>
        <v>746170.845293996</v>
      </c>
      <c r="O118" s="10">
        <f t="shared" si="30"/>
        <v>530848.4195171638</v>
      </c>
      <c r="P118" s="10">
        <f t="shared" si="30"/>
        <v>347231.9431275239</v>
      </c>
      <c r="Q118" s="10">
        <f t="shared" si="30"/>
        <v>380744.05892720737</v>
      </c>
      <c r="R118" s="10">
        <f t="shared" si="30"/>
        <v>126981.63089596535</v>
      </c>
      <c r="S118" s="10">
        <f t="shared" si="30"/>
        <v>439648.2980039557</v>
      </c>
      <c r="T118" s="10">
        <f t="shared" si="30"/>
        <v>817165.1225586499</v>
      </c>
      <c r="U118" s="10">
        <f t="shared" si="30"/>
        <v>29649.548207782285</v>
      </c>
      <c r="V118" s="10">
        <f t="shared" si="30"/>
        <v>267887.6534962546</v>
      </c>
      <c r="W118" s="10">
        <f t="shared" si="30"/>
        <v>847178.9428373566</v>
      </c>
      <c r="X118" s="10">
        <f t="shared" si="30"/>
        <v>2086.5832477331674</v>
      </c>
      <c r="Y118" s="10">
        <f t="shared" si="30"/>
        <v>2021090.0773206588</v>
      </c>
      <c r="Z118" s="10">
        <f t="shared" si="30"/>
        <v>4681273.260102</v>
      </c>
      <c r="AA118" s="10">
        <f t="shared" si="30"/>
        <v>111240.66137843305</v>
      </c>
      <c r="AB118" s="10">
        <f t="shared" si="30"/>
        <v>185739.09917463234</v>
      </c>
      <c r="AC118" s="10">
        <f t="shared" si="30"/>
        <v>582858.5152765842</v>
      </c>
      <c r="AD118" s="10">
        <f t="shared" si="30"/>
        <v>690058.5252826757</v>
      </c>
      <c r="AE118" s="10">
        <f t="shared" si="30"/>
        <v>0</v>
      </c>
      <c r="AF118" s="10">
        <f t="shared" si="30"/>
        <v>43829604.413817786</v>
      </c>
    </row>
    <row r="119" spans="1:32" ht="12.75">
      <c r="A119" s="4"/>
      <c r="B119" s="4"/>
      <c r="C119" s="3" t="s">
        <v>123</v>
      </c>
      <c r="D119" s="3"/>
      <c r="E119" s="4"/>
      <c r="F119" s="10">
        <f>SUM(F92,F79,F67,F55,F42,F43,F25,F26,)</f>
        <v>1192552.039110992</v>
      </c>
      <c r="G119" s="10">
        <f>SUM(G92,G79,G67,G55,G42,G43,G25,G26,)</f>
        <v>350024.6898168061</v>
      </c>
      <c r="H119" s="10">
        <f>SUM(H92,H79,H67,H55,H42,H43,H25,H26,)</f>
        <v>0</v>
      </c>
      <c r="I119" s="10">
        <f>SUM(I92,I79,I67,I55,I42,I43,I25,I26,)</f>
        <v>553920.9881060097</v>
      </c>
      <c r="J119" s="10">
        <f aca="true" t="shared" si="31" ref="J119:AF119">SUM(J92,J79,J67,J55,J42,J43,J25,J26,)</f>
        <v>0</v>
      </c>
      <c r="K119" s="10">
        <f t="shared" si="31"/>
        <v>0</v>
      </c>
      <c r="L119" s="10">
        <f t="shared" si="31"/>
        <v>370.1676769414796</v>
      </c>
      <c r="M119" s="10">
        <f t="shared" si="31"/>
        <v>13761.281248365432</v>
      </c>
      <c r="N119" s="10">
        <f t="shared" si="31"/>
        <v>0</v>
      </c>
      <c r="O119" s="10">
        <f t="shared" si="31"/>
        <v>37565.8923421231</v>
      </c>
      <c r="P119" s="10">
        <f t="shared" si="31"/>
        <v>14079.385939808906</v>
      </c>
      <c r="Q119" s="10">
        <f t="shared" si="31"/>
        <v>0</v>
      </c>
      <c r="R119" s="10">
        <f t="shared" si="31"/>
        <v>8066.41206327115</v>
      </c>
      <c r="S119" s="10">
        <f t="shared" si="31"/>
        <v>21605.09227067444</v>
      </c>
      <c r="T119" s="10">
        <f t="shared" si="31"/>
        <v>0</v>
      </c>
      <c r="U119" s="10">
        <f t="shared" si="31"/>
        <v>2183.108860520829</v>
      </c>
      <c r="V119" s="10">
        <f t="shared" si="31"/>
        <v>14728.60869643672</v>
      </c>
      <c r="W119" s="10">
        <f t="shared" si="31"/>
        <v>0</v>
      </c>
      <c r="X119" s="10">
        <f t="shared" si="31"/>
        <v>172.9193940090606</v>
      </c>
      <c r="Y119" s="10">
        <f t="shared" si="31"/>
        <v>99786.54984498624</v>
      </c>
      <c r="Z119" s="10">
        <f t="shared" si="31"/>
        <v>0</v>
      </c>
      <c r="AA119" s="10">
        <f t="shared" si="31"/>
        <v>6358.579644333366</v>
      </c>
      <c r="AB119" s="10">
        <f t="shared" si="31"/>
        <v>10725.550340703741</v>
      </c>
      <c r="AC119" s="10">
        <f t="shared" si="31"/>
        <v>0</v>
      </c>
      <c r="AD119" s="10">
        <f t="shared" si="31"/>
        <v>59202.812866001914</v>
      </c>
      <c r="AE119" s="10">
        <f t="shared" si="31"/>
        <v>0</v>
      </c>
      <c r="AF119" s="10">
        <f t="shared" si="31"/>
        <v>1192552.039110992</v>
      </c>
    </row>
    <row r="120" spans="1:32" ht="12.75">
      <c r="A120" s="4"/>
      <c r="B120" s="4"/>
      <c r="C120" s="3" t="s">
        <v>24</v>
      </c>
      <c r="D120" s="3"/>
      <c r="E120" s="4"/>
      <c r="F120" s="10">
        <f>SUM(F118:F119)</f>
        <v>45022156.45292878</v>
      </c>
      <c r="G120" s="10">
        <f aca="true" t="shared" si="32" ref="G120:AF120">SUM(G118:G119)</f>
        <v>8615349.37460994</v>
      </c>
      <c r="H120" s="10">
        <f t="shared" si="32"/>
        <v>15494190.212842934</v>
      </c>
      <c r="I120" s="10">
        <f t="shared" si="32"/>
        <v>7503355.727846979</v>
      </c>
      <c r="J120" s="10">
        <f t="shared" si="32"/>
        <v>0</v>
      </c>
      <c r="K120" s="10">
        <f t="shared" si="32"/>
        <v>37987.71144326891</v>
      </c>
      <c r="L120" s="10">
        <f t="shared" si="32"/>
        <v>9475.707701471298</v>
      </c>
      <c r="M120" s="10">
        <f t="shared" si="32"/>
        <v>279469.62157275015</v>
      </c>
      <c r="N120" s="10">
        <f t="shared" si="32"/>
        <v>746170.845293996</v>
      </c>
      <c r="O120" s="10">
        <f t="shared" si="32"/>
        <v>568414.3118592869</v>
      </c>
      <c r="P120" s="10">
        <f t="shared" si="32"/>
        <v>361311.3290673328</v>
      </c>
      <c r="Q120" s="10">
        <f t="shared" si="32"/>
        <v>380744.05892720737</v>
      </c>
      <c r="R120" s="10">
        <f t="shared" si="32"/>
        <v>135048.0429592365</v>
      </c>
      <c r="S120" s="10">
        <f t="shared" si="32"/>
        <v>461253.3902746301</v>
      </c>
      <c r="T120" s="10">
        <f t="shared" si="32"/>
        <v>817165.1225586499</v>
      </c>
      <c r="U120" s="10">
        <f t="shared" si="32"/>
        <v>31832.657068303113</v>
      </c>
      <c r="V120" s="10">
        <f t="shared" si="32"/>
        <v>282616.2621926913</v>
      </c>
      <c r="W120" s="10">
        <f t="shared" si="32"/>
        <v>847178.9428373566</v>
      </c>
      <c r="X120" s="10">
        <f t="shared" si="32"/>
        <v>2259.5026417422278</v>
      </c>
      <c r="Y120" s="10">
        <f t="shared" si="32"/>
        <v>2120876.627165645</v>
      </c>
      <c r="Z120" s="10">
        <f t="shared" si="32"/>
        <v>4681273.260102</v>
      </c>
      <c r="AA120" s="10">
        <f t="shared" si="32"/>
        <v>117599.24102276642</v>
      </c>
      <c r="AB120" s="10">
        <f t="shared" si="32"/>
        <v>196464.6495153361</v>
      </c>
      <c r="AC120" s="10">
        <f t="shared" si="32"/>
        <v>582858.5152765842</v>
      </c>
      <c r="AD120" s="10">
        <f t="shared" si="32"/>
        <v>749261.3381486777</v>
      </c>
      <c r="AE120" s="10">
        <f t="shared" si="32"/>
        <v>0</v>
      </c>
      <c r="AF120" s="10">
        <f t="shared" si="32"/>
        <v>45022156.45292878</v>
      </c>
    </row>
    <row r="121" spans="1:32" ht="12.75">
      <c r="A121" s="4"/>
      <c r="B121" s="4"/>
      <c r="C121" s="3" t="s">
        <v>24</v>
      </c>
      <c r="D121" s="3"/>
      <c r="E121" s="4"/>
      <c r="F121" s="1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27">
        <f>SUM(G121:AE121)</f>
        <v>0</v>
      </c>
    </row>
    <row r="122" spans="1:32" ht="12.75">
      <c r="A122" s="4"/>
      <c r="B122" s="4"/>
      <c r="C122" s="3" t="s">
        <v>201</v>
      </c>
      <c r="D122" s="3"/>
      <c r="E122" s="4"/>
      <c r="F122" s="15" t="s">
        <v>24</v>
      </c>
      <c r="G122" s="15" t="s">
        <v>24</v>
      </c>
      <c r="H122" s="15" t="s">
        <v>24</v>
      </c>
      <c r="I122" s="15" t="s">
        <v>24</v>
      </c>
      <c r="J122" s="15" t="s">
        <v>24</v>
      </c>
      <c r="K122" s="15" t="s">
        <v>24</v>
      </c>
      <c r="L122" s="15" t="s">
        <v>24</v>
      </c>
      <c r="M122" s="15" t="s">
        <v>24</v>
      </c>
      <c r="N122" s="15" t="s">
        <v>24</v>
      </c>
      <c r="O122" s="15" t="s">
        <v>24</v>
      </c>
      <c r="P122" s="15" t="s">
        <v>24</v>
      </c>
      <c r="Q122" s="15" t="s">
        <v>24</v>
      </c>
      <c r="R122" s="15" t="s">
        <v>24</v>
      </c>
      <c r="S122" s="15" t="s">
        <v>24</v>
      </c>
      <c r="T122" s="15" t="s">
        <v>24</v>
      </c>
      <c r="U122" s="15" t="s">
        <v>24</v>
      </c>
      <c r="V122" s="15" t="s">
        <v>24</v>
      </c>
      <c r="W122" s="15" t="s">
        <v>24</v>
      </c>
      <c r="X122" s="15" t="s">
        <v>24</v>
      </c>
      <c r="Y122" s="15" t="s">
        <v>24</v>
      </c>
      <c r="Z122" s="15" t="s">
        <v>24</v>
      </c>
      <c r="AA122" s="15" t="s">
        <v>24</v>
      </c>
      <c r="AB122" s="15" t="s">
        <v>24</v>
      </c>
      <c r="AC122" s="15" t="s">
        <v>24</v>
      </c>
      <c r="AD122" s="15" t="s">
        <v>24</v>
      </c>
      <c r="AE122" s="15" t="s">
        <v>24</v>
      </c>
      <c r="AF122" s="249" t="s">
        <v>24</v>
      </c>
    </row>
    <row r="123" spans="1:32" ht="12.75">
      <c r="A123" s="4"/>
      <c r="B123" s="4"/>
      <c r="C123" s="3" t="s">
        <v>24</v>
      </c>
      <c r="D123" s="3"/>
      <c r="E123" s="4"/>
      <c r="F123" s="1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5">
      <c r="A124" s="4"/>
      <c r="B124" s="4"/>
      <c r="C124" s="3" t="s">
        <v>24</v>
      </c>
      <c r="D124" s="3"/>
      <c r="E124" s="4"/>
      <c r="F124" s="32" t="s">
        <v>24</v>
      </c>
      <c r="G124" s="27">
        <f>SUM(G101,H101,I101)</f>
        <v>31612895.315299854</v>
      </c>
      <c r="H124" s="3"/>
      <c r="I124" s="3"/>
      <c r="J124" s="27">
        <f>SUM(J101,K101,L101)</f>
        <v>47463.41914474021</v>
      </c>
      <c r="K124" s="3"/>
      <c r="L124" s="3"/>
      <c r="M124" s="27">
        <f>SUM(M101,N101,O101)</f>
        <v>1594054.778726033</v>
      </c>
      <c r="N124" s="3"/>
      <c r="O124" s="3"/>
      <c r="P124" s="27">
        <f>SUM(P101,Q101,R101)</f>
        <v>877103.4309537767</v>
      </c>
      <c r="Q124" s="3"/>
      <c r="R124" s="3"/>
      <c r="S124" s="27">
        <f>SUM(S101,T101,U101)</f>
        <v>1310251.169901583</v>
      </c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27">
        <f>SUM(AF113:AF117)</f>
        <v>43829604.413817786</v>
      </c>
    </row>
    <row r="125" spans="1:32" ht="12.75">
      <c r="A125" s="4"/>
      <c r="B125" s="4"/>
      <c r="C125" s="3" t="s">
        <v>24</v>
      </c>
      <c r="D125" s="3"/>
      <c r="E125" s="4"/>
      <c r="F125" s="1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>
      <c r="A126" s="4"/>
      <c r="B126" s="4"/>
      <c r="C126" s="3" t="s">
        <v>24</v>
      </c>
      <c r="D126" s="3"/>
      <c r="E126" s="4"/>
      <c r="F126" s="1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>
      <c r="A127" s="4"/>
      <c r="B127" s="4"/>
      <c r="C127" s="3" t="s">
        <v>126</v>
      </c>
      <c r="D127" s="3"/>
      <c r="E127" s="4"/>
      <c r="F127" s="1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>
      <c r="A128" s="4"/>
      <c r="B128" s="4"/>
      <c r="C128" s="3" t="s">
        <v>24</v>
      </c>
      <c r="D128" s="3"/>
      <c r="E128" s="4"/>
      <c r="F128" s="10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>
      <c r="A129" s="4"/>
      <c r="B129" s="4"/>
      <c r="C129" s="3" t="s">
        <v>24</v>
      </c>
      <c r="D129" s="3"/>
      <c r="E129" s="4"/>
      <c r="F129" s="1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>
      <c r="A130" s="4"/>
      <c r="B130" s="4"/>
      <c r="C130" s="3" t="s">
        <v>24</v>
      </c>
      <c r="D130" s="3"/>
      <c r="E130" s="4"/>
      <c r="F130" s="10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>
      <c r="A131" s="4"/>
      <c r="B131" s="4"/>
      <c r="C131" s="3" t="s">
        <v>24</v>
      </c>
      <c r="D131" s="3"/>
      <c r="E131" s="4"/>
      <c r="F131" s="10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>
      <c r="A132" s="4"/>
      <c r="B132" s="4"/>
      <c r="C132" s="3" t="s">
        <v>24</v>
      </c>
      <c r="D132" s="3"/>
      <c r="E132" s="4"/>
      <c r="F132" s="1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>
      <c r="A133" s="4"/>
      <c r="B133" s="4"/>
      <c r="C133" s="3" t="s">
        <v>24</v>
      </c>
      <c r="D133" s="3"/>
      <c r="E133" s="4"/>
      <c r="F133" s="1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>
      <c r="A134" s="4"/>
      <c r="B134" s="4"/>
      <c r="C134" s="3"/>
      <c r="D134" s="3"/>
      <c r="E134" s="4"/>
      <c r="F134" s="1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>
      <c r="A135" s="4"/>
      <c r="B135" s="4"/>
      <c r="C135" s="3"/>
      <c r="D135" s="3"/>
      <c r="E135" s="4"/>
      <c r="F135" s="1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>
      <c r="A136" s="4"/>
      <c r="B136" s="4"/>
      <c r="C136" s="3"/>
      <c r="D136" s="3"/>
      <c r="E136" s="4"/>
      <c r="F136" s="1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>
      <c r="A137" s="4"/>
      <c r="B137" s="4"/>
      <c r="C137" s="3"/>
      <c r="D137" s="3"/>
      <c r="E137" s="4"/>
      <c r="F137" s="1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>
      <c r="A138" s="4"/>
      <c r="B138" s="4"/>
      <c r="C138" s="3"/>
      <c r="D138" s="3"/>
      <c r="E138" s="4"/>
      <c r="F138" s="10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>
      <c r="A139" s="4"/>
      <c r="B139" s="4"/>
      <c r="C139" s="3"/>
      <c r="D139" s="3"/>
      <c r="E139" s="4"/>
      <c r="F139" s="10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>
      <c r="A140" s="4"/>
      <c r="B140" s="4"/>
      <c r="C140" s="3"/>
      <c r="D140" s="3"/>
      <c r="E140" s="4"/>
      <c r="F140" s="10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>
      <c r="A141" s="4"/>
      <c r="B141" s="4"/>
      <c r="C141" s="3"/>
      <c r="D141" s="3"/>
      <c r="E141" s="4"/>
      <c r="F141" s="10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>
      <c r="A142" s="4"/>
      <c r="B142" s="4"/>
      <c r="C142" s="3"/>
      <c r="D142" s="3"/>
      <c r="E142" s="4"/>
      <c r="F142" s="10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>
      <c r="A143" s="4"/>
      <c r="B143" s="4"/>
      <c r="C143" s="3"/>
      <c r="D143" s="3"/>
      <c r="E143" s="4"/>
      <c r="F143" s="10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>
      <c r="A144" s="4"/>
      <c r="B144" s="4"/>
      <c r="C144" s="3"/>
      <c r="D144" s="3"/>
      <c r="E144" s="4"/>
      <c r="F144" s="10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>
      <c r="A145" s="4"/>
      <c r="B145" s="4"/>
      <c r="C145" s="3"/>
      <c r="D145" s="3"/>
      <c r="E145" s="4"/>
      <c r="F145" s="10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>
      <c r="A146" s="4"/>
      <c r="B146" s="4"/>
      <c r="C146" s="3"/>
      <c r="D146" s="3"/>
      <c r="E146" s="4"/>
      <c r="F146" s="10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>
      <c r="A147" s="4"/>
      <c r="B147" s="4"/>
      <c r="C147" s="3"/>
      <c r="D147" s="3"/>
      <c r="E147" s="4"/>
      <c r="F147" s="1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>
      <c r="A148" s="4"/>
      <c r="B148" s="4"/>
      <c r="C148" s="3"/>
      <c r="D148" s="3"/>
      <c r="E148" s="4"/>
      <c r="F148" s="1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.75">
      <c r="A149" s="4"/>
      <c r="B149" s="4"/>
      <c r="C149" s="3"/>
      <c r="D149" s="3"/>
      <c r="E149" s="4"/>
      <c r="F149" s="1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2.75">
      <c r="A150" s="4"/>
      <c r="B150" s="4"/>
      <c r="C150" s="3"/>
      <c r="D150" s="3"/>
      <c r="E150" s="4"/>
      <c r="F150" s="1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2.75">
      <c r="A151" s="4"/>
      <c r="B151" s="4"/>
      <c r="C151" s="3"/>
      <c r="D151" s="3"/>
      <c r="E151" s="4"/>
      <c r="F151" s="10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2.75">
      <c r="A152" s="4"/>
      <c r="B152" s="4"/>
      <c r="C152" s="3"/>
      <c r="D152" s="3"/>
      <c r="E152" s="4"/>
      <c r="F152" s="10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2.75">
      <c r="A153" s="4"/>
      <c r="B153" s="4"/>
      <c r="C153" s="3"/>
      <c r="D153" s="3"/>
      <c r="E153" s="4"/>
      <c r="F153" s="1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2.75">
      <c r="A154" s="4"/>
      <c r="B154" s="4"/>
      <c r="C154" s="3"/>
      <c r="D154" s="3"/>
      <c r="E154" s="4"/>
      <c r="F154" s="1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2.75">
      <c r="A155" s="4"/>
      <c r="B155" s="4"/>
      <c r="C155" s="3"/>
      <c r="D155" s="3"/>
      <c r="E155" s="4"/>
      <c r="F155" s="1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2.75">
      <c r="A156" s="4"/>
      <c r="B156" s="4"/>
      <c r="C156" s="3"/>
      <c r="D156" s="3"/>
      <c r="E156" s="4"/>
      <c r="F156" s="1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2.75">
      <c r="A157" s="4"/>
      <c r="B157" s="4"/>
      <c r="C157" s="3"/>
      <c r="D157" s="3"/>
      <c r="E157" s="4"/>
      <c r="F157" s="1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2.75">
      <c r="A158" s="4"/>
      <c r="B158" s="4"/>
      <c r="C158" s="3"/>
      <c r="D158" s="3"/>
      <c r="E158" s="4"/>
      <c r="F158" s="1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2.75">
      <c r="A159" s="4"/>
      <c r="B159" s="4"/>
      <c r="C159" s="3"/>
      <c r="D159" s="3"/>
      <c r="E159" s="4"/>
      <c r="F159" s="1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2.75">
      <c r="A160" s="4"/>
      <c r="B160" s="4"/>
      <c r="C160" s="3"/>
      <c r="D160" s="3"/>
      <c r="E160" s="4"/>
      <c r="F160" s="1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2.75">
      <c r="A161" s="4"/>
      <c r="B161" s="4"/>
      <c r="C161" s="3"/>
      <c r="D161" s="3"/>
      <c r="E161" s="4"/>
      <c r="F161" s="1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2.75">
      <c r="A162" s="4"/>
      <c r="B162" s="4"/>
      <c r="C162" s="3"/>
      <c r="D162" s="3"/>
      <c r="E162" s="4"/>
      <c r="F162" s="10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2.75">
      <c r="A163" s="4"/>
      <c r="B163" s="4"/>
      <c r="C163" s="3"/>
      <c r="D163" s="3"/>
      <c r="E163" s="4"/>
      <c r="F163" s="10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2.75">
      <c r="A164" s="4"/>
      <c r="B164" s="4"/>
      <c r="C164" s="3"/>
      <c r="D164" s="3"/>
      <c r="E164" s="4"/>
      <c r="F164" s="10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2.75">
      <c r="A165" s="4"/>
      <c r="B165" s="4"/>
      <c r="C165" s="3"/>
      <c r="D165" s="3"/>
      <c r="E165" s="4"/>
      <c r="F165" s="10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2.75">
      <c r="A166" s="4"/>
      <c r="B166" s="4"/>
      <c r="C166" s="3"/>
      <c r="D166" s="3"/>
      <c r="E166" s="4"/>
      <c r="F166" s="10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2.75">
      <c r="A167" s="4"/>
      <c r="B167" s="4"/>
      <c r="C167" s="3"/>
      <c r="D167" s="3"/>
      <c r="E167" s="4"/>
      <c r="F167" s="10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2.75">
      <c r="A168" s="4"/>
      <c r="B168" s="4"/>
      <c r="C168" s="3"/>
      <c r="D168" s="3"/>
      <c r="E168" s="4"/>
      <c r="F168" s="10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2.75">
      <c r="A169" s="4"/>
      <c r="B169" s="4"/>
      <c r="C169" s="3"/>
      <c r="D169" s="3"/>
      <c r="E169" s="4"/>
      <c r="F169" s="10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2.75">
      <c r="A170" s="4"/>
      <c r="B170" s="4"/>
      <c r="C170" s="3"/>
      <c r="D170" s="3"/>
      <c r="E170" s="4"/>
      <c r="F170" s="10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2.75">
      <c r="A171" s="4"/>
      <c r="B171" s="4"/>
      <c r="C171" s="3"/>
      <c r="D171" s="3"/>
      <c r="E171" s="4"/>
      <c r="F171" s="10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2.75">
      <c r="A172" s="4"/>
      <c r="B172" s="4"/>
      <c r="C172" s="3"/>
      <c r="D172" s="3"/>
      <c r="E172" s="4"/>
      <c r="F172" s="10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2.75">
      <c r="A173" s="4"/>
      <c r="B173" s="4"/>
      <c r="C173" s="3"/>
      <c r="D173" s="3"/>
      <c r="E173" s="4"/>
      <c r="F173" s="10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2.75">
      <c r="A174" s="4"/>
      <c r="B174" s="4"/>
      <c r="C174" s="3"/>
      <c r="D174" s="3"/>
      <c r="E174" s="4"/>
      <c r="F174" s="10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2.75">
      <c r="A175" s="4"/>
      <c r="B175" s="4"/>
      <c r="C175" s="3"/>
      <c r="D175" s="3"/>
      <c r="E175" s="4"/>
      <c r="F175" s="10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2.75">
      <c r="A176" s="4"/>
      <c r="B176" s="4"/>
      <c r="C176" s="3"/>
      <c r="D176" s="3"/>
      <c r="E176" s="4"/>
      <c r="F176" s="10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2.75">
      <c r="A177" s="4"/>
      <c r="B177" s="4"/>
      <c r="C177" s="3"/>
      <c r="D177" s="3"/>
      <c r="E177" s="4"/>
      <c r="F177" s="10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2.75">
      <c r="A178" s="4"/>
      <c r="B178" s="4"/>
      <c r="C178" s="3"/>
      <c r="D178" s="3"/>
      <c r="E178" s="4"/>
      <c r="F178" s="10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2.75">
      <c r="A179" s="4"/>
      <c r="B179" s="4"/>
      <c r="C179" s="3"/>
      <c r="D179" s="3"/>
      <c r="E179" s="4"/>
      <c r="F179" s="10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2.75">
      <c r="A180" s="4"/>
      <c r="B180" s="4"/>
      <c r="C180" s="3"/>
      <c r="D180" s="3"/>
      <c r="E180" s="4"/>
      <c r="F180" s="10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2.75">
      <c r="A181" s="4"/>
      <c r="B181" s="4"/>
      <c r="C181" s="3"/>
      <c r="D181" s="3"/>
      <c r="E181" s="4"/>
      <c r="F181" s="10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2.75">
      <c r="A182" s="4"/>
      <c r="B182" s="4"/>
      <c r="C182" s="3"/>
      <c r="D182" s="3"/>
      <c r="E182" s="4"/>
      <c r="F182" s="10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2.75">
      <c r="A183" s="4"/>
      <c r="B183" s="4"/>
      <c r="C183" s="3"/>
      <c r="D183" s="3"/>
      <c r="E183" s="4"/>
      <c r="F183" s="10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2.75">
      <c r="A184" s="4"/>
      <c r="B184" s="4"/>
      <c r="C184" s="3"/>
      <c r="D184" s="3"/>
      <c r="E184" s="4"/>
      <c r="F184" s="10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2.75">
      <c r="A185" s="4"/>
      <c r="B185" s="4"/>
      <c r="C185" s="3"/>
      <c r="D185" s="3"/>
      <c r="E185" s="4"/>
      <c r="F185" s="10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2.75">
      <c r="A186" s="4"/>
      <c r="B186" s="4"/>
      <c r="C186" s="3"/>
      <c r="D186" s="3"/>
      <c r="E186" s="4"/>
      <c r="F186" s="10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2.75">
      <c r="A187" s="4"/>
      <c r="B187" s="4"/>
      <c r="C187" s="3"/>
      <c r="D187" s="3"/>
      <c r="E187" s="4"/>
      <c r="F187" s="10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2.75">
      <c r="A188" s="4"/>
      <c r="B188" s="4"/>
      <c r="C188" s="3"/>
      <c r="D188" s="3"/>
      <c r="E188" s="4"/>
      <c r="F188" s="10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2.75">
      <c r="A189" s="4"/>
      <c r="B189" s="4"/>
      <c r="C189" s="3"/>
      <c r="D189" s="3"/>
      <c r="E189" s="4"/>
      <c r="F189" s="10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2.75">
      <c r="A190" s="4"/>
      <c r="B190" s="4"/>
      <c r="C190" s="3"/>
      <c r="D190" s="3"/>
      <c r="E190" s="4"/>
      <c r="F190" s="10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2.75">
      <c r="A191" s="4"/>
      <c r="B191" s="4"/>
      <c r="C191" s="3"/>
      <c r="D191" s="3"/>
      <c r="E191" s="4"/>
      <c r="F191" s="10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2.75">
      <c r="A192" s="4"/>
      <c r="B192" s="4"/>
      <c r="C192" s="3"/>
      <c r="D192" s="3"/>
      <c r="E192" s="4"/>
      <c r="F192" s="1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2.75">
      <c r="A193" s="4"/>
      <c r="B193" s="4"/>
      <c r="C193" s="3"/>
      <c r="D193" s="3"/>
      <c r="E193" s="4"/>
      <c r="F193" s="10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2.75">
      <c r="A194" s="4"/>
      <c r="B194" s="4"/>
      <c r="C194" s="3"/>
      <c r="D194" s="3"/>
      <c r="E194" s="4"/>
      <c r="F194" s="10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2.75">
      <c r="A195" s="4"/>
      <c r="B195" s="4"/>
      <c r="C195" s="3"/>
      <c r="D195" s="3"/>
      <c r="E195" s="4"/>
      <c r="F195" s="10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2.75">
      <c r="A196" s="4"/>
      <c r="B196" s="4"/>
      <c r="C196" s="3"/>
      <c r="D196" s="3"/>
      <c r="E196" s="4"/>
      <c r="F196" s="10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2.75">
      <c r="A197" s="4"/>
      <c r="B197" s="4"/>
      <c r="C197" s="3"/>
      <c r="D197" s="3"/>
      <c r="E197" s="4"/>
      <c r="F197" s="10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2.75">
      <c r="A198" s="4"/>
      <c r="B198" s="4"/>
      <c r="C198" s="3"/>
      <c r="D198" s="3"/>
      <c r="E198" s="4"/>
      <c r="F198" s="10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2.75">
      <c r="A199" s="4"/>
      <c r="B199" s="4"/>
      <c r="C199" s="3"/>
      <c r="D199" s="3"/>
      <c r="E199" s="4"/>
      <c r="F199" s="1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2.75">
      <c r="A200" s="4"/>
      <c r="B200" s="4"/>
      <c r="C200" s="3"/>
      <c r="D200" s="3"/>
      <c r="E200" s="4"/>
      <c r="F200" s="10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2.75">
      <c r="A201" s="4"/>
      <c r="B201" s="4"/>
      <c r="C201" s="3"/>
      <c r="D201" s="3"/>
      <c r="E201" s="4"/>
      <c r="F201" s="10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2.75">
      <c r="A202" s="4"/>
      <c r="B202" s="4"/>
      <c r="C202" s="3"/>
      <c r="D202" s="3"/>
      <c r="E202" s="4"/>
      <c r="F202" s="10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2.75">
      <c r="A203" s="4"/>
      <c r="B203" s="4"/>
      <c r="C203" s="3"/>
      <c r="D203" s="3"/>
      <c r="E203" s="4"/>
      <c r="F203" s="10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2.75">
      <c r="A204" s="4"/>
      <c r="B204" s="4"/>
      <c r="C204" s="3"/>
      <c r="D204" s="3"/>
      <c r="E204" s="4"/>
      <c r="F204" s="10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2.75">
      <c r="A205" s="4"/>
      <c r="B205" s="4"/>
      <c r="C205" s="3"/>
      <c r="D205" s="3"/>
      <c r="E205" s="4"/>
      <c r="F205" s="10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2.75">
      <c r="A206" s="4"/>
      <c r="B206" s="4"/>
      <c r="C206" s="3"/>
      <c r="D206" s="3"/>
      <c r="E206" s="4"/>
      <c r="F206" s="10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2.75">
      <c r="A207" s="4"/>
      <c r="B207" s="4"/>
      <c r="C207" s="3"/>
      <c r="D207" s="3"/>
      <c r="E207" s="4"/>
      <c r="F207" s="10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2.75">
      <c r="A208" s="4"/>
      <c r="B208" s="4"/>
      <c r="C208" s="3"/>
      <c r="D208" s="3"/>
      <c r="E208" s="4"/>
      <c r="F208" s="10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2.75">
      <c r="A209" s="4"/>
      <c r="B209" s="4"/>
      <c r="C209" s="3"/>
      <c r="D209" s="3"/>
      <c r="E209" s="4"/>
      <c r="F209" s="10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2.75">
      <c r="A210" s="4"/>
      <c r="B210" s="4"/>
      <c r="C210" s="3"/>
      <c r="D210" s="3"/>
      <c r="E210" s="4"/>
      <c r="F210" s="10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2.75">
      <c r="A211" s="4"/>
      <c r="B211" s="4"/>
      <c r="C211" s="3"/>
      <c r="D211" s="3"/>
      <c r="E211" s="4"/>
      <c r="F211" s="10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2.75">
      <c r="A212" s="4"/>
      <c r="B212" s="4"/>
      <c r="C212" s="3"/>
      <c r="D212" s="3"/>
      <c r="E212" s="4"/>
      <c r="F212" s="10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2.75">
      <c r="A213" s="4"/>
      <c r="B213" s="4"/>
      <c r="C213" s="3"/>
      <c r="D213" s="3"/>
      <c r="E213" s="4"/>
      <c r="F213" s="10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2.75">
      <c r="A214" s="4"/>
      <c r="B214" s="4"/>
      <c r="C214" s="3"/>
      <c r="D214" s="3"/>
      <c r="E214" s="4"/>
      <c r="F214" s="10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2.75">
      <c r="A215" s="4"/>
      <c r="B215" s="4"/>
      <c r="C215" s="3"/>
      <c r="D215" s="3"/>
      <c r="E215" s="4"/>
      <c r="F215" s="10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2.75">
      <c r="A216" s="4"/>
      <c r="B216" s="4"/>
      <c r="C216" s="3"/>
      <c r="D216" s="3"/>
      <c r="E216" s="4"/>
      <c r="F216" s="10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2.75">
      <c r="A217" s="4"/>
      <c r="B217" s="4"/>
      <c r="C217" s="3"/>
      <c r="D217" s="3"/>
      <c r="E217" s="4"/>
      <c r="F217" s="10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2.75">
      <c r="A218" s="4"/>
      <c r="B218" s="4"/>
      <c r="C218" s="3"/>
      <c r="D218" s="3"/>
      <c r="E218" s="4"/>
      <c r="F218" s="10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2.75">
      <c r="A219" s="4"/>
      <c r="B219" s="4"/>
      <c r="C219" s="3"/>
      <c r="D219" s="3"/>
      <c r="E219" s="4"/>
      <c r="F219" s="10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2.75">
      <c r="A220" s="4"/>
      <c r="B220" s="4"/>
      <c r="C220" s="3"/>
      <c r="D220" s="3"/>
      <c r="E220" s="4"/>
      <c r="F220" s="1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2.75">
      <c r="A221" s="4"/>
      <c r="B221" s="4"/>
      <c r="C221" s="3"/>
      <c r="D221" s="3"/>
      <c r="E221" s="4"/>
      <c r="F221" s="10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2.75">
      <c r="A222" s="4"/>
      <c r="B222" s="4"/>
      <c r="C222" s="3"/>
      <c r="D222" s="3"/>
      <c r="E222" s="4"/>
      <c r="F222" s="10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2.75">
      <c r="A223" s="4"/>
      <c r="B223" s="4"/>
      <c r="C223" s="3"/>
      <c r="D223" s="3"/>
      <c r="E223" s="4"/>
      <c r="F223" s="10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2.75">
      <c r="A224" s="4"/>
      <c r="B224" s="4"/>
      <c r="C224" s="3"/>
      <c r="D224" s="3"/>
      <c r="E224" s="4"/>
      <c r="F224" s="10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2.75">
      <c r="A225" s="4"/>
      <c r="B225" s="4"/>
      <c r="C225" s="3"/>
      <c r="D225" s="3"/>
      <c r="E225" s="4"/>
      <c r="F225" s="10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</sheetData>
  <sheetProtection/>
  <mergeCells count="14">
    <mergeCell ref="AB2:AD2"/>
    <mergeCell ref="AB3:AD3"/>
    <mergeCell ref="S2:U2"/>
    <mergeCell ref="S3:U3"/>
    <mergeCell ref="V2:X2"/>
    <mergeCell ref="V3:X3"/>
    <mergeCell ref="Y2:AA2"/>
    <mergeCell ref="Y3:AA3"/>
    <mergeCell ref="G3:I3"/>
    <mergeCell ref="M2:O2"/>
    <mergeCell ref="J3:L3"/>
    <mergeCell ref="P2:R2"/>
    <mergeCell ref="P3:R3"/>
    <mergeCell ref="G2:I2"/>
  </mergeCells>
  <printOptions horizontalCentered="1" verticalCentered="1"/>
  <pageMargins left="0.75" right="0.75" top="1" bottom="1" header="0.5" footer="0.5"/>
  <pageSetup horizontalDpi="300" verticalDpi="300" orientation="landscape" scale="52" r:id="rId1"/>
  <headerFooter alignWithMargins="0">
    <oddHeader xml:space="preserve">&amp;C&amp;"Arial,Bold"CUMBERLAND VALLEY ELECTRIC, INC.
CASE NO. 2005-00187
 Allocation of Revenue Requirements to Rate Classes&amp;RExhibit IS
Schedule 4
&amp;P of &amp;N
&amp;"Arial,Bold"&amp;11 </oddHeader>
  </headerFooter>
  <rowBreaks count="1" manualBreakCount="1">
    <brk id="58" max="29" man="1"/>
  </rowBreaks>
  <colBreaks count="1" manualBreakCount="1">
    <brk id="18" max="12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4">
      <selection activeCell="M23" sqref="M23"/>
    </sheetView>
  </sheetViews>
  <sheetFormatPr defaultColWidth="9.140625" defaultRowHeight="12.75"/>
  <cols>
    <col min="1" max="1" width="3.00390625" style="71" customWidth="1"/>
    <col min="2" max="4" width="9.140625" style="61" customWidth="1"/>
    <col min="5" max="5" width="14.140625" style="61" customWidth="1"/>
    <col min="6" max="6" width="11.28125" style="61" bestFit="1" customWidth="1"/>
    <col min="7" max="7" width="9.140625" style="61" customWidth="1"/>
    <col min="8" max="8" width="20.140625" style="61" customWidth="1"/>
    <col min="9" max="9" width="8.28125" style="61" customWidth="1"/>
    <col min="10" max="16384" width="9.140625" style="61" customWidth="1"/>
  </cols>
  <sheetData>
    <row r="3" spans="1:8" ht="15">
      <c r="A3" s="71">
        <v>1</v>
      </c>
      <c r="B3" s="61" t="s">
        <v>453</v>
      </c>
      <c r="H3" s="61" t="s">
        <v>461</v>
      </c>
    </row>
    <row r="5" spans="2:5" ht="15">
      <c r="B5" s="61" t="s">
        <v>454</v>
      </c>
      <c r="E5" s="140">
        <f>('[2]power cost'!$H$67)</f>
        <v>30096</v>
      </c>
    </row>
    <row r="6" spans="2:5" ht="12" customHeight="1">
      <c r="B6" s="61" t="s">
        <v>455</v>
      </c>
      <c r="E6" s="141">
        <f>('[2]power cost'!$H$70)</f>
        <v>29376</v>
      </c>
    </row>
    <row r="7" spans="2:6" ht="12" customHeight="1">
      <c r="B7" s="61" t="s">
        <v>458</v>
      </c>
      <c r="E7" s="140"/>
      <c r="F7" s="140">
        <f>(E5-E6)</f>
        <v>720</v>
      </c>
    </row>
    <row r="9" spans="2:5" ht="15">
      <c r="B9" s="61" t="s">
        <v>456</v>
      </c>
      <c r="E9" s="140">
        <f>('[2]power cost'!$M$67)</f>
        <v>692264</v>
      </c>
    </row>
    <row r="10" spans="2:5" ht="15">
      <c r="B10" s="61" t="s">
        <v>457</v>
      </c>
      <c r="E10" s="141">
        <f>('[2]power cost'!$M$70)</f>
        <v>675804</v>
      </c>
    </row>
    <row r="11" spans="2:6" ht="15">
      <c r="B11" s="61" t="s">
        <v>459</v>
      </c>
      <c r="F11" s="141">
        <f>(E9-E10)</f>
        <v>16460</v>
      </c>
    </row>
    <row r="13" spans="2:6" ht="15.75" thickBot="1">
      <c r="B13" s="61" t="s">
        <v>460</v>
      </c>
      <c r="F13" s="142">
        <f>SUM(F7,F11)</f>
        <v>17180</v>
      </c>
    </row>
    <row r="14" ht="15.75" thickTop="1"/>
    <row r="16" spans="1:6" ht="15">
      <c r="A16" s="71">
        <v>2</v>
      </c>
      <c r="B16" s="61" t="s">
        <v>462</v>
      </c>
      <c r="F16" s="51">
        <v>12632</v>
      </c>
    </row>
    <row r="18" spans="1:8" ht="15">
      <c r="A18" s="71">
        <v>3</v>
      </c>
      <c r="B18" s="61" t="s">
        <v>463</v>
      </c>
      <c r="F18" s="143">
        <f>('[4]923.00'!$F$59)</f>
        <v>17211.690000000002</v>
      </c>
      <c r="H18" s="61" t="s">
        <v>464</v>
      </c>
    </row>
    <row r="20" spans="1:8" ht="15">
      <c r="A20" s="71">
        <v>4</v>
      </c>
      <c r="B20" s="61" t="s">
        <v>465</v>
      </c>
      <c r="F20" s="51">
        <v>-68173</v>
      </c>
      <c r="H20" s="61" t="s">
        <v>464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A62">
      <selection activeCell="F81" sqref="F81"/>
    </sheetView>
  </sheetViews>
  <sheetFormatPr defaultColWidth="9.140625" defaultRowHeight="12.75"/>
  <cols>
    <col min="1" max="1" width="6.7109375" style="243" customWidth="1"/>
    <col min="2" max="2" width="26.57421875" style="102" customWidth="1"/>
    <col min="3" max="3" width="13.57421875" style="101" customWidth="1"/>
    <col min="4" max="5" width="12.140625" style="101" customWidth="1"/>
    <col min="6" max="6" width="12.28125" style="101" customWidth="1"/>
    <col min="7" max="7" width="12.140625" style="101" customWidth="1"/>
    <col min="8" max="8" width="12.57421875" style="101" customWidth="1"/>
    <col min="9" max="9" width="12.7109375" style="101" customWidth="1"/>
    <col min="10" max="10" width="14.28125" style="101" bestFit="1" customWidth="1"/>
    <col min="11" max="11" width="9.140625" style="246" customWidth="1"/>
    <col min="12" max="12" width="11.28125" style="246" bestFit="1" customWidth="1"/>
    <col min="13" max="16384" width="9.140625" style="246" customWidth="1"/>
  </cols>
  <sheetData>
    <row r="1" spans="1:10" ht="15.75">
      <c r="A1" s="112"/>
      <c r="B1" s="290"/>
      <c r="C1" s="291"/>
      <c r="D1" s="423" t="s">
        <v>466</v>
      </c>
      <c r="E1" s="423"/>
      <c r="F1" s="423"/>
      <c r="G1" s="423"/>
      <c r="H1" s="423"/>
      <c r="I1" s="423"/>
      <c r="J1" s="291"/>
    </row>
    <row r="2" spans="1:10" ht="15.75">
      <c r="A2" s="112"/>
      <c r="B2" s="290"/>
      <c r="C2" s="113" t="s">
        <v>186</v>
      </c>
      <c r="D2" s="292" t="s">
        <v>468</v>
      </c>
      <c r="E2" s="292" t="s">
        <v>468</v>
      </c>
      <c r="F2" s="292" t="s">
        <v>468</v>
      </c>
      <c r="G2" s="292" t="s">
        <v>468</v>
      </c>
      <c r="H2" s="292" t="s">
        <v>468</v>
      </c>
      <c r="I2" s="292" t="s">
        <v>468</v>
      </c>
      <c r="J2" s="113" t="s">
        <v>240</v>
      </c>
    </row>
    <row r="3" spans="1:10" ht="15.75">
      <c r="A3" s="112" t="s">
        <v>238</v>
      </c>
      <c r="B3" s="290" t="s">
        <v>0</v>
      </c>
      <c r="C3" s="292" t="s">
        <v>9</v>
      </c>
      <c r="D3" s="113" t="s">
        <v>467</v>
      </c>
      <c r="E3" s="293" t="s">
        <v>470</v>
      </c>
      <c r="F3" s="113" t="s">
        <v>472</v>
      </c>
      <c r="G3" s="113" t="s">
        <v>469</v>
      </c>
      <c r="H3" s="293" t="s">
        <v>471</v>
      </c>
      <c r="I3" s="113" t="s">
        <v>473</v>
      </c>
      <c r="J3" s="292" t="s">
        <v>9</v>
      </c>
    </row>
    <row r="4" spans="1:10" ht="15.75">
      <c r="A4" s="112" t="s">
        <v>239</v>
      </c>
      <c r="B4" s="290"/>
      <c r="C4" s="294"/>
      <c r="D4" s="291"/>
      <c r="E4" s="291"/>
      <c r="F4" s="291"/>
      <c r="G4" s="291"/>
      <c r="H4" s="291"/>
      <c r="I4" s="291"/>
      <c r="J4" s="294"/>
    </row>
    <row r="5" spans="1:10" ht="15.75">
      <c r="A5" s="112">
        <v>555</v>
      </c>
      <c r="B5" s="290" t="s">
        <v>49</v>
      </c>
      <c r="C5" s="295">
        <f>('[2]power cost'!$B$67)</f>
        <v>6986348.459999998</v>
      </c>
      <c r="D5" s="295"/>
      <c r="E5" s="295"/>
      <c r="F5" s="295"/>
      <c r="G5" s="295"/>
      <c r="H5" s="295"/>
      <c r="I5" s="295"/>
      <c r="J5" s="291">
        <f>SUM(C5:I5)</f>
        <v>6986348.459999998</v>
      </c>
    </row>
    <row r="6" spans="1:10" ht="15.75">
      <c r="A6" s="112"/>
      <c r="B6" s="290" t="s">
        <v>50</v>
      </c>
      <c r="C6" s="291">
        <f>('[2]power cost'!$F$67+'[2]power cost'!$G$67)+('[3]adjusted is'!$C$18)</f>
        <v>26406017.669281997</v>
      </c>
      <c r="D6" s="291"/>
      <c r="E6" s="291"/>
      <c r="F6" s="291"/>
      <c r="G6" s="291"/>
      <c r="H6" s="291"/>
      <c r="I6" s="291">
        <f>('[3]adjustments'!$P$20)</f>
        <v>-2818449</v>
      </c>
      <c r="J6" s="291">
        <f>SUM(C6:I6)</f>
        <v>23587568.669281997</v>
      </c>
    </row>
    <row r="7" spans="1:10" ht="15.75">
      <c r="A7" s="112"/>
      <c r="B7" s="290" t="s">
        <v>427</v>
      </c>
      <c r="C7" s="291">
        <f>('[2]power cost'!$H$67+'[2]power cost'!$J$67+'[2]power cost'!$K$67+'[2]power cost'!$L$67)</f>
        <v>722360</v>
      </c>
      <c r="D7" s="291"/>
      <c r="E7" s="291"/>
      <c r="F7" s="291"/>
      <c r="G7" s="291"/>
      <c r="H7" s="291"/>
      <c r="I7" s="291">
        <f>('[3]adjustments'!$P$19)</f>
        <v>-17184</v>
      </c>
      <c r="J7" s="291">
        <f>SUM(C7:I7)</f>
        <v>705176</v>
      </c>
    </row>
    <row r="8" spans="1:10" ht="15.75">
      <c r="A8" s="112"/>
      <c r="B8" s="290" t="s">
        <v>24</v>
      </c>
      <c r="C8" s="291" t="s">
        <v>24</v>
      </c>
      <c r="D8" s="291"/>
      <c r="E8" s="291"/>
      <c r="F8" s="291"/>
      <c r="G8" s="291"/>
      <c r="H8" s="291"/>
      <c r="I8" s="291"/>
      <c r="J8" s="291" t="s">
        <v>24</v>
      </c>
    </row>
    <row r="9" spans="1:10" ht="15.75">
      <c r="A9" s="112"/>
      <c r="B9" s="296" t="s">
        <v>51</v>
      </c>
      <c r="C9" s="297">
        <f>SUM(C5:C7)</f>
        <v>34114726.129282</v>
      </c>
      <c r="D9" s="297">
        <f aca="true" t="shared" si="0" ref="D9:I9">SUM(D5:D7)</f>
        <v>0</v>
      </c>
      <c r="E9" s="297">
        <f t="shared" si="0"/>
        <v>0</v>
      </c>
      <c r="F9" s="297">
        <f t="shared" si="0"/>
        <v>0</v>
      </c>
      <c r="G9" s="297">
        <f t="shared" si="0"/>
        <v>0</v>
      </c>
      <c r="H9" s="297">
        <f t="shared" si="0"/>
        <v>0</v>
      </c>
      <c r="I9" s="297">
        <f t="shared" si="0"/>
        <v>-2835633</v>
      </c>
      <c r="J9" s="297">
        <f>SUM(J5:J7)</f>
        <v>31279093.129281994</v>
      </c>
    </row>
    <row r="10" spans="1:10" ht="15.75">
      <c r="A10" s="112"/>
      <c r="B10" s="290"/>
      <c r="C10" s="291"/>
      <c r="D10" s="291"/>
      <c r="E10" s="291"/>
      <c r="F10" s="291"/>
      <c r="G10" s="291"/>
      <c r="H10" s="291"/>
      <c r="I10" s="291"/>
      <c r="J10" s="297" t="s">
        <v>24</v>
      </c>
    </row>
    <row r="11" spans="1:10" ht="15.75">
      <c r="A11" s="112">
        <v>580</v>
      </c>
      <c r="B11" s="290" t="s">
        <v>27</v>
      </c>
      <c r="C11" s="291">
        <v>0</v>
      </c>
      <c r="D11" s="291" t="s">
        <v>24</v>
      </c>
      <c r="E11" s="291"/>
      <c r="F11" s="291"/>
      <c r="G11" s="291" t="s">
        <v>24</v>
      </c>
      <c r="H11" s="291"/>
      <c r="I11" s="291"/>
      <c r="J11" s="291">
        <f aca="true" t="shared" si="1" ref="J11:J19">SUM(C11:I11)</f>
        <v>0</v>
      </c>
    </row>
    <row r="12" spans="1:10" ht="15.75">
      <c r="A12" s="112"/>
      <c r="B12" s="290"/>
      <c r="C12" s="291"/>
      <c r="D12" s="291"/>
      <c r="E12" s="291"/>
      <c r="F12" s="291"/>
      <c r="G12" s="291"/>
      <c r="H12" s="291"/>
      <c r="I12" s="291"/>
      <c r="J12" s="291">
        <f t="shared" si="1"/>
        <v>0</v>
      </c>
    </row>
    <row r="13" spans="1:10" ht="15.75">
      <c r="A13" s="112">
        <v>582</v>
      </c>
      <c r="B13" s="290" t="s">
        <v>143</v>
      </c>
      <c r="C13" s="291">
        <v>5628.93</v>
      </c>
      <c r="D13" s="291">
        <f>(+'[3]adjustments'!$E$21+'[3]adjustments'!$H$21+'[3]adjustments'!$D$21)*(C13/C$21)</f>
        <v>26.759935612878316</v>
      </c>
      <c r="E13" s="291"/>
      <c r="F13" s="291"/>
      <c r="G13" s="291"/>
      <c r="H13" s="291"/>
      <c r="I13" s="291"/>
      <c r="J13" s="291">
        <f t="shared" si="1"/>
        <v>5655.689935612879</v>
      </c>
    </row>
    <row r="14" spans="1:10" ht="15.75">
      <c r="A14" s="112">
        <v>583</v>
      </c>
      <c r="B14" s="290" t="s">
        <v>28</v>
      </c>
      <c r="C14" s="298">
        <v>622601.98</v>
      </c>
      <c r="D14" s="291">
        <f>(+'[3]adjustments'!$E$21+'[3]adjustments'!$H$21+'[3]adjustments'!$D$21)*(C14/C$21)</f>
        <v>2959.850077590332</v>
      </c>
      <c r="E14" s="298"/>
      <c r="F14" s="298"/>
      <c r="G14" s="298"/>
      <c r="H14" s="298"/>
      <c r="I14" s="298"/>
      <c r="J14" s="291">
        <f t="shared" si="1"/>
        <v>625561.8300775903</v>
      </c>
    </row>
    <row r="15" spans="1:10" ht="15.75">
      <c r="A15" s="112">
        <v>584</v>
      </c>
      <c r="B15" s="290" t="s">
        <v>144</v>
      </c>
      <c r="C15" s="291">
        <v>46745.52</v>
      </c>
      <c r="D15" s="291">
        <f>(+'[3]adjustments'!$E$21+'[3]adjustments'!$H$21+'[3]adjustments'!$D$21)*(C15/C$21)</f>
        <v>222.22822195168806</v>
      </c>
      <c r="E15" s="291"/>
      <c r="F15" s="291"/>
      <c r="G15" s="291"/>
      <c r="H15" s="291"/>
      <c r="I15" s="291"/>
      <c r="J15" s="291">
        <f t="shared" si="1"/>
        <v>46967.74822195168</v>
      </c>
    </row>
    <row r="16" spans="1:10" ht="15.75">
      <c r="A16" s="112">
        <v>586</v>
      </c>
      <c r="B16" s="290" t="s">
        <v>286</v>
      </c>
      <c r="C16" s="291">
        <v>448222.78</v>
      </c>
      <c r="D16" s="291">
        <f>(+'[3]adjustments'!$E$21+'[3]adjustments'!$H$21+'[3]adjustments'!$D$21)*(C16/C$21)</f>
        <v>2130.85128666111</v>
      </c>
      <c r="E16" s="291"/>
      <c r="F16" s="291"/>
      <c r="G16" s="291"/>
      <c r="H16" s="291"/>
      <c r="I16" s="291"/>
      <c r="J16" s="291">
        <f t="shared" si="1"/>
        <v>450353.63128666114</v>
      </c>
    </row>
    <row r="17" spans="1:10" ht="15.75">
      <c r="A17" s="112">
        <v>587</v>
      </c>
      <c r="B17" s="290" t="s">
        <v>29</v>
      </c>
      <c r="C17" s="291">
        <v>118166.39</v>
      </c>
      <c r="D17" s="291">
        <f>(+'[3]adjustments'!$E$21+'[3]adjustments'!$H$21+'[3]adjustments'!$D$21)*(C17/C$21)</f>
        <v>561.7630682929558</v>
      </c>
      <c r="E17" s="291"/>
      <c r="F17" s="291"/>
      <c r="G17" s="291"/>
      <c r="H17" s="291"/>
      <c r="I17" s="291"/>
      <c r="J17" s="291">
        <f t="shared" si="1"/>
        <v>118728.15306829296</v>
      </c>
    </row>
    <row r="18" spans="1:10" ht="15.75">
      <c r="A18" s="112">
        <v>588</v>
      </c>
      <c r="B18" s="290" t="s">
        <v>30</v>
      </c>
      <c r="C18" s="291">
        <v>162366.92</v>
      </c>
      <c r="D18" s="291">
        <f>(+'[3]adjustments'!$E$21+'[3]adjustments'!$H$21+'[3]adjustments'!$D$21)*(C18/C$21)</f>
        <v>771.8924067027596</v>
      </c>
      <c r="E18" s="291"/>
      <c r="F18" s="291"/>
      <c r="G18" s="291"/>
      <c r="H18" s="291"/>
      <c r="I18" s="291"/>
      <c r="J18" s="291">
        <f t="shared" si="1"/>
        <v>163138.81240670278</v>
      </c>
    </row>
    <row r="19" spans="1:10" ht="15.75">
      <c r="A19" s="112">
        <v>589</v>
      </c>
      <c r="B19" s="290" t="s">
        <v>31</v>
      </c>
      <c r="C19" s="291">
        <v>7500</v>
      </c>
      <c r="D19" s="291">
        <f>(+'[3]adjustments'!$E$21+'[3]adjustments'!$H$21+'[3]adjustments'!$D$21)*(C19/C$21)</f>
        <v>35.65500318827687</v>
      </c>
      <c r="E19" s="291">
        <f>('[3]adjustments'!$F$21)</f>
        <v>-1138</v>
      </c>
      <c r="F19" s="291"/>
      <c r="G19" s="291"/>
      <c r="H19" s="291"/>
      <c r="I19" s="291"/>
      <c r="J19" s="291">
        <f t="shared" si="1"/>
        <v>6397.655003188277</v>
      </c>
    </row>
    <row r="20" spans="1:10" ht="15.75">
      <c r="A20" s="112"/>
      <c r="B20" s="290"/>
      <c r="C20" s="291"/>
      <c r="D20" s="291"/>
      <c r="E20" s="291"/>
      <c r="F20" s="291"/>
      <c r="G20" s="291"/>
      <c r="H20" s="291"/>
      <c r="I20" s="291"/>
      <c r="J20" s="291" t="s">
        <v>24</v>
      </c>
    </row>
    <row r="21" spans="1:10" ht="15.75">
      <c r="A21" s="112"/>
      <c r="B21" s="296" t="s">
        <v>208</v>
      </c>
      <c r="C21" s="291">
        <f aca="true" t="shared" si="2" ref="C21:I21">SUM(C11:C19)</f>
        <v>1411232.5199999998</v>
      </c>
      <c r="D21" s="291">
        <f t="shared" si="2"/>
        <v>6709.000000000001</v>
      </c>
      <c r="E21" s="291">
        <f t="shared" si="2"/>
        <v>-1138</v>
      </c>
      <c r="F21" s="291">
        <f t="shared" si="2"/>
        <v>0</v>
      </c>
      <c r="G21" s="291">
        <f t="shared" si="2"/>
        <v>0</v>
      </c>
      <c r="H21" s="291">
        <f t="shared" si="2"/>
        <v>0</v>
      </c>
      <c r="I21" s="291">
        <f t="shared" si="2"/>
        <v>0</v>
      </c>
      <c r="J21" s="291">
        <f aca="true" t="shared" si="3" ref="J21:J39">SUM(C21:I21)</f>
        <v>1416803.5199999998</v>
      </c>
    </row>
    <row r="22" spans="1:10" ht="15.75">
      <c r="A22" s="290"/>
      <c r="B22" s="290"/>
      <c r="C22" s="290"/>
      <c r="D22" s="290"/>
      <c r="E22" s="290"/>
      <c r="F22" s="290"/>
      <c r="G22" s="290"/>
      <c r="H22" s="290"/>
      <c r="I22" s="290"/>
      <c r="J22" s="291">
        <f t="shared" si="3"/>
        <v>0</v>
      </c>
    </row>
    <row r="23" spans="1:10" ht="15.75">
      <c r="A23" s="112">
        <v>590</v>
      </c>
      <c r="B23" s="290" t="s">
        <v>33</v>
      </c>
      <c r="C23" s="291">
        <v>0</v>
      </c>
      <c r="D23" s="291"/>
      <c r="E23" s="291"/>
      <c r="F23" s="291"/>
      <c r="G23" s="291"/>
      <c r="H23" s="291"/>
      <c r="I23" s="291"/>
      <c r="J23" s="291">
        <f t="shared" si="3"/>
        <v>0</v>
      </c>
    </row>
    <row r="24" spans="1:10" ht="15.75">
      <c r="A24" s="112"/>
      <c r="B24" s="290"/>
      <c r="C24" s="291"/>
      <c r="D24" s="291"/>
      <c r="E24" s="291"/>
      <c r="F24" s="291"/>
      <c r="G24" s="291"/>
      <c r="H24" s="291"/>
      <c r="I24" s="291"/>
      <c r="J24" s="291">
        <f t="shared" si="3"/>
        <v>0</v>
      </c>
    </row>
    <row r="25" spans="1:10" ht="15.75">
      <c r="A25" s="112">
        <v>592</v>
      </c>
      <c r="B25" s="290" t="s">
        <v>145</v>
      </c>
      <c r="C25" s="291">
        <v>0</v>
      </c>
      <c r="D25" s="291"/>
      <c r="E25" s="291"/>
      <c r="F25" s="291"/>
      <c r="G25" s="291"/>
      <c r="H25" s="291"/>
      <c r="I25" s="291"/>
      <c r="J25" s="291">
        <f t="shared" si="3"/>
        <v>0</v>
      </c>
    </row>
    <row r="26" spans="1:10" ht="15.75">
      <c r="A26" s="112">
        <v>593</v>
      </c>
      <c r="B26" s="290" t="s">
        <v>34</v>
      </c>
      <c r="C26" s="291">
        <f>(1427932.55+996404.84+11051.96+110626.19+1417.89)</f>
        <v>2547433.43</v>
      </c>
      <c r="D26" s="291">
        <f>('[3]adjustments'!$D$22+'[3]adjustments'!$E$22+'[3]adjustments'!$H$22)*(C26/C$33)</f>
        <v>19029.304175358364</v>
      </c>
      <c r="E26" s="291"/>
      <c r="F26" s="291"/>
      <c r="G26" s="291"/>
      <c r="H26" s="291"/>
      <c r="I26" s="291"/>
      <c r="J26" s="291">
        <f t="shared" si="3"/>
        <v>2566462.7341753584</v>
      </c>
    </row>
    <row r="27" spans="1:10" ht="15.75">
      <c r="A27" s="112">
        <v>594</v>
      </c>
      <c r="B27" s="290" t="s">
        <v>146</v>
      </c>
      <c r="C27" s="291">
        <v>0</v>
      </c>
      <c r="D27" s="291">
        <f>('[3]adjustments'!$D$22+'[3]adjustments'!$E$22+'[3]adjustments'!$H$22)*(C27/C$33)</f>
        <v>0</v>
      </c>
      <c r="E27" s="291"/>
      <c r="F27" s="291"/>
      <c r="G27" s="291"/>
      <c r="H27" s="291"/>
      <c r="I27" s="291"/>
      <c r="J27" s="291">
        <f t="shared" si="3"/>
        <v>0</v>
      </c>
    </row>
    <row r="28" spans="1:10" ht="15.75">
      <c r="A28" s="112">
        <v>595</v>
      </c>
      <c r="B28" s="290" t="s">
        <v>35</v>
      </c>
      <c r="C28" s="291">
        <v>13071.98</v>
      </c>
      <c r="D28" s="291">
        <f>('[3]adjustments'!$D$22+'[3]adjustments'!$E$22+'[3]adjustments'!$H$22)*(C28/C$33)</f>
        <v>97.64756977150958</v>
      </c>
      <c r="E28" s="291"/>
      <c r="F28" s="291"/>
      <c r="G28" s="291"/>
      <c r="H28" s="291"/>
      <c r="I28" s="291"/>
      <c r="J28" s="291">
        <f t="shared" si="3"/>
        <v>13169.62756977151</v>
      </c>
    </row>
    <row r="29" spans="1:10" ht="15.75">
      <c r="A29" s="112">
        <v>596</v>
      </c>
      <c r="B29" s="290" t="s">
        <v>147</v>
      </c>
      <c r="C29" s="291">
        <v>0</v>
      </c>
      <c r="D29" s="291">
        <f>('[3]adjustments'!$D$22+'[3]adjustments'!$E$22+'[3]adjustments'!$H$22)*(C29/C$33)</f>
        <v>0</v>
      </c>
      <c r="E29" s="291"/>
      <c r="F29" s="291"/>
      <c r="G29" s="291"/>
      <c r="H29" s="291"/>
      <c r="I29" s="291"/>
      <c r="J29" s="291">
        <f t="shared" si="3"/>
        <v>0</v>
      </c>
    </row>
    <row r="30" spans="1:10" ht="15.75">
      <c r="A30" s="112">
        <v>597</v>
      </c>
      <c r="B30" s="290" t="s">
        <v>287</v>
      </c>
      <c r="C30" s="291">
        <f>137725.02-90</f>
        <v>137635.02</v>
      </c>
      <c r="D30" s="291">
        <f>('[3]adjustments'!$D$22+'[3]adjustments'!$E$22+'[3]adjustments'!$H$22)*(C30/C$33)</f>
        <v>1028.1323271955066</v>
      </c>
      <c r="E30" s="291"/>
      <c r="F30" s="291"/>
      <c r="G30" s="291"/>
      <c r="H30" s="291"/>
      <c r="I30" s="291"/>
      <c r="J30" s="291">
        <f t="shared" si="3"/>
        <v>138663.1523271955</v>
      </c>
    </row>
    <row r="31" spans="1:10" ht="15.75">
      <c r="A31" s="112">
        <v>598</v>
      </c>
      <c r="B31" s="290" t="s">
        <v>36</v>
      </c>
      <c r="C31" s="291">
        <v>183389.24</v>
      </c>
      <c r="D31" s="291">
        <f>('[3]adjustments'!$D$22+'[3]adjustments'!$E$22+'[3]adjustments'!$H$22)*(C31/C$33)</f>
        <v>1369.915927674623</v>
      </c>
      <c r="E31" s="291">
        <f>('[3]adjustments'!$F$22)</f>
        <v>-2034</v>
      </c>
      <c r="F31" s="291"/>
      <c r="G31" s="291"/>
      <c r="H31" s="291"/>
      <c r="I31" s="291"/>
      <c r="J31" s="291">
        <f t="shared" si="3"/>
        <v>182725.1559276746</v>
      </c>
    </row>
    <row r="32" spans="1:10" ht="15.75">
      <c r="A32" s="112" t="s">
        <v>24</v>
      </c>
      <c r="B32" s="290" t="s">
        <v>24</v>
      </c>
      <c r="C32" s="291" t="s">
        <v>24</v>
      </c>
      <c r="D32" s="291"/>
      <c r="E32" s="291"/>
      <c r="F32" s="291"/>
      <c r="G32" s="291"/>
      <c r="H32" s="291"/>
      <c r="I32" s="291"/>
      <c r="J32" s="291">
        <f t="shared" si="3"/>
        <v>0</v>
      </c>
    </row>
    <row r="33" spans="1:10" ht="15.75">
      <c r="A33" s="112" t="s">
        <v>24</v>
      </c>
      <c r="B33" s="296" t="s">
        <v>32</v>
      </c>
      <c r="C33" s="297">
        <f aca="true" t="shared" si="4" ref="C33:I33">SUM(C23,C25,C26,C27,C28,C30,C29,C31)</f>
        <v>2881529.67</v>
      </c>
      <c r="D33" s="297">
        <f t="shared" si="4"/>
        <v>21525.000000000004</v>
      </c>
      <c r="E33" s="297">
        <f t="shared" si="4"/>
        <v>-2034</v>
      </c>
      <c r="F33" s="297">
        <f t="shared" si="4"/>
        <v>0</v>
      </c>
      <c r="G33" s="297">
        <f t="shared" si="4"/>
        <v>0</v>
      </c>
      <c r="H33" s="297">
        <f t="shared" si="4"/>
        <v>0</v>
      </c>
      <c r="I33" s="297">
        <f t="shared" si="4"/>
        <v>0</v>
      </c>
      <c r="J33" s="291">
        <f t="shared" si="3"/>
        <v>2901020.67</v>
      </c>
    </row>
    <row r="34" spans="1:10" ht="15.75">
      <c r="A34" s="112"/>
      <c r="B34" s="290"/>
      <c r="C34" s="291"/>
      <c r="D34" s="291"/>
      <c r="E34" s="291"/>
      <c r="F34" s="291"/>
      <c r="G34" s="291"/>
      <c r="H34" s="291"/>
      <c r="I34" s="291"/>
      <c r="J34" s="291">
        <f t="shared" si="3"/>
        <v>0</v>
      </c>
    </row>
    <row r="35" spans="1:10" ht="15.75">
      <c r="A35" s="112">
        <v>902</v>
      </c>
      <c r="B35" s="290" t="s">
        <v>38</v>
      </c>
      <c r="C35" s="291">
        <v>173508.49</v>
      </c>
      <c r="D35" s="291">
        <f>('[3]adjustments'!$D$23+'[3]adjustments'!$E$23+'[3]adjustments'!$H$23)*(C35/C$39)</f>
        <v>1624.5501781240957</v>
      </c>
      <c r="E35" s="291">
        <f>('[3]adjustments'!$F$23)</f>
        <v>-523</v>
      </c>
      <c r="F35" s="291"/>
      <c r="G35" s="291"/>
      <c r="H35" s="291"/>
      <c r="I35" s="291"/>
      <c r="J35" s="291">
        <f t="shared" si="3"/>
        <v>174610.0401781241</v>
      </c>
    </row>
    <row r="36" spans="1:10" ht="15.75">
      <c r="A36" s="112">
        <v>903</v>
      </c>
      <c r="B36" s="290" t="s">
        <v>39</v>
      </c>
      <c r="C36" s="291">
        <f>1661136.73+47.82</f>
        <v>1661184.55</v>
      </c>
      <c r="D36" s="291">
        <f>('[3]adjustments'!$D$23+'[3]adjustments'!$E$23+'[3]adjustments'!$H$23)*(C36/C$39)</f>
        <v>15553.576984039779</v>
      </c>
      <c r="E36" s="291"/>
      <c r="F36" s="291"/>
      <c r="G36" s="291"/>
      <c r="H36" s="291"/>
      <c r="I36" s="291"/>
      <c r="J36" s="291">
        <f t="shared" si="3"/>
        <v>1676738.1269840398</v>
      </c>
    </row>
    <row r="37" spans="1:10" ht="15.75">
      <c r="A37" s="112">
        <v>904</v>
      </c>
      <c r="B37" s="290" t="s">
        <v>40</v>
      </c>
      <c r="C37" s="291">
        <v>176960.68</v>
      </c>
      <c r="D37" s="291">
        <f>('[3]adjustments'!$D$23+'[3]adjustments'!$E$23+'[3]adjustments'!$H$23)*(C37/C$39)</f>
        <v>1656.872837836126</v>
      </c>
      <c r="E37" s="291"/>
      <c r="F37" s="291"/>
      <c r="G37" s="291"/>
      <c r="H37" s="291"/>
      <c r="I37" s="291"/>
      <c r="J37" s="291">
        <f t="shared" si="3"/>
        <v>178617.55283783612</v>
      </c>
    </row>
    <row r="38" spans="1:10" ht="15.75">
      <c r="A38" s="112"/>
      <c r="B38" s="290"/>
      <c r="C38" s="291"/>
      <c r="D38" s="291"/>
      <c r="E38" s="291"/>
      <c r="F38" s="291"/>
      <c r="G38" s="291"/>
      <c r="H38" s="291"/>
      <c r="I38" s="291"/>
      <c r="J38" s="291">
        <f t="shared" si="3"/>
        <v>0</v>
      </c>
    </row>
    <row r="39" spans="1:10" ht="15.75">
      <c r="A39" s="112" t="s">
        <v>24</v>
      </c>
      <c r="B39" s="296" t="s">
        <v>342</v>
      </c>
      <c r="C39" s="291">
        <f>SUM(C34:C37)</f>
        <v>2011653.72</v>
      </c>
      <c r="D39" s="291">
        <f>SUM(D34:D37)</f>
        <v>18835</v>
      </c>
      <c r="E39" s="291">
        <f>SUM(E34:E37)</f>
        <v>-523</v>
      </c>
      <c r="F39" s="291" t="s">
        <v>24</v>
      </c>
      <c r="G39" s="291" t="s">
        <v>24</v>
      </c>
      <c r="H39" s="291" t="s">
        <v>24</v>
      </c>
      <c r="I39" s="291" t="s">
        <v>24</v>
      </c>
      <c r="J39" s="291">
        <f t="shared" si="3"/>
        <v>2029965.72</v>
      </c>
    </row>
    <row r="40" spans="1:10" ht="15.75">
      <c r="A40" s="112"/>
      <c r="B40" s="296"/>
      <c r="C40" s="291"/>
      <c r="D40" s="291"/>
      <c r="E40" s="291"/>
      <c r="F40" s="291"/>
      <c r="G40" s="291"/>
      <c r="H40" s="291"/>
      <c r="I40" s="291"/>
      <c r="J40" s="291">
        <f aca="true" t="shared" si="5" ref="J40:J60">SUM(C40:I40)</f>
        <v>0</v>
      </c>
    </row>
    <row r="41" spans="1:10" ht="15.75">
      <c r="A41" s="112">
        <v>908</v>
      </c>
      <c r="B41" s="290" t="s">
        <v>357</v>
      </c>
      <c r="C41" s="291">
        <v>75190.12</v>
      </c>
      <c r="D41" s="291">
        <f>('[3]adjustments'!$D$24+'[3]adjustments'!$E$24+'[3]adjustments'!$H$24)*(C41/C$44)</f>
        <v>1075.0426965471806</v>
      </c>
      <c r="E41" s="291"/>
      <c r="F41" s="291"/>
      <c r="G41" s="291"/>
      <c r="H41" s="291"/>
      <c r="I41" s="291"/>
      <c r="J41" s="291">
        <f t="shared" si="5"/>
        <v>76265.16269654718</v>
      </c>
    </row>
    <row r="42" spans="1:10" ht="15.75">
      <c r="A42" s="112">
        <v>909</v>
      </c>
      <c r="B42" s="290" t="s">
        <v>358</v>
      </c>
      <c r="C42" s="291">
        <v>39863.68</v>
      </c>
      <c r="D42" s="291">
        <f>('[3]adjustments'!$D$24+'[3]adjustments'!$E$24+'[3]adjustments'!$H$24)*(C42/C$44)</f>
        <v>569.9573034528196</v>
      </c>
      <c r="E42" s="291">
        <f>('[3]adjustments'!$F$24)</f>
        <v>-432</v>
      </c>
      <c r="F42" s="291"/>
      <c r="G42" s="291"/>
      <c r="H42" s="291"/>
      <c r="I42" s="291"/>
      <c r="J42" s="291">
        <f t="shared" si="5"/>
        <v>40001.63730345282</v>
      </c>
    </row>
    <row r="43" spans="1:10" ht="15.75">
      <c r="A43" s="112"/>
      <c r="B43" s="290" t="s">
        <v>24</v>
      </c>
      <c r="C43" s="291"/>
      <c r="D43" s="291"/>
      <c r="E43" s="291"/>
      <c r="F43" s="291"/>
      <c r="G43" s="291"/>
      <c r="H43" s="291"/>
      <c r="I43" s="291"/>
      <c r="J43" s="291">
        <f t="shared" si="5"/>
        <v>0</v>
      </c>
    </row>
    <row r="44" spans="1:10" ht="15.75">
      <c r="A44" s="112"/>
      <c r="B44" s="296" t="s">
        <v>26</v>
      </c>
      <c r="C44" s="291">
        <f>SUM(C41:C42)</f>
        <v>115053.79999999999</v>
      </c>
      <c r="D44" s="291">
        <f>SUM(D41:D42)</f>
        <v>1645.0000000000002</v>
      </c>
      <c r="E44" s="291">
        <f>SUM(E41:E42)</f>
        <v>-432</v>
      </c>
      <c r="F44" s="291"/>
      <c r="G44" s="291"/>
      <c r="H44" s="291"/>
      <c r="I44" s="291"/>
      <c r="J44" s="291">
        <f t="shared" si="5"/>
        <v>116266.79999999999</v>
      </c>
    </row>
    <row r="45" spans="1:10" ht="15.75">
      <c r="A45" s="112" t="s">
        <v>24</v>
      </c>
      <c r="B45" s="290" t="s">
        <v>24</v>
      </c>
      <c r="C45" s="291"/>
      <c r="D45" s="291"/>
      <c r="E45" s="291"/>
      <c r="F45" s="291"/>
      <c r="G45" s="291"/>
      <c r="H45" s="291"/>
      <c r="I45" s="291"/>
      <c r="J45" s="291">
        <f t="shared" si="5"/>
        <v>0</v>
      </c>
    </row>
    <row r="46" spans="1:10" ht="15.75">
      <c r="A46" s="112"/>
      <c r="B46" s="296" t="s">
        <v>153</v>
      </c>
      <c r="C46" s="291">
        <f>SUM(C44,C39,C21,C9,C33)</f>
        <v>40534195.839282</v>
      </c>
      <c r="D46" s="291">
        <f>SUM(D44,D39,D21,D9,D33)</f>
        <v>48714</v>
      </c>
      <c r="E46" s="291">
        <f>SUM(E42,E39,E21,E9,E33)</f>
        <v>-4127</v>
      </c>
      <c r="F46" s="291">
        <f>SUM(F44,F39,F21,F9,F33)</f>
        <v>0</v>
      </c>
      <c r="G46" s="291">
        <f>SUM(G44,G39,G21,G9,G33)</f>
        <v>0</v>
      </c>
      <c r="H46" s="291">
        <f>SUM(H44,H39,H21,H9,H33)</f>
        <v>0</v>
      </c>
      <c r="I46" s="291">
        <f>SUM(I44,I39,I21,I9,I33)</f>
        <v>-2835633</v>
      </c>
      <c r="J46" s="291">
        <f t="shared" si="5"/>
        <v>37743149.839282</v>
      </c>
    </row>
    <row r="47" spans="1:10" ht="15.75">
      <c r="A47" s="112"/>
      <c r="B47" s="290"/>
      <c r="C47" s="291"/>
      <c r="D47" s="291"/>
      <c r="E47" s="291"/>
      <c r="F47" s="291"/>
      <c r="G47" s="291"/>
      <c r="H47" s="291"/>
      <c r="I47" s="291"/>
      <c r="J47" s="291">
        <f t="shared" si="5"/>
        <v>0</v>
      </c>
    </row>
    <row r="48" spans="1:10" ht="15.75">
      <c r="A48" s="112">
        <v>920</v>
      </c>
      <c r="B48" s="290" t="s">
        <v>288</v>
      </c>
      <c r="C48" s="291">
        <v>875441.57</v>
      </c>
      <c r="D48" s="291">
        <f>('[3]adjustments'!$D$26+'[3]adjustments'!$E$26+'[3]adjustments'!$H$26)</f>
        <v>13423</v>
      </c>
      <c r="E48" s="291"/>
      <c r="F48" s="291"/>
      <c r="G48" s="291"/>
      <c r="H48" s="291"/>
      <c r="I48" s="291"/>
      <c r="J48" s="291">
        <f t="shared" si="5"/>
        <v>888864.57</v>
      </c>
    </row>
    <row r="49" spans="1:10" ht="15.75">
      <c r="A49" s="112">
        <v>921</v>
      </c>
      <c r="B49" s="290" t="s">
        <v>43</v>
      </c>
      <c r="C49" s="291">
        <v>111054.72</v>
      </c>
      <c r="D49" s="291"/>
      <c r="E49" s="291"/>
      <c r="F49" s="291"/>
      <c r="G49" s="291"/>
      <c r="H49" s="291"/>
      <c r="I49" s="291"/>
      <c r="J49" s="291">
        <f t="shared" si="5"/>
        <v>111054.72</v>
      </c>
    </row>
    <row r="50" spans="1:10" ht="15.75">
      <c r="A50" s="112">
        <v>923</v>
      </c>
      <c r="B50" s="290" t="s">
        <v>44</v>
      </c>
      <c r="C50" s="291">
        <v>71606.77</v>
      </c>
      <c r="D50" s="291"/>
      <c r="E50" s="291"/>
      <c r="F50" s="291"/>
      <c r="G50" s="291">
        <f>('[3]adjustments'!$K$26)+('[3]adjustments'!$N$26)</f>
        <v>17788</v>
      </c>
      <c r="H50" s="291"/>
      <c r="I50" s="291"/>
      <c r="J50" s="291">
        <f t="shared" si="5"/>
        <v>89394.77</v>
      </c>
    </row>
    <row r="51" spans="1:10" ht="15.75">
      <c r="A51" s="112">
        <v>928</v>
      </c>
      <c r="B51" s="290" t="s">
        <v>359</v>
      </c>
      <c r="C51" s="291">
        <v>10690.6</v>
      </c>
      <c r="D51" s="291"/>
      <c r="E51" s="291"/>
      <c r="F51" s="291"/>
      <c r="G51" s="291"/>
      <c r="H51" s="291"/>
      <c r="I51" s="291"/>
      <c r="J51" s="291">
        <f t="shared" si="5"/>
        <v>10690.6</v>
      </c>
    </row>
    <row r="52" spans="1:10" ht="15.75">
      <c r="A52" s="112">
        <v>925</v>
      </c>
      <c r="B52" s="290" t="s">
        <v>45</v>
      </c>
      <c r="C52" s="291">
        <v>0</v>
      </c>
      <c r="D52" s="291"/>
      <c r="E52" s="291"/>
      <c r="F52" s="291"/>
      <c r="G52" s="291"/>
      <c r="H52" s="291"/>
      <c r="I52" s="291"/>
      <c r="J52" s="291">
        <f t="shared" si="5"/>
        <v>0</v>
      </c>
    </row>
    <row r="53" spans="1:10" ht="15.75">
      <c r="A53" s="112">
        <v>929</v>
      </c>
      <c r="B53" s="290" t="s">
        <v>46</v>
      </c>
      <c r="C53" s="291">
        <v>-42650.21</v>
      </c>
      <c r="D53" s="291"/>
      <c r="E53" s="291"/>
      <c r="F53" s="291"/>
      <c r="G53" s="291"/>
      <c r="H53" s="291"/>
      <c r="I53" s="291"/>
      <c r="J53" s="291">
        <f t="shared" si="5"/>
        <v>-42650.21</v>
      </c>
    </row>
    <row r="54" spans="1:10" ht="15.75">
      <c r="A54" s="112">
        <v>930.1</v>
      </c>
      <c r="B54" s="290" t="s">
        <v>360</v>
      </c>
      <c r="C54" s="291">
        <v>179482.83</v>
      </c>
      <c r="D54" s="291"/>
      <c r="E54" s="291"/>
      <c r="F54" s="291"/>
      <c r="G54" s="291">
        <f>('[3]adjustments'!$L$26)</f>
        <v>-68173</v>
      </c>
      <c r="H54" s="291"/>
      <c r="I54" s="291"/>
      <c r="J54" s="291">
        <f t="shared" si="5"/>
        <v>111309.82999999999</v>
      </c>
    </row>
    <row r="55" spans="1:10" ht="15.75">
      <c r="A55" s="112">
        <v>930.11</v>
      </c>
      <c r="B55" s="290" t="s">
        <v>361</v>
      </c>
      <c r="C55" s="291">
        <v>75545.83</v>
      </c>
      <c r="D55" s="291"/>
      <c r="E55" s="291"/>
      <c r="F55" s="291">
        <f>('[3]adjustments'!$I$26)</f>
        <v>-1144</v>
      </c>
      <c r="G55" s="291"/>
      <c r="H55" s="291"/>
      <c r="I55" s="291"/>
      <c r="J55" s="291">
        <f t="shared" si="5"/>
        <v>74401.83</v>
      </c>
    </row>
    <row r="56" spans="1:10" ht="15.75">
      <c r="A56" s="290">
        <v>930.2</v>
      </c>
      <c r="B56" s="290" t="s">
        <v>364</v>
      </c>
      <c r="C56" s="291">
        <v>87210.36</v>
      </c>
      <c r="D56" s="291"/>
      <c r="E56" s="291"/>
      <c r="F56" s="291"/>
      <c r="G56" s="291">
        <f>('[3]adjustments'!$M$26)</f>
        <v>-2169</v>
      </c>
      <c r="H56" s="291"/>
      <c r="I56" s="291"/>
      <c r="J56" s="291">
        <f t="shared" si="5"/>
        <v>85041.36</v>
      </c>
    </row>
    <row r="57" spans="1:10" ht="15.75">
      <c r="A57" s="112">
        <v>930.3</v>
      </c>
      <c r="B57" s="290" t="s">
        <v>362</v>
      </c>
      <c r="C57" s="291">
        <v>13.29</v>
      </c>
      <c r="D57" s="291"/>
      <c r="E57" s="291"/>
      <c r="F57" s="291"/>
      <c r="G57" s="291"/>
      <c r="H57" s="291"/>
      <c r="I57" s="291"/>
      <c r="J57" s="291">
        <f t="shared" si="5"/>
        <v>13.29</v>
      </c>
    </row>
    <row r="58" spans="1:10" ht="15.75">
      <c r="A58" s="112">
        <v>930.4</v>
      </c>
      <c r="B58" s="290" t="s">
        <v>363</v>
      </c>
      <c r="C58" s="291">
        <v>25839.76</v>
      </c>
      <c r="D58" s="291"/>
      <c r="E58" s="291"/>
      <c r="F58" s="291"/>
      <c r="G58" s="291"/>
      <c r="H58" s="291"/>
      <c r="I58" s="291"/>
      <c r="J58" s="291">
        <f t="shared" si="5"/>
        <v>25839.76</v>
      </c>
    </row>
    <row r="59" spans="1:10" ht="15.75">
      <c r="A59" s="112">
        <v>932</v>
      </c>
      <c r="B59" s="290" t="s">
        <v>365</v>
      </c>
      <c r="C59" s="291">
        <v>117369.22</v>
      </c>
      <c r="D59" s="291"/>
      <c r="E59" s="291">
        <f>('[3]adjustments'!$F$26)</f>
        <v>-742</v>
      </c>
      <c r="F59" s="291"/>
      <c r="G59" s="291"/>
      <c r="H59" s="291"/>
      <c r="I59" s="291"/>
      <c r="J59" s="291">
        <f t="shared" si="5"/>
        <v>116627.22</v>
      </c>
    </row>
    <row r="60" spans="1:10" ht="15.75">
      <c r="A60" s="112"/>
      <c r="B60" s="290"/>
      <c r="C60" s="291"/>
      <c r="D60" s="291"/>
      <c r="E60" s="291"/>
      <c r="F60" s="291"/>
      <c r="G60" s="291"/>
      <c r="H60" s="291"/>
      <c r="I60" s="291"/>
      <c r="J60" s="291">
        <f t="shared" si="5"/>
        <v>0</v>
      </c>
    </row>
    <row r="61" spans="1:10" ht="15.75">
      <c r="A61" s="112"/>
      <c r="B61" s="296" t="s">
        <v>47</v>
      </c>
      <c r="C61" s="291">
        <f aca="true" t="shared" si="6" ref="C61:I61">SUM(C48:C59)</f>
        <v>1511604.7400000002</v>
      </c>
      <c r="D61" s="291">
        <f t="shared" si="6"/>
        <v>13423</v>
      </c>
      <c r="E61" s="291">
        <f t="shared" si="6"/>
        <v>-742</v>
      </c>
      <c r="F61" s="291">
        <f t="shared" si="6"/>
        <v>-1144</v>
      </c>
      <c r="G61" s="291">
        <f t="shared" si="6"/>
        <v>-52554</v>
      </c>
      <c r="H61" s="291">
        <f t="shared" si="6"/>
        <v>0</v>
      </c>
      <c r="I61" s="291">
        <f t="shared" si="6"/>
        <v>0</v>
      </c>
      <c r="J61" s="291">
        <f aca="true" t="shared" si="7" ref="J61:J78">SUM(C61:I61)</f>
        <v>1470587.7400000002</v>
      </c>
    </row>
    <row r="62" spans="1:10" ht="15.75">
      <c r="A62" s="112"/>
      <c r="B62" s="296"/>
      <c r="C62" s="291" t="s">
        <v>24</v>
      </c>
      <c r="D62" s="291"/>
      <c r="E62" s="291"/>
      <c r="F62" s="291"/>
      <c r="G62" s="291"/>
      <c r="H62" s="291"/>
      <c r="I62" s="291"/>
      <c r="J62" s="291">
        <f t="shared" si="7"/>
        <v>0</v>
      </c>
    </row>
    <row r="63" spans="1:10" ht="15.75">
      <c r="A63" s="112">
        <v>403</v>
      </c>
      <c r="B63" s="290" t="s">
        <v>64</v>
      </c>
      <c r="C63" s="298">
        <v>3299174.36</v>
      </c>
      <c r="D63" s="298"/>
      <c r="E63" s="298">
        <v>219610</v>
      </c>
      <c r="F63" s="298"/>
      <c r="G63" s="298"/>
      <c r="H63" s="298"/>
      <c r="I63" s="298"/>
      <c r="J63" s="291">
        <f t="shared" si="7"/>
        <v>3518784.36</v>
      </c>
    </row>
    <row r="64" spans="1:10" ht="15.75">
      <c r="A64" s="112">
        <v>403</v>
      </c>
      <c r="B64" s="290" t="s">
        <v>65</v>
      </c>
      <c r="C64" s="298">
        <v>186244.84</v>
      </c>
      <c r="D64" s="298"/>
      <c r="E64" s="298"/>
      <c r="F64" s="298"/>
      <c r="G64" s="298"/>
      <c r="H64" s="298"/>
      <c r="I64" s="298"/>
      <c r="J64" s="291">
        <f t="shared" si="7"/>
        <v>186244.84</v>
      </c>
    </row>
    <row r="65" spans="1:10" ht="15.75">
      <c r="A65" s="112"/>
      <c r="B65" s="290"/>
      <c r="C65" s="291"/>
      <c r="D65" s="291"/>
      <c r="E65" s="291"/>
      <c r="F65" s="291"/>
      <c r="G65" s="291"/>
      <c r="H65" s="291"/>
      <c r="I65" s="291"/>
      <c r="J65" s="291">
        <f t="shared" si="7"/>
        <v>0</v>
      </c>
    </row>
    <row r="66" spans="1:10" ht="15.75">
      <c r="A66" s="112"/>
      <c r="B66" s="296" t="s">
        <v>52</v>
      </c>
      <c r="C66" s="291">
        <f>(C63+C64)</f>
        <v>3485419.1999999997</v>
      </c>
      <c r="D66" s="291">
        <f>(D63+D64)</f>
        <v>0</v>
      </c>
      <c r="E66" s="291">
        <f>(E63+E64)</f>
        <v>219610</v>
      </c>
      <c r="F66" s="291">
        <v>0</v>
      </c>
      <c r="G66" s="291">
        <v>0</v>
      </c>
      <c r="H66" s="291">
        <v>0</v>
      </c>
      <c r="I66" s="291">
        <v>0</v>
      </c>
      <c r="J66" s="291">
        <f t="shared" si="7"/>
        <v>3705029.1999999997</v>
      </c>
    </row>
    <row r="67" spans="1:10" ht="15.75">
      <c r="A67" s="112"/>
      <c r="B67" s="290"/>
      <c r="C67" s="291"/>
      <c r="D67" s="291"/>
      <c r="E67" s="291"/>
      <c r="F67" s="291"/>
      <c r="G67" s="291"/>
      <c r="H67" s="291"/>
      <c r="I67" s="291"/>
      <c r="J67" s="291">
        <f t="shared" si="7"/>
        <v>0</v>
      </c>
    </row>
    <row r="68" spans="1:10" ht="15.75">
      <c r="A68" s="112">
        <v>408</v>
      </c>
      <c r="B68" s="290" t="s">
        <v>341</v>
      </c>
      <c r="C68" s="291">
        <v>56395.32</v>
      </c>
      <c r="D68" s="291"/>
      <c r="E68" s="291"/>
      <c r="F68" s="291"/>
      <c r="G68" s="291"/>
      <c r="H68" s="291"/>
      <c r="I68" s="291"/>
      <c r="J68" s="291">
        <f t="shared" si="7"/>
        <v>56395.32</v>
      </c>
    </row>
    <row r="69" spans="1:10" ht="15.75">
      <c r="A69" s="112">
        <v>426.1</v>
      </c>
      <c r="B69" s="290" t="s">
        <v>366</v>
      </c>
      <c r="C69" s="291">
        <v>6181.2</v>
      </c>
      <c r="D69" s="291"/>
      <c r="E69" s="291"/>
      <c r="F69" s="291">
        <v>-6181</v>
      </c>
      <c r="G69" s="291"/>
      <c r="H69" s="291"/>
      <c r="I69" s="291"/>
      <c r="J69" s="291">
        <f t="shared" si="7"/>
        <v>0.1999999999998181</v>
      </c>
    </row>
    <row r="70" spans="1:10" ht="15.75">
      <c r="A70" s="112">
        <v>426.11</v>
      </c>
      <c r="B70" s="290" t="s">
        <v>403</v>
      </c>
      <c r="C70" s="291">
        <v>4500</v>
      </c>
      <c r="D70" s="291"/>
      <c r="E70" s="291"/>
      <c r="F70" s="291">
        <v>-4500</v>
      </c>
      <c r="G70" s="291"/>
      <c r="H70" s="291"/>
      <c r="I70" s="291"/>
      <c r="J70" s="291">
        <f t="shared" si="7"/>
        <v>0</v>
      </c>
    </row>
    <row r="71" spans="1:10" ht="15.75">
      <c r="A71" s="112">
        <v>423.12</v>
      </c>
      <c r="B71" s="290" t="s">
        <v>367</v>
      </c>
      <c r="C71" s="291">
        <v>1950.47</v>
      </c>
      <c r="D71" s="291"/>
      <c r="E71" s="291"/>
      <c r="F71" s="291">
        <v>-1950</v>
      </c>
      <c r="G71" s="291"/>
      <c r="H71" s="291"/>
      <c r="I71" s="291"/>
      <c r="J71" s="291">
        <f t="shared" si="7"/>
        <v>0.4700000000000273</v>
      </c>
    </row>
    <row r="72" spans="1:10" ht="15.75">
      <c r="A72" s="112"/>
      <c r="B72" s="290"/>
      <c r="C72" s="291"/>
      <c r="D72" s="291"/>
      <c r="E72" s="291"/>
      <c r="F72" s="291"/>
      <c r="G72" s="291"/>
      <c r="H72" s="291"/>
      <c r="I72" s="291"/>
      <c r="J72" s="291">
        <f t="shared" si="7"/>
        <v>0</v>
      </c>
    </row>
    <row r="73" spans="1:10" ht="15.75">
      <c r="A73" s="112"/>
      <c r="B73" s="296" t="s">
        <v>53</v>
      </c>
      <c r="C73" s="291">
        <f>SUM(C68:C71)</f>
        <v>69026.98999999999</v>
      </c>
      <c r="D73" s="291">
        <f aca="true" t="shared" si="8" ref="D73:I73">SUM(D68:D71)</f>
        <v>0</v>
      </c>
      <c r="E73" s="291">
        <f>SUM(E68:E71)</f>
        <v>0</v>
      </c>
      <c r="F73" s="291">
        <f t="shared" si="8"/>
        <v>-12631</v>
      </c>
      <c r="G73" s="291">
        <f>SUM(G68:G71)</f>
        <v>0</v>
      </c>
      <c r="H73" s="291">
        <f t="shared" si="8"/>
        <v>0</v>
      </c>
      <c r="I73" s="291">
        <f t="shared" si="8"/>
        <v>0</v>
      </c>
      <c r="J73" s="291">
        <f t="shared" si="7"/>
        <v>56395.98999999999</v>
      </c>
    </row>
    <row r="74" spans="1:10" ht="15.75">
      <c r="A74" s="112"/>
      <c r="B74" s="290"/>
      <c r="C74" s="291"/>
      <c r="D74" s="291"/>
      <c r="E74" s="291"/>
      <c r="F74" s="291"/>
      <c r="G74" s="291"/>
      <c r="H74" s="291"/>
      <c r="I74" s="291"/>
      <c r="J74" s="291">
        <f t="shared" si="7"/>
        <v>0</v>
      </c>
    </row>
    <row r="75" spans="1:10" ht="15.75">
      <c r="A75" s="112"/>
      <c r="B75" s="296" t="s">
        <v>54</v>
      </c>
      <c r="C75" s="291">
        <v>506125.64</v>
      </c>
      <c r="D75" s="291"/>
      <c r="E75" s="291"/>
      <c r="F75" s="291">
        <v>344520.6945358</v>
      </c>
      <c r="G75" s="291" t="s">
        <v>24</v>
      </c>
      <c r="H75" s="291" t="s">
        <v>24</v>
      </c>
      <c r="I75" s="291" t="s">
        <v>24</v>
      </c>
      <c r="J75" s="291">
        <f t="shared" si="7"/>
        <v>850646.3345358</v>
      </c>
    </row>
    <row r="76" spans="1:10" ht="15.75">
      <c r="A76" s="112"/>
      <c r="B76" s="290"/>
      <c r="C76" s="291"/>
      <c r="D76" s="291"/>
      <c r="E76" s="291"/>
      <c r="F76" s="291"/>
      <c r="G76" s="291"/>
      <c r="H76" s="291"/>
      <c r="I76" s="291"/>
      <c r="J76" s="291">
        <f t="shared" si="7"/>
        <v>0</v>
      </c>
    </row>
    <row r="77" spans="1:10" ht="15.75">
      <c r="A77" s="112"/>
      <c r="B77" s="296" t="s">
        <v>284</v>
      </c>
      <c r="C77" s="291">
        <v>3795.78</v>
      </c>
      <c r="D77" s="291"/>
      <c r="E77" s="291"/>
      <c r="F77" s="291"/>
      <c r="G77" s="291"/>
      <c r="H77" s="291"/>
      <c r="I77" s="291"/>
      <c r="J77" s="291">
        <f t="shared" si="7"/>
        <v>3795.78</v>
      </c>
    </row>
    <row r="78" spans="1:10" ht="15.75">
      <c r="A78" s="112"/>
      <c r="B78" s="290"/>
      <c r="C78" s="291"/>
      <c r="D78" s="291"/>
      <c r="E78" s="291"/>
      <c r="F78" s="291"/>
      <c r="G78" s="291"/>
      <c r="H78" s="291"/>
      <c r="I78" s="291"/>
      <c r="J78" s="291">
        <f t="shared" si="7"/>
        <v>0</v>
      </c>
    </row>
    <row r="79" spans="1:12" ht="15.75">
      <c r="A79" s="112"/>
      <c r="B79" s="296" t="s">
        <v>55</v>
      </c>
      <c r="C79" s="297">
        <f aca="true" t="shared" si="9" ref="C79:J79">SUM(C46,C61,C66,C73,C75,C77)</f>
        <v>46110168.18928201</v>
      </c>
      <c r="D79" s="297">
        <f t="shared" si="9"/>
        <v>62137</v>
      </c>
      <c r="E79" s="297">
        <f t="shared" si="9"/>
        <v>214741</v>
      </c>
      <c r="F79" s="297">
        <f t="shared" si="9"/>
        <v>330745.6945358</v>
      </c>
      <c r="G79" s="297">
        <f t="shared" si="9"/>
        <v>-52554</v>
      </c>
      <c r="H79" s="297">
        <f t="shared" si="9"/>
        <v>0</v>
      </c>
      <c r="I79" s="297">
        <f t="shared" si="9"/>
        <v>-2835633</v>
      </c>
      <c r="J79" s="297">
        <f t="shared" si="9"/>
        <v>43829604.88381781</v>
      </c>
      <c r="L79" s="247">
        <f>SUM(C79:I79)</f>
        <v>43829604.88381781</v>
      </c>
    </row>
    <row r="80" ht="15.75">
      <c r="J80" s="101">
        <f aca="true" t="shared" si="10" ref="J80:J102">SUM(C80:I80)</f>
        <v>0</v>
      </c>
    </row>
    <row r="81" spans="2:10" ht="15.75">
      <c r="B81" s="110" t="s">
        <v>56</v>
      </c>
      <c r="C81" s="111">
        <f>(C75*1.41)</f>
        <v>713637.1524</v>
      </c>
      <c r="D81" s="111">
        <v>0</v>
      </c>
      <c r="E81" s="111">
        <v>0</v>
      </c>
      <c r="F81" s="111">
        <f>(F75*1.41)</f>
        <v>485774.179295478</v>
      </c>
      <c r="G81" s="111">
        <v>0</v>
      </c>
      <c r="H81" s="111">
        <v>0</v>
      </c>
      <c r="I81" s="111">
        <v>0</v>
      </c>
      <c r="J81" s="111">
        <f>SUM(C81:I81)</f>
        <v>1199411.331695478</v>
      </c>
    </row>
    <row r="82" ht="15.75">
      <c r="J82" s="101">
        <f t="shared" si="10"/>
        <v>0</v>
      </c>
    </row>
    <row r="83" spans="2:12" ht="15.75">
      <c r="B83" s="110" t="s">
        <v>57</v>
      </c>
      <c r="C83" s="101">
        <f>(C79+C81)</f>
        <v>46823805.34168201</v>
      </c>
      <c r="D83" s="101">
        <f aca="true" t="shared" si="11" ref="D83:I83">(D79+D81)</f>
        <v>62137</v>
      </c>
      <c r="E83" s="101">
        <f t="shared" si="11"/>
        <v>214741</v>
      </c>
      <c r="F83" s="101">
        <f>(F79+F81)</f>
        <v>816519.873831278</v>
      </c>
      <c r="G83" s="101">
        <f t="shared" si="11"/>
        <v>-52554</v>
      </c>
      <c r="H83" s="101">
        <f t="shared" si="11"/>
        <v>0</v>
      </c>
      <c r="I83" s="101">
        <f t="shared" si="11"/>
        <v>-2835633</v>
      </c>
      <c r="J83" s="101">
        <f>SUM(C83:I83)</f>
        <v>45029016.21551329</v>
      </c>
      <c r="L83" s="247">
        <f>SUM(C83:I83)</f>
        <v>45029016.21551329</v>
      </c>
    </row>
    <row r="84" spans="3:10" ht="15.75">
      <c r="C84" s="101" t="s">
        <v>24</v>
      </c>
      <c r="F84" s="101" t="s">
        <v>24</v>
      </c>
      <c r="J84" s="101">
        <f t="shared" si="10"/>
        <v>0</v>
      </c>
    </row>
    <row r="85" spans="2:10" ht="15.75">
      <c r="B85" s="110" t="s">
        <v>58</v>
      </c>
      <c r="J85" s="101">
        <f t="shared" si="10"/>
        <v>0</v>
      </c>
    </row>
    <row r="86" spans="6:10" ht="15.75">
      <c r="F86" s="101" t="s">
        <v>24</v>
      </c>
      <c r="J86" s="101">
        <f t="shared" si="10"/>
        <v>0</v>
      </c>
    </row>
    <row r="87" spans="2:10" ht="15.75">
      <c r="B87" s="102" t="s">
        <v>285</v>
      </c>
      <c r="J87" s="101">
        <f t="shared" si="10"/>
        <v>0</v>
      </c>
    </row>
    <row r="88" spans="1:10" ht="15.75">
      <c r="A88" s="243">
        <v>450</v>
      </c>
      <c r="B88" s="102" t="s">
        <v>148</v>
      </c>
      <c r="C88" s="101">
        <v>541661.71</v>
      </c>
      <c r="J88" s="101">
        <f t="shared" si="10"/>
        <v>541661.71</v>
      </c>
    </row>
    <row r="89" spans="1:10" ht="15.75">
      <c r="A89" s="243">
        <v>451</v>
      </c>
      <c r="B89" s="102" t="s">
        <v>59</v>
      </c>
      <c r="C89" s="101">
        <v>117630</v>
      </c>
      <c r="I89" s="101">
        <f>('[3]adjustments'!$R$13)</f>
        <v>-3474.8547181820722</v>
      </c>
      <c r="J89" s="101">
        <f t="shared" si="10"/>
        <v>114155.14528181792</v>
      </c>
    </row>
    <row r="90" spans="1:10" ht="15.75">
      <c r="A90" s="243">
        <v>454</v>
      </c>
      <c r="B90" s="102" t="s">
        <v>60</v>
      </c>
      <c r="C90" s="101">
        <v>986122.88</v>
      </c>
      <c r="J90" s="101">
        <f t="shared" si="10"/>
        <v>986122.88</v>
      </c>
    </row>
    <row r="91" spans="1:10" ht="15.75">
      <c r="A91" s="243">
        <v>456.1</v>
      </c>
      <c r="B91" s="102" t="s">
        <v>252</v>
      </c>
      <c r="C91" s="111">
        <v>854.75</v>
      </c>
      <c r="D91" s="111"/>
      <c r="E91" s="111"/>
      <c r="F91" s="111"/>
      <c r="G91" s="111"/>
      <c r="H91" s="111"/>
      <c r="I91" s="111"/>
      <c r="J91" s="111">
        <f t="shared" si="10"/>
        <v>854.75</v>
      </c>
    </row>
    <row r="92" ht="15.75">
      <c r="J92" s="101">
        <f t="shared" si="10"/>
        <v>0</v>
      </c>
    </row>
    <row r="93" spans="2:10" ht="15.75">
      <c r="B93" s="110" t="s">
        <v>61</v>
      </c>
      <c r="C93" s="101">
        <f>SUM(C87:C91)</f>
        <v>1646269.3399999999</v>
      </c>
      <c r="D93" s="101">
        <f aca="true" t="shared" si="12" ref="D93:I93">SUM(D87:D91)</f>
        <v>0</v>
      </c>
      <c r="E93" s="101">
        <f t="shared" si="12"/>
        <v>0</v>
      </c>
      <c r="F93" s="101">
        <f t="shared" si="12"/>
        <v>0</v>
      </c>
      <c r="G93" s="101">
        <f t="shared" si="12"/>
        <v>0</v>
      </c>
      <c r="H93" s="101">
        <f t="shared" si="12"/>
        <v>0</v>
      </c>
      <c r="I93" s="101">
        <f t="shared" si="12"/>
        <v>-3474.8547181820722</v>
      </c>
      <c r="J93" s="101">
        <f t="shared" si="10"/>
        <v>1642794.4852818178</v>
      </c>
    </row>
    <row r="94" ht="15.75">
      <c r="J94" s="101">
        <f t="shared" si="10"/>
        <v>0</v>
      </c>
    </row>
    <row r="95" spans="2:10" ht="15.75">
      <c r="B95" s="102" t="s">
        <v>152</v>
      </c>
      <c r="J95" s="101">
        <f t="shared" si="10"/>
        <v>0</v>
      </c>
    </row>
    <row r="96" spans="1:10" ht="15.75">
      <c r="A96" s="243">
        <v>419</v>
      </c>
      <c r="B96" s="102" t="s">
        <v>149</v>
      </c>
      <c r="C96" s="101">
        <v>124231.72</v>
      </c>
      <c r="J96" s="101">
        <f t="shared" si="10"/>
        <v>124231.72</v>
      </c>
    </row>
    <row r="97" spans="1:10" ht="15.75">
      <c r="A97" s="243">
        <v>423</v>
      </c>
      <c r="B97" s="102" t="s">
        <v>404</v>
      </c>
      <c r="C97" s="101">
        <v>2489156.37</v>
      </c>
      <c r="H97" s="101">
        <f>-(C97)</f>
        <v>-2489156.37</v>
      </c>
      <c r="J97" s="101">
        <f t="shared" si="10"/>
        <v>0</v>
      </c>
    </row>
    <row r="98" spans="1:10" ht="15.75">
      <c r="A98" s="243">
        <v>424</v>
      </c>
      <c r="B98" s="102" t="s">
        <v>150</v>
      </c>
      <c r="C98" s="101">
        <v>96057.23</v>
      </c>
      <c r="J98" s="101">
        <f t="shared" si="10"/>
        <v>96057.23</v>
      </c>
    </row>
    <row r="99" ht="15.75">
      <c r="J99" s="101">
        <f t="shared" si="10"/>
        <v>0</v>
      </c>
    </row>
    <row r="100" spans="2:10" ht="15.75">
      <c r="B100" s="110" t="s">
        <v>151</v>
      </c>
      <c r="C100" s="111">
        <f>SUM(C96:C98)</f>
        <v>2709445.3200000003</v>
      </c>
      <c r="D100" s="111">
        <f aca="true" t="shared" si="13" ref="D100:I100">SUM(D96:D98)</f>
        <v>0</v>
      </c>
      <c r="E100" s="111">
        <f t="shared" si="13"/>
        <v>0</v>
      </c>
      <c r="F100" s="111">
        <f t="shared" si="13"/>
        <v>0</v>
      </c>
      <c r="G100" s="111">
        <f t="shared" si="13"/>
        <v>0</v>
      </c>
      <c r="H100" s="111">
        <f t="shared" si="13"/>
        <v>-2489156.37</v>
      </c>
      <c r="I100" s="111">
        <f t="shared" si="13"/>
        <v>0</v>
      </c>
      <c r="J100" s="111">
        <f t="shared" si="10"/>
        <v>220288.9500000002</v>
      </c>
    </row>
    <row r="101" ht="15.75">
      <c r="J101" s="101">
        <f t="shared" si="10"/>
        <v>0</v>
      </c>
    </row>
    <row r="102" spans="2:10" ht="15.75">
      <c r="B102" s="110" t="s">
        <v>62</v>
      </c>
      <c r="J102" s="101">
        <f t="shared" si="10"/>
        <v>0</v>
      </c>
    </row>
    <row r="103" spans="2:10" ht="16.5" thickBot="1">
      <c r="B103" s="110" t="s">
        <v>63</v>
      </c>
      <c r="C103" s="139">
        <f>(C83-C93-C100)</f>
        <v>42468090.68168201</v>
      </c>
      <c r="D103" s="139">
        <f>(D83-D93-D100)</f>
        <v>62137</v>
      </c>
      <c r="E103" s="139">
        <f>(E83-E93-E100)</f>
        <v>214741</v>
      </c>
      <c r="F103" s="139">
        <f>(F83-F93-F100)</f>
        <v>816519.873831278</v>
      </c>
      <c r="G103" s="139">
        <f>(G83-G93-G100)</f>
        <v>-52554</v>
      </c>
      <c r="H103" s="139">
        <f>(H83+H93+H100)</f>
        <v>-2489156.37</v>
      </c>
      <c r="I103" s="139">
        <f>(I83-I93-I100)</f>
        <v>-2832158.1452818178</v>
      </c>
      <c r="J103" s="139">
        <f>(J83-J93-J100)</f>
        <v>43165932.78023147</v>
      </c>
    </row>
    <row r="104" ht="16.5" thickTop="1">
      <c r="J104" s="101" t="s">
        <v>24</v>
      </c>
    </row>
    <row r="105" ht="15.75">
      <c r="J105" s="101">
        <f>(J103-C103)</f>
        <v>697842.0985494554</v>
      </c>
    </row>
    <row r="109" ht="15.75">
      <c r="A109" s="240"/>
    </row>
    <row r="110" ht="15.75">
      <c r="A110" s="240"/>
    </row>
    <row r="111" ht="15.75">
      <c r="A111" s="240"/>
    </row>
  </sheetData>
  <sheetProtection/>
  <mergeCells count="1">
    <mergeCell ref="D1:I1"/>
  </mergeCells>
  <dataValidations count="1">
    <dataValidation showInputMessage="1" showErrorMessage="1" sqref="C79:J79"/>
  </dataValidations>
  <printOptions gridLines="1" horizontalCentered="1" verticalCentered="1"/>
  <pageMargins left="0.7" right="0.7" top="0.75" bottom="0.75" header="0.3" footer="0.3"/>
  <pageSetup horizontalDpi="600" verticalDpi="600" orientation="landscape" scale="90" r:id="rId1"/>
  <headerFooter>
    <oddHeader>&amp;CCUMBERLAND VALLEY ELECTRIC
CASE NO. 2016-00169
ACTUAL TEST YEAR EXPENSES WITH ADJUSTMENTS&amp;R Revision 2 Exhibit R
Page ____ of ____
Witness:  Jim Adkins
Schedule A</oddHeader>
  </headerFooter>
  <rowBreaks count="3" manualBreakCount="3">
    <brk id="28" max="9" man="1"/>
    <brk id="53" max="9" man="1"/>
    <brk id="7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52">
      <selection activeCell="E72" sqref="E72"/>
    </sheetView>
  </sheetViews>
  <sheetFormatPr defaultColWidth="9.140625" defaultRowHeight="12.75"/>
  <cols>
    <col min="1" max="1" width="3.140625" style="102" customWidth="1"/>
    <col min="2" max="2" width="6.8515625" style="108" customWidth="1"/>
    <col min="3" max="3" width="27.7109375" style="102" customWidth="1"/>
    <col min="4" max="4" width="15.8515625" style="102" customWidth="1"/>
    <col min="5" max="5" width="12.57421875" style="101" customWidth="1"/>
    <col min="6" max="6" width="13.421875" style="102" customWidth="1"/>
    <col min="7" max="7" width="12.28125" style="102" customWidth="1"/>
    <col min="8" max="8" width="11.8515625" style="102" customWidth="1"/>
    <col min="9" max="9" width="10.7109375" style="102" customWidth="1"/>
    <col min="10" max="10" width="11.28125" style="102" customWidth="1"/>
    <col min="11" max="11" width="11.140625" style="102" customWidth="1"/>
    <col min="12" max="12" width="12.00390625" style="102" customWidth="1"/>
    <col min="13" max="13" width="10.57421875" style="102" customWidth="1"/>
    <col min="14" max="14" width="2.7109375" style="102" hidden="1" customWidth="1"/>
    <col min="15" max="15" width="13.28125" style="102" customWidth="1"/>
    <col min="16" max="16" width="13.8515625" style="102" customWidth="1"/>
    <col min="17" max="17" width="13.00390625" style="102" customWidth="1"/>
    <col min="18" max="16384" width="9.140625" style="102" customWidth="1"/>
  </cols>
  <sheetData>
    <row r="1" spans="1:14" ht="15.75">
      <c r="A1" s="290"/>
      <c r="B1" s="112"/>
      <c r="C1" s="290"/>
      <c r="D1" s="112" t="s">
        <v>7</v>
      </c>
      <c r="E1" s="113" t="s">
        <v>240</v>
      </c>
      <c r="F1" s="112" t="s">
        <v>371</v>
      </c>
      <c r="G1" s="112" t="s">
        <v>67</v>
      </c>
      <c r="H1" s="112" t="s">
        <v>24</v>
      </c>
      <c r="I1" s="112" t="s">
        <v>369</v>
      </c>
      <c r="J1" s="290"/>
      <c r="K1" s="290"/>
      <c r="L1" s="112" t="s">
        <v>426</v>
      </c>
      <c r="M1" s="112" t="s">
        <v>16</v>
      </c>
      <c r="N1" s="108" t="s">
        <v>24</v>
      </c>
    </row>
    <row r="2" spans="1:14" ht="15.75">
      <c r="A2" s="290"/>
      <c r="B2" s="112" t="s">
        <v>238</v>
      </c>
      <c r="C2" s="290" t="s">
        <v>0</v>
      </c>
      <c r="D2" s="299" t="s">
        <v>8</v>
      </c>
      <c r="E2" s="292" t="s">
        <v>9</v>
      </c>
      <c r="F2" s="299" t="s">
        <v>372</v>
      </c>
      <c r="G2" s="299" t="s">
        <v>368</v>
      </c>
      <c r="H2" s="299" t="s">
        <v>25</v>
      </c>
      <c r="I2" s="299" t="s">
        <v>370</v>
      </c>
      <c r="J2" s="299" t="s">
        <v>13</v>
      </c>
      <c r="K2" s="299" t="s">
        <v>14</v>
      </c>
      <c r="L2" s="299" t="s">
        <v>13</v>
      </c>
      <c r="M2" s="299" t="s">
        <v>17</v>
      </c>
      <c r="N2" s="109" t="s">
        <v>24</v>
      </c>
    </row>
    <row r="3" spans="1:13" ht="15.75">
      <c r="A3" s="290"/>
      <c r="B3" s="112" t="s">
        <v>239</v>
      </c>
      <c r="C3" s="290"/>
      <c r="D3" s="300"/>
      <c r="E3" s="294"/>
      <c r="F3" s="300"/>
      <c r="G3" s="300"/>
      <c r="H3" s="300"/>
      <c r="I3" s="300"/>
      <c r="J3" s="300"/>
      <c r="K3" s="300"/>
      <c r="L3" s="290"/>
      <c r="M3" s="290"/>
    </row>
    <row r="4" spans="1:15" ht="15.75">
      <c r="A4" s="290"/>
      <c r="B4" s="112">
        <v>555</v>
      </c>
      <c r="C4" s="290" t="s">
        <v>49</v>
      </c>
      <c r="D4" s="290" t="s">
        <v>405</v>
      </c>
      <c r="E4" s="291">
        <f>('TY-Act&amp;Adj'!J5)</f>
        <v>6986348.459999998</v>
      </c>
      <c r="F4" s="297">
        <f>(E4)</f>
        <v>6986348.459999998</v>
      </c>
      <c r="G4" s="290"/>
      <c r="H4" s="290"/>
      <c r="I4" s="290"/>
      <c r="J4" s="290"/>
      <c r="K4" s="290"/>
      <c r="L4" s="290"/>
      <c r="M4" s="290"/>
      <c r="O4" s="101">
        <f>SUM(F4:M4)</f>
        <v>6986348.459999998</v>
      </c>
    </row>
    <row r="5" spans="1:15" ht="15.75">
      <c r="A5" s="290"/>
      <c r="B5" s="112"/>
      <c r="C5" s="290" t="s">
        <v>50</v>
      </c>
      <c r="D5" s="290" t="s">
        <v>405</v>
      </c>
      <c r="E5" s="291">
        <f>('TY-Act&amp;Adj'!J6)</f>
        <v>23587568.669281997</v>
      </c>
      <c r="F5" s="297">
        <f>(E5)</f>
        <v>23587568.669281997</v>
      </c>
      <c r="G5" s="301">
        <v>0</v>
      </c>
      <c r="H5" s="290"/>
      <c r="I5" s="290"/>
      <c r="J5" s="290"/>
      <c r="K5" s="290"/>
      <c r="L5" s="290"/>
      <c r="M5" s="290"/>
      <c r="O5" s="101">
        <f>SUM(F5:M5)</f>
        <v>23587568.669281997</v>
      </c>
    </row>
    <row r="6" spans="1:15" ht="15.75">
      <c r="A6" s="290"/>
      <c r="B6" s="112"/>
      <c r="C6" s="290" t="s">
        <v>427</v>
      </c>
      <c r="D6" s="290" t="s">
        <v>405</v>
      </c>
      <c r="E6" s="291">
        <f>('TY-Act&amp;Adj'!J7)</f>
        <v>705176</v>
      </c>
      <c r="F6" s="297">
        <f>(E6)</f>
        <v>705176</v>
      </c>
      <c r="G6" s="290"/>
      <c r="H6" s="290"/>
      <c r="I6" s="290"/>
      <c r="J6" s="290"/>
      <c r="K6" s="290"/>
      <c r="L6" s="290"/>
      <c r="M6" s="290"/>
      <c r="N6" s="269"/>
      <c r="O6" s="111">
        <f>SUM(F6:M6)</f>
        <v>705176</v>
      </c>
    </row>
    <row r="7" spans="1:17" ht="15.75">
      <c r="A7" s="290"/>
      <c r="B7" s="112"/>
      <c r="C7" s="296" t="s">
        <v>51</v>
      </c>
      <c r="D7" s="290"/>
      <c r="E7" s="297">
        <f>SUM(E4:E6)</f>
        <v>31279093.129281994</v>
      </c>
      <c r="F7" s="291">
        <f>(E7)</f>
        <v>31279093.129281994</v>
      </c>
      <c r="G7" s="291" t="s">
        <v>24</v>
      </c>
      <c r="H7" s="290"/>
      <c r="I7" s="290"/>
      <c r="J7" s="290"/>
      <c r="K7" s="290"/>
      <c r="L7" s="290"/>
      <c r="M7" s="290"/>
      <c r="O7" s="101">
        <f>SUM(O4:O6)</f>
        <v>31279093.129281994</v>
      </c>
      <c r="Q7" s="102" t="s">
        <v>184</v>
      </c>
    </row>
    <row r="8" spans="1:15" ht="15.75">
      <c r="A8" s="290"/>
      <c r="B8" s="112"/>
      <c r="C8" s="290"/>
      <c r="D8" s="290"/>
      <c r="E8" s="291" t="s">
        <v>24</v>
      </c>
      <c r="F8" s="290"/>
      <c r="G8" s="290"/>
      <c r="H8" s="290"/>
      <c r="I8" s="290"/>
      <c r="J8" s="290"/>
      <c r="K8" s="290"/>
      <c r="L8" s="290"/>
      <c r="M8" s="290"/>
      <c r="O8" s="101" t="s">
        <v>24</v>
      </c>
    </row>
    <row r="9" spans="1:15" ht="15.75">
      <c r="A9" s="290"/>
      <c r="B9" s="112">
        <v>580</v>
      </c>
      <c r="C9" s="290" t="s">
        <v>27</v>
      </c>
      <c r="D9" s="290" t="s">
        <v>421</v>
      </c>
      <c r="E9" s="291">
        <f>('TY-Act&amp;Adj'!J11)</f>
        <v>0</v>
      </c>
      <c r="F9" s="290"/>
      <c r="G9" s="290"/>
      <c r="H9" s="297" t="s">
        <v>24</v>
      </c>
      <c r="I9" s="297" t="s">
        <v>24</v>
      </c>
      <c r="J9" s="297" t="s">
        <v>24</v>
      </c>
      <c r="K9" s="297" t="s">
        <v>24</v>
      </c>
      <c r="L9" s="297" t="s">
        <v>24</v>
      </c>
      <c r="M9" s="297" t="s">
        <v>24</v>
      </c>
      <c r="O9" s="101" t="s">
        <v>24</v>
      </c>
    </row>
    <row r="10" spans="1:15" ht="15.75">
      <c r="A10" s="290"/>
      <c r="B10" s="112">
        <v>582</v>
      </c>
      <c r="C10" s="290" t="s">
        <v>143</v>
      </c>
      <c r="D10" s="290" t="s">
        <v>405</v>
      </c>
      <c r="E10" s="291">
        <f>('TY-Act&amp;Adj'!J13)</f>
        <v>5655.689935612879</v>
      </c>
      <c r="F10" s="290"/>
      <c r="G10" s="297">
        <f>(E10)</f>
        <v>5655.689935612879</v>
      </c>
      <c r="H10" s="291" t="s">
        <v>24</v>
      </c>
      <c r="I10" s="290"/>
      <c r="J10" s="297" t="s">
        <v>24</v>
      </c>
      <c r="K10" s="290"/>
      <c r="L10" s="290"/>
      <c r="M10" s="290"/>
      <c r="O10" s="101">
        <f>SUM(F10:M10)</f>
        <v>5655.689935612879</v>
      </c>
    </row>
    <row r="11" spans="1:15" ht="15.75">
      <c r="A11" s="290"/>
      <c r="B11" s="112">
        <v>583</v>
      </c>
      <c r="C11" s="290" t="s">
        <v>28</v>
      </c>
      <c r="D11" s="290" t="s">
        <v>422</v>
      </c>
      <c r="E11" s="291">
        <f>('TY-Act&amp;Adj'!J14)</f>
        <v>625561.8300775903</v>
      </c>
      <c r="F11" s="290"/>
      <c r="G11" s="290"/>
      <c r="H11" s="291">
        <f>(E11*'Func. Footnotes'!E9)</f>
        <v>551027.3699909798</v>
      </c>
      <c r="I11" s="290"/>
      <c r="J11" s="297">
        <f>(E11-H11)</f>
        <v>74534.46008661052</v>
      </c>
      <c r="K11" s="290"/>
      <c r="L11" s="290"/>
      <c r="M11" s="290"/>
      <c r="O11" s="101">
        <f aca="true" t="shared" si="0" ref="O11:O58">SUM(F11:M11)</f>
        <v>625561.8300775903</v>
      </c>
    </row>
    <row r="12" spans="1:15" ht="15.75">
      <c r="A12" s="290"/>
      <c r="B12" s="112">
        <v>584</v>
      </c>
      <c r="C12" s="290" t="s">
        <v>144</v>
      </c>
      <c r="D12" s="290" t="s">
        <v>422</v>
      </c>
      <c r="E12" s="291">
        <f>('TY-Act&amp;Adj'!J15)</f>
        <v>46967.74822195168</v>
      </c>
      <c r="F12" s="290"/>
      <c r="G12" s="290"/>
      <c r="H12" s="291">
        <f>(E12*'Func. Footnotes'!E9)</f>
        <v>41371.63351851329</v>
      </c>
      <c r="I12" s="290"/>
      <c r="J12" s="297">
        <f>(E12-H12)</f>
        <v>5596.11470343839</v>
      </c>
      <c r="K12" s="290"/>
      <c r="L12" s="290"/>
      <c r="M12" s="290"/>
      <c r="O12" s="101">
        <f t="shared" si="0"/>
        <v>46967.74822195168</v>
      </c>
    </row>
    <row r="13" spans="1:15" ht="15.75">
      <c r="A13" s="290"/>
      <c r="B13" s="112">
        <v>586</v>
      </c>
      <c r="C13" s="290" t="s">
        <v>286</v>
      </c>
      <c r="D13" s="290" t="s">
        <v>405</v>
      </c>
      <c r="E13" s="291">
        <f>('TY-Act&amp;Adj'!J16)</f>
        <v>450353.63128666114</v>
      </c>
      <c r="F13" s="290"/>
      <c r="G13" s="290"/>
      <c r="H13" s="291" t="s">
        <v>24</v>
      </c>
      <c r="I13" s="290"/>
      <c r="J13" s="297" t="s">
        <v>24</v>
      </c>
      <c r="K13" s="297">
        <f>(E13)</f>
        <v>450353.63128666114</v>
      </c>
      <c r="L13" s="290"/>
      <c r="M13" s="290"/>
      <c r="O13" s="101">
        <f t="shared" si="0"/>
        <v>450353.63128666114</v>
      </c>
    </row>
    <row r="14" spans="1:15" ht="15.75">
      <c r="A14" s="290"/>
      <c r="B14" s="112">
        <v>587</v>
      </c>
      <c r="C14" s="290" t="s">
        <v>29</v>
      </c>
      <c r="D14" s="290" t="s">
        <v>405</v>
      </c>
      <c r="E14" s="291">
        <f>('TY-Act&amp;Adj'!J17)</f>
        <v>118728.15306829296</v>
      </c>
      <c r="F14" s="290"/>
      <c r="G14" s="290"/>
      <c r="H14" s="291" t="s">
        <v>24</v>
      </c>
      <c r="I14" s="290"/>
      <c r="J14" s="297" t="s">
        <v>24</v>
      </c>
      <c r="K14" s="290"/>
      <c r="L14" s="290"/>
      <c r="M14" s="297">
        <f>(E14)</f>
        <v>118728.15306829296</v>
      </c>
      <c r="O14" s="101">
        <f t="shared" si="0"/>
        <v>118728.15306829296</v>
      </c>
    </row>
    <row r="15" spans="1:15" ht="15.75">
      <c r="A15" s="290"/>
      <c r="B15" s="112">
        <v>588</v>
      </c>
      <c r="C15" s="290" t="s">
        <v>30</v>
      </c>
      <c r="D15" s="290" t="s">
        <v>421</v>
      </c>
      <c r="E15" s="291">
        <f>('TY-Act&amp;Adj'!J18)</f>
        <v>163138.81240670278</v>
      </c>
      <c r="F15" s="290"/>
      <c r="G15" s="302">
        <f>($E$15*'Func. Footnotes'!D21)</f>
        <v>739.7473841070363</v>
      </c>
      <c r="H15" s="291">
        <f>($E$15*'Func. Footnotes'!E21)</f>
        <v>77484.02373233606</v>
      </c>
      <c r="I15" s="291" t="s">
        <v>24</v>
      </c>
      <c r="J15" s="291">
        <f>($E$15*'Func. Footnotes'!G21)</f>
        <v>10480.840315286561</v>
      </c>
      <c r="K15" s="291">
        <f>($E$15*'Func. Footnotes'!H21)</f>
        <v>58904.91247931377</v>
      </c>
      <c r="L15" s="290"/>
      <c r="M15" s="291">
        <f>($E$15*'Func. Footnotes'!I21)</f>
        <v>15529.28849565936</v>
      </c>
      <c r="O15" s="101">
        <f t="shared" si="0"/>
        <v>163138.81240670278</v>
      </c>
    </row>
    <row r="16" spans="1:15" ht="15.75">
      <c r="A16" s="290"/>
      <c r="B16" s="112">
        <v>589</v>
      </c>
      <c r="C16" s="290" t="s">
        <v>31</v>
      </c>
      <c r="D16" s="290" t="s">
        <v>421</v>
      </c>
      <c r="E16" s="291">
        <f>('TY-Act&amp;Adj'!J19)</f>
        <v>6397.655003188277</v>
      </c>
      <c r="F16" s="290"/>
      <c r="G16" s="297">
        <f>($E$16*'Func. Footnotes'!D21)</f>
        <v>29.009948541426144</v>
      </c>
      <c r="H16" s="297">
        <f>($E$16*'Func. Footnotes'!E21)</f>
        <v>3038.615059073287</v>
      </c>
      <c r="I16" s="297">
        <f>($E$16*'Func. Footnotes'!F21)</f>
        <v>0</v>
      </c>
      <c r="J16" s="297">
        <f>($E$16*'Func. Footnotes'!G21)</f>
        <v>411.0168481155102</v>
      </c>
      <c r="K16" s="297">
        <f>($E$16*'Func. Footnotes'!H21)</f>
        <v>2310.016252270853</v>
      </c>
      <c r="L16" s="290"/>
      <c r="M16" s="297">
        <f>($E$16*'Func. Footnotes'!I21)</f>
        <v>608.9968951872013</v>
      </c>
      <c r="N16" s="269"/>
      <c r="O16" s="111">
        <f t="shared" si="0"/>
        <v>6397.655003188278</v>
      </c>
    </row>
    <row r="17" spans="1:17" ht="15.75">
      <c r="A17" s="290"/>
      <c r="B17" s="112"/>
      <c r="C17" s="296" t="s">
        <v>208</v>
      </c>
      <c r="D17" s="290"/>
      <c r="E17" s="291">
        <f>('TY-Act&amp;Adj'!J21)</f>
        <v>1416803.5199999998</v>
      </c>
      <c r="F17" s="291">
        <f aca="true" t="shared" si="1" ref="F17:O17">SUM(F9:F16)</f>
        <v>0</v>
      </c>
      <c r="G17" s="291">
        <f t="shared" si="1"/>
        <v>6424.4472682613405</v>
      </c>
      <c r="H17" s="291">
        <f t="shared" si="1"/>
        <v>672921.6423009024</v>
      </c>
      <c r="I17" s="291">
        <f t="shared" si="1"/>
        <v>0</v>
      </c>
      <c r="J17" s="291">
        <f t="shared" si="1"/>
        <v>91022.43195345099</v>
      </c>
      <c r="K17" s="291">
        <f t="shared" si="1"/>
        <v>511568.5600182458</v>
      </c>
      <c r="L17" s="291">
        <f t="shared" si="1"/>
        <v>0</v>
      </c>
      <c r="M17" s="291">
        <f t="shared" si="1"/>
        <v>134866.43845913952</v>
      </c>
      <c r="N17" s="101">
        <f t="shared" si="1"/>
        <v>0</v>
      </c>
      <c r="O17" s="101">
        <f t="shared" si="1"/>
        <v>1416803.52</v>
      </c>
      <c r="Q17" s="102" t="s">
        <v>184</v>
      </c>
    </row>
    <row r="18" spans="1:15" ht="15.75">
      <c r="A18" s="290"/>
      <c r="B18" s="290"/>
      <c r="C18" s="290"/>
      <c r="D18" s="290"/>
      <c r="E18" s="291">
        <f>('TY-Act&amp;Adj'!J22)</f>
        <v>0</v>
      </c>
      <c r="F18" s="290"/>
      <c r="G18" s="290"/>
      <c r="H18" s="290"/>
      <c r="I18" s="290"/>
      <c r="J18" s="290"/>
      <c r="K18" s="290"/>
      <c r="L18" s="290"/>
      <c r="M18" s="290"/>
      <c r="O18" s="101">
        <f t="shared" si="0"/>
        <v>0</v>
      </c>
    </row>
    <row r="19" spans="1:15" ht="15.75">
      <c r="A19" s="290"/>
      <c r="B19" s="112">
        <v>590</v>
      </c>
      <c r="C19" s="290" t="s">
        <v>33</v>
      </c>
      <c r="D19" s="290" t="s">
        <v>421</v>
      </c>
      <c r="E19" s="291">
        <f>('TY-Act&amp;Adj'!J23)</f>
        <v>0</v>
      </c>
      <c r="F19" s="290"/>
      <c r="G19" s="290"/>
      <c r="H19" s="297" t="s">
        <v>24</v>
      </c>
      <c r="I19" s="297" t="s">
        <v>24</v>
      </c>
      <c r="J19" s="297" t="s">
        <v>24</v>
      </c>
      <c r="K19" s="297" t="s">
        <v>24</v>
      </c>
      <c r="L19" s="297" t="s">
        <v>24</v>
      </c>
      <c r="M19" s="297" t="s">
        <v>24</v>
      </c>
      <c r="N19" s="103" t="s">
        <v>24</v>
      </c>
      <c r="O19" s="101">
        <f t="shared" si="0"/>
        <v>0</v>
      </c>
    </row>
    <row r="20" spans="1:15" ht="15.75">
      <c r="A20" s="290"/>
      <c r="B20" s="112"/>
      <c r="C20" s="290"/>
      <c r="D20" s="290"/>
      <c r="E20" s="291">
        <f>('TY-Act&amp;Adj'!J24)</f>
        <v>0</v>
      </c>
      <c r="F20" s="290"/>
      <c r="G20" s="290"/>
      <c r="H20" s="290"/>
      <c r="I20" s="290"/>
      <c r="J20" s="297" t="s">
        <v>24</v>
      </c>
      <c r="K20" s="290"/>
      <c r="L20" s="290"/>
      <c r="M20" s="290"/>
      <c r="O20" s="101">
        <f t="shared" si="0"/>
        <v>0</v>
      </c>
    </row>
    <row r="21" spans="1:15" ht="15.75">
      <c r="A21" s="290"/>
      <c r="B21" s="112">
        <v>592</v>
      </c>
      <c r="C21" s="290" t="s">
        <v>145</v>
      </c>
      <c r="D21" s="290" t="s">
        <v>405</v>
      </c>
      <c r="E21" s="291">
        <f>('TY-Act&amp;Adj'!J25)</f>
        <v>0</v>
      </c>
      <c r="F21" s="290"/>
      <c r="G21" s="290"/>
      <c r="H21" s="291" t="s">
        <v>24</v>
      </c>
      <c r="I21" s="290" t="s">
        <v>24</v>
      </c>
      <c r="J21" s="297" t="s">
        <v>24</v>
      </c>
      <c r="K21" s="290"/>
      <c r="L21" s="290"/>
      <c r="M21" s="290"/>
      <c r="O21" s="101">
        <f t="shared" si="0"/>
        <v>0</v>
      </c>
    </row>
    <row r="22" spans="1:15" ht="15.75">
      <c r="A22" s="290"/>
      <c r="B22" s="112">
        <v>593</v>
      </c>
      <c r="C22" s="290" t="s">
        <v>34</v>
      </c>
      <c r="D22" s="290" t="s">
        <v>423</v>
      </c>
      <c r="E22" s="291">
        <f>('TY-Act&amp;Adj'!J26)</f>
        <v>2566462.7341753584</v>
      </c>
      <c r="F22" s="290"/>
      <c r="G22" s="290"/>
      <c r="H22" s="291">
        <f>(E22*'Func. Footnotes'!E9)</f>
        <v>2260673.7537312666</v>
      </c>
      <c r="I22" s="290"/>
      <c r="J22" s="297">
        <f>(E22-H22)</f>
        <v>305788.98044409184</v>
      </c>
      <c r="K22" s="290"/>
      <c r="L22" s="290"/>
      <c r="M22" s="290"/>
      <c r="O22" s="101">
        <f t="shared" si="0"/>
        <v>2566462.7341753584</v>
      </c>
    </row>
    <row r="23" spans="1:15" ht="15.75">
      <c r="A23" s="290"/>
      <c r="B23" s="112">
        <v>594</v>
      </c>
      <c r="C23" s="290" t="s">
        <v>146</v>
      </c>
      <c r="D23" s="290" t="s">
        <v>423</v>
      </c>
      <c r="E23" s="291">
        <f>('TY-Act&amp;Adj'!J27)</f>
        <v>0</v>
      </c>
      <c r="F23" s="290"/>
      <c r="G23" s="290"/>
      <c r="H23" s="291" t="s">
        <v>24</v>
      </c>
      <c r="I23" s="290"/>
      <c r="J23" s="297">
        <v>0</v>
      </c>
      <c r="K23" s="290"/>
      <c r="L23" s="290"/>
      <c r="M23" s="290"/>
      <c r="O23" s="101">
        <f t="shared" si="0"/>
        <v>0</v>
      </c>
    </row>
    <row r="24" spans="1:15" ht="15.75">
      <c r="A24" s="290"/>
      <c r="B24" s="112">
        <v>595</v>
      </c>
      <c r="C24" s="290" t="s">
        <v>35</v>
      </c>
      <c r="D24" s="290" t="s">
        <v>405</v>
      </c>
      <c r="E24" s="291">
        <f>('TY-Act&amp;Adj'!J28)</f>
        <v>13169.62756977151</v>
      </c>
      <c r="F24" s="290"/>
      <c r="G24" s="290"/>
      <c r="H24" s="290"/>
      <c r="I24" s="297">
        <f>(E24)</f>
        <v>13169.62756977151</v>
      </c>
      <c r="J24" s="297" t="s">
        <v>24</v>
      </c>
      <c r="K24" s="290"/>
      <c r="L24" s="290"/>
      <c r="M24" s="290"/>
      <c r="O24" s="101">
        <f t="shared" si="0"/>
        <v>13169.62756977151</v>
      </c>
    </row>
    <row r="25" spans="1:15" ht="15.75">
      <c r="A25" s="290"/>
      <c r="B25" s="112">
        <v>596</v>
      </c>
      <c r="C25" s="290" t="s">
        <v>147</v>
      </c>
      <c r="D25" s="290" t="s">
        <v>405</v>
      </c>
      <c r="E25" s="291">
        <f>('TY-Act&amp;Adj'!J29)</f>
        <v>0</v>
      </c>
      <c r="F25" s="290"/>
      <c r="G25" s="290"/>
      <c r="H25" s="290"/>
      <c r="I25" s="290"/>
      <c r="J25" s="290"/>
      <c r="K25" s="290"/>
      <c r="L25" s="290"/>
      <c r="M25" s="290"/>
      <c r="N25" s="103">
        <f>(E25)</f>
        <v>0</v>
      </c>
      <c r="O25" s="101">
        <f t="shared" si="0"/>
        <v>0</v>
      </c>
    </row>
    <row r="26" spans="1:15" ht="15.75">
      <c r="A26" s="290"/>
      <c r="B26" s="112">
        <v>597</v>
      </c>
      <c r="C26" s="290" t="s">
        <v>287</v>
      </c>
      <c r="D26" s="290" t="s">
        <v>405</v>
      </c>
      <c r="E26" s="291">
        <f>('TY-Act&amp;Adj'!J30)</f>
        <v>138663.1523271955</v>
      </c>
      <c r="F26" s="290"/>
      <c r="G26" s="290"/>
      <c r="H26" s="290"/>
      <c r="I26" s="290"/>
      <c r="J26" s="290"/>
      <c r="K26" s="297">
        <f>(E26)</f>
        <v>138663.1523271955</v>
      </c>
      <c r="L26" s="290"/>
      <c r="M26" s="290"/>
      <c r="O26" s="101">
        <f t="shared" si="0"/>
        <v>138663.1523271955</v>
      </c>
    </row>
    <row r="27" spans="1:15" ht="15.75">
      <c r="A27" s="290"/>
      <c r="B27" s="112">
        <v>598</v>
      </c>
      <c r="C27" s="290" t="s">
        <v>36</v>
      </c>
      <c r="D27" s="290" t="s">
        <v>424</v>
      </c>
      <c r="E27" s="291">
        <f>('TY-Act&amp;Adj'!J31)</f>
        <v>182725.1559276746</v>
      </c>
      <c r="F27" s="290"/>
      <c r="G27" s="290"/>
      <c r="H27" s="297">
        <f>($E$27*'Func. Footnotes'!D33)</f>
        <v>151963.59704589366</v>
      </c>
      <c r="I27" s="297">
        <f>($E$27*'Func. Footnotes'!E33)</f>
        <v>885.2688159687242</v>
      </c>
      <c r="J27" s="297">
        <f>($E$27*'Func. Footnotes'!F33)</f>
        <v>20555.285046585504</v>
      </c>
      <c r="K27" s="297">
        <f>($E$27*'Func. Footnotes'!G33)</f>
        <v>9321.005019226748</v>
      </c>
      <c r="L27" s="297" t="s">
        <v>24</v>
      </c>
      <c r="M27" s="297" t="s">
        <v>24</v>
      </c>
      <c r="N27" s="103" t="s">
        <v>24</v>
      </c>
      <c r="O27" s="101">
        <f t="shared" si="0"/>
        <v>182725.15592767467</v>
      </c>
    </row>
    <row r="28" spans="1:15" ht="15.75">
      <c r="A28" s="290"/>
      <c r="B28" s="112" t="s">
        <v>24</v>
      </c>
      <c r="C28" s="296" t="s">
        <v>32</v>
      </c>
      <c r="D28" s="290"/>
      <c r="E28" s="297">
        <f>SUM(E19,E21,E22,E23,E24,E26,E25,E27)</f>
        <v>2901020.67</v>
      </c>
      <c r="F28" s="297">
        <f>SUM(F19,F21,F22,F23,F24,F25,F26,F27)</f>
        <v>0</v>
      </c>
      <c r="G28" s="290"/>
      <c r="H28" s="297">
        <f aca="true" t="shared" si="2" ref="H28:N28">SUM(H19,H21,H22,H23,H24,H25,H26,H27)</f>
        <v>2412637.3507771604</v>
      </c>
      <c r="I28" s="297">
        <f t="shared" si="2"/>
        <v>14054.896385740234</v>
      </c>
      <c r="J28" s="297">
        <f t="shared" si="2"/>
        <v>326344.2654906773</v>
      </c>
      <c r="K28" s="297">
        <f t="shared" si="2"/>
        <v>147984.15734642226</v>
      </c>
      <c r="L28" s="297">
        <f t="shared" si="2"/>
        <v>0</v>
      </c>
      <c r="M28" s="297">
        <f t="shared" si="2"/>
        <v>0</v>
      </c>
      <c r="N28" s="103">
        <f t="shared" si="2"/>
        <v>0</v>
      </c>
      <c r="O28" s="101">
        <f t="shared" si="0"/>
        <v>2901020.67</v>
      </c>
    </row>
    <row r="29" spans="1:15" ht="15.75">
      <c r="A29" s="290"/>
      <c r="B29" s="112" t="s">
        <v>24</v>
      </c>
      <c r="C29" s="290" t="s">
        <v>24</v>
      </c>
      <c r="D29" s="290"/>
      <c r="E29" s="297" t="s">
        <v>24</v>
      </c>
      <c r="F29" s="290"/>
      <c r="G29" s="290"/>
      <c r="H29" s="290"/>
      <c r="I29" s="290"/>
      <c r="J29" s="290"/>
      <c r="K29" s="290"/>
      <c r="L29" s="290"/>
      <c r="M29" s="290"/>
      <c r="O29" s="101">
        <f t="shared" si="0"/>
        <v>0</v>
      </c>
    </row>
    <row r="30" spans="1:15" ht="15.75">
      <c r="A30" s="290"/>
      <c r="B30" s="112">
        <v>901</v>
      </c>
      <c r="C30" s="290" t="s">
        <v>37</v>
      </c>
      <c r="D30" s="290" t="s">
        <v>405</v>
      </c>
      <c r="E30" s="291"/>
      <c r="F30" s="290"/>
      <c r="G30" s="290" t="s">
        <v>24</v>
      </c>
      <c r="H30" s="297" t="s">
        <v>24</v>
      </c>
      <c r="I30" s="297" t="s">
        <v>24</v>
      </c>
      <c r="J30" s="297" t="s">
        <v>24</v>
      </c>
      <c r="K30" s="297" t="s">
        <v>24</v>
      </c>
      <c r="L30" s="297" t="s">
        <v>24</v>
      </c>
      <c r="M30" s="297" t="s">
        <v>24</v>
      </c>
      <c r="N30" s="103" t="s">
        <v>24</v>
      </c>
      <c r="O30" s="101">
        <f t="shared" si="0"/>
        <v>0</v>
      </c>
    </row>
    <row r="31" spans="1:15" ht="15.75">
      <c r="A31" s="290"/>
      <c r="B31" s="112">
        <v>902</v>
      </c>
      <c r="C31" s="290" t="s">
        <v>38</v>
      </c>
      <c r="D31" s="290" t="s">
        <v>405</v>
      </c>
      <c r="E31" s="291">
        <f>('TY-Act&amp;Adj'!J35)</f>
        <v>174610.0401781241</v>
      </c>
      <c r="F31" s="290"/>
      <c r="G31" s="290"/>
      <c r="H31" s="290"/>
      <c r="I31" s="290"/>
      <c r="J31" s="290"/>
      <c r="K31" s="290"/>
      <c r="L31" s="297">
        <f aca="true" t="shared" si="3" ref="L31:L37">(E31)</f>
        <v>174610.0401781241</v>
      </c>
      <c r="M31" s="297" t="s">
        <v>24</v>
      </c>
      <c r="N31" s="103">
        <f>(F31)</f>
        <v>0</v>
      </c>
      <c r="O31" s="101">
        <f t="shared" si="0"/>
        <v>174610.0401781241</v>
      </c>
    </row>
    <row r="32" spans="1:15" ht="15.75">
      <c r="A32" s="290"/>
      <c r="B32" s="112">
        <v>903</v>
      </c>
      <c r="C32" s="290" t="s">
        <v>39</v>
      </c>
      <c r="D32" s="290" t="s">
        <v>405</v>
      </c>
      <c r="E32" s="291">
        <f>('TY-Act&amp;Adj'!J36)</f>
        <v>1676738.1269840398</v>
      </c>
      <c r="F32" s="290"/>
      <c r="G32" s="290"/>
      <c r="H32" s="290"/>
      <c r="I32" s="290"/>
      <c r="J32" s="290"/>
      <c r="K32" s="290"/>
      <c r="L32" s="297">
        <f t="shared" si="3"/>
        <v>1676738.1269840398</v>
      </c>
      <c r="M32" s="297" t="s">
        <v>24</v>
      </c>
      <c r="N32" s="103">
        <f>(F32)</f>
        <v>0</v>
      </c>
      <c r="O32" s="101">
        <f t="shared" si="0"/>
        <v>1676738.1269840398</v>
      </c>
    </row>
    <row r="33" spans="1:15" ht="15.75">
      <c r="A33" s="290"/>
      <c r="B33" s="112">
        <v>904</v>
      </c>
      <c r="C33" s="290" t="s">
        <v>40</v>
      </c>
      <c r="D33" s="290" t="s">
        <v>405</v>
      </c>
      <c r="E33" s="291">
        <f>('TY-Act&amp;Adj'!J37)</f>
        <v>178617.55283783612</v>
      </c>
      <c r="F33" s="290"/>
      <c r="G33" s="290"/>
      <c r="H33" s="290"/>
      <c r="I33" s="290"/>
      <c r="J33" s="290"/>
      <c r="K33" s="290"/>
      <c r="L33" s="297">
        <f t="shared" si="3"/>
        <v>178617.55283783612</v>
      </c>
      <c r="M33" s="297" t="s">
        <v>24</v>
      </c>
      <c r="N33" s="103">
        <f>(F33)</f>
        <v>0</v>
      </c>
      <c r="O33" s="101">
        <f t="shared" si="0"/>
        <v>178617.55283783612</v>
      </c>
    </row>
    <row r="34" spans="1:15" ht="15.75">
      <c r="A34" s="290"/>
      <c r="B34" s="112" t="s">
        <v>24</v>
      </c>
      <c r="C34" s="296" t="s">
        <v>342</v>
      </c>
      <c r="D34" s="290"/>
      <c r="E34" s="291">
        <f>SUM(E31:E33)</f>
        <v>2029965.72</v>
      </c>
      <c r="F34" s="290"/>
      <c r="G34" s="290"/>
      <c r="H34" s="297">
        <f>SUM(H30,H31,H32,H33)</f>
        <v>0</v>
      </c>
      <c r="I34" s="297">
        <f>SUM(I30,I31,I32,I33)</f>
        <v>0</v>
      </c>
      <c r="J34" s="297">
        <f>SUM(J30,J31,J32,J33)</f>
        <v>0</v>
      </c>
      <c r="K34" s="290"/>
      <c r="L34" s="297">
        <f t="shared" si="3"/>
        <v>2029965.72</v>
      </c>
      <c r="M34" s="297">
        <f>SUM(M30,M31,M32,M33)</f>
        <v>0</v>
      </c>
      <c r="N34" s="103">
        <f>SUM(N30,N31,N32,N33)</f>
        <v>0</v>
      </c>
      <c r="O34" s="101">
        <f t="shared" si="0"/>
        <v>2029965.72</v>
      </c>
    </row>
    <row r="35" spans="1:15" ht="15.75">
      <c r="A35" s="290"/>
      <c r="B35" s="112"/>
      <c r="C35" s="296"/>
      <c r="D35" s="290"/>
      <c r="E35" s="291"/>
      <c r="F35" s="290"/>
      <c r="G35" s="290"/>
      <c r="H35" s="297"/>
      <c r="I35" s="297"/>
      <c r="J35" s="297"/>
      <c r="K35" s="290"/>
      <c r="L35" s="297">
        <f t="shared" si="3"/>
        <v>0</v>
      </c>
      <c r="M35" s="297"/>
      <c r="N35" s="103"/>
      <c r="O35" s="101">
        <f t="shared" si="0"/>
        <v>0</v>
      </c>
    </row>
    <row r="36" spans="1:15" ht="12.75" customHeight="1">
      <c r="A36" s="290"/>
      <c r="B36" s="112">
        <v>908</v>
      </c>
      <c r="C36" s="290" t="s">
        <v>357</v>
      </c>
      <c r="D36" s="290" t="s">
        <v>405</v>
      </c>
      <c r="E36" s="291">
        <f>('TY-Act&amp;Adj'!J41)</f>
        <v>76265.16269654718</v>
      </c>
      <c r="F36" s="290"/>
      <c r="G36" s="290"/>
      <c r="H36" s="290"/>
      <c r="I36" s="290"/>
      <c r="J36" s="290"/>
      <c r="K36" s="290"/>
      <c r="L36" s="297">
        <f t="shared" si="3"/>
        <v>76265.16269654718</v>
      </c>
      <c r="M36" s="290"/>
      <c r="O36" s="101">
        <f t="shared" si="0"/>
        <v>76265.16269654718</v>
      </c>
    </row>
    <row r="37" spans="1:15" ht="15.75">
      <c r="A37" s="290"/>
      <c r="B37" s="112">
        <v>909</v>
      </c>
      <c r="C37" s="290" t="s">
        <v>358</v>
      </c>
      <c r="D37" s="290" t="s">
        <v>405</v>
      </c>
      <c r="E37" s="291">
        <f>('TY-Act&amp;Adj'!J42)</f>
        <v>40001.63730345282</v>
      </c>
      <c r="F37" s="290"/>
      <c r="G37" s="290"/>
      <c r="H37" s="290"/>
      <c r="I37" s="290"/>
      <c r="J37" s="290"/>
      <c r="K37" s="290"/>
      <c r="L37" s="297">
        <f t="shared" si="3"/>
        <v>40001.63730345282</v>
      </c>
      <c r="M37" s="290"/>
      <c r="O37" s="101">
        <f t="shared" si="0"/>
        <v>40001.63730345282</v>
      </c>
    </row>
    <row r="38" spans="1:15" ht="15.75">
      <c r="A38" s="290"/>
      <c r="B38" s="112"/>
      <c r="C38" s="296" t="s">
        <v>26</v>
      </c>
      <c r="D38" s="290"/>
      <c r="E38" s="291">
        <f>('TY-Act&amp;Adj'!J44)</f>
        <v>116266.79999999999</v>
      </c>
      <c r="F38" s="291">
        <f>SUM(F36:F37)</f>
        <v>0</v>
      </c>
      <c r="G38" s="291">
        <f>SUM(G36:G37)</f>
        <v>0</v>
      </c>
      <c r="H38" s="291">
        <f>SUM(H36:H37)</f>
        <v>0</v>
      </c>
      <c r="I38" s="291">
        <f>SUM(I36:I37)</f>
        <v>0</v>
      </c>
      <c r="J38" s="291">
        <f>SUM(J36:J37)</f>
        <v>0</v>
      </c>
      <c r="K38" s="290"/>
      <c r="L38" s="291">
        <f>SUM(L36:L37)</f>
        <v>116266.8</v>
      </c>
      <c r="M38" s="291">
        <f>SUM(M36:M37)</f>
        <v>0</v>
      </c>
      <c r="N38" s="101">
        <f>SUM(N36:N37)</f>
        <v>0</v>
      </c>
      <c r="O38" s="101">
        <f t="shared" si="0"/>
        <v>116266.8</v>
      </c>
    </row>
    <row r="39" spans="1:15" ht="15.75">
      <c r="A39" s="290"/>
      <c r="B39" s="112" t="s">
        <v>24</v>
      </c>
      <c r="C39" s="290" t="s">
        <v>24</v>
      </c>
      <c r="D39" s="290"/>
      <c r="E39" s="291" t="s">
        <v>24</v>
      </c>
      <c r="F39" s="290"/>
      <c r="G39" s="290"/>
      <c r="H39" s="290"/>
      <c r="I39" s="290"/>
      <c r="J39" s="290"/>
      <c r="K39" s="290"/>
      <c r="L39" s="290"/>
      <c r="M39" s="290"/>
      <c r="O39" s="101">
        <f t="shared" si="0"/>
        <v>0</v>
      </c>
    </row>
    <row r="40" spans="1:15" ht="15.75">
      <c r="A40" s="290"/>
      <c r="B40" s="112"/>
      <c r="C40" s="296" t="s">
        <v>153</v>
      </c>
      <c r="D40" s="290"/>
      <c r="E40" s="291">
        <f>('TY-Act&amp;Adj'!J46)</f>
        <v>37743149.839282</v>
      </c>
      <c r="F40" s="297">
        <f>SUM(F38,F34,F28,F17,E7)</f>
        <v>31279093.129281994</v>
      </c>
      <c r="G40" s="297">
        <f aca="true" t="shared" si="4" ref="G40:N40">SUM(G38,G34,G28,G17)</f>
        <v>6424.4472682613405</v>
      </c>
      <c r="H40" s="297">
        <f t="shared" si="4"/>
        <v>3085558.993078063</v>
      </c>
      <c r="I40" s="297">
        <f t="shared" si="4"/>
        <v>14054.896385740234</v>
      </c>
      <c r="J40" s="297">
        <f t="shared" si="4"/>
        <v>417366.69744412834</v>
      </c>
      <c r="K40" s="297">
        <f t="shared" si="4"/>
        <v>659552.717364668</v>
      </c>
      <c r="L40" s="297">
        <f t="shared" si="4"/>
        <v>2146232.52</v>
      </c>
      <c r="M40" s="297">
        <f t="shared" si="4"/>
        <v>134866.43845913952</v>
      </c>
      <c r="N40" s="103">
        <f t="shared" si="4"/>
        <v>0</v>
      </c>
      <c r="O40" s="103">
        <f>SUM(O38,O34,O28,O17,O7)</f>
        <v>37743149.83928199</v>
      </c>
    </row>
    <row r="41" spans="1:15" ht="15.75">
      <c r="A41" s="290"/>
      <c r="B41" s="112"/>
      <c r="C41" s="290"/>
      <c r="D41" s="290"/>
      <c r="E41" s="291" t="s">
        <v>24</v>
      </c>
      <c r="F41" s="290"/>
      <c r="G41" s="290"/>
      <c r="H41" s="290"/>
      <c r="I41" s="290"/>
      <c r="J41" s="290"/>
      <c r="K41" s="290"/>
      <c r="L41" s="290"/>
      <c r="M41" s="290"/>
      <c r="O41" s="101">
        <f t="shared" si="0"/>
        <v>0</v>
      </c>
    </row>
    <row r="42" spans="1:15" ht="15.75">
      <c r="A42" s="290"/>
      <c r="B42" s="112">
        <v>920</v>
      </c>
      <c r="C42" s="290" t="s">
        <v>288</v>
      </c>
      <c r="D42" s="290" t="s">
        <v>425</v>
      </c>
      <c r="E42" s="291">
        <f>('TY-Act&amp;Adj'!J48)</f>
        <v>888864.57</v>
      </c>
      <c r="F42" s="290"/>
      <c r="G42" s="291">
        <f>(E42*'Func. Footnotes'!$D$43)</f>
        <v>883.4179238800012</v>
      </c>
      <c r="H42" s="291">
        <f>(E42*'Func. Footnotes'!$E$43)</f>
        <v>424291.4613278455</v>
      </c>
      <c r="I42" s="291">
        <f>(E42*'Func. Footnotes'!$F$43)</f>
        <v>1932.6716940739138</v>
      </c>
      <c r="J42" s="291">
        <f>(E42*'Func. Footnotes'!$G$43)</f>
        <v>57391.58653761181</v>
      </c>
      <c r="K42" s="291">
        <f>(E42*'Func. Footnotes'!$H$43)</f>
        <v>90694.29134273132</v>
      </c>
      <c r="L42" s="291">
        <f>(E42*'Func. Footnotes'!$I$43)</f>
        <v>295125.82138373854</v>
      </c>
      <c r="M42" s="291">
        <f>(E42*'Func. Footnotes'!$J$43)</f>
        <v>18545.319790119</v>
      </c>
      <c r="O42" s="101">
        <f t="shared" si="0"/>
        <v>888864.5700000001</v>
      </c>
    </row>
    <row r="43" spans="1:15" ht="15.75">
      <c r="A43" s="290"/>
      <c r="B43" s="112">
        <v>921</v>
      </c>
      <c r="C43" s="290" t="s">
        <v>43</v>
      </c>
      <c r="D43" s="290" t="s">
        <v>425</v>
      </c>
      <c r="E43" s="291">
        <f>('TY-Act&amp;Adj'!J49)</f>
        <v>111054.72</v>
      </c>
      <c r="F43" s="290"/>
      <c r="G43" s="291">
        <f>(E43*'Func. Footnotes'!$D$43)</f>
        <v>110.37421615249538</v>
      </c>
      <c r="H43" s="291">
        <f>(E43*'Func. Footnotes'!$E$43)</f>
        <v>53010.96592943818</v>
      </c>
      <c r="I43" s="291">
        <f>(E43*'Func. Footnotes'!$F$43)</f>
        <v>241.46795932849946</v>
      </c>
      <c r="J43" s="291">
        <f>(E43*'Func. Footnotes'!$G$43)</f>
        <v>7170.503570966102</v>
      </c>
      <c r="K43" s="291">
        <f>(E43*'Func. Footnotes'!$H$43)</f>
        <v>11331.342783373007</v>
      </c>
      <c r="L43" s="291">
        <f>(E43*'Func. Footnotes'!$I$43)</f>
        <v>36873.01369042204</v>
      </c>
      <c r="M43" s="291">
        <f>(E43*'Func. Footnotes'!$J$43)</f>
        <v>2317.0518503197</v>
      </c>
      <c r="O43" s="101">
        <f t="shared" si="0"/>
        <v>111054.72000000002</v>
      </c>
    </row>
    <row r="44" spans="1:15" ht="15.75">
      <c r="A44" s="290"/>
      <c r="B44" s="112">
        <v>923</v>
      </c>
      <c r="C44" s="290" t="s">
        <v>44</v>
      </c>
      <c r="D44" s="290" t="s">
        <v>425</v>
      </c>
      <c r="E44" s="291">
        <f>('TY-Act&amp;Adj'!J50)</f>
        <v>89394.77</v>
      </c>
      <c r="F44" s="290"/>
      <c r="G44" s="291">
        <f>(E44*'Func. Footnotes'!$D$43)</f>
        <v>88.84699062662631</v>
      </c>
      <c r="H44" s="291">
        <f>(E44*'Func. Footnotes'!$E$43)</f>
        <v>42671.784744853365</v>
      </c>
      <c r="I44" s="291">
        <f>(E44*'Func. Footnotes'!$F$43)</f>
        <v>194.37240206035875</v>
      </c>
      <c r="J44" s="291">
        <f>(E44*'Func. Footnotes'!$G$43)</f>
        <v>5771.979052404918</v>
      </c>
      <c r="K44" s="291">
        <f>(E44*'Func. Footnotes'!$H$43)</f>
        <v>9121.294276468301</v>
      </c>
      <c r="L44" s="291">
        <f>(E44*'Func. Footnotes'!$I$43)</f>
        <v>29681.355083891343</v>
      </c>
      <c r="M44" s="291">
        <f>(E44*'Func. Footnotes'!$J$43)</f>
        <v>1865.1374496951055</v>
      </c>
      <c r="O44" s="101">
        <f t="shared" si="0"/>
        <v>89394.77000000002</v>
      </c>
    </row>
    <row r="45" spans="1:15" ht="15.75">
      <c r="A45" s="290"/>
      <c r="B45" s="112">
        <v>928</v>
      </c>
      <c r="C45" s="290" t="s">
        <v>359</v>
      </c>
      <c r="D45" s="290" t="s">
        <v>425</v>
      </c>
      <c r="E45" s="291">
        <f>('TY-Act&amp;Adj'!J51)</f>
        <v>10690.6</v>
      </c>
      <c r="F45" s="290"/>
      <c r="G45" s="291">
        <f>(E45*'Func. Footnotes'!$D$43)</f>
        <v>10.62509180339086</v>
      </c>
      <c r="H45" s="291">
        <f>(E45*'Func. Footnotes'!$E$43)</f>
        <v>5103.06119690592</v>
      </c>
      <c r="I45" s="291">
        <f>(E45*'Func. Footnotes'!$F$43)</f>
        <v>23.244733461101486</v>
      </c>
      <c r="J45" s="291">
        <f>(E45*'Func. Footnotes'!$G$43)</f>
        <v>690.2631916569617</v>
      </c>
      <c r="K45" s="291">
        <f>(E45*'Func. Footnotes'!$H$43)</f>
        <v>1090.8032829214956</v>
      </c>
      <c r="L45" s="291">
        <f>(E45*'Func. Footnotes'!$I$43)</f>
        <v>3549.55323068507</v>
      </c>
      <c r="M45" s="291">
        <f>(E45*'Func. Footnotes'!$J$43)</f>
        <v>223.0492725660628</v>
      </c>
      <c r="O45" s="101">
        <f t="shared" si="0"/>
        <v>10690.600000000002</v>
      </c>
    </row>
    <row r="46" spans="1:15" ht="15.75">
      <c r="A46" s="290"/>
      <c r="B46" s="112">
        <v>925</v>
      </c>
      <c r="C46" s="290" t="s">
        <v>45</v>
      </c>
      <c r="D46" s="290" t="s">
        <v>425</v>
      </c>
      <c r="E46" s="291">
        <f>('TY-Act&amp;Adj'!J52)</f>
        <v>0</v>
      </c>
      <c r="F46" s="290"/>
      <c r="G46" s="291">
        <f>(E46*'Func. Footnotes'!$D$43)</f>
        <v>0</v>
      </c>
      <c r="H46" s="291">
        <f>(E46*'Func. Footnotes'!$E$43)</f>
        <v>0</v>
      </c>
      <c r="I46" s="291">
        <f>(E46*'Func. Footnotes'!$F$43)</f>
        <v>0</v>
      </c>
      <c r="J46" s="291">
        <f>(E46*'Func. Footnotes'!$G$43)</f>
        <v>0</v>
      </c>
      <c r="K46" s="291">
        <f>(E46*'Func. Footnotes'!$H$43)</f>
        <v>0</v>
      </c>
      <c r="L46" s="291">
        <f>(E46*'Func. Footnotes'!$I$43)</f>
        <v>0</v>
      </c>
      <c r="M46" s="291">
        <f>(E46*'Func. Footnotes'!$J$43)</f>
        <v>0</v>
      </c>
      <c r="O46" s="101">
        <f t="shared" si="0"/>
        <v>0</v>
      </c>
    </row>
    <row r="47" spans="1:15" ht="15.75">
      <c r="A47" s="290"/>
      <c r="B47" s="112">
        <v>929</v>
      </c>
      <c r="C47" s="290" t="s">
        <v>46</v>
      </c>
      <c r="D47" s="290" t="s">
        <v>425</v>
      </c>
      <c r="E47" s="291">
        <f>('TY-Act&amp;Adj'!J53)</f>
        <v>-42650.21</v>
      </c>
      <c r="F47" s="290"/>
      <c r="G47" s="291">
        <f>(E47*'Func. Footnotes'!$D$43)</f>
        <v>-42.38886467400322</v>
      </c>
      <c r="H47" s="291">
        <f>(E47*'Func. Footnotes'!$E$43)</f>
        <v>-20358.69190605661</v>
      </c>
      <c r="I47" s="291">
        <f>(E47*'Func. Footnotes'!$F$43)</f>
        <v>-92.7349974285826</v>
      </c>
      <c r="J47" s="291">
        <f>(E47*'Func. Footnotes'!$G$43)</f>
        <v>-2753.8089610910206</v>
      </c>
      <c r="K47" s="291">
        <f>(E47*'Func. Footnotes'!$H$43)</f>
        <v>-4351.765951891493</v>
      </c>
      <c r="L47" s="291">
        <f>(E47*'Func. Footnotes'!$I$43)</f>
        <v>-14160.96296698938</v>
      </c>
      <c r="M47" s="291">
        <f>(E47*'Func. Footnotes'!$J$43)</f>
        <v>-889.8563518689144</v>
      </c>
      <c r="O47" s="101">
        <f t="shared" si="0"/>
        <v>-42650.21</v>
      </c>
    </row>
    <row r="48" spans="1:15" ht="15.75">
      <c r="A48" s="290"/>
      <c r="B48" s="112">
        <v>930.1</v>
      </c>
      <c r="C48" s="290" t="s">
        <v>360</v>
      </c>
      <c r="D48" s="290" t="s">
        <v>425</v>
      </c>
      <c r="E48" s="291">
        <f>('TY-Act&amp;Adj'!J54)</f>
        <v>111309.82999999999</v>
      </c>
      <c r="F48" s="290"/>
      <c r="G48" s="291">
        <f>(E48*'Func. Footnotes'!$D$43)</f>
        <v>110.62776292909939</v>
      </c>
      <c r="H48" s="291">
        <f>(E48*'Func. Footnotes'!$E$43)</f>
        <v>53132.740380071686</v>
      </c>
      <c r="I48" s="291">
        <f>(E48*'Func. Footnotes'!$F$43)</f>
        <v>242.02264886447136</v>
      </c>
      <c r="J48" s="291">
        <f>(E48*'Func. Footnotes'!$G$43)</f>
        <v>7186.975335209793</v>
      </c>
      <c r="K48" s="291">
        <f>(E48*'Func. Footnotes'!$H$43)</f>
        <v>11357.372643764947</v>
      </c>
      <c r="L48" s="291">
        <f>(E48*'Func. Footnotes'!$I$43)</f>
        <v>36957.71674962171</v>
      </c>
      <c r="M48" s="291">
        <f>(E48*'Func. Footnotes'!$J$43)</f>
        <v>2322.3744795382963</v>
      </c>
      <c r="O48" s="101">
        <f t="shared" si="0"/>
        <v>111309.82999999999</v>
      </c>
    </row>
    <row r="49" spans="1:15" ht="15.75">
      <c r="A49" s="290"/>
      <c r="B49" s="112">
        <v>930.11</v>
      </c>
      <c r="C49" s="290" t="s">
        <v>361</v>
      </c>
      <c r="D49" s="290" t="s">
        <v>425</v>
      </c>
      <c r="E49" s="291">
        <f>('TY-Act&amp;Adj'!J55)</f>
        <v>74401.83</v>
      </c>
      <c r="F49" s="290"/>
      <c r="G49" s="291">
        <f>(E49*'Func. Footnotes'!$D$43)</f>
        <v>73.94592203340133</v>
      </c>
      <c r="H49" s="291">
        <f>(E49*'Func. Footnotes'!$E$43)</f>
        <v>35515.04047030015</v>
      </c>
      <c r="I49" s="291">
        <f>(E49*'Func. Footnotes'!$F$43)</f>
        <v>161.77302558960062</v>
      </c>
      <c r="J49" s="291">
        <f>(E49*'Func. Footnotes'!$G$43)</f>
        <v>4803.925377520315</v>
      </c>
      <c r="K49" s="291">
        <f>(E49*'Func. Footnotes'!$H$43)</f>
        <v>7591.506596390008</v>
      </c>
      <c r="L49" s="291">
        <f>(E49*'Func. Footnotes'!$I$43)</f>
        <v>24703.31469191452</v>
      </c>
      <c r="M49" s="291">
        <f>(E49*'Func. Footnotes'!$J$43)</f>
        <v>1552.3239162520222</v>
      </c>
      <c r="O49" s="101">
        <f t="shared" si="0"/>
        <v>74401.83000000002</v>
      </c>
    </row>
    <row r="50" spans="1:15" ht="15.75">
      <c r="A50" s="290"/>
      <c r="B50" s="290">
        <v>930.2</v>
      </c>
      <c r="C50" s="290" t="s">
        <v>364</v>
      </c>
      <c r="D50" s="290" t="s">
        <v>425</v>
      </c>
      <c r="E50" s="291">
        <f>('TY-Act&amp;Adj'!J56)</f>
        <v>85041.36</v>
      </c>
      <c r="F50" s="290"/>
      <c r="G50" s="291">
        <f>(E50*'Func. Footnotes'!$D$43)</f>
        <v>84.52025677559831</v>
      </c>
      <c r="H50" s="291">
        <f>(E50*'Func. Footnotes'!$E$43)</f>
        <v>40593.7238647136</v>
      </c>
      <c r="I50" s="291">
        <f>(E50*'Func. Footnotes'!$F$43)</f>
        <v>184.90671677638088</v>
      </c>
      <c r="J50" s="291">
        <f>(E50*'Func. Footnotes'!$G$43)</f>
        <v>5490.891117098075</v>
      </c>
      <c r="K50" s="291">
        <f>(E50*'Func. Footnotes'!$H$43)</f>
        <v>8677.09900960739</v>
      </c>
      <c r="L50" s="291">
        <f>(E50*'Func. Footnotes'!$I$43)</f>
        <v>28235.911373529278</v>
      </c>
      <c r="M50" s="291">
        <f>(E50*'Func. Footnotes'!$J$43)</f>
        <v>1774.3076614996978</v>
      </c>
      <c r="O50" s="101">
        <f t="shared" si="0"/>
        <v>85041.36</v>
      </c>
    </row>
    <row r="51" spans="1:15" ht="15.75">
      <c r="A51" s="290"/>
      <c r="B51" s="112">
        <v>930.3</v>
      </c>
      <c r="C51" s="290" t="s">
        <v>362</v>
      </c>
      <c r="D51" s="290" t="s">
        <v>425</v>
      </c>
      <c r="E51" s="291">
        <f>('TY-Act&amp;Adj'!J57)</f>
        <v>13.29</v>
      </c>
      <c r="F51" s="290"/>
      <c r="G51" s="291">
        <f>(E51*'Func. Footnotes'!$D$43)</f>
        <v>0.013208563604200375</v>
      </c>
      <c r="H51" s="291">
        <f>(E51*'Func. Footnotes'!$E$43)</f>
        <v>6.343861271292506</v>
      </c>
      <c r="I51" s="291">
        <f>(E51*'Func. Footnotes'!$F$43)</f>
        <v>0.0288966482421977</v>
      </c>
      <c r="J51" s="291">
        <f>(E51*'Func. Footnotes'!$G$43)</f>
        <v>0.858099434748379</v>
      </c>
      <c r="K51" s="291">
        <f>(E51*'Func. Footnotes'!$H$43)</f>
        <v>1.3560301227271316</v>
      </c>
      <c r="L51" s="291">
        <f>(E51*'Func. Footnotes'!$I$43)</f>
        <v>4.412620660749123</v>
      </c>
      <c r="M51" s="291">
        <f>(E51*'Func. Footnotes'!$J$43)</f>
        <v>0.2772832986364633</v>
      </c>
      <c r="O51" s="101">
        <f t="shared" si="0"/>
        <v>13.290000000000001</v>
      </c>
    </row>
    <row r="52" spans="1:15" ht="15.75">
      <c r="A52" s="290"/>
      <c r="B52" s="112">
        <v>930.4</v>
      </c>
      <c r="C52" s="290" t="s">
        <v>363</v>
      </c>
      <c r="D52" s="290" t="s">
        <v>425</v>
      </c>
      <c r="E52" s="291">
        <f>('TY-Act&amp;Adj'!J58)</f>
        <v>25839.76</v>
      </c>
      <c r="F52" s="290"/>
      <c r="G52" s="291">
        <f>(E52*'Func. Footnotes'!$D$43)</f>
        <v>25.68142313598741</v>
      </c>
      <c r="H52" s="291">
        <f>(E52*'Func. Footnotes'!$E$43)</f>
        <v>12334.375675206415</v>
      </c>
      <c r="I52" s="291">
        <f>(E52*'Func. Footnotes'!$F$43)</f>
        <v>56.18378144340184</v>
      </c>
      <c r="J52" s="291">
        <f>(E52*'Func. Footnotes'!$G$43)</f>
        <v>1668.4035703561906</v>
      </c>
      <c r="K52" s="291">
        <f>(E52*'Func. Footnotes'!$H$43)</f>
        <v>2636.530694058663</v>
      </c>
      <c r="L52" s="291">
        <f>(E52*'Func. Footnotes'!$I$43)</f>
        <v>8579.462667027747</v>
      </c>
      <c r="M52" s="291">
        <f>(E52*'Func. Footnotes'!$J$43)</f>
        <v>539.1221887715981</v>
      </c>
      <c r="O52" s="101">
        <f t="shared" si="0"/>
        <v>25839.760000000002</v>
      </c>
    </row>
    <row r="53" spans="1:15" ht="15.75">
      <c r="A53" s="290"/>
      <c r="B53" s="112">
        <v>932</v>
      </c>
      <c r="C53" s="290" t="s">
        <v>365</v>
      </c>
      <c r="D53" s="290" t="s">
        <v>425</v>
      </c>
      <c r="E53" s="291">
        <f>('TY-Act&amp;Adj'!J59)</f>
        <v>116627.22</v>
      </c>
      <c r="F53" s="290"/>
      <c r="G53" s="291">
        <f>(E53*'Func. Footnotes'!$D$43)</f>
        <v>115.91256985335366</v>
      </c>
      <c r="H53" s="291">
        <f>(E53*'Func. Footnotes'!$E$43)</f>
        <v>55670.94839251399</v>
      </c>
      <c r="I53" s="291">
        <f>(E53*'Func. Footnotes'!$F$43)</f>
        <v>253.5843304593984</v>
      </c>
      <c r="J53" s="291">
        <f>(E53*'Func. Footnotes'!$G$43)</f>
        <v>7530.304857658002</v>
      </c>
      <c r="K53" s="291">
        <f>(E53*'Func. Footnotes'!$H$43)</f>
        <v>11899.9265199341</v>
      </c>
      <c r="L53" s="291">
        <f>(E53*'Func. Footnotes'!$I$43)</f>
        <v>38723.226529551044</v>
      </c>
      <c r="M53" s="291">
        <f>(E53*'Func. Footnotes'!$J$43)</f>
        <v>2433.3168000301357</v>
      </c>
      <c r="O53" s="101">
        <f t="shared" si="0"/>
        <v>116627.22000000003</v>
      </c>
    </row>
    <row r="54" spans="1:16" ht="15.75">
      <c r="A54" s="290"/>
      <c r="B54" s="112"/>
      <c r="C54" s="296" t="s">
        <v>47</v>
      </c>
      <c r="D54" s="290" t="s">
        <v>24</v>
      </c>
      <c r="E54" s="291">
        <f>('TY-Act&amp;Adj'!J61)</f>
        <v>1470587.7400000002</v>
      </c>
      <c r="F54" s="290"/>
      <c r="G54" s="291">
        <f aca="true" t="shared" si="5" ref="G54:M54">SUM(G42:G53)</f>
        <v>1461.5765010795549</v>
      </c>
      <c r="H54" s="291">
        <f t="shared" si="5"/>
        <v>701971.7539370635</v>
      </c>
      <c r="I54" s="291">
        <f t="shared" si="5"/>
        <v>3197.5211912767863</v>
      </c>
      <c r="J54" s="291">
        <f t="shared" si="5"/>
        <v>94951.8817488259</v>
      </c>
      <c r="K54" s="291">
        <f t="shared" si="5"/>
        <v>150049.75722748044</v>
      </c>
      <c r="L54" s="291">
        <f t="shared" si="5"/>
        <v>488272.8250540527</v>
      </c>
      <c r="M54" s="291">
        <f t="shared" si="5"/>
        <v>30682.42434022134</v>
      </c>
      <c r="N54" s="101">
        <f>SUM(N42:N52)</f>
        <v>0</v>
      </c>
      <c r="O54" s="101">
        <f t="shared" si="0"/>
        <v>1470587.7400000002</v>
      </c>
      <c r="P54" s="103">
        <f>(O54-E54)</f>
        <v>0</v>
      </c>
    </row>
    <row r="55" spans="1:16" ht="15.75">
      <c r="A55" s="290"/>
      <c r="B55" s="112"/>
      <c r="C55" s="296"/>
      <c r="D55" s="290"/>
      <c r="E55" s="291">
        <f>('TY-Act&amp;Adj'!J62)</f>
        <v>0</v>
      </c>
      <c r="F55" s="290"/>
      <c r="G55" s="290"/>
      <c r="H55" s="291"/>
      <c r="I55" s="291"/>
      <c r="J55" s="291"/>
      <c r="K55" s="291"/>
      <c r="L55" s="291"/>
      <c r="M55" s="291"/>
      <c r="N55" s="101"/>
      <c r="O55" s="101">
        <f t="shared" si="0"/>
        <v>0</v>
      </c>
      <c r="P55" s="103"/>
    </row>
    <row r="56" spans="1:15" ht="15.75">
      <c r="A56" s="290"/>
      <c r="B56" s="112">
        <v>403</v>
      </c>
      <c r="C56" s="290" t="s">
        <v>64</v>
      </c>
      <c r="D56" s="290" t="s">
        <v>5</v>
      </c>
      <c r="E56" s="291">
        <f>('TY-Act&amp;Adj'!J63)</f>
        <v>3518784.36</v>
      </c>
      <c r="F56" s="290"/>
      <c r="G56" s="291">
        <f>($E$56*'Rate Base'!F31)</f>
        <v>27117.65288115674</v>
      </c>
      <c r="H56" s="291">
        <f>($E$56*'Rate Base'!G31)</f>
        <v>2279514.665591825</v>
      </c>
      <c r="I56" s="291">
        <f>($E$56*'Rate Base'!H31)</f>
        <v>372575.12150135386</v>
      </c>
      <c r="J56" s="291">
        <f>($E$56*'Rate Base'!I31)</f>
        <v>308311.57850928797</v>
      </c>
      <c r="K56" s="291">
        <f>($E$56*'Rate Base'!J31)</f>
        <v>260916.39326308423</v>
      </c>
      <c r="L56" s="291">
        <f>($E$56*'Rate Base'!K31)</f>
        <v>93030.22128747491</v>
      </c>
      <c r="M56" s="291">
        <f>($E$56*'Rate Base'!L31)</f>
        <v>177318.72696581765</v>
      </c>
      <c r="N56" s="101" t="s">
        <v>24</v>
      </c>
      <c r="O56" s="101">
        <f t="shared" si="0"/>
        <v>3518784.3600000003</v>
      </c>
    </row>
    <row r="57" spans="1:15" ht="15.75">
      <c r="A57" s="290"/>
      <c r="B57" s="112">
        <v>403</v>
      </c>
      <c r="C57" s="290" t="s">
        <v>65</v>
      </c>
      <c r="D57" s="290" t="s">
        <v>5</v>
      </c>
      <c r="E57" s="291">
        <f>('TY-Act&amp;Adj'!J64)</f>
        <v>186244.84</v>
      </c>
      <c r="F57" s="290"/>
      <c r="G57" s="291">
        <f>($E$57*'Rate Base'!F31)</f>
        <v>1435.3033335713064</v>
      </c>
      <c r="H57" s="291">
        <f>($E$57*'Rate Base'!G31)</f>
        <v>120651.85039381127</v>
      </c>
      <c r="I57" s="291">
        <f>($E$57*'Rate Base'!H31)</f>
        <v>19719.933588655662</v>
      </c>
      <c r="J57" s="291">
        <f>($E$57*'Rate Base'!I31)</f>
        <v>16318.544910666187</v>
      </c>
      <c r="K57" s="291">
        <f>($E$57*'Rate Base'!J31)</f>
        <v>13809.977237894793</v>
      </c>
      <c r="L57" s="291">
        <f>($E$57*'Rate Base'!K31)</f>
        <v>4923.972857163193</v>
      </c>
      <c r="M57" s="291">
        <f>($E$57*'Rate Base'!L31)</f>
        <v>9385.257678237604</v>
      </c>
      <c r="N57" s="101" t="s">
        <v>24</v>
      </c>
      <c r="O57" s="101">
        <f t="shared" si="0"/>
        <v>186244.84</v>
      </c>
    </row>
    <row r="58" spans="1:16" ht="15.75">
      <c r="A58" s="290"/>
      <c r="B58" s="112"/>
      <c r="C58" s="296" t="s">
        <v>52</v>
      </c>
      <c r="D58" s="290"/>
      <c r="E58" s="291">
        <f>('TY-Act&amp;Adj'!J66)</f>
        <v>3705029.1999999997</v>
      </c>
      <c r="F58" s="291">
        <f aca="true" t="shared" si="6" ref="F58:M58">(F56+F57)</f>
        <v>0</v>
      </c>
      <c r="G58" s="291">
        <f t="shared" si="6"/>
        <v>28552.95621472805</v>
      </c>
      <c r="H58" s="291">
        <f t="shared" si="6"/>
        <v>2400166.515985636</v>
      </c>
      <c r="I58" s="291">
        <f t="shared" si="6"/>
        <v>392295.0550900095</v>
      </c>
      <c r="J58" s="291">
        <f t="shared" si="6"/>
        <v>324630.12341995415</v>
      </c>
      <c r="K58" s="291">
        <f t="shared" si="6"/>
        <v>274726.370500979</v>
      </c>
      <c r="L58" s="291">
        <f t="shared" si="6"/>
        <v>97954.19414463811</v>
      </c>
      <c r="M58" s="291">
        <f t="shared" si="6"/>
        <v>186703.98464405525</v>
      </c>
      <c r="N58" s="101" t="s">
        <v>24</v>
      </c>
      <c r="O58" s="101">
        <f t="shared" si="0"/>
        <v>3705029.2</v>
      </c>
      <c r="P58" s="103">
        <f>(E58-O58)</f>
        <v>-4.656612873077393E-10</v>
      </c>
    </row>
    <row r="59" spans="1:16" ht="15.75">
      <c r="A59" s="290"/>
      <c r="B59" s="112"/>
      <c r="C59" s="290"/>
      <c r="D59" s="290"/>
      <c r="E59" s="291">
        <f>('TY-Act&amp;Adj'!J67)</f>
        <v>0</v>
      </c>
      <c r="F59" s="290"/>
      <c r="G59" s="290"/>
      <c r="H59" s="290"/>
      <c r="I59" s="290"/>
      <c r="J59" s="290"/>
      <c r="K59" s="290"/>
      <c r="L59" s="290"/>
      <c r="M59" s="290"/>
      <c r="N59" s="102" t="s">
        <v>24</v>
      </c>
      <c r="O59" s="101">
        <f aca="true" t="shared" si="7" ref="O59:O64">SUM(F59:M59)</f>
        <v>0</v>
      </c>
      <c r="P59" s="103">
        <f aca="true" t="shared" si="8" ref="P59:P68">(E59-O59)</f>
        <v>0</v>
      </c>
    </row>
    <row r="60" spans="1:16" ht="15.75">
      <c r="A60" s="290"/>
      <c r="B60" s="112">
        <v>408</v>
      </c>
      <c r="C60" s="290" t="s">
        <v>341</v>
      </c>
      <c r="D60" s="290" t="s">
        <v>66</v>
      </c>
      <c r="E60" s="291">
        <f>('TY-Act&amp;Adj'!J68)</f>
        <v>56395.32</v>
      </c>
      <c r="F60" s="290"/>
      <c r="G60" s="291">
        <f>($E$60*'Rate Base'!F43)</f>
        <v>434.6847387201293</v>
      </c>
      <c r="H60" s="291">
        <f>($E$60*'Rate Base'!G43)</f>
        <v>36535.455062752386</v>
      </c>
      <c r="I60" s="291">
        <f>($E$60*'Rate Base'!H43)</f>
        <v>5972.347853311633</v>
      </c>
      <c r="J60" s="291">
        <f>($E$60*'Rate Base'!I43)</f>
        <v>4941.535959138661</v>
      </c>
      <c r="K60" s="291">
        <f>($E$60*'Rate Base'!J43)</f>
        <v>4181.390620531161</v>
      </c>
      <c r="L60" s="291">
        <f>($E$60*'Rate Base'!K43)</f>
        <v>1487.7140066847564</v>
      </c>
      <c r="M60" s="291">
        <f>($E$60*'Rate Base'!L43)</f>
        <v>2842.191758861277</v>
      </c>
      <c r="N60" s="101" t="s">
        <v>24</v>
      </c>
      <c r="O60" s="101">
        <f t="shared" si="7"/>
        <v>56395.32000000001</v>
      </c>
      <c r="P60" s="103">
        <f t="shared" si="8"/>
        <v>-7.275957614183426E-12</v>
      </c>
    </row>
    <row r="61" spans="1:16" ht="15.75">
      <c r="A61" s="290"/>
      <c r="B61" s="112">
        <v>426.1</v>
      </c>
      <c r="C61" s="290" t="s">
        <v>366</v>
      </c>
      <c r="D61" s="290" t="s">
        <v>66</v>
      </c>
      <c r="E61" s="291">
        <f>('TY-Act&amp;Adj'!J69)</f>
        <v>0.1999999999998181</v>
      </c>
      <c r="F61" s="290"/>
      <c r="G61" s="291">
        <f>($E$61*'Rate Base'!F43)</f>
        <v>0.0015415631606301161</v>
      </c>
      <c r="H61" s="291">
        <f>($E$61*'Rate Base'!G43)</f>
        <v>0.1295691027649782</v>
      </c>
      <c r="I61" s="291">
        <f>($E$61*'Rate Base'!H43)</f>
        <v>0.021180296000824897</v>
      </c>
      <c r="J61" s="291">
        <f>($E$61*'Rate Base'!I43)</f>
        <v>0.017524631331586264</v>
      </c>
      <c r="K61" s="291">
        <f>($E$61*'Rate Base'!J43)</f>
        <v>0.014828856793533076</v>
      </c>
      <c r="L61" s="291">
        <f>($E$61*'Rate Base'!K43)</f>
        <v>0.005276019381336619</v>
      </c>
      <c r="M61" s="291">
        <f>($E$61*'Rate Base'!L43)</f>
        <v>0.010079530566928929</v>
      </c>
      <c r="N61" s="101" t="s">
        <v>24</v>
      </c>
      <c r="O61" s="101">
        <f t="shared" si="7"/>
        <v>0.1999999999998181</v>
      </c>
      <c r="P61" s="103">
        <f t="shared" si="8"/>
        <v>0</v>
      </c>
    </row>
    <row r="62" spans="1:16" ht="15.75">
      <c r="A62" s="290"/>
      <c r="B62" s="112">
        <v>426.11</v>
      </c>
      <c r="C62" s="290" t="s">
        <v>403</v>
      </c>
      <c r="D62" s="290" t="s">
        <v>66</v>
      </c>
      <c r="E62" s="291">
        <f>('TY-Act&amp;Adj'!J70)</f>
        <v>0</v>
      </c>
      <c r="F62" s="290"/>
      <c r="G62" s="290"/>
      <c r="H62" s="291"/>
      <c r="I62" s="291"/>
      <c r="J62" s="291"/>
      <c r="K62" s="291"/>
      <c r="L62" s="291"/>
      <c r="M62" s="291"/>
      <c r="N62" s="101"/>
      <c r="O62" s="101">
        <f t="shared" si="7"/>
        <v>0</v>
      </c>
      <c r="P62" s="103">
        <f t="shared" si="8"/>
        <v>0</v>
      </c>
    </row>
    <row r="63" spans="1:16" ht="15.75">
      <c r="A63" s="290"/>
      <c r="B63" s="112">
        <v>423.12</v>
      </c>
      <c r="C63" s="290" t="s">
        <v>367</v>
      </c>
      <c r="D63" s="290"/>
      <c r="E63" s="291">
        <f>('TY-Act&amp;Adj'!J71)</f>
        <v>0.4700000000000273</v>
      </c>
      <c r="F63" s="290"/>
      <c r="G63" s="290"/>
      <c r="H63" s="291"/>
      <c r="I63" s="291"/>
      <c r="J63" s="291"/>
      <c r="K63" s="291"/>
      <c r="L63" s="291"/>
      <c r="M63" s="291"/>
      <c r="N63" s="101"/>
      <c r="O63" s="101">
        <f t="shared" si="7"/>
        <v>0</v>
      </c>
      <c r="P63" s="103">
        <f t="shared" si="8"/>
        <v>0.4700000000000273</v>
      </c>
    </row>
    <row r="64" spans="1:16" ht="15.75">
      <c r="A64" s="290"/>
      <c r="B64" s="112"/>
      <c r="C64" s="296" t="s">
        <v>53</v>
      </c>
      <c r="D64" s="290"/>
      <c r="E64" s="291">
        <f>('TY-Act&amp;Adj'!J73)</f>
        <v>56395.98999999999</v>
      </c>
      <c r="F64" s="291">
        <f>(F60+F61)</f>
        <v>0</v>
      </c>
      <c r="G64" s="291">
        <f aca="true" t="shared" si="9" ref="G64:M64">(G61+G60)</f>
        <v>434.68628028328993</v>
      </c>
      <c r="H64" s="291">
        <f t="shared" si="9"/>
        <v>36535.58463185515</v>
      </c>
      <c r="I64" s="291">
        <f t="shared" si="9"/>
        <v>5972.369033607634</v>
      </c>
      <c r="J64" s="291">
        <f t="shared" si="9"/>
        <v>4941.553483769993</v>
      </c>
      <c r="K64" s="291">
        <f t="shared" si="9"/>
        <v>4181.405449387955</v>
      </c>
      <c r="L64" s="291">
        <f t="shared" si="9"/>
        <v>1487.7192827041379</v>
      </c>
      <c r="M64" s="291">
        <f t="shared" si="9"/>
        <v>2842.201838391844</v>
      </c>
      <c r="N64" s="101" t="s">
        <v>24</v>
      </c>
      <c r="O64" s="101">
        <f t="shared" si="7"/>
        <v>56395.520000000004</v>
      </c>
      <c r="P64" s="103">
        <f t="shared" si="8"/>
        <v>0.46999999998661224</v>
      </c>
    </row>
    <row r="65" spans="1:16" ht="15.75">
      <c r="A65" s="290"/>
      <c r="B65" s="112"/>
      <c r="C65" s="290"/>
      <c r="D65" s="290"/>
      <c r="E65" s="291">
        <f>('TY-Act&amp;Adj'!J74)</f>
        <v>0</v>
      </c>
      <c r="F65" s="290"/>
      <c r="G65" s="290"/>
      <c r="H65" s="290"/>
      <c r="I65" s="290"/>
      <c r="J65" s="290"/>
      <c r="K65" s="290"/>
      <c r="L65" s="290"/>
      <c r="M65" s="290"/>
      <c r="O65" s="101">
        <f>SUM(F65:N65)</f>
        <v>0</v>
      </c>
      <c r="P65" s="103">
        <f t="shared" si="8"/>
        <v>0</v>
      </c>
    </row>
    <row r="66" spans="1:16" ht="15.75">
      <c r="A66" s="290"/>
      <c r="B66" s="112"/>
      <c r="C66" s="296" t="s">
        <v>54</v>
      </c>
      <c r="D66" s="290"/>
      <c r="E66" s="291">
        <f>('TY-Act&amp;Adj'!J75)</f>
        <v>850646.3345358</v>
      </c>
      <c r="F66" s="291">
        <v>0</v>
      </c>
      <c r="G66" s="291">
        <f>($E$66*'Rate Base'!F43)</f>
        <v>6556.625260233118</v>
      </c>
      <c r="H66" s="291">
        <f>($E$66*'Rate Base'!G43)</f>
        <v>551087.4116811068</v>
      </c>
      <c r="I66" s="291">
        <f>($E$66*'Rate Base'!H43)</f>
        <v>90084.70578750674</v>
      </c>
      <c r="J66" s="291">
        <f>($E$66*'Rate Base'!I43)</f>
        <v>74536.31703159325</v>
      </c>
      <c r="K66" s="291">
        <f>($E$66*'Rate Base'!J43)</f>
        <v>63070.563383933404</v>
      </c>
      <c r="L66" s="291">
        <f>($E$66*'Rate Base'!K43)</f>
        <v>22440.132738389584</v>
      </c>
      <c r="M66" s="291">
        <f>($E$66*'Rate Base'!L43)</f>
        <v>42870.578653037235</v>
      </c>
      <c r="N66" s="101" t="s">
        <v>24</v>
      </c>
      <c r="O66" s="101">
        <f>SUM(F66:M66)</f>
        <v>850646.3345358</v>
      </c>
      <c r="P66" s="103">
        <f t="shared" si="8"/>
        <v>0</v>
      </c>
    </row>
    <row r="67" spans="1:16" ht="15.75">
      <c r="A67" s="290"/>
      <c r="B67" s="112"/>
      <c r="C67" s="290"/>
      <c r="D67" s="290"/>
      <c r="E67" s="291">
        <f>('TY-Act&amp;Adj'!J76)</f>
        <v>0</v>
      </c>
      <c r="F67" s="290"/>
      <c r="G67" s="290"/>
      <c r="H67" s="290"/>
      <c r="I67" s="290"/>
      <c r="J67" s="290"/>
      <c r="K67" s="290"/>
      <c r="L67" s="290"/>
      <c r="M67" s="290"/>
      <c r="O67" s="101">
        <f aca="true" t="shared" si="10" ref="O67:O73">SUM(F67:M67)</f>
        <v>0</v>
      </c>
      <c r="P67" s="103">
        <f t="shared" si="8"/>
        <v>0</v>
      </c>
    </row>
    <row r="68" spans="1:16" ht="15.75">
      <c r="A68" s="290"/>
      <c r="B68" s="112"/>
      <c r="C68" s="296" t="s">
        <v>284</v>
      </c>
      <c r="D68" s="290" t="s">
        <v>66</v>
      </c>
      <c r="E68" s="291">
        <f>('TY-Act&amp;Adj'!J77)</f>
        <v>3795.78</v>
      </c>
      <c r="F68" s="291">
        <v>0</v>
      </c>
      <c r="G68" s="291">
        <f>($E$68*'Rate Base'!F43)</f>
        <v>29.25717306930952</v>
      </c>
      <c r="H68" s="291">
        <f>($E$68*'Rate Base'!G43)</f>
        <v>2459.0790444684817</v>
      </c>
      <c r="I68" s="291">
        <f>($E$68*'Rate Base'!H43)</f>
        <v>401.97871977042126</v>
      </c>
      <c r="J68" s="291">
        <f>($E$68*'Rate Base'!I43)</f>
        <v>332.59822557934507</v>
      </c>
      <c r="K68" s="291">
        <f>($E$68*'Rate Base'!J43)</f>
        <v>281.4353901990409</v>
      </c>
      <c r="L68" s="291">
        <f>($E$68*'Rate Base'!K43)</f>
        <v>100.13304423654064</v>
      </c>
      <c r="M68" s="291">
        <f>($E$68*'Rate Base'!L43)</f>
        <v>191.29840267686146</v>
      </c>
      <c r="N68" s="101" t="s">
        <v>24</v>
      </c>
      <c r="O68" s="101">
        <f t="shared" si="10"/>
        <v>3795.78</v>
      </c>
      <c r="P68" s="103">
        <f t="shared" si="8"/>
        <v>0</v>
      </c>
    </row>
    <row r="69" spans="1:17" ht="15.75">
      <c r="A69" s="290"/>
      <c r="B69" s="112"/>
      <c r="C69" s="290"/>
      <c r="D69" s="290"/>
      <c r="E69" s="291">
        <f>('TY-Act&amp;Adj'!J78)</f>
        <v>0</v>
      </c>
      <c r="F69" s="290"/>
      <c r="G69" s="290"/>
      <c r="H69" s="290"/>
      <c r="I69" s="290"/>
      <c r="J69" s="290"/>
      <c r="K69" s="290"/>
      <c r="L69" s="290"/>
      <c r="M69" s="290"/>
      <c r="O69" s="101">
        <f t="shared" si="10"/>
        <v>0</v>
      </c>
      <c r="Q69" s="103">
        <f>SUM(G7,G17,G28,G34,G40,G54,G64,G64,G58,G66,G68)</f>
        <v>50318.682246199285</v>
      </c>
    </row>
    <row r="70" spans="1:16" ht="15.75">
      <c r="A70" s="290"/>
      <c r="B70" s="112"/>
      <c r="C70" s="296" t="s">
        <v>55</v>
      </c>
      <c r="D70" s="290"/>
      <c r="E70" s="291">
        <f>('TY-Act&amp;Adj'!J79)</f>
        <v>43829604.88381781</v>
      </c>
      <c r="F70" s="297">
        <f aca="true" t="shared" si="11" ref="F70:M70">SUM(F40,F54,F58,F64,F66,F68)</f>
        <v>31279093.129281994</v>
      </c>
      <c r="G70" s="297">
        <f t="shared" si="11"/>
        <v>43459.54869765466</v>
      </c>
      <c r="H70" s="297">
        <f t="shared" si="11"/>
        <v>6777779.338358194</v>
      </c>
      <c r="I70" s="297">
        <f t="shared" si="11"/>
        <v>506006.52620791143</v>
      </c>
      <c r="J70" s="297">
        <f t="shared" si="11"/>
        <v>916759.171353851</v>
      </c>
      <c r="K70" s="297">
        <f t="shared" si="11"/>
        <v>1151862.2493166476</v>
      </c>
      <c r="L70" s="297">
        <f t="shared" si="11"/>
        <v>2756487.524264021</v>
      </c>
      <c r="M70" s="297">
        <f t="shared" si="11"/>
        <v>398156.9263375221</v>
      </c>
      <c r="N70" s="103">
        <f>SUM(N7,N17,N28,N34,N38,N54,N58,N64,N66,N68)</f>
        <v>0</v>
      </c>
      <c r="O70" s="101">
        <f>SUM(F70:M70)</f>
        <v>43829604.4138178</v>
      </c>
      <c r="P70" s="103">
        <f>(E70-O70)</f>
        <v>0.4700000062584877</v>
      </c>
    </row>
    <row r="71" spans="5:15" ht="15.75">
      <c r="E71" s="101">
        <f>('TY-Act&amp;Adj'!J80)</f>
        <v>0</v>
      </c>
      <c r="O71" s="101">
        <f t="shared" si="10"/>
        <v>0</v>
      </c>
    </row>
    <row r="72" spans="3:15" ht="15.75">
      <c r="C72" s="110" t="s">
        <v>56</v>
      </c>
      <c r="D72" s="102" t="s">
        <v>66</v>
      </c>
      <c r="E72" s="101">
        <f>('TY-Act&amp;Adj'!J81)</f>
        <v>1199411.331695478</v>
      </c>
      <c r="G72" s="103">
        <f aca="true" t="shared" si="12" ref="G72:M72">(G66)*1.25</f>
        <v>8195.781575291398</v>
      </c>
      <c r="H72" s="103">
        <f t="shared" si="12"/>
        <v>688859.2646013835</v>
      </c>
      <c r="I72" s="103">
        <f t="shared" si="12"/>
        <v>112605.88223438343</v>
      </c>
      <c r="J72" s="103">
        <f t="shared" si="12"/>
        <v>93170.39628949156</v>
      </c>
      <c r="K72" s="103">
        <f t="shared" si="12"/>
        <v>78838.20422991675</v>
      </c>
      <c r="L72" s="103">
        <f t="shared" si="12"/>
        <v>28050.16592298698</v>
      </c>
      <c r="M72" s="103">
        <f t="shared" si="12"/>
        <v>53588.22331629654</v>
      </c>
      <c r="N72" s="103" t="str">
        <f>(N66)</f>
        <v> </v>
      </c>
      <c r="O72" s="101">
        <f t="shared" si="10"/>
        <v>1063307.9181697501</v>
      </c>
    </row>
    <row r="73" spans="5:15" ht="15.75">
      <c r="E73" s="101">
        <f>('TY-Act&amp;Adj'!J82)</f>
        <v>0</v>
      </c>
      <c r="O73" s="101">
        <f t="shared" si="10"/>
        <v>0</v>
      </c>
    </row>
    <row r="74" spans="3:16" ht="15.75">
      <c r="C74" s="110" t="s">
        <v>57</v>
      </c>
      <c r="E74" s="101">
        <f>('TY-Act&amp;Adj'!J83)</f>
        <v>45029016.21551329</v>
      </c>
      <c r="F74" s="101">
        <f>(F70+F72)</f>
        <v>31279093.129281994</v>
      </c>
      <c r="G74" s="101">
        <f aca="true" t="shared" si="13" ref="G74:M74">(G70+G72)</f>
        <v>51655.330272946056</v>
      </c>
      <c r="H74" s="101">
        <f t="shared" si="13"/>
        <v>7466638.602959577</v>
      </c>
      <c r="I74" s="101">
        <f t="shared" si="13"/>
        <v>618612.4084422949</v>
      </c>
      <c r="J74" s="101">
        <f t="shared" si="13"/>
        <v>1009929.5676433425</v>
      </c>
      <c r="K74" s="101">
        <f t="shared" si="13"/>
        <v>1230700.4535465643</v>
      </c>
      <c r="L74" s="101">
        <f t="shared" si="13"/>
        <v>2784537.6901870077</v>
      </c>
      <c r="M74" s="101">
        <f t="shared" si="13"/>
        <v>451745.14965381863</v>
      </c>
      <c r="N74" s="101" t="s">
        <v>24</v>
      </c>
      <c r="O74" s="101">
        <f>(O70+O72)</f>
        <v>44892912.33198755</v>
      </c>
      <c r="P74" s="103">
        <f>(E74-O74)</f>
        <v>136103.88352573663</v>
      </c>
    </row>
    <row r="75" spans="5:15" ht="15.75">
      <c r="E75" s="101">
        <f>('TY-Act&amp;Adj'!J84)</f>
        <v>0</v>
      </c>
      <c r="F75" s="102" t="s">
        <v>24</v>
      </c>
      <c r="O75" s="101">
        <f>SUM(F75:N75)</f>
        <v>0</v>
      </c>
    </row>
    <row r="76" spans="3:15" ht="15.75">
      <c r="C76" s="110" t="s">
        <v>58</v>
      </c>
      <c r="E76" s="101">
        <f>('TY-Act&amp;Adj'!J85)</f>
        <v>0</v>
      </c>
      <c r="O76" s="101">
        <f>SUM(F76:N76)</f>
        <v>0</v>
      </c>
    </row>
    <row r="77" spans="5:15" ht="15.75">
      <c r="E77" s="101">
        <f>('TY-Act&amp;Adj'!J86)</f>
        <v>0</v>
      </c>
      <c r="O77" s="101"/>
    </row>
    <row r="78" spans="3:15" ht="15.75">
      <c r="C78" s="102" t="s">
        <v>285</v>
      </c>
      <c r="E78" s="101">
        <f>('TY-Act&amp;Adj'!J87)</f>
        <v>0</v>
      </c>
      <c r="H78" s="101">
        <f>($E$78*'Rate Base'!G43)</f>
        <v>0</v>
      </c>
      <c r="I78" s="101">
        <f>($E$78*'Rate Base'!H43)</f>
        <v>0</v>
      </c>
      <c r="J78" s="101">
        <f>($E$78*'Rate Base'!I43)</f>
        <v>0</v>
      </c>
      <c r="K78" s="101">
        <f>($E$78*'Rate Base'!J43)</f>
        <v>0</v>
      </c>
      <c r="L78" s="101">
        <f>($E$78*'Rate Base'!K43)</f>
        <v>0</v>
      </c>
      <c r="M78" s="101">
        <f>($E$78*'Rate Base'!L43)</f>
        <v>0</v>
      </c>
      <c r="N78" s="101" t="s">
        <v>24</v>
      </c>
      <c r="O78" s="101" t="s">
        <v>24</v>
      </c>
    </row>
    <row r="79" spans="2:15" ht="15.75">
      <c r="B79" s="108">
        <v>450</v>
      </c>
      <c r="C79" s="102" t="s">
        <v>148</v>
      </c>
      <c r="D79" s="102" t="s">
        <v>66</v>
      </c>
      <c r="E79" s="101">
        <f>('TY-Act&amp;Adj'!J88)</f>
        <v>541661.71</v>
      </c>
      <c r="G79" s="101">
        <f>($E$79*'Rate Base'!F43)</f>
        <v>4175.028688303363</v>
      </c>
      <c r="H79" s="101">
        <f>($E$79*'Rate Base'!G43)</f>
        <v>350913.10883453826</v>
      </c>
      <c r="I79" s="101">
        <f>($E$79*'Rate Base'!H43)</f>
        <v>57362.77675061704</v>
      </c>
      <c r="J79" s="101">
        <f>($E$79*'Rate Base'!I43)</f>
        <v>47462.10887097613</v>
      </c>
      <c r="K79" s="101">
        <f>($E$79*'Rate Base'!J43)</f>
        <v>40161.11964068774</v>
      </c>
      <c r="L79" s="101">
        <f>($E$79*'Rate Base'!K43)</f>
        <v>14289.088400452672</v>
      </c>
      <c r="M79" s="101">
        <f>($E$79*'Rate Base'!L43)</f>
        <v>27298.478814424794</v>
      </c>
      <c r="N79" s="101" t="s">
        <v>24</v>
      </c>
      <c r="O79" s="101">
        <f>SUM(F79:N79)</f>
        <v>541661.71</v>
      </c>
    </row>
    <row r="80" spans="2:15" ht="15.75">
      <c r="B80" s="108">
        <v>451</v>
      </c>
      <c r="C80" s="102" t="s">
        <v>59</v>
      </c>
      <c r="D80" s="102" t="s">
        <v>66</v>
      </c>
      <c r="E80" s="101">
        <f>('TY-Act&amp;Adj'!J89)</f>
        <v>114155.14528181792</v>
      </c>
      <c r="G80" s="101">
        <f>($E$80*'Rate Base'!F43)</f>
        <v>879.8868328149468</v>
      </c>
      <c r="H80" s="101">
        <f>($E$80*'Rate Base'!G43)</f>
        <v>73954.89875092168</v>
      </c>
      <c r="I80" s="101">
        <f>($E$80*'Rate Base'!H43)</f>
        <v>12089.19883544136</v>
      </c>
      <c r="J80" s="101">
        <f>($E$80*'Rate Base'!I43)</f>
        <v>10002.63417834674</v>
      </c>
      <c r="K80" s="101">
        <f>($E$80*'Rate Base'!J43)</f>
        <v>8463.951508152903</v>
      </c>
      <c r="L80" s="101">
        <f>($E$80*'Rate Base'!K43)</f>
        <v>3011.4237949335834</v>
      </c>
      <c r="M80" s="101">
        <f>($E$80*'Rate Base'!L43)</f>
        <v>5753.151381206715</v>
      </c>
      <c r="N80" s="101" t="s">
        <v>24</v>
      </c>
      <c r="O80" s="101">
        <f>SUM(F80:N80)</f>
        <v>114155.14528181791</v>
      </c>
    </row>
    <row r="81" spans="2:15" ht="15.75">
      <c r="B81" s="108">
        <v>454</v>
      </c>
      <c r="C81" s="102" t="s">
        <v>60</v>
      </c>
      <c r="D81" s="102" t="s">
        <v>66</v>
      </c>
      <c r="E81" s="101">
        <f>('TY-Act&amp;Adj'!J90)</f>
        <v>986122.88</v>
      </c>
      <c r="G81" s="101">
        <f>($E$81*'Rate Base'!F43)</f>
        <v>7600.853518319276</v>
      </c>
      <c r="H81" s="101">
        <f>($E$81*'Rate Base'!G43)</f>
        <v>638855.2838886625</v>
      </c>
      <c r="I81" s="101">
        <f>($E$81*'Rate Base'!H43)</f>
        <v>104431.87245802462</v>
      </c>
      <c r="J81" s="101">
        <f>($E$81*'Rate Base'!I43)</f>
        <v>86407.199598289</v>
      </c>
      <c r="K81" s="101">
        <f>($E$81*'Rate Base'!J43)</f>
        <v>73115.37484179852</v>
      </c>
      <c r="L81" s="101">
        <f>($E$81*'Rate Base'!K43)</f>
        <v>26014.017136321087</v>
      </c>
      <c r="M81" s="101">
        <f>($E$81*'Rate Base'!L43)</f>
        <v>49698.278558585145</v>
      </c>
      <c r="N81" s="101" t="s">
        <v>24</v>
      </c>
      <c r="O81" s="101">
        <f>SUM(F81:N81)</f>
        <v>986122.8800000001</v>
      </c>
    </row>
    <row r="82" spans="2:15" ht="15.75">
      <c r="B82" s="108">
        <v>456.1</v>
      </c>
      <c r="C82" s="102" t="s">
        <v>252</v>
      </c>
      <c r="D82" s="102" t="s">
        <v>66</v>
      </c>
      <c r="E82" s="101">
        <f>('TY-Act&amp;Adj'!J91)</f>
        <v>854.75</v>
      </c>
      <c r="G82" s="101">
        <f>($E$82*'Rate Base'!F43)</f>
        <v>6.58825555774895</v>
      </c>
      <c r="H82" s="101">
        <f>($E$82*'Rate Base'!G43)</f>
        <v>553.7459529423293</v>
      </c>
      <c r="I82" s="101">
        <f>($E$82*'Rate Base'!H43)</f>
        <v>90.51929003360773</v>
      </c>
      <c r="J82" s="101">
        <f>($E$82*'Rate Base'!I43)</f>
        <v>74.89589315343491</v>
      </c>
      <c r="K82" s="101">
        <f>($E$82*'Rate Base'!J43)</f>
        <v>63.37482672141962</v>
      </c>
      <c r="L82" s="101">
        <f>($E$82*'Rate Base'!K43)</f>
        <v>22.548387831007886</v>
      </c>
      <c r="M82" s="101">
        <f>($E$82*'Rate Base'!L43)</f>
        <v>43.07739376045169</v>
      </c>
      <c r="N82" s="101" t="s">
        <v>24</v>
      </c>
      <c r="O82" s="101">
        <f>($E$82*'Rate Base'!M43)</f>
        <v>854.75</v>
      </c>
    </row>
    <row r="83" spans="5:15" ht="15.75">
      <c r="E83" s="101">
        <f>('TY-Act&amp;Adj'!J92)</f>
        <v>0</v>
      </c>
      <c r="H83" s="101"/>
      <c r="I83" s="101"/>
      <c r="J83" s="101"/>
      <c r="K83" s="101"/>
      <c r="L83" s="101"/>
      <c r="M83" s="101"/>
      <c r="N83" s="101" t="s">
        <v>24</v>
      </c>
      <c r="O83" s="101"/>
    </row>
    <row r="84" spans="3:15" ht="15.75">
      <c r="C84" s="110" t="s">
        <v>61</v>
      </c>
      <c r="D84" s="102" t="s">
        <v>24</v>
      </c>
      <c r="E84" s="101">
        <f>('TY-Act&amp;Adj'!J93)</f>
        <v>1642794.4852818178</v>
      </c>
      <c r="F84" s="101">
        <f>SUM(F79:F82)</f>
        <v>0</v>
      </c>
      <c r="G84" s="101">
        <f>SUM(G79:G82)</f>
        <v>12662.357294995334</v>
      </c>
      <c r="H84" s="101">
        <f aca="true" t="shared" si="14" ref="H84:N84">SUM(H78:H82)</f>
        <v>1064277.037427065</v>
      </c>
      <c r="I84" s="101">
        <f t="shared" si="14"/>
        <v>173974.36733411663</v>
      </c>
      <c r="J84" s="101">
        <f t="shared" si="14"/>
        <v>143946.8385407653</v>
      </c>
      <c r="K84" s="101">
        <f t="shared" si="14"/>
        <v>121803.82081736058</v>
      </c>
      <c r="L84" s="101">
        <f t="shared" si="14"/>
        <v>43337.07771953835</v>
      </c>
      <c r="M84" s="101">
        <f t="shared" si="14"/>
        <v>82792.9861479771</v>
      </c>
      <c r="N84" s="101">
        <f t="shared" si="14"/>
        <v>0</v>
      </c>
      <c r="O84" s="101">
        <f>SUM(O78:O82)</f>
        <v>1642794.485281818</v>
      </c>
    </row>
    <row r="85" spans="4:15" ht="15.75">
      <c r="D85" s="102" t="s">
        <v>24</v>
      </c>
      <c r="E85" s="101">
        <f>('TY-Act&amp;Adj'!J94)</f>
        <v>0</v>
      </c>
      <c r="N85" s="102" t="s">
        <v>24</v>
      </c>
      <c r="O85" s="101" t="s">
        <v>24</v>
      </c>
    </row>
    <row r="86" spans="3:15" ht="15.75">
      <c r="C86" s="102" t="s">
        <v>152</v>
      </c>
      <c r="D86" s="102" t="s">
        <v>24</v>
      </c>
      <c r="E86" s="101">
        <f>('TY-Act&amp;Adj'!J95)</f>
        <v>0</v>
      </c>
      <c r="N86" s="102" t="s">
        <v>24</v>
      </c>
      <c r="O86" s="101" t="s">
        <v>24</v>
      </c>
    </row>
    <row r="87" spans="2:15" ht="15.75">
      <c r="B87" s="108">
        <v>419</v>
      </c>
      <c r="C87" s="102" t="s">
        <v>149</v>
      </c>
      <c r="D87" s="102" t="s">
        <v>66</v>
      </c>
      <c r="E87" s="101">
        <f>('TY-Act&amp;Adj'!J96)</f>
        <v>124231.72</v>
      </c>
      <c r="G87" s="101">
        <f>($E$87*'Rate Base'!F43)</f>
        <v>957.5552146694489</v>
      </c>
      <c r="H87" s="101">
        <f>($E$87*'Rate Base'!G43)</f>
        <v>80482.9624768232</v>
      </c>
      <c r="I87" s="101">
        <f>($E$87*'Rate Base'!H43)</f>
        <v>13156.323011469956</v>
      </c>
      <c r="J87" s="101">
        <f>($E$87*'Rate Base'!I43)</f>
        <v>10885.57546345416</v>
      </c>
      <c r="K87" s="101">
        <f>($E$87*'Rate Base'!J43)</f>
        <v>9211.071925479871</v>
      </c>
      <c r="L87" s="101">
        <f>($E$87*'Rate Base'!K43)</f>
        <v>3277.2448124869015</v>
      </c>
      <c r="M87" s="101">
        <f>($E$87*'Rate Base'!L43)</f>
        <v>6260.987095616475</v>
      </c>
      <c r="N87" s="101" t="s">
        <v>24</v>
      </c>
      <c r="O87" s="101">
        <f>SUM(F87:N87)</f>
        <v>124231.72000000003</v>
      </c>
    </row>
    <row r="88" spans="2:15" ht="15.75">
      <c r="B88" s="108">
        <v>423</v>
      </c>
      <c r="C88" s="102" t="s">
        <v>404</v>
      </c>
      <c r="D88" s="102" t="s">
        <v>66</v>
      </c>
      <c r="E88" s="101">
        <f>('TY-Act&amp;Adj'!J97)</f>
        <v>0</v>
      </c>
      <c r="H88" s="101">
        <f>($E$88*'Rate Base'!G43)</f>
        <v>0</v>
      </c>
      <c r="I88" s="101">
        <f>($E$88*'Rate Base'!H43)</f>
        <v>0</v>
      </c>
      <c r="J88" s="101">
        <f>($E$88*'Rate Base'!I43)</f>
        <v>0</v>
      </c>
      <c r="K88" s="101">
        <f>($E$88*'Rate Base'!J43)</f>
        <v>0</v>
      </c>
      <c r="L88" s="101">
        <f>($E$88*'Rate Base'!K43)</f>
        <v>0</v>
      </c>
      <c r="M88" s="101">
        <f>($E$88*'Rate Base'!L43)</f>
        <v>0</v>
      </c>
      <c r="N88" s="101" t="s">
        <v>24</v>
      </c>
      <c r="O88" s="101">
        <f>SUM(F88:N88)</f>
        <v>0</v>
      </c>
    </row>
    <row r="89" spans="2:15" ht="15.75">
      <c r="B89" s="108">
        <v>424</v>
      </c>
      <c r="C89" s="102" t="s">
        <v>150</v>
      </c>
      <c r="D89" s="102" t="s">
        <v>66</v>
      </c>
      <c r="E89" s="101">
        <f>('TY-Act&amp;Adj'!J98)</f>
        <v>96057.23</v>
      </c>
      <c r="G89" s="101">
        <f>($E$89*'Rate Base'!F43)</f>
        <v>740.3914354015434</v>
      </c>
      <c r="H89" s="101">
        <f>($E$89*'Rate Base'!G43)</f>
        <v>62230.245526002334</v>
      </c>
      <c r="I89" s="101">
        <f>($E$89*'Rate Base'!H43)</f>
        <v>10172.602822105837</v>
      </c>
      <c r="J89" s="101">
        <f>($E$89*'Rate Base'!I43)</f>
        <v>8416.837712424594</v>
      </c>
      <c r="K89" s="101">
        <f>($E$89*'Rate Base'!J43)</f>
        <v>7122.094538273824</v>
      </c>
      <c r="L89" s="101">
        <f>($E$89*'Rate Base'!K43)</f>
        <v>2533.9990359898516</v>
      </c>
      <c r="M89" s="101">
        <f>($E$89*'Rate Base'!L43)</f>
        <v>4841.058929802016</v>
      </c>
      <c r="N89" s="101" t="s">
        <v>24</v>
      </c>
      <c r="O89" s="101">
        <f>SUM(F89:N89)</f>
        <v>96057.23000000001</v>
      </c>
    </row>
    <row r="90" spans="5:15" ht="15.75">
      <c r="E90" s="101">
        <f>('TY-Act&amp;Adj'!J99)</f>
        <v>0</v>
      </c>
      <c r="O90" s="101" t="s">
        <v>24</v>
      </c>
    </row>
    <row r="91" spans="3:16" ht="15.75">
      <c r="C91" s="110" t="s">
        <v>151</v>
      </c>
      <c r="E91" s="101">
        <f>('TY-Act&amp;Adj'!J100)</f>
        <v>220288.9500000002</v>
      </c>
      <c r="F91" s="101">
        <f aca="true" t="shared" si="15" ref="F91:N91">SUM(F87:F89)</f>
        <v>0</v>
      </c>
      <c r="G91" s="101">
        <f t="shared" si="15"/>
        <v>1697.9466500709923</v>
      </c>
      <c r="H91" s="101">
        <f t="shared" si="15"/>
        <v>142713.20800282553</v>
      </c>
      <c r="I91" s="101">
        <f t="shared" si="15"/>
        <v>23328.92583357579</v>
      </c>
      <c r="J91" s="101">
        <f t="shared" si="15"/>
        <v>19302.413175878755</v>
      </c>
      <c r="K91" s="101">
        <f t="shared" si="15"/>
        <v>16333.166463753696</v>
      </c>
      <c r="L91" s="101">
        <f t="shared" si="15"/>
        <v>5811.243848476754</v>
      </c>
      <c r="M91" s="101">
        <f t="shared" si="15"/>
        <v>11102.04602541849</v>
      </c>
      <c r="N91" s="101">
        <f t="shared" si="15"/>
        <v>0</v>
      </c>
      <c r="O91" s="101">
        <f>SUM(F91:N91)</f>
        <v>220288.95</v>
      </c>
      <c r="P91" s="103" t="s">
        <v>24</v>
      </c>
    </row>
    <row r="92" spans="5:15" ht="15.75">
      <c r="E92" s="101">
        <f>('TY-Act&amp;Adj'!J101)</f>
        <v>0</v>
      </c>
      <c r="O92" s="101" t="s">
        <v>24</v>
      </c>
    </row>
    <row r="93" spans="3:15" ht="15.75">
      <c r="C93" s="110" t="s">
        <v>62</v>
      </c>
      <c r="E93" s="101">
        <f>('TY-Act&amp;Adj'!J102)</f>
        <v>0</v>
      </c>
      <c r="O93" s="101" t="s">
        <v>24</v>
      </c>
    </row>
    <row r="94" spans="3:16" ht="15.75">
      <c r="C94" s="110" t="s">
        <v>63</v>
      </c>
      <c r="E94" s="101">
        <f>('TY-Act&amp;Adj'!J103)</f>
        <v>43165932.78023147</v>
      </c>
      <c r="F94" s="101">
        <f>(F74-F84-F91)</f>
        <v>31279093.129281994</v>
      </c>
      <c r="G94" s="101">
        <f>(G74-G84-G91)</f>
        <v>37295.02632787973</v>
      </c>
      <c r="H94" s="101">
        <f aca="true" t="shared" si="16" ref="H94:M94">(H74-H84-H91)</f>
        <v>6259648.357529687</v>
      </c>
      <c r="I94" s="101">
        <f t="shared" si="16"/>
        <v>421309.11527460255</v>
      </c>
      <c r="J94" s="101">
        <f t="shared" si="16"/>
        <v>846680.3159266985</v>
      </c>
      <c r="K94" s="101">
        <f t="shared" si="16"/>
        <v>1092563.46626545</v>
      </c>
      <c r="L94" s="101">
        <f t="shared" si="16"/>
        <v>2735389.3686189926</v>
      </c>
      <c r="M94" s="101">
        <f t="shared" si="16"/>
        <v>357850.117480423</v>
      </c>
      <c r="N94" s="101" t="s">
        <v>24</v>
      </c>
      <c r="O94" s="101">
        <f>(O74-O84-O91)</f>
        <v>43029828.89670573</v>
      </c>
      <c r="P94" s="103">
        <f>(E94-O94)</f>
        <v>136103.88352573663</v>
      </c>
    </row>
    <row r="95" spans="5:15" ht="15.75">
      <c r="E95" s="101" t="s">
        <v>24</v>
      </c>
      <c r="F95" s="101"/>
      <c r="G95" s="101"/>
      <c r="H95" s="101"/>
      <c r="I95" s="101"/>
      <c r="J95" s="101"/>
      <c r="K95" s="101"/>
      <c r="L95" s="101"/>
      <c r="M95" s="101"/>
      <c r="N95" s="101" t="s">
        <v>24</v>
      </c>
      <c r="O95" s="101"/>
    </row>
    <row r="97" spans="7:15" ht="15.75">
      <c r="G97" s="103">
        <f>SUM(G7,G17,G28,G34,G38)</f>
        <v>6424.4472682613405</v>
      </c>
      <c r="O97" s="103">
        <f>(O94-E94)</f>
        <v>-136103.88352573663</v>
      </c>
    </row>
    <row r="98" spans="9:14" ht="15.75">
      <c r="I98" s="103" t="s">
        <v>24</v>
      </c>
      <c r="N98" s="102" t="s">
        <v>24</v>
      </c>
    </row>
  </sheetData>
  <sheetProtection/>
  <dataValidations count="1">
    <dataValidation showInputMessage="1" showErrorMessage="1" sqref="Q69 F70:N70"/>
  </dataValidations>
  <printOptions gridLines="1" horizontalCentered="1" verticalCentered="1"/>
  <pageMargins left="0.75" right="0.75" top="1" bottom="1" header="0.5" footer="0.5"/>
  <pageSetup horizontalDpi="300" verticalDpi="300" orientation="landscape" pageOrder="overThenDown" r:id="rId1"/>
  <headerFooter alignWithMargins="0">
    <oddHeader xml:space="preserve">&amp;C&amp;"Arial,Bold"&amp;14 CUMBERLAND VALLEY ELECTRIC, INC.
Case No.  2016-00169
 Functionalization  of Revenue Requirements&amp;RRevision 2  Exhibit R
Page ____ of ____
Witness:  James Adkins
Schedule B  
&amp;"Arial,Bold"&amp;11 </oddHeader>
  </headerFooter>
  <rowBreaks count="4" manualBreakCount="4">
    <brk id="25" max="13" man="1"/>
    <brk id="48" max="13" man="1"/>
    <brk id="74" max="14" man="1"/>
    <brk id="101" min="1" max="20" man="1"/>
  </rowBreaks>
  <colBreaks count="1" manualBreakCount="1">
    <brk id="8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9">
      <selection activeCell="N16" sqref="N16"/>
    </sheetView>
  </sheetViews>
  <sheetFormatPr defaultColWidth="9.140625" defaultRowHeight="12.75"/>
  <cols>
    <col min="1" max="1" width="0.85546875" style="0" customWidth="1"/>
    <col min="2" max="2" width="5.00390625" style="0" customWidth="1"/>
    <col min="3" max="3" width="22.421875" style="0" customWidth="1"/>
    <col min="4" max="4" width="13.00390625" style="0" customWidth="1"/>
    <col min="5" max="8" width="14.28125" style="0" customWidth="1"/>
    <col min="9" max="9" width="11.8515625" style="0" customWidth="1"/>
    <col min="10" max="10" width="12.7109375" style="0" customWidth="1"/>
    <col min="11" max="11" width="13.57421875" style="0" customWidth="1"/>
  </cols>
  <sheetData>
    <row r="1" spans="1:11" ht="12.75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5.75">
      <c r="A4" s="290"/>
      <c r="B4" s="112" t="s">
        <v>406</v>
      </c>
      <c r="C4" s="300" t="s">
        <v>407</v>
      </c>
      <c r="D4" s="290"/>
      <c r="E4" s="291"/>
      <c r="F4" s="290"/>
      <c r="G4" s="291"/>
      <c r="H4" s="290"/>
      <c r="I4" s="290"/>
      <c r="J4" s="290"/>
      <c r="K4" s="303"/>
    </row>
    <row r="5" spans="1:11" ht="15.75">
      <c r="A5" s="290"/>
      <c r="B5" s="112"/>
      <c r="C5" s="290"/>
      <c r="D5" s="112" t="s">
        <v>121</v>
      </c>
      <c r="E5" s="113" t="s">
        <v>104</v>
      </c>
      <c r="F5" s="290"/>
      <c r="G5" s="291"/>
      <c r="H5" s="290"/>
      <c r="I5" s="290"/>
      <c r="J5" s="297" t="s">
        <v>24</v>
      </c>
      <c r="K5" s="303"/>
    </row>
    <row r="6" spans="1:11" ht="15.75">
      <c r="A6" s="290"/>
      <c r="B6" s="112"/>
      <c r="C6" s="290" t="s">
        <v>408</v>
      </c>
      <c r="D6" s="291">
        <f>('Rate Base'!D8)</f>
        <v>29674570.74</v>
      </c>
      <c r="E6" s="291"/>
      <c r="F6" s="290"/>
      <c r="G6" s="291"/>
      <c r="H6" s="290"/>
      <c r="I6" s="290"/>
      <c r="J6" s="290"/>
      <c r="K6" s="303"/>
    </row>
    <row r="7" spans="1:11" ht="15.75">
      <c r="A7" s="290"/>
      <c r="B7" s="112"/>
      <c r="C7" s="290" t="s">
        <v>20</v>
      </c>
      <c r="D7" s="291">
        <f>('Rate Base'!D9)</f>
        <v>27905005.2</v>
      </c>
      <c r="E7" s="291"/>
      <c r="F7" s="290"/>
      <c r="G7" s="291"/>
      <c r="H7" s="290"/>
      <c r="I7" s="290"/>
      <c r="J7" s="290"/>
      <c r="K7" s="303"/>
    </row>
    <row r="8" spans="1:11" ht="15.75">
      <c r="A8" s="290"/>
      <c r="B8" s="112"/>
      <c r="C8" s="290" t="s">
        <v>409</v>
      </c>
      <c r="D8" s="291">
        <f>('Rate Base'!D11)</f>
        <v>3889518.52</v>
      </c>
      <c r="E8" s="291"/>
      <c r="F8" s="290"/>
      <c r="G8" s="291" t="s">
        <v>126</v>
      </c>
      <c r="H8" s="290"/>
      <c r="I8" s="290"/>
      <c r="J8" s="290"/>
      <c r="K8" s="303"/>
    </row>
    <row r="9" spans="1:11" ht="15.75">
      <c r="A9" s="290"/>
      <c r="B9" s="112"/>
      <c r="C9" s="290" t="s">
        <v>410</v>
      </c>
      <c r="D9" s="297">
        <f>SUM(D6:D8)</f>
        <v>61469094.46</v>
      </c>
      <c r="E9" s="304">
        <f>(D9/D11)</f>
        <v>0.8808519693770865</v>
      </c>
      <c r="F9" s="290"/>
      <c r="G9" s="291"/>
      <c r="H9" s="290"/>
      <c r="I9" s="290"/>
      <c r="J9" s="290"/>
      <c r="K9" s="303"/>
    </row>
    <row r="10" spans="1:11" ht="15.75">
      <c r="A10" s="290"/>
      <c r="B10" s="112"/>
      <c r="C10" s="290" t="s">
        <v>13</v>
      </c>
      <c r="D10" s="291">
        <f>('Rate Base'!D13)</f>
        <v>8314588.38</v>
      </c>
      <c r="E10" s="304">
        <f>(D10/D11)</f>
        <v>0.11914803062291345</v>
      </c>
      <c r="F10" s="290"/>
      <c r="G10" s="291"/>
      <c r="H10" s="290"/>
      <c r="I10" s="290"/>
      <c r="J10" s="290"/>
      <c r="K10" s="303"/>
    </row>
    <row r="11" spans="1:11" ht="15.75">
      <c r="A11" s="290"/>
      <c r="B11" s="112"/>
      <c r="C11" s="290" t="s">
        <v>411</v>
      </c>
      <c r="D11" s="297">
        <f>(D9+D10)</f>
        <v>69783682.84</v>
      </c>
      <c r="E11" s="304">
        <f>SUM(E9:E10)</f>
        <v>1</v>
      </c>
      <c r="F11" s="290"/>
      <c r="G11" s="291"/>
      <c r="H11" s="290"/>
      <c r="I11" s="290"/>
      <c r="J11" s="290"/>
      <c r="K11" s="303"/>
    </row>
    <row r="12" spans="1:11" ht="15.75">
      <c r="A12" s="290"/>
      <c r="B12" s="112"/>
      <c r="C12" s="290"/>
      <c r="D12" s="290"/>
      <c r="E12" s="291"/>
      <c r="F12" s="290"/>
      <c r="G12" s="291" t="s">
        <v>24</v>
      </c>
      <c r="H12" s="290"/>
      <c r="I12" s="290"/>
      <c r="J12" s="290"/>
      <c r="K12" s="303"/>
    </row>
    <row r="13" spans="1:11" ht="15.75">
      <c r="A13" s="290"/>
      <c r="B13" s="112" t="s">
        <v>412</v>
      </c>
      <c r="C13" s="300" t="s">
        <v>413</v>
      </c>
      <c r="D13" s="290"/>
      <c r="E13" s="291" t="s">
        <v>24</v>
      </c>
      <c r="F13" s="291"/>
      <c r="G13" s="305" t="s">
        <v>24</v>
      </c>
      <c r="H13" s="290"/>
      <c r="I13" s="290"/>
      <c r="J13" s="290"/>
      <c r="K13" s="303"/>
    </row>
    <row r="14" spans="1:11" ht="15.75">
      <c r="A14" s="290"/>
      <c r="B14" s="112"/>
      <c r="C14" s="290"/>
      <c r="D14" s="112" t="s">
        <v>414</v>
      </c>
      <c r="E14" s="112" t="s">
        <v>25</v>
      </c>
      <c r="F14" s="113" t="s">
        <v>124</v>
      </c>
      <c r="G14" s="112" t="s">
        <v>13</v>
      </c>
      <c r="H14" s="114" t="s">
        <v>14</v>
      </c>
      <c r="I14" s="112" t="s">
        <v>17</v>
      </c>
      <c r="J14" s="112" t="s">
        <v>88</v>
      </c>
      <c r="K14" s="303"/>
    </row>
    <row r="15" spans="1:11" ht="15.75">
      <c r="A15" s="290"/>
      <c r="B15" s="290">
        <f>(Functionalization!B10)</f>
        <v>582</v>
      </c>
      <c r="C15" s="290" t="str">
        <f>(Functionalization!C10)</f>
        <v>Station Expense</v>
      </c>
      <c r="D15" s="297">
        <f>(Functionalization!G10)</f>
        <v>5655.689935612879</v>
      </c>
      <c r="E15" s="297" t="str">
        <f>(Functionalization!H10)</f>
        <v> </v>
      </c>
      <c r="F15" s="297">
        <f>(Functionalization!I10)</f>
        <v>0</v>
      </c>
      <c r="G15" s="297" t="str">
        <f>(Functionalization!J10)</f>
        <v> </v>
      </c>
      <c r="H15" s="297">
        <f>(Functionalization!K10)</f>
        <v>0</v>
      </c>
      <c r="I15" s="297">
        <f>(Functionalization!L10)</f>
        <v>0</v>
      </c>
      <c r="J15" s="297">
        <f>SUM(D15:I15)</f>
        <v>5655.689935612879</v>
      </c>
      <c r="K15" s="303"/>
    </row>
    <row r="16" spans="1:11" ht="15.75">
      <c r="A16" s="290"/>
      <c r="B16" s="290">
        <f>(Functionalization!B11)</f>
        <v>583</v>
      </c>
      <c r="C16" s="290" t="str">
        <f>(Functionalization!C11)</f>
        <v>Overhead Line Exp.</v>
      </c>
      <c r="D16" s="297">
        <f>(Functionalization!G11)</f>
        <v>0</v>
      </c>
      <c r="E16" s="297">
        <f>(Functionalization!H11)</f>
        <v>551027.3699909798</v>
      </c>
      <c r="F16" s="297">
        <f>(Functionalization!I11)</f>
        <v>0</v>
      </c>
      <c r="G16" s="297">
        <f>(Functionalization!J11)</f>
        <v>74534.46008661052</v>
      </c>
      <c r="H16" s="297">
        <f>(Functionalization!K11)</f>
        <v>0</v>
      </c>
      <c r="I16" s="297">
        <f>(Functionalization!L11)</f>
        <v>0</v>
      </c>
      <c r="J16" s="297">
        <f>SUM(D16:I16)</f>
        <v>625561.8300775903</v>
      </c>
      <c r="K16" s="303"/>
    </row>
    <row r="17" spans="1:11" ht="15.75">
      <c r="A17" s="290"/>
      <c r="B17" s="290">
        <f>(Functionalization!B12)</f>
        <v>584</v>
      </c>
      <c r="C17" s="290" t="str">
        <f>(Functionalization!C12)</f>
        <v>Underground Line Exp</v>
      </c>
      <c r="D17" s="297">
        <f>(Functionalization!G12)</f>
        <v>0</v>
      </c>
      <c r="E17" s="297">
        <f>(Functionalization!H12)</f>
        <v>41371.63351851329</v>
      </c>
      <c r="F17" s="297">
        <f>(Functionalization!I12)</f>
        <v>0</v>
      </c>
      <c r="G17" s="297">
        <f>(Functionalization!J12)</f>
        <v>5596.11470343839</v>
      </c>
      <c r="H17" s="297">
        <f>(Functionalization!K12)</f>
        <v>0</v>
      </c>
      <c r="I17" s="297">
        <f>(Functionalization!L12)</f>
        <v>0</v>
      </c>
      <c r="J17" s="297">
        <f>SUM(D17:I17)</f>
        <v>46967.74822195168</v>
      </c>
      <c r="K17" s="303"/>
    </row>
    <row r="18" spans="1:11" ht="15.75">
      <c r="A18" s="290"/>
      <c r="B18" s="290">
        <f>(Functionalization!B13)</f>
        <v>586</v>
      </c>
      <c r="C18" s="290" t="str">
        <f>(Functionalization!C13)</f>
        <v>Meter Expense</v>
      </c>
      <c r="D18" s="297">
        <f>(Functionalization!G13)</f>
        <v>0</v>
      </c>
      <c r="E18" s="297" t="str">
        <f>(Functionalization!H13)</f>
        <v> </v>
      </c>
      <c r="F18" s="297">
        <f>(Functionalization!I13)</f>
        <v>0</v>
      </c>
      <c r="G18" s="297" t="str">
        <f>(Functionalization!J13)</f>
        <v> </v>
      </c>
      <c r="H18" s="297">
        <f>(Functionalization!K13)</f>
        <v>450353.63128666114</v>
      </c>
      <c r="I18" s="297">
        <f>(Functionalization!L13)</f>
        <v>0</v>
      </c>
      <c r="J18" s="297">
        <f>SUM(D18:I18)</f>
        <v>450353.63128666114</v>
      </c>
      <c r="K18" s="303"/>
    </row>
    <row r="19" spans="1:11" ht="15.75">
      <c r="A19" s="290"/>
      <c r="B19" s="290">
        <f>(Functionalization!B14)</f>
        <v>587</v>
      </c>
      <c r="C19" s="290" t="str">
        <f>(Functionalization!C14)</f>
        <v>Consumer Installations</v>
      </c>
      <c r="D19" s="297">
        <f>(Functionalization!G14)</f>
        <v>0</v>
      </c>
      <c r="E19" s="297" t="str">
        <f>(Functionalization!H14)</f>
        <v> </v>
      </c>
      <c r="F19" s="297">
        <f>(Functionalization!I14)</f>
        <v>0</v>
      </c>
      <c r="G19" s="297" t="str">
        <f>(Functionalization!J14)</f>
        <v> </v>
      </c>
      <c r="H19" s="297">
        <f>(Functionalization!K14)</f>
        <v>0</v>
      </c>
      <c r="I19" s="297">
        <f>(Functionalization!M14)</f>
        <v>118728.15306829296</v>
      </c>
      <c r="J19" s="297">
        <f>SUM(D19:I19)</f>
        <v>118728.15306829296</v>
      </c>
      <c r="K19" s="303"/>
    </row>
    <row r="20" spans="1:11" ht="15.75">
      <c r="A20" s="290"/>
      <c r="B20" s="290" t="s">
        <v>24</v>
      </c>
      <c r="C20" s="290" t="s">
        <v>88</v>
      </c>
      <c r="D20" s="297">
        <f aca="true" t="shared" si="0" ref="D20:J20">SUM(D15:D19)</f>
        <v>5655.689935612879</v>
      </c>
      <c r="E20" s="297">
        <f t="shared" si="0"/>
        <v>592399.0035094931</v>
      </c>
      <c r="F20" s="297">
        <f t="shared" si="0"/>
        <v>0</v>
      </c>
      <c r="G20" s="297">
        <f t="shared" si="0"/>
        <v>80130.57479004891</v>
      </c>
      <c r="H20" s="297">
        <f t="shared" si="0"/>
        <v>450353.63128666114</v>
      </c>
      <c r="I20" s="297">
        <f t="shared" si="0"/>
        <v>118728.15306829296</v>
      </c>
      <c r="J20" s="297">
        <f t="shared" si="0"/>
        <v>1247267.052590109</v>
      </c>
      <c r="K20" s="303"/>
    </row>
    <row r="21" spans="1:11" ht="15.75">
      <c r="A21" s="290"/>
      <c r="B21" s="112"/>
      <c r="C21" s="290" t="s">
        <v>104</v>
      </c>
      <c r="D21" s="306">
        <f aca="true" t="shared" si="1" ref="D21:I21">(D20/$J$20)</f>
        <v>0.004534465913990206</v>
      </c>
      <c r="E21" s="306">
        <f t="shared" si="1"/>
        <v>0.4749576301877782</v>
      </c>
      <c r="F21" s="306">
        <f t="shared" si="1"/>
        <v>0</v>
      </c>
      <c r="G21" s="306">
        <f t="shared" si="1"/>
        <v>0.06424492222707845</v>
      </c>
      <c r="H21" s="306">
        <f t="shared" si="1"/>
        <v>0.3610723383989375</v>
      </c>
      <c r="I21" s="306">
        <f t="shared" si="1"/>
        <v>0.0951906432722157</v>
      </c>
      <c r="J21" s="304">
        <f>SUM(D21:I21)</f>
        <v>1</v>
      </c>
      <c r="K21" s="303"/>
    </row>
    <row r="22" spans="1:11" ht="15.75">
      <c r="A22" s="290"/>
      <c r="B22" s="112"/>
      <c r="C22" s="290"/>
      <c r="D22" s="290"/>
      <c r="E22" s="291"/>
      <c r="F22" s="290"/>
      <c r="G22" s="291"/>
      <c r="H22" s="290"/>
      <c r="I22" s="290"/>
      <c r="J22" s="290"/>
      <c r="K22" s="303"/>
    </row>
    <row r="23" spans="1:11" ht="15.75">
      <c r="A23" s="290"/>
      <c r="B23" s="112"/>
      <c r="C23" s="290"/>
      <c r="D23" s="290"/>
      <c r="E23" s="291"/>
      <c r="F23" s="290"/>
      <c r="G23" s="291"/>
      <c r="H23" s="290"/>
      <c r="I23" s="290"/>
      <c r="J23" s="290"/>
      <c r="K23" s="303"/>
    </row>
    <row r="24" spans="1:11" ht="15.75">
      <c r="A24" s="290"/>
      <c r="B24" s="307" t="s">
        <v>415</v>
      </c>
      <c r="C24" s="300" t="s">
        <v>413</v>
      </c>
      <c r="D24" s="290"/>
      <c r="E24" s="291"/>
      <c r="F24" s="290"/>
      <c r="G24" s="291"/>
      <c r="H24" s="290"/>
      <c r="I24" s="290"/>
      <c r="J24" s="290"/>
      <c r="K24" s="303"/>
    </row>
    <row r="25" spans="1:11" ht="15.75">
      <c r="A25" s="290"/>
      <c r="B25" s="112"/>
      <c r="C25" s="290"/>
      <c r="D25" s="112" t="s">
        <v>25</v>
      </c>
      <c r="E25" s="112" t="s">
        <v>124</v>
      </c>
      <c r="F25" s="112" t="s">
        <v>13</v>
      </c>
      <c r="G25" s="112" t="s">
        <v>14</v>
      </c>
      <c r="H25" s="112" t="s">
        <v>88</v>
      </c>
      <c r="I25" s="290"/>
      <c r="J25" s="290"/>
      <c r="K25" s="303"/>
    </row>
    <row r="26" spans="1:11" ht="15.75">
      <c r="A26" s="290"/>
      <c r="B26" s="112"/>
      <c r="C26" s="290"/>
      <c r="D26" s="290"/>
      <c r="E26" s="291"/>
      <c r="F26" s="290"/>
      <c r="G26" s="291"/>
      <c r="H26" s="290"/>
      <c r="I26" s="290"/>
      <c r="J26" s="290"/>
      <c r="K26" s="303"/>
    </row>
    <row r="27" spans="1:11" ht="15.75">
      <c r="A27" s="290"/>
      <c r="B27" s="290">
        <f>(Functionalization!B22)</f>
        <v>593</v>
      </c>
      <c r="C27" s="290" t="str">
        <f>(Functionalization!C22)</f>
        <v>Maint. Overhead Lines</v>
      </c>
      <c r="D27" s="297">
        <f>(Functionalization!H22)</f>
        <v>2260673.7537312666</v>
      </c>
      <c r="E27" s="297">
        <f>(Functionalization!I22)</f>
        <v>0</v>
      </c>
      <c r="F27" s="297">
        <f>(Functionalization!J22)</f>
        <v>305788.98044409184</v>
      </c>
      <c r="G27" s="297">
        <f>(Functionalization!K22)</f>
        <v>0</v>
      </c>
      <c r="H27" s="297">
        <f aca="true" t="shared" si="2" ref="H27:H32">SUM(D27:G27)</f>
        <v>2566462.7341753584</v>
      </c>
      <c r="I27" s="290"/>
      <c r="J27" s="290"/>
      <c r="K27" s="303"/>
    </row>
    <row r="28" spans="1:11" ht="15.75">
      <c r="A28" s="290"/>
      <c r="B28" s="290">
        <f>(Functionalization!B23)</f>
        <v>594</v>
      </c>
      <c r="C28" s="290" t="str">
        <f>(Functionalization!C23)</f>
        <v>Maint of Underground Lines</v>
      </c>
      <c r="D28" s="297" t="str">
        <f>(Functionalization!H23)</f>
        <v> </v>
      </c>
      <c r="E28" s="297">
        <f>(Functionalization!I23)</f>
        <v>0</v>
      </c>
      <c r="F28" s="297">
        <f>(Functionalization!J23)</f>
        <v>0</v>
      </c>
      <c r="G28" s="297">
        <f>(Functionalization!K23)</f>
        <v>0</v>
      </c>
      <c r="H28" s="297">
        <f t="shared" si="2"/>
        <v>0</v>
      </c>
      <c r="I28" s="290"/>
      <c r="J28" s="290"/>
      <c r="K28" s="303"/>
    </row>
    <row r="29" spans="1:11" ht="15.75">
      <c r="A29" s="290"/>
      <c r="B29" s="290">
        <f>(Functionalization!B24)</f>
        <v>595</v>
      </c>
      <c r="C29" s="290" t="str">
        <f>(Functionalization!C24)</f>
        <v>Maint Line Transformers</v>
      </c>
      <c r="D29" s="297">
        <f>(Functionalization!H24)</f>
        <v>0</v>
      </c>
      <c r="E29" s="297">
        <f>(Functionalization!I24)</f>
        <v>13169.62756977151</v>
      </c>
      <c r="F29" s="297" t="str">
        <f>(Functionalization!J24)</f>
        <v> </v>
      </c>
      <c r="G29" s="297">
        <f>(Functionalization!K24)</f>
        <v>0</v>
      </c>
      <c r="H29" s="297">
        <f t="shared" si="2"/>
        <v>13169.62756977151</v>
      </c>
      <c r="I29" s="290"/>
      <c r="J29" s="290"/>
      <c r="K29" s="303"/>
    </row>
    <row r="30" spans="1:11" ht="15.75">
      <c r="A30" s="290"/>
      <c r="B30" s="290">
        <f>(Functionalization!B25)</f>
        <v>596</v>
      </c>
      <c r="C30" s="290" t="str">
        <f>(Functionalization!C25)</f>
        <v>Maint of St Lg &amp; Signal Sys</v>
      </c>
      <c r="D30" s="297">
        <f>(Functionalization!H25)</f>
        <v>0</v>
      </c>
      <c r="E30" s="297">
        <f>(Functionalization!I25)</f>
        <v>0</v>
      </c>
      <c r="F30" s="297">
        <f>(Functionalization!J25)</f>
        <v>0</v>
      </c>
      <c r="G30" s="297">
        <f>(Functionalization!K25)</f>
        <v>0</v>
      </c>
      <c r="H30" s="297">
        <f t="shared" si="2"/>
        <v>0</v>
      </c>
      <c r="I30" s="290"/>
      <c r="J30" s="290"/>
      <c r="K30" s="303"/>
    </row>
    <row r="31" spans="1:11" ht="15.75">
      <c r="A31" s="290"/>
      <c r="B31" s="290">
        <f>(Functionalization!B26)</f>
        <v>597</v>
      </c>
      <c r="C31" s="290" t="str">
        <f>(Functionalization!C26)</f>
        <v>Maintenance of Meters</v>
      </c>
      <c r="D31" s="297">
        <f>(Functionalization!H26)</f>
        <v>0</v>
      </c>
      <c r="E31" s="297">
        <f>(Functionalization!I26)</f>
        <v>0</v>
      </c>
      <c r="F31" s="297">
        <f>(Functionalization!J26)</f>
        <v>0</v>
      </c>
      <c r="G31" s="297">
        <f>(Functionalization!K26)</f>
        <v>138663.1523271955</v>
      </c>
      <c r="H31" s="297">
        <f t="shared" si="2"/>
        <v>138663.1523271955</v>
      </c>
      <c r="I31" s="290"/>
      <c r="J31" s="290"/>
      <c r="K31" s="303"/>
    </row>
    <row r="32" spans="1:11" ht="15.75">
      <c r="A32" s="290"/>
      <c r="B32" s="290" t="s">
        <v>24</v>
      </c>
      <c r="C32" s="290" t="s">
        <v>88</v>
      </c>
      <c r="D32" s="297">
        <f>SUM(D27:D31)</f>
        <v>2260673.7537312666</v>
      </c>
      <c r="E32" s="297">
        <f>SUM(E27:E31)</f>
        <v>13169.62756977151</v>
      </c>
      <c r="F32" s="297">
        <f>SUM(F27:F31)</f>
        <v>305788.98044409184</v>
      </c>
      <c r="G32" s="297">
        <f>SUM(G27:G31)</f>
        <v>138663.1523271955</v>
      </c>
      <c r="H32" s="297">
        <f t="shared" si="2"/>
        <v>2718295.514072325</v>
      </c>
      <c r="I32" s="290"/>
      <c r="J32" s="290"/>
      <c r="K32" s="303"/>
    </row>
    <row r="33" spans="1:11" ht="15.75">
      <c r="A33" s="290"/>
      <c r="B33" s="112"/>
      <c r="C33" s="290" t="s">
        <v>104</v>
      </c>
      <c r="D33" s="306">
        <f>(D32/$H$32)</f>
        <v>0.8316512101160453</v>
      </c>
      <c r="E33" s="306">
        <f>(E32/$H$32)</f>
        <v>0.004844810838848741</v>
      </c>
      <c r="F33" s="306">
        <f>(F32/$H$32)</f>
        <v>0.11249291287906521</v>
      </c>
      <c r="G33" s="306">
        <f>(G32/$H$32)</f>
        <v>0.05101106616604089</v>
      </c>
      <c r="H33" s="306">
        <f>(H32/$H$32)</f>
        <v>1</v>
      </c>
      <c r="I33" s="290"/>
      <c r="J33" s="290"/>
      <c r="K33" s="303"/>
    </row>
    <row r="34" spans="1:11" ht="15.75">
      <c r="A34" s="290"/>
      <c r="B34" s="112"/>
      <c r="C34" s="290"/>
      <c r="D34" s="290"/>
      <c r="E34" s="291"/>
      <c r="F34" s="290"/>
      <c r="G34" s="291"/>
      <c r="H34" s="290"/>
      <c r="I34" s="290"/>
      <c r="J34" s="290"/>
      <c r="K34" s="303"/>
    </row>
    <row r="35" spans="1:11" ht="15.75">
      <c r="A35" s="290"/>
      <c r="B35" s="112" t="s">
        <v>416</v>
      </c>
      <c r="C35" s="300" t="s">
        <v>413</v>
      </c>
      <c r="D35" s="290"/>
      <c r="E35" s="291"/>
      <c r="F35" s="290"/>
      <c r="G35" s="291"/>
      <c r="H35" s="290"/>
      <c r="I35" s="290"/>
      <c r="J35" s="290"/>
      <c r="K35" s="303"/>
    </row>
    <row r="36" spans="1:11" ht="15.75">
      <c r="A36" s="290"/>
      <c r="B36" s="112"/>
      <c r="C36" s="290"/>
      <c r="D36" s="112" t="s">
        <v>368</v>
      </c>
      <c r="E36" s="112" t="s">
        <v>25</v>
      </c>
      <c r="F36" s="112" t="s">
        <v>124</v>
      </c>
      <c r="G36" s="112" t="s">
        <v>13</v>
      </c>
      <c r="H36" s="112" t="s">
        <v>14</v>
      </c>
      <c r="I36" s="112" t="s">
        <v>11</v>
      </c>
      <c r="J36" s="112" t="s">
        <v>17</v>
      </c>
      <c r="K36" s="112" t="s">
        <v>88</v>
      </c>
    </row>
    <row r="37" spans="1:11" ht="15.75">
      <c r="A37" s="290"/>
      <c r="B37" s="112"/>
      <c r="C37" s="290"/>
      <c r="D37" s="290"/>
      <c r="E37" s="291"/>
      <c r="F37" s="290"/>
      <c r="G37" s="291"/>
      <c r="H37" s="290"/>
      <c r="I37" s="290"/>
      <c r="J37" s="290"/>
      <c r="K37" s="290"/>
    </row>
    <row r="38" spans="1:11" ht="15.75">
      <c r="A38" s="290"/>
      <c r="B38" s="112"/>
      <c r="C38" s="290" t="str">
        <f>(Functionalization!C17)</f>
        <v>Total Operations</v>
      </c>
      <c r="D38" s="297">
        <f>(Functionalization!G17)</f>
        <v>6424.4472682613405</v>
      </c>
      <c r="E38" s="297">
        <f>(Functionalization!H17)</f>
        <v>672921.6423009024</v>
      </c>
      <c r="F38" s="297">
        <f>(Functionalization!I17)</f>
        <v>0</v>
      </c>
      <c r="G38" s="297">
        <f>(Functionalization!J17)</f>
        <v>91022.43195345099</v>
      </c>
      <c r="H38" s="297">
        <f>(Functionalization!K17)</f>
        <v>511568.5600182458</v>
      </c>
      <c r="I38" s="297">
        <f>(Functionalization!L17)</f>
        <v>0</v>
      </c>
      <c r="J38" s="297">
        <f>(Functionalization!M17)</f>
        <v>134866.43845913952</v>
      </c>
      <c r="K38" s="297">
        <f>SUM('Func. Footnotes'!D38:J38)</f>
        <v>1416803.52</v>
      </c>
    </row>
    <row r="39" spans="1:11" ht="15.75">
      <c r="A39" s="290"/>
      <c r="B39" s="112"/>
      <c r="C39" s="290" t="str">
        <f>(Functionalization!C28)</f>
        <v>Total Distribut Maintenance</v>
      </c>
      <c r="D39" s="301">
        <f>(Functionalization!G28)</f>
        <v>0</v>
      </c>
      <c r="E39" s="301">
        <f>(Functionalization!H28)</f>
        <v>2412637.3507771604</v>
      </c>
      <c r="F39" s="301">
        <f>(Functionalization!I28)</f>
        <v>14054.896385740234</v>
      </c>
      <c r="G39" s="301">
        <f>(Functionalization!J28)</f>
        <v>326344.2654906773</v>
      </c>
      <c r="H39" s="301">
        <f>(Functionalization!K28)</f>
        <v>147984.15734642226</v>
      </c>
      <c r="I39" s="301">
        <f>(Functionalization!L28)</f>
        <v>0</v>
      </c>
      <c r="J39" s="297">
        <f>(Functionalization!M18)</f>
        <v>0</v>
      </c>
      <c r="K39" s="297">
        <f>SUM('Func. Footnotes'!D39:J39)</f>
        <v>2901020.67</v>
      </c>
    </row>
    <row r="40" spans="1:11" ht="15.75">
      <c r="A40" s="290"/>
      <c r="B40" s="112"/>
      <c r="C40" s="290" t="str">
        <f>(Functionalization!C34)</f>
        <v> Total Consumer Accounts</v>
      </c>
      <c r="D40" s="301">
        <f>(Functionalization!F34)</f>
        <v>0</v>
      </c>
      <c r="E40" s="301">
        <f>(Functionalization!G34)</f>
        <v>0</v>
      </c>
      <c r="F40" s="301">
        <f>(Functionalization!H34)</f>
        <v>0</v>
      </c>
      <c r="G40" s="301">
        <f>(Functionalization!I34)</f>
        <v>0</v>
      </c>
      <c r="H40" s="301">
        <f>(Functionalization!J34)</f>
        <v>0</v>
      </c>
      <c r="I40" s="291">
        <f>(Functionalization!L34)</f>
        <v>2029965.72</v>
      </c>
      <c r="J40" s="297" t="str">
        <f>(Functionalization!M19)</f>
        <v> </v>
      </c>
      <c r="K40" s="297">
        <f>SUM('Func. Footnotes'!D40:J40)</f>
        <v>2029965.72</v>
      </c>
    </row>
    <row r="41" spans="1:11" ht="15.75">
      <c r="A41" s="290"/>
      <c r="B41" s="112"/>
      <c r="C41" s="290" t="str">
        <f>(Functionalization!C38)</f>
        <v>Total Customer Service</v>
      </c>
      <c r="D41" s="291">
        <f>(Functionalization!F38)</f>
        <v>0</v>
      </c>
      <c r="E41" s="291">
        <f>(Functionalization!G38)</f>
        <v>0</v>
      </c>
      <c r="F41" s="291">
        <f>(Functionalization!H38)</f>
        <v>0</v>
      </c>
      <c r="G41" s="291">
        <f>(Functionalization!I38)</f>
        <v>0</v>
      </c>
      <c r="H41" s="291">
        <f>(Functionalization!J38)</f>
        <v>0</v>
      </c>
      <c r="I41" s="291">
        <f>(Functionalization!L38)</f>
        <v>116266.8</v>
      </c>
      <c r="J41" s="297">
        <f>(Functionalization!M20)</f>
        <v>0</v>
      </c>
      <c r="K41" s="297">
        <f>SUM('Func. Footnotes'!D41:J41)</f>
        <v>116266.8</v>
      </c>
    </row>
    <row r="42" spans="1:11" ht="15.75">
      <c r="A42" s="290"/>
      <c r="B42" s="112"/>
      <c r="C42" s="290" t="s">
        <v>88</v>
      </c>
      <c r="D42" s="297">
        <f aca="true" t="shared" si="3" ref="D42:J42">SUM(D38:D41)</f>
        <v>6424.4472682613405</v>
      </c>
      <c r="E42" s="297">
        <f t="shared" si="3"/>
        <v>3085558.993078063</v>
      </c>
      <c r="F42" s="297">
        <f t="shared" si="3"/>
        <v>14054.896385740234</v>
      </c>
      <c r="G42" s="297">
        <f t="shared" si="3"/>
        <v>417366.69744412834</v>
      </c>
      <c r="H42" s="297">
        <f t="shared" si="3"/>
        <v>659552.717364668</v>
      </c>
      <c r="I42" s="297">
        <f t="shared" si="3"/>
        <v>2146232.52</v>
      </c>
      <c r="J42" s="297">
        <f t="shared" si="3"/>
        <v>134866.43845913952</v>
      </c>
      <c r="K42" s="297">
        <f>SUM('Func. Footnotes'!D42:J42)</f>
        <v>6464056.709999999</v>
      </c>
    </row>
    <row r="43" spans="1:11" ht="15.75">
      <c r="A43" s="290"/>
      <c r="B43" s="112"/>
      <c r="C43" s="290" t="s">
        <v>104</v>
      </c>
      <c r="D43" s="306">
        <f>(D42/'Func. Footnotes'!$K$42)</f>
        <v>0.0009938723554703066</v>
      </c>
      <c r="E43" s="306">
        <f>(E42/'Func. Footnotes'!$K$42)</f>
        <v>0.4773409534456363</v>
      </c>
      <c r="F43" s="306">
        <f>(F42/'Func. Footnotes'!$K$42)</f>
        <v>0.0021743151423775546</v>
      </c>
      <c r="G43" s="306">
        <f>(G42/'Func. Footnotes'!$K$42)</f>
        <v>0.0645673013354687</v>
      </c>
      <c r="H43" s="306">
        <f>(H42/'Func. Footnotes'!$K$42)</f>
        <v>0.10203386927969389</v>
      </c>
      <c r="I43" s="306">
        <f>(I42/'Func. Footnotes'!$K$42)</f>
        <v>0.332025632862989</v>
      </c>
      <c r="J43" s="306">
        <f>(J42/'Func. Footnotes'!$K$42)</f>
        <v>0.020864055578364432</v>
      </c>
      <c r="K43" s="306">
        <f>(K42/$K$42)</f>
        <v>1</v>
      </c>
    </row>
    <row r="44" spans="1:10" ht="15.75">
      <c r="A44" s="102"/>
      <c r="B44" s="108"/>
      <c r="C44" s="102"/>
      <c r="D44" s="102"/>
      <c r="E44" s="101"/>
      <c r="F44" s="102"/>
      <c r="G44" s="101"/>
      <c r="H44" s="102"/>
      <c r="I44" s="102"/>
      <c r="J44" s="102"/>
    </row>
    <row r="45" spans="1:10" ht="15.75">
      <c r="A45" s="102"/>
      <c r="B45" s="108"/>
      <c r="C45" s="102"/>
      <c r="D45" s="102"/>
      <c r="E45" s="101"/>
      <c r="F45" s="102"/>
      <c r="G45" s="101"/>
      <c r="H45" s="102"/>
      <c r="I45" s="102"/>
      <c r="J45" s="102"/>
    </row>
    <row r="46" spans="1:10" ht="15.75">
      <c r="A46" s="102"/>
      <c r="B46" s="108"/>
      <c r="C46" s="102"/>
      <c r="D46" s="102"/>
      <c r="E46" s="101"/>
      <c r="F46" s="102"/>
      <c r="G46" s="101"/>
      <c r="H46" s="102"/>
      <c r="I46" s="102"/>
      <c r="J46" s="102"/>
    </row>
  </sheetData>
  <sheetProtection/>
  <printOptions horizontalCentered="1" verticalCentered="1"/>
  <pageMargins left="0.7" right="0.7" top="0.75" bottom="0.75" header="0.3" footer="0.3"/>
  <pageSetup horizontalDpi="600" verticalDpi="600" orientation="landscape" scale="90" r:id="rId1"/>
  <headerFooter>
    <oddHeader>&amp;C&amp;"Arial,Bold"&amp;12CUMBERLAND VALLEY ELECTRIC
CASE NO. 2016-00169
FUNCTIONALIZATION OF REVENUE REQUIREMENTS&amp;"Arial,Regular"&amp;10
&amp;"Arial,Bold"&amp;12
FOOTNOTES&amp;R Revision 2  Exhibit R
Page ____ of ____
Witness:  James Adkins
Schedule C</oddHeader>
  </headerFooter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B7">
      <selection activeCell="P19" sqref="P19"/>
    </sheetView>
  </sheetViews>
  <sheetFormatPr defaultColWidth="9.140625" defaultRowHeight="12.75"/>
  <cols>
    <col min="1" max="1" width="7.28125" style="178" customWidth="1"/>
    <col min="2" max="2" width="24.57421875" style="145" customWidth="1"/>
    <col min="3" max="3" width="10.57421875" style="145" customWidth="1"/>
    <col min="4" max="4" width="13.00390625" style="191" customWidth="1"/>
    <col min="5" max="5" width="0.9921875" style="145" customWidth="1"/>
    <col min="6" max="6" width="10.140625" style="145" customWidth="1"/>
    <col min="7" max="7" width="12.140625" style="145" customWidth="1"/>
    <col min="8" max="8" width="12.28125" style="145" customWidth="1"/>
    <col min="9" max="9" width="11.140625" style="145" customWidth="1"/>
    <col min="10" max="10" width="10.57421875" style="145" customWidth="1"/>
    <col min="11" max="11" width="10.7109375" style="145" customWidth="1"/>
    <col min="12" max="12" width="11.28125" style="145" customWidth="1"/>
    <col min="13" max="13" width="15.28125" style="145" customWidth="1"/>
    <col min="14" max="14" width="9.140625" style="145" customWidth="1"/>
    <col min="15" max="15" width="12.140625" style="145" customWidth="1"/>
    <col min="16" max="16384" width="9.140625" style="145" customWidth="1"/>
  </cols>
  <sheetData>
    <row r="1" spans="1:16" ht="12.75">
      <c r="A1" s="264" t="s">
        <v>24</v>
      </c>
      <c r="B1" s="265"/>
      <c r="C1" s="265"/>
      <c r="D1" s="283"/>
      <c r="E1" s="265"/>
      <c r="F1" s="265"/>
      <c r="G1" s="424" t="s">
        <v>24</v>
      </c>
      <c r="H1" s="424"/>
      <c r="I1" s="424"/>
      <c r="J1" s="424"/>
      <c r="K1" s="424"/>
      <c r="L1" s="424"/>
      <c r="M1" s="23"/>
      <c r="N1" s="23"/>
      <c r="O1" s="23"/>
      <c r="P1" s="23"/>
    </row>
    <row r="2" spans="1:16" ht="12.75">
      <c r="A2" s="266"/>
      <c r="B2" s="265"/>
      <c r="C2" s="265"/>
      <c r="D2" s="283"/>
      <c r="E2" s="265"/>
      <c r="F2" s="265"/>
      <c r="G2" s="265"/>
      <c r="H2" s="265"/>
      <c r="I2" s="265"/>
      <c r="J2" s="265"/>
      <c r="K2" s="106" t="s">
        <v>11</v>
      </c>
      <c r="L2" s="265"/>
      <c r="M2" s="23"/>
      <c r="N2" s="23"/>
      <c r="O2" s="23"/>
      <c r="P2" s="34"/>
    </row>
    <row r="3" spans="1:16" ht="12.75">
      <c r="A3" s="266"/>
      <c r="B3" s="265"/>
      <c r="C3" s="106" t="s">
        <v>24</v>
      </c>
      <c r="D3" s="283"/>
      <c r="E3" s="265"/>
      <c r="F3" s="265"/>
      <c r="G3" s="106" t="s">
        <v>24</v>
      </c>
      <c r="H3" s="106" t="s">
        <v>24</v>
      </c>
      <c r="I3" s="106"/>
      <c r="J3" s="106" t="s">
        <v>14</v>
      </c>
      <c r="K3" s="106" t="s">
        <v>15</v>
      </c>
      <c r="L3" s="106" t="s">
        <v>16</v>
      </c>
      <c r="M3" s="23"/>
      <c r="N3" s="23"/>
      <c r="O3" s="23"/>
      <c r="P3" s="23"/>
    </row>
    <row r="4" spans="1:16" ht="12.75">
      <c r="A4" s="104" t="s">
        <v>24</v>
      </c>
      <c r="B4" s="265" t="s">
        <v>0</v>
      </c>
      <c r="C4" s="106" t="s">
        <v>24</v>
      </c>
      <c r="D4" s="284" t="s">
        <v>9</v>
      </c>
      <c r="E4" s="265"/>
      <c r="F4" s="106" t="s">
        <v>414</v>
      </c>
      <c r="G4" s="262" t="s">
        <v>25</v>
      </c>
      <c r="H4" s="262" t="s">
        <v>124</v>
      </c>
      <c r="I4" s="262" t="s">
        <v>13</v>
      </c>
      <c r="J4" s="262" t="s">
        <v>11</v>
      </c>
      <c r="K4" s="262" t="s">
        <v>13</v>
      </c>
      <c r="L4" s="262" t="s">
        <v>17</v>
      </c>
      <c r="M4" s="23"/>
      <c r="N4" s="23"/>
      <c r="O4" s="23"/>
      <c r="P4" s="23"/>
    </row>
    <row r="5" spans="1:13" ht="12.75">
      <c r="A5" s="34"/>
      <c r="B5" s="265"/>
      <c r="C5" s="265"/>
      <c r="D5" s="283"/>
      <c r="E5" s="265"/>
      <c r="F5" s="265"/>
      <c r="G5" s="265"/>
      <c r="H5" s="265"/>
      <c r="I5" s="265"/>
      <c r="J5" s="265"/>
      <c r="K5" s="265"/>
      <c r="L5" s="265"/>
      <c r="M5" s="23"/>
    </row>
    <row r="6" spans="1:13" ht="12.75">
      <c r="A6" s="34">
        <v>360</v>
      </c>
      <c r="B6" s="265" t="s">
        <v>154</v>
      </c>
      <c r="C6" s="265"/>
      <c r="D6" s="283">
        <v>5487.58</v>
      </c>
      <c r="E6" s="265"/>
      <c r="F6" s="265"/>
      <c r="G6" s="283">
        <f>(D6)</f>
        <v>5487.58</v>
      </c>
      <c r="H6" s="265"/>
      <c r="I6" s="265"/>
      <c r="J6" s="265"/>
      <c r="K6" s="265"/>
      <c r="L6" s="265"/>
      <c r="M6" s="249">
        <f aca="true" t="shared" si="0" ref="M6:M16">SUM(G6:L6)</f>
        <v>5487.58</v>
      </c>
    </row>
    <row r="7" spans="1:13" ht="12.75">
      <c r="A7" s="34">
        <v>362</v>
      </c>
      <c r="B7" s="265" t="s">
        <v>155</v>
      </c>
      <c r="C7" s="265"/>
      <c r="D7" s="283">
        <f>(599580.23+169341.17)</f>
        <v>768921.4</v>
      </c>
      <c r="E7" s="265"/>
      <c r="F7" s="285">
        <f>(D7)</f>
        <v>768921.4</v>
      </c>
      <c r="G7" s="283" t="s">
        <v>24</v>
      </c>
      <c r="H7" s="265"/>
      <c r="I7" s="265"/>
      <c r="J7" s="265"/>
      <c r="K7" s="265"/>
      <c r="L7" s="265"/>
      <c r="M7" s="249">
        <f t="shared" si="0"/>
        <v>0</v>
      </c>
    </row>
    <row r="8" spans="1:13" ht="12.75">
      <c r="A8" s="34">
        <v>364</v>
      </c>
      <c r="B8" s="265" t="s">
        <v>19</v>
      </c>
      <c r="C8" s="265"/>
      <c r="D8" s="283">
        <v>29674570.74</v>
      </c>
      <c r="E8" s="265"/>
      <c r="F8" s="265"/>
      <c r="G8" s="283">
        <f>(D8)</f>
        <v>29674570.74</v>
      </c>
      <c r="H8" s="265"/>
      <c r="I8" s="265"/>
      <c r="J8" s="265"/>
      <c r="K8" s="265"/>
      <c r="L8" s="283">
        <v>0</v>
      </c>
      <c r="M8" s="249">
        <f t="shared" si="0"/>
        <v>29674570.74</v>
      </c>
    </row>
    <row r="9" spans="1:13" ht="12.75">
      <c r="A9" s="34">
        <v>365</v>
      </c>
      <c r="B9" s="265" t="s">
        <v>20</v>
      </c>
      <c r="C9" s="265"/>
      <c r="D9" s="283">
        <v>27905005.2</v>
      </c>
      <c r="E9" s="265"/>
      <c r="F9" s="265"/>
      <c r="G9" s="283">
        <f>(D9)</f>
        <v>27905005.2</v>
      </c>
      <c r="H9" s="265"/>
      <c r="I9" s="265"/>
      <c r="J9" s="265"/>
      <c r="K9" s="265"/>
      <c r="L9" s="265"/>
      <c r="M9" s="249">
        <f t="shared" si="0"/>
        <v>27905005.2</v>
      </c>
    </row>
    <row r="10" spans="1:13" ht="12.75">
      <c r="A10" s="34">
        <v>366</v>
      </c>
      <c r="B10" s="265" t="s">
        <v>21</v>
      </c>
      <c r="C10" s="265"/>
      <c r="D10" s="283"/>
      <c r="E10" s="265"/>
      <c r="F10" s="265"/>
      <c r="G10" s="283">
        <f>(D10)</f>
        <v>0</v>
      </c>
      <c r="H10" s="265"/>
      <c r="I10" s="265"/>
      <c r="J10" s="265"/>
      <c r="K10" s="265"/>
      <c r="L10" s="265"/>
      <c r="M10" s="249">
        <f t="shared" si="0"/>
        <v>0</v>
      </c>
    </row>
    <row r="11" spans="1:13" ht="12.75">
      <c r="A11" s="34">
        <v>367</v>
      </c>
      <c r="B11" s="286" t="s">
        <v>253</v>
      </c>
      <c r="C11" s="265"/>
      <c r="D11" s="283">
        <v>3889518.52</v>
      </c>
      <c r="E11" s="265"/>
      <c r="F11" s="265"/>
      <c r="G11" s="283">
        <f>(D11)</f>
        <v>3889518.52</v>
      </c>
      <c r="H11" s="265"/>
      <c r="I11" s="265"/>
      <c r="J11" s="265"/>
      <c r="K11" s="265"/>
      <c r="L11" s="265"/>
      <c r="M11" s="249">
        <f t="shared" si="0"/>
        <v>3889518.52</v>
      </c>
    </row>
    <row r="12" spans="1:13" ht="12.75">
      <c r="A12" s="34">
        <v>368</v>
      </c>
      <c r="B12" s="265" t="s">
        <v>12</v>
      </c>
      <c r="C12" s="265"/>
      <c r="D12" s="283">
        <v>10656530.56</v>
      </c>
      <c r="E12" s="265"/>
      <c r="F12" s="265"/>
      <c r="G12" s="265"/>
      <c r="H12" s="283">
        <f>(D12)</f>
        <v>10656530.56</v>
      </c>
      <c r="I12" s="265"/>
      <c r="J12" s="265"/>
      <c r="K12" s="265"/>
      <c r="L12" s="265"/>
      <c r="M12" s="249">
        <f t="shared" si="0"/>
        <v>10656530.56</v>
      </c>
    </row>
    <row r="13" spans="1:13" ht="12.75">
      <c r="A13" s="34">
        <v>369</v>
      </c>
      <c r="B13" s="265" t="s">
        <v>13</v>
      </c>
      <c r="C13" s="265"/>
      <c r="D13" s="283">
        <v>8314588.38</v>
      </c>
      <c r="E13" s="265"/>
      <c r="F13" s="265"/>
      <c r="G13" s="265"/>
      <c r="H13" s="265"/>
      <c r="I13" s="285">
        <f>(D13-L13)</f>
        <v>8314588.38</v>
      </c>
      <c r="J13" s="265"/>
      <c r="K13" s="265"/>
      <c r="L13" s="283">
        <v>0</v>
      </c>
      <c r="M13" s="249">
        <f t="shared" si="0"/>
        <v>8314588.38</v>
      </c>
    </row>
    <row r="14" spans="1:13" ht="12.75">
      <c r="A14" s="34">
        <v>370</v>
      </c>
      <c r="B14" s="265" t="s">
        <v>14</v>
      </c>
      <c r="C14" s="265"/>
      <c r="D14" s="283">
        <f>(1045775.47+536325.87+122031.14+15661.85+3582883.55+369775.85+307046+326338.88+350162.61)</f>
        <v>6656001.22</v>
      </c>
      <c r="E14" s="265"/>
      <c r="F14" s="265"/>
      <c r="G14" s="265"/>
      <c r="H14" s="265"/>
      <c r="I14" s="265"/>
      <c r="J14" s="285">
        <f>(D14)</f>
        <v>6656001.22</v>
      </c>
      <c r="K14" s="265"/>
      <c r="L14" s="265"/>
      <c r="M14" s="249">
        <f t="shared" si="0"/>
        <v>6656001.22</v>
      </c>
    </row>
    <row r="15" spans="1:13" ht="12.75">
      <c r="A15" s="34">
        <v>371</v>
      </c>
      <c r="B15" s="265" t="s">
        <v>22</v>
      </c>
      <c r="C15" s="265"/>
      <c r="D15" s="283">
        <v>4912561.74</v>
      </c>
      <c r="E15" s="265"/>
      <c r="F15" s="265"/>
      <c r="G15" s="265"/>
      <c r="H15" s="265"/>
      <c r="I15" s="265"/>
      <c r="J15" s="265"/>
      <c r="K15" s="265"/>
      <c r="L15" s="285">
        <f>(D15)</f>
        <v>4912561.74</v>
      </c>
      <c r="M15" s="249">
        <f t="shared" si="0"/>
        <v>4912561.74</v>
      </c>
    </row>
    <row r="16" spans="1:13" ht="12.75">
      <c r="A16" s="34">
        <v>373</v>
      </c>
      <c r="B16" s="265" t="s">
        <v>156</v>
      </c>
      <c r="C16" s="265"/>
      <c r="D16" s="283">
        <v>0</v>
      </c>
      <c r="E16" s="265"/>
      <c r="F16" s="265"/>
      <c r="G16" s="265"/>
      <c r="H16" s="265"/>
      <c r="I16" s="265"/>
      <c r="J16" s="265"/>
      <c r="K16" s="265"/>
      <c r="L16" s="265"/>
      <c r="M16" s="249">
        <f t="shared" si="0"/>
        <v>0</v>
      </c>
    </row>
    <row r="17" spans="1:13" ht="12.75">
      <c r="A17" s="34"/>
      <c r="B17" s="265" t="s">
        <v>1</v>
      </c>
      <c r="C17" s="265"/>
      <c r="D17" s="283">
        <f>SUM(D6:D16)</f>
        <v>92783185.33999999</v>
      </c>
      <c r="E17" s="283" t="s">
        <v>24</v>
      </c>
      <c r="F17" s="283">
        <f aca="true" t="shared" si="1" ref="F17:L17">SUM(F6:F16)</f>
        <v>768921.4</v>
      </c>
      <c r="G17" s="283">
        <f t="shared" si="1"/>
        <v>61474582.04</v>
      </c>
      <c r="H17" s="283">
        <f t="shared" si="1"/>
        <v>10656530.56</v>
      </c>
      <c r="I17" s="283">
        <f t="shared" si="1"/>
        <v>8314588.38</v>
      </c>
      <c r="J17" s="283">
        <f t="shared" si="1"/>
        <v>6656001.22</v>
      </c>
      <c r="K17" s="283">
        <f t="shared" si="1"/>
        <v>0</v>
      </c>
      <c r="L17" s="283">
        <f t="shared" si="1"/>
        <v>4912561.74</v>
      </c>
      <c r="M17" s="249">
        <f>SUM(F17:L17)</f>
        <v>92783185.33999999</v>
      </c>
    </row>
    <row r="18" spans="1:13" ht="12.75">
      <c r="A18" s="34"/>
      <c r="B18" s="265"/>
      <c r="C18" s="265"/>
      <c r="D18" s="283"/>
      <c r="E18" s="283"/>
      <c r="F18" s="283"/>
      <c r="G18" s="283"/>
      <c r="H18" s="283"/>
      <c r="I18" s="283"/>
      <c r="J18" s="283"/>
      <c r="K18" s="283"/>
      <c r="L18" s="283"/>
      <c r="M18" s="249">
        <f>SUM(F18:L18)</f>
        <v>0</v>
      </c>
    </row>
    <row r="19" spans="1:13" ht="12.75">
      <c r="A19" s="34"/>
      <c r="B19" s="265"/>
      <c r="C19" s="265"/>
      <c r="D19" s="283"/>
      <c r="E19" s="283"/>
      <c r="F19" s="287">
        <f aca="true" t="shared" si="2" ref="F19:L19">(F17/$D$17)</f>
        <v>0.008287292543172781</v>
      </c>
      <c r="G19" s="287">
        <f t="shared" si="2"/>
        <v>0.6625616679868129</v>
      </c>
      <c r="H19" s="287">
        <f t="shared" si="2"/>
        <v>0.11485411414740293</v>
      </c>
      <c r="I19" s="287">
        <f t="shared" si="2"/>
        <v>0.08961309475991311</v>
      </c>
      <c r="J19" s="287">
        <f t="shared" si="2"/>
        <v>0.07173714930792006</v>
      </c>
      <c r="K19" s="287">
        <f t="shared" si="2"/>
        <v>0</v>
      </c>
      <c r="L19" s="287">
        <f t="shared" si="2"/>
        <v>0.05294668125477832</v>
      </c>
      <c r="M19" s="268">
        <f>SUM(F19:L19)</f>
        <v>1</v>
      </c>
    </row>
    <row r="20" spans="1:13" ht="12.75">
      <c r="A20" s="34"/>
      <c r="B20" s="265"/>
      <c r="C20" s="265"/>
      <c r="D20" s="283"/>
      <c r="E20" s="265"/>
      <c r="F20" s="265"/>
      <c r="G20" s="265" t="s">
        <v>24</v>
      </c>
      <c r="H20" s="265"/>
      <c r="I20" s="265"/>
      <c r="J20" s="265"/>
      <c r="K20" s="265"/>
      <c r="L20" s="265"/>
      <c r="M20" s="23"/>
    </row>
    <row r="21" spans="1:13" ht="12.75">
      <c r="A21" s="34"/>
      <c r="B21" s="265" t="s">
        <v>2</v>
      </c>
      <c r="C21" s="265"/>
      <c r="D21" s="283">
        <f>(D25-D17)</f>
        <v>8027219.660000011</v>
      </c>
      <c r="E21" s="283" t="s">
        <v>24</v>
      </c>
      <c r="F21" s="283">
        <f>($D$21*'Func. Footnotes'!D43)</f>
        <v>7978.031711361766</v>
      </c>
      <c r="G21" s="283">
        <f>($D$21*'Func. Footnotes'!E43)</f>
        <v>3831720.686021962</v>
      </c>
      <c r="H21" s="283">
        <f>($D$21*'Func. Footnotes'!F43)</f>
        <v>17453.705257928832</v>
      </c>
      <c r="I21" s="283">
        <f>($D$21*'Func. Footnotes'!G43)</f>
        <v>518295.91067321936</v>
      </c>
      <c r="J21" s="283">
        <f>($D$21*'Func. Footnotes'!H43)</f>
        <v>819048.2814678301</v>
      </c>
      <c r="K21" s="283">
        <f>($D$21*'Func. Footnotes'!I43)</f>
        <v>2665242.687741731</v>
      </c>
      <c r="L21" s="283">
        <f>($D$21*'Func. Footnotes'!J43)</f>
        <v>167480.35712597988</v>
      </c>
      <c r="M21" s="15">
        <f>SUM(F21:L21)</f>
        <v>8027219.660000012</v>
      </c>
    </row>
    <row r="22" spans="1:13" ht="12.75">
      <c r="A22" s="34"/>
      <c r="B22" s="265"/>
      <c r="C22" s="265"/>
      <c r="D22" s="283"/>
      <c r="E22" s="283"/>
      <c r="F22" s="283"/>
      <c r="G22" s="283"/>
      <c r="H22" s="283"/>
      <c r="I22" s="283"/>
      <c r="J22" s="283"/>
      <c r="K22" s="283"/>
      <c r="L22" s="283"/>
      <c r="M22" s="249" t="s">
        <v>24</v>
      </c>
    </row>
    <row r="23" spans="1:13" ht="12.75">
      <c r="A23" s="34"/>
      <c r="B23" s="265"/>
      <c r="C23" s="265"/>
      <c r="D23" s="283"/>
      <c r="E23" s="283"/>
      <c r="F23" s="288">
        <f aca="true" t="shared" si="3" ref="F23:L23">(F21/$D$21)</f>
        <v>0.0009938723554703066</v>
      </c>
      <c r="G23" s="288">
        <f t="shared" si="3"/>
        <v>0.4773409534456363</v>
      </c>
      <c r="H23" s="288">
        <f t="shared" si="3"/>
        <v>0.0021743151423775546</v>
      </c>
      <c r="I23" s="288">
        <f t="shared" si="3"/>
        <v>0.0645673013354687</v>
      </c>
      <c r="J23" s="288">
        <f t="shared" si="3"/>
        <v>0.1020338692796939</v>
      </c>
      <c r="K23" s="288">
        <f t="shared" si="3"/>
        <v>0.332025632862989</v>
      </c>
      <c r="L23" s="288">
        <f t="shared" si="3"/>
        <v>0.020864055578364432</v>
      </c>
      <c r="M23" s="267">
        <f>SUM(F23:L23)</f>
        <v>1.0000000000000002</v>
      </c>
    </row>
    <row r="24" spans="1:13" ht="12.75">
      <c r="A24" s="34"/>
      <c r="B24" s="265"/>
      <c r="C24" s="265"/>
      <c r="D24" s="283"/>
      <c r="E24" s="283"/>
      <c r="F24" s="283"/>
      <c r="G24" s="288"/>
      <c r="H24" s="288"/>
      <c r="I24" s="288"/>
      <c r="J24" s="288"/>
      <c r="K24" s="288"/>
      <c r="L24" s="288"/>
      <c r="M24" s="15">
        <f aca="true" t="shared" si="4" ref="M24:M44">SUM(F24:L24)</f>
        <v>0</v>
      </c>
    </row>
    <row r="25" spans="1:13" ht="12.75">
      <c r="A25" s="34"/>
      <c r="B25" s="265" t="s">
        <v>23</v>
      </c>
      <c r="C25" s="265"/>
      <c r="D25" s="283">
        <v>100810405</v>
      </c>
      <c r="E25" s="283" t="s">
        <v>24</v>
      </c>
      <c r="F25" s="283">
        <f aca="true" t="shared" si="5" ref="F25:L25">(F17+F21)</f>
        <v>776899.4317113617</v>
      </c>
      <c r="G25" s="283">
        <f t="shared" si="5"/>
        <v>65306302.72602196</v>
      </c>
      <c r="H25" s="283">
        <f t="shared" si="5"/>
        <v>10673984.265257929</v>
      </c>
      <c r="I25" s="283">
        <f t="shared" si="5"/>
        <v>8832884.290673219</v>
      </c>
      <c r="J25" s="283">
        <f t="shared" si="5"/>
        <v>7475049.50146783</v>
      </c>
      <c r="K25" s="283">
        <f t="shared" si="5"/>
        <v>2665242.687741731</v>
      </c>
      <c r="L25" s="283">
        <f t="shared" si="5"/>
        <v>5080042.09712598</v>
      </c>
      <c r="M25" s="15">
        <f t="shared" si="4"/>
        <v>100810405</v>
      </c>
    </row>
    <row r="26" spans="1:13" ht="12.75">
      <c r="A26" s="34"/>
      <c r="B26" s="265"/>
      <c r="C26" s="265"/>
      <c r="D26" s="283"/>
      <c r="E26" s="265"/>
      <c r="F26" s="265"/>
      <c r="G26" s="265"/>
      <c r="H26" s="265"/>
      <c r="I26" s="265"/>
      <c r="J26" s="265"/>
      <c r="K26" s="265"/>
      <c r="L26" s="265"/>
      <c r="M26" s="15">
        <f t="shared" si="4"/>
        <v>0</v>
      </c>
    </row>
    <row r="27" spans="1:13" ht="12.75">
      <c r="A27" s="34" t="s">
        <v>24</v>
      </c>
      <c r="B27" s="265" t="s">
        <v>263</v>
      </c>
      <c r="C27" s="265"/>
      <c r="D27" s="283">
        <v>36032638</v>
      </c>
      <c r="E27" s="265"/>
      <c r="F27" s="285">
        <f aca="true" t="shared" si="6" ref="F27:L27">(F25/$D$25)*($D$27)</f>
        <v>277686.9707572469</v>
      </c>
      <c r="G27" s="285">
        <f t="shared" si="6"/>
        <v>23342415.549715947</v>
      </c>
      <c r="H27" s="285">
        <f t="shared" si="6"/>
        <v>3815199.5426239474</v>
      </c>
      <c r="I27" s="285">
        <f t="shared" si="6"/>
        <v>3157135.6363632786</v>
      </c>
      <c r="J27" s="285">
        <f t="shared" si="6"/>
        <v>2671805.0851841215</v>
      </c>
      <c r="K27" s="285">
        <f t="shared" si="6"/>
        <v>952637.0313614435</v>
      </c>
      <c r="L27" s="285">
        <f t="shared" si="6"/>
        <v>1815758.1839940161</v>
      </c>
      <c r="M27" s="15">
        <f t="shared" si="4"/>
        <v>36032638.00000001</v>
      </c>
    </row>
    <row r="28" spans="1:13" ht="12.75">
      <c r="A28" s="34"/>
      <c r="B28" s="265"/>
      <c r="C28" s="265"/>
      <c r="D28" s="283"/>
      <c r="E28" s="265"/>
      <c r="F28" s="265"/>
      <c r="G28" s="265"/>
      <c r="H28" s="265"/>
      <c r="I28" s="265"/>
      <c r="J28" s="265"/>
      <c r="K28" s="265"/>
      <c r="L28" s="265"/>
      <c r="M28" s="15">
        <f t="shared" si="4"/>
        <v>0</v>
      </c>
    </row>
    <row r="29" spans="1:13" ht="12.75">
      <c r="A29" s="34"/>
      <c r="B29" s="265" t="s">
        <v>5</v>
      </c>
      <c r="C29" s="265"/>
      <c r="D29" s="285">
        <f>(D25-D27)</f>
        <v>64777767</v>
      </c>
      <c r="E29" s="265"/>
      <c r="F29" s="285">
        <f aca="true" t="shared" si="7" ref="F29:L29">(F25-F27)</f>
        <v>499212.46095411485</v>
      </c>
      <c r="G29" s="285">
        <f t="shared" si="7"/>
        <v>41963887.17630601</v>
      </c>
      <c r="H29" s="285">
        <f t="shared" si="7"/>
        <v>6858784.722633981</v>
      </c>
      <c r="I29" s="285">
        <f t="shared" si="7"/>
        <v>5675748.65430994</v>
      </c>
      <c r="J29" s="285">
        <f t="shared" si="7"/>
        <v>4803244.416283708</v>
      </c>
      <c r="K29" s="285">
        <f t="shared" si="7"/>
        <v>1712605.6563802874</v>
      </c>
      <c r="L29" s="285">
        <f t="shared" si="7"/>
        <v>3264283.913131964</v>
      </c>
      <c r="M29" s="15">
        <f t="shared" si="4"/>
        <v>64777767.00000001</v>
      </c>
    </row>
    <row r="30" spans="1:13" ht="12.75">
      <c r="A30" s="34"/>
      <c r="B30" s="265"/>
      <c r="C30" s="265"/>
      <c r="D30" s="283"/>
      <c r="E30" s="265"/>
      <c r="F30" s="265"/>
      <c r="G30" s="285"/>
      <c r="H30" s="285"/>
      <c r="I30" s="285"/>
      <c r="J30" s="285"/>
      <c r="K30" s="285"/>
      <c r="L30" s="285"/>
      <c r="M30" s="15">
        <f t="shared" si="4"/>
        <v>0</v>
      </c>
    </row>
    <row r="31" spans="1:13" ht="12.75">
      <c r="A31" s="34"/>
      <c r="B31" s="265"/>
      <c r="C31" s="265"/>
      <c r="D31" s="283">
        <f>(D25+D33)</f>
        <v>101039800</v>
      </c>
      <c r="E31" s="265"/>
      <c r="F31" s="287">
        <f>(F29/$D$29)</f>
        <v>0.007706540130568484</v>
      </c>
      <c r="G31" s="287">
        <f aca="true" t="shared" si="8" ref="G31:L31">(G29/$D$29)</f>
        <v>0.6478131173664262</v>
      </c>
      <c r="H31" s="287">
        <f t="shared" si="8"/>
        <v>0.10588177148239737</v>
      </c>
      <c r="I31" s="287">
        <f t="shared" si="8"/>
        <v>0.08761877596537003</v>
      </c>
      <c r="J31" s="287">
        <f t="shared" si="8"/>
        <v>0.07414958308587123</v>
      </c>
      <c r="K31" s="287">
        <f t="shared" si="8"/>
        <v>0.026438170620797834</v>
      </c>
      <c r="L31" s="287">
        <f t="shared" si="8"/>
        <v>0.05039204134856893</v>
      </c>
      <c r="M31" s="267">
        <f t="shared" si="4"/>
        <v>1.0000000000000002</v>
      </c>
    </row>
    <row r="32" spans="1:13" ht="12.75">
      <c r="A32" s="34"/>
      <c r="B32" s="265"/>
      <c r="C32" s="265"/>
      <c r="D32" s="283"/>
      <c r="E32" s="265"/>
      <c r="F32" s="265"/>
      <c r="G32" s="285"/>
      <c r="H32" s="285"/>
      <c r="I32" s="285"/>
      <c r="J32" s="285"/>
      <c r="K32" s="285"/>
      <c r="L32" s="285"/>
      <c r="M32" s="15">
        <f t="shared" si="4"/>
        <v>0</v>
      </c>
    </row>
    <row r="33" spans="1:13" ht="12.75">
      <c r="A33" s="34" t="s">
        <v>24</v>
      </c>
      <c r="B33" s="265" t="s">
        <v>80</v>
      </c>
      <c r="C33" s="265"/>
      <c r="D33" s="283">
        <v>229395</v>
      </c>
      <c r="E33" s="265"/>
      <c r="F33" s="283">
        <f aca="true" t="shared" si="9" ref="F33:L33">(F17/$D$17)*($D$33)</f>
        <v>1901.0634729411202</v>
      </c>
      <c r="G33" s="283">
        <f t="shared" si="9"/>
        <v>151988.33382783495</v>
      </c>
      <c r="H33" s="283">
        <f t="shared" si="9"/>
        <v>26346.959514843496</v>
      </c>
      <c r="I33" s="283">
        <f t="shared" si="9"/>
        <v>20556.795872450268</v>
      </c>
      <c r="J33" s="283">
        <f t="shared" si="9"/>
        <v>16456.143365490323</v>
      </c>
      <c r="K33" s="283">
        <f t="shared" si="9"/>
        <v>0</v>
      </c>
      <c r="L33" s="283">
        <f t="shared" si="9"/>
        <v>12145.703946439873</v>
      </c>
      <c r="M33" s="15">
        <f t="shared" si="4"/>
        <v>229395.00000000003</v>
      </c>
    </row>
    <row r="34" spans="1:13" ht="12.75">
      <c r="A34" s="34"/>
      <c r="B34" s="265"/>
      <c r="C34" s="265"/>
      <c r="D34" s="283">
        <f>(D29+D33)</f>
        <v>65007162</v>
      </c>
      <c r="E34" s="283" t="s">
        <v>24</v>
      </c>
      <c r="F34" s="283">
        <f aca="true" t="shared" si="10" ref="F34:L34">(F29+F33)</f>
        <v>501113.52442705596</v>
      </c>
      <c r="G34" s="283">
        <f t="shared" si="10"/>
        <v>42115875.51013385</v>
      </c>
      <c r="H34" s="283">
        <f t="shared" si="10"/>
        <v>6885131.682148824</v>
      </c>
      <c r="I34" s="283">
        <f t="shared" si="10"/>
        <v>5696305.4501823895</v>
      </c>
      <c r="J34" s="283">
        <f t="shared" si="10"/>
        <v>4819700.559649198</v>
      </c>
      <c r="K34" s="283">
        <f t="shared" si="10"/>
        <v>1712605.6563802874</v>
      </c>
      <c r="L34" s="283">
        <f t="shared" si="10"/>
        <v>3276429.617078404</v>
      </c>
      <c r="M34" s="15">
        <f>SUM(F34:L34)</f>
        <v>65007162</v>
      </c>
    </row>
    <row r="35" spans="1:13" ht="12.75">
      <c r="A35" s="34"/>
      <c r="B35" s="265" t="s">
        <v>236</v>
      </c>
      <c r="C35" s="265"/>
      <c r="D35" s="283"/>
      <c r="E35" s="265"/>
      <c r="F35" s="265"/>
      <c r="G35" s="285"/>
      <c r="H35" s="285"/>
      <c r="I35" s="285"/>
      <c r="J35" s="285"/>
      <c r="K35" s="285"/>
      <c r="L35" s="285"/>
      <c r="M35" s="15">
        <f aca="true" t="shared" si="11" ref="M35:M41">SUM(F35:L35)</f>
        <v>0</v>
      </c>
    </row>
    <row r="36" spans="1:13" ht="12.75">
      <c r="A36" s="34"/>
      <c r="B36" s="265" t="s">
        <v>3</v>
      </c>
      <c r="C36" s="265"/>
      <c r="D36" s="289">
        <v>991384</v>
      </c>
      <c r="E36" s="265"/>
      <c r="F36" s="285">
        <f aca="true" t="shared" si="12" ref="F36:L36">(F29/$D$29)*($D$36)</f>
        <v>7640.140580803506</v>
      </c>
      <c r="G36" s="285">
        <f t="shared" si="12"/>
        <v>642231.5595471971</v>
      </c>
      <c r="H36" s="285">
        <f t="shared" si="12"/>
        <v>104969.49413930504</v>
      </c>
      <c r="I36" s="285">
        <f t="shared" si="12"/>
        <v>86863.85259165241</v>
      </c>
      <c r="J36" s="285">
        <f t="shared" si="12"/>
        <v>73510.71027800336</v>
      </c>
      <c r="K36" s="285">
        <f t="shared" si="12"/>
        <v>26210.37934272904</v>
      </c>
      <c r="L36" s="285">
        <f t="shared" si="12"/>
        <v>49957.86352030966</v>
      </c>
      <c r="M36" s="15">
        <f t="shared" si="11"/>
        <v>991384.0000000001</v>
      </c>
    </row>
    <row r="37" spans="1:13" ht="12.75">
      <c r="A37" s="34"/>
      <c r="B37" s="265" t="s">
        <v>6</v>
      </c>
      <c r="C37" s="265"/>
      <c r="D37" s="413">
        <v>444962</v>
      </c>
      <c r="E37" s="265"/>
      <c r="F37" s="285">
        <f aca="true" t="shared" si="13" ref="F37:L37">(F29/$D$29)*($D$37)</f>
        <v>3429.117509578014</v>
      </c>
      <c r="G37" s="285">
        <f t="shared" si="13"/>
        <v>288252.22032959975</v>
      </c>
      <c r="H37" s="285">
        <f t="shared" si="13"/>
        <v>47113.3648023505</v>
      </c>
      <c r="I37" s="285">
        <f t="shared" si="13"/>
        <v>38987.02579110298</v>
      </c>
      <c r="J37" s="285">
        <f t="shared" si="13"/>
        <v>32993.74678905543</v>
      </c>
      <c r="K37" s="285">
        <f t="shared" si="13"/>
        <v>11763.981275771446</v>
      </c>
      <c r="L37" s="285">
        <f t="shared" si="13"/>
        <v>22422.54350254193</v>
      </c>
      <c r="M37" s="15">
        <f t="shared" si="11"/>
        <v>444962</v>
      </c>
    </row>
    <row r="38" spans="1:13" s="23" customFormat="1" ht="12.75">
      <c r="A38" s="34"/>
      <c r="B38" s="265" t="s">
        <v>4</v>
      </c>
      <c r="C38" s="265"/>
      <c r="D38" s="413">
        <v>158454</v>
      </c>
      <c r="E38" s="265"/>
      <c r="F38" s="285">
        <f aca="true" t="shared" si="14" ref="F38:L38">(F29/$D$29)*($D$38)</f>
        <v>1221.1321098490987</v>
      </c>
      <c r="G38" s="285">
        <f t="shared" si="14"/>
        <v>102648.5796991797</v>
      </c>
      <c r="H38" s="285">
        <f t="shared" si="14"/>
        <v>16777.39021847179</v>
      </c>
      <c r="I38" s="285">
        <f t="shared" si="14"/>
        <v>13883.545526816742</v>
      </c>
      <c r="J38" s="285">
        <f t="shared" si="14"/>
        <v>11749.29803828864</v>
      </c>
      <c r="K38" s="285">
        <f t="shared" si="14"/>
        <v>4189.2338875479</v>
      </c>
      <c r="L38" s="285">
        <f t="shared" si="14"/>
        <v>7984.820519846141</v>
      </c>
      <c r="M38" s="15">
        <f t="shared" si="11"/>
        <v>158453.99999999997</v>
      </c>
    </row>
    <row r="39" spans="1:15" ht="12.75">
      <c r="A39" s="34"/>
      <c r="B39" s="286" t="s">
        <v>24</v>
      </c>
      <c r="C39" s="265"/>
      <c r="D39" s="283"/>
      <c r="E39" s="265"/>
      <c r="F39" s="265"/>
      <c r="G39" s="265"/>
      <c r="H39" s="265"/>
      <c r="I39" s="265"/>
      <c r="J39" s="265"/>
      <c r="K39" s="265"/>
      <c r="L39" s="265"/>
      <c r="M39" s="15">
        <f t="shared" si="11"/>
        <v>0</v>
      </c>
      <c r="O39" s="270"/>
    </row>
    <row r="40" spans="1:13" ht="12.75">
      <c r="A40" s="34"/>
      <c r="B40" s="286" t="s">
        <v>237</v>
      </c>
      <c r="C40" s="265"/>
      <c r="D40" s="283">
        <f>(20112+50642+5190+7337)</f>
        <v>83281</v>
      </c>
      <c r="E40" s="265"/>
      <c r="F40" s="283">
        <f aca="true" t="shared" si="15" ref="F40:L40">(F17/$D$17)*($D$40)</f>
        <v>690.1740102879724</v>
      </c>
      <c r="G40" s="283">
        <f t="shared" si="15"/>
        <v>55178.79827160977</v>
      </c>
      <c r="H40" s="283">
        <f t="shared" si="15"/>
        <v>9565.165480309863</v>
      </c>
      <c r="I40" s="283">
        <f t="shared" si="15"/>
        <v>7463.0681447003235</v>
      </c>
      <c r="J40" s="283">
        <f t="shared" si="15"/>
        <v>5974.3415315128905</v>
      </c>
      <c r="K40" s="283">
        <f t="shared" si="15"/>
        <v>0</v>
      </c>
      <c r="L40" s="283">
        <f t="shared" si="15"/>
        <v>4409.452561579194</v>
      </c>
      <c r="M40" s="15">
        <f t="shared" si="11"/>
        <v>83281.00000000001</v>
      </c>
    </row>
    <row r="41" spans="1:13" ht="12.75">
      <c r="A41" s="34"/>
      <c r="B41" s="265" t="s">
        <v>18</v>
      </c>
      <c r="C41" s="265"/>
      <c r="D41" s="283">
        <f>SUM(D34,D36,D37,D38)-D40</f>
        <v>66518681</v>
      </c>
      <c r="E41" s="283" t="s">
        <v>24</v>
      </c>
      <c r="F41" s="283">
        <f aca="true" t="shared" si="16" ref="F41:L41">SUM(F34,F36,F37,F38)-F40</f>
        <v>512713.7406169986</v>
      </c>
      <c r="G41" s="283">
        <f t="shared" si="16"/>
        <v>43093829.071438216</v>
      </c>
      <c r="H41" s="283">
        <f t="shared" si="16"/>
        <v>7044426.765828642</v>
      </c>
      <c r="I41" s="283">
        <f t="shared" si="16"/>
        <v>5828576.805947261</v>
      </c>
      <c r="J41" s="283">
        <f t="shared" si="16"/>
        <v>4931979.973223033</v>
      </c>
      <c r="K41" s="283">
        <f t="shared" si="16"/>
        <v>1754769.2508863357</v>
      </c>
      <c r="L41" s="283">
        <f t="shared" si="16"/>
        <v>3352385.392059522</v>
      </c>
      <c r="M41" s="15">
        <f t="shared" si="11"/>
        <v>66518681</v>
      </c>
    </row>
    <row r="42" spans="1:13" ht="12.75">
      <c r="A42" s="34"/>
      <c r="B42" s="265"/>
      <c r="C42" s="265"/>
      <c r="D42" s="283"/>
      <c r="E42" s="265"/>
      <c r="F42" s="283" t="s">
        <v>24</v>
      </c>
      <c r="G42" s="287"/>
      <c r="H42" s="265"/>
      <c r="I42" s="265"/>
      <c r="J42" s="265"/>
      <c r="K42" s="265"/>
      <c r="L42" s="265"/>
      <c r="M42" s="15" t="s">
        <v>24</v>
      </c>
    </row>
    <row r="43" spans="1:13" ht="12.75">
      <c r="A43" s="34"/>
      <c r="B43" s="265" t="s">
        <v>129</v>
      </c>
      <c r="C43" s="265"/>
      <c r="D43" s="283"/>
      <c r="E43" s="265"/>
      <c r="F43" s="287">
        <f aca="true" t="shared" si="17" ref="F43:L43">(F41/$D$41)</f>
        <v>0.007707815803157591</v>
      </c>
      <c r="G43" s="287">
        <f t="shared" si="17"/>
        <v>0.6478455138254803</v>
      </c>
      <c r="H43" s="287">
        <f t="shared" si="17"/>
        <v>0.1059014800042208</v>
      </c>
      <c r="I43" s="287">
        <f t="shared" si="17"/>
        <v>0.08762315665801101</v>
      </c>
      <c r="J43" s="287">
        <f t="shared" si="17"/>
        <v>0.07414428396773282</v>
      </c>
      <c r="K43" s="287">
        <f t="shared" si="17"/>
        <v>0.02638009690670709</v>
      </c>
      <c r="L43" s="287">
        <f t="shared" si="17"/>
        <v>0.050397652834690485</v>
      </c>
      <c r="M43" s="267">
        <f t="shared" si="4"/>
        <v>1</v>
      </c>
    </row>
    <row r="44" spans="1:13" ht="12.75">
      <c r="A44" s="34"/>
      <c r="B44" s="23"/>
      <c r="C44" s="23"/>
      <c r="D44" s="15"/>
      <c r="E44" s="23"/>
      <c r="F44" s="23"/>
      <c r="G44" s="23"/>
      <c r="H44" s="23"/>
      <c r="I44" s="23"/>
      <c r="J44" s="23"/>
      <c r="K44" s="23"/>
      <c r="L44" s="23"/>
      <c r="M44" s="15">
        <f t="shared" si="4"/>
        <v>0</v>
      </c>
    </row>
    <row r="45" spans="1:12" ht="12.75">
      <c r="A45" s="34"/>
      <c r="B45" s="23"/>
      <c r="C45" s="23"/>
      <c r="D45" s="15"/>
      <c r="E45" s="23"/>
      <c r="F45" s="23"/>
      <c r="G45" s="23"/>
      <c r="H45" s="23"/>
      <c r="I45" s="23"/>
      <c r="J45" s="23"/>
      <c r="K45" s="23"/>
      <c r="L45" s="23"/>
    </row>
    <row r="48" ht="12.75">
      <c r="H48" s="11" t="s">
        <v>24</v>
      </c>
    </row>
  </sheetData>
  <sheetProtection/>
  <mergeCells count="1">
    <mergeCell ref="G1:L1"/>
  </mergeCells>
  <printOptions gridLines="1" horizontalCentered="1" verticalCentered="1"/>
  <pageMargins left="0.75" right="0.75" top="1" bottom="1" header="0.5" footer="0.5"/>
  <pageSetup horizontalDpi="300" verticalDpi="300" orientation="landscape" scale="80" r:id="rId1"/>
  <headerFooter alignWithMargins="0">
    <oddHeader>&amp;C&amp;"Arial,Bold"&amp;14
 CUMBERLAND VALLEY ELECTRIC, INC.
Case No. 2016-00169
NET INVESTMENT RATE BASE
 &amp;RRevision 2  Exhibit R
Page ____ of ____
Witness:  James Adkins
Schedule   D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V137"/>
  <sheetViews>
    <sheetView zoomScale="80" zoomScaleNormal="80" zoomScalePageLayoutView="0" workbookViewId="0" topLeftCell="D61">
      <selection activeCell="D66" sqref="D66"/>
    </sheetView>
  </sheetViews>
  <sheetFormatPr defaultColWidth="9.140625" defaultRowHeight="12.75"/>
  <cols>
    <col min="1" max="1" width="3.140625" style="316" customWidth="1"/>
    <col min="2" max="2" width="9.28125" style="411" customWidth="1"/>
    <col min="3" max="3" width="28.8515625" style="192" customWidth="1"/>
    <col min="4" max="4" width="18.00390625" style="192" customWidth="1"/>
    <col min="5" max="5" width="14.28125" style="193" bestFit="1" customWidth="1"/>
    <col min="6" max="7" width="13.8515625" style="192" customWidth="1"/>
    <col min="8" max="9" width="14.140625" style="192" customWidth="1"/>
    <col min="10" max="11" width="15.140625" style="192" customWidth="1"/>
    <col min="12" max="13" width="12.57421875" style="192" customWidth="1"/>
    <col min="14" max="14" width="12.140625" style="192" customWidth="1"/>
    <col min="15" max="15" width="12.7109375" style="192" customWidth="1"/>
    <col min="16" max="16" width="12.421875" style="192" customWidth="1"/>
    <col min="17" max="17" width="11.421875" style="192" bestFit="1" customWidth="1"/>
    <col min="18" max="18" width="3.140625" style="192" customWidth="1"/>
    <col min="19" max="19" width="14.00390625" style="192" customWidth="1"/>
    <col min="20" max="20" width="13.8515625" style="192" customWidth="1"/>
    <col min="21" max="21" width="13.00390625" style="192" customWidth="1"/>
    <col min="22" max="22" width="13.421875" style="192" customWidth="1"/>
    <col min="23" max="16384" width="9.140625" style="192" customWidth="1"/>
  </cols>
  <sheetData>
    <row r="1" spans="6:17" ht="15.75">
      <c r="F1" s="425" t="s">
        <v>24</v>
      </c>
      <c r="G1" s="425"/>
      <c r="H1" s="425"/>
      <c r="I1" s="411"/>
      <c r="J1" s="425" t="s">
        <v>24</v>
      </c>
      <c r="K1" s="425"/>
      <c r="L1" s="425"/>
      <c r="M1" s="425"/>
      <c r="N1" s="425"/>
      <c r="O1" s="425"/>
      <c r="P1" s="425"/>
      <c r="Q1" s="425"/>
    </row>
    <row r="2" spans="2:17" ht="15.75">
      <c r="B2" s="412"/>
      <c r="C2" s="308"/>
      <c r="D2" s="308"/>
      <c r="E2" s="309"/>
      <c r="F2" s="308"/>
      <c r="G2" s="308"/>
      <c r="H2" s="412" t="s">
        <v>24</v>
      </c>
      <c r="I2" s="412"/>
      <c r="J2" s="308"/>
      <c r="K2" s="308"/>
      <c r="L2" s="412" t="s">
        <v>24</v>
      </c>
      <c r="M2" s="412"/>
      <c r="N2" s="308"/>
      <c r="O2" s="308"/>
      <c r="P2" s="412" t="s">
        <v>24</v>
      </c>
      <c r="Q2" s="308"/>
    </row>
    <row r="3" spans="2:18" ht="15.75">
      <c r="B3" s="412"/>
      <c r="C3" s="308"/>
      <c r="D3" s="412" t="s">
        <v>24</v>
      </c>
      <c r="E3" s="410" t="s">
        <v>240</v>
      </c>
      <c r="F3" s="426" t="s">
        <v>419</v>
      </c>
      <c r="G3" s="426"/>
      <c r="H3" s="426"/>
      <c r="I3" s="412" t="s">
        <v>445</v>
      </c>
      <c r="J3" s="426" t="s">
        <v>25</v>
      </c>
      <c r="K3" s="426"/>
      <c r="L3" s="426" t="s">
        <v>124</v>
      </c>
      <c r="M3" s="426"/>
      <c r="N3" s="412" t="s">
        <v>13</v>
      </c>
      <c r="O3" s="412" t="s">
        <v>14</v>
      </c>
      <c r="P3" s="412" t="s">
        <v>420</v>
      </c>
      <c r="Q3" s="412" t="s">
        <v>16</v>
      </c>
      <c r="R3" s="411" t="s">
        <v>24</v>
      </c>
    </row>
    <row r="4" spans="2:18" ht="15.75">
      <c r="B4" s="412" t="s">
        <v>238</v>
      </c>
      <c r="C4" s="308" t="s">
        <v>0</v>
      </c>
      <c r="D4" s="299" t="s">
        <v>24</v>
      </c>
      <c r="E4" s="292" t="s">
        <v>9</v>
      </c>
      <c r="F4" s="412" t="s">
        <v>10</v>
      </c>
      <c r="G4" s="412" t="s">
        <v>42</v>
      </c>
      <c r="H4" s="412" t="s">
        <v>446</v>
      </c>
      <c r="I4" s="412" t="s">
        <v>368</v>
      </c>
      <c r="J4" s="412" t="s">
        <v>10</v>
      </c>
      <c r="K4" s="412" t="s">
        <v>11</v>
      </c>
      <c r="L4" s="412" t="s">
        <v>10</v>
      </c>
      <c r="M4" s="412" t="s">
        <v>11</v>
      </c>
      <c r="N4" s="412" t="s">
        <v>11</v>
      </c>
      <c r="O4" s="412" t="s">
        <v>11</v>
      </c>
      <c r="P4" s="412" t="s">
        <v>11</v>
      </c>
      <c r="Q4" s="412" t="s">
        <v>17</v>
      </c>
      <c r="R4" s="109" t="s">
        <v>24</v>
      </c>
    </row>
    <row r="5" spans="2:17" ht="15.75">
      <c r="B5" s="412" t="s">
        <v>239</v>
      </c>
      <c r="C5" s="308"/>
      <c r="D5" s="310"/>
      <c r="E5" s="311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08"/>
      <c r="Q5" s="308"/>
    </row>
    <row r="6" spans="2:19" ht="15.75">
      <c r="B6" s="412">
        <v>555</v>
      </c>
      <c r="C6" s="308" t="s">
        <v>49</v>
      </c>
      <c r="D6" s="308"/>
      <c r="E6" s="309">
        <f>(Functionalization!E4)</f>
        <v>6986348.459999998</v>
      </c>
      <c r="F6" s="312">
        <f>(E6)</f>
        <v>6986348.459999998</v>
      </c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S6" s="193">
        <f>SUM(F6:Q6)</f>
        <v>6986348.459999998</v>
      </c>
    </row>
    <row r="7" spans="2:19" ht="15.75">
      <c r="B7" s="412"/>
      <c r="C7" s="308" t="s">
        <v>50</v>
      </c>
      <c r="D7" s="308" t="s">
        <v>24</v>
      </c>
      <c r="E7" s="309">
        <f>(Functionalization!E5)</f>
        <v>23587568.669281997</v>
      </c>
      <c r="F7" s="312">
        <v>0</v>
      </c>
      <c r="G7" s="312">
        <f>(E7)</f>
        <v>23587568.669281997</v>
      </c>
      <c r="H7" s="313" t="s">
        <v>24</v>
      </c>
      <c r="I7" s="313"/>
      <c r="J7" s="308"/>
      <c r="K7" s="308"/>
      <c r="L7" s="308"/>
      <c r="M7" s="308"/>
      <c r="N7" s="308"/>
      <c r="O7" s="308"/>
      <c r="P7" s="308"/>
      <c r="Q7" s="308"/>
      <c r="S7" s="193">
        <f>SUM(F7:Q7)</f>
        <v>23587568.669281997</v>
      </c>
    </row>
    <row r="8" spans="2:19" ht="15.75">
      <c r="B8" s="412"/>
      <c r="C8" s="308" t="s">
        <v>427</v>
      </c>
      <c r="D8" s="308" t="s">
        <v>24</v>
      </c>
      <c r="E8" s="309">
        <f>(Functionalization!E6)</f>
        <v>705176</v>
      </c>
      <c r="F8" s="308"/>
      <c r="G8" s="308"/>
      <c r="H8" s="312">
        <f>(E8)</f>
        <v>705176</v>
      </c>
      <c r="I8" s="312"/>
      <c r="J8" s="308"/>
      <c r="K8" s="308"/>
      <c r="L8" s="308"/>
      <c r="M8" s="308"/>
      <c r="N8" s="308"/>
      <c r="O8" s="308"/>
      <c r="P8" s="308"/>
      <c r="Q8" s="308"/>
      <c r="S8" s="193">
        <f aca="true" t="shared" si="0" ref="S8:S48">SUM(F8:Q8)</f>
        <v>705176</v>
      </c>
    </row>
    <row r="9" spans="2:19" ht="15.75">
      <c r="B9" s="412"/>
      <c r="C9" s="308" t="s">
        <v>24</v>
      </c>
      <c r="D9" s="308" t="s">
        <v>24</v>
      </c>
      <c r="E9" s="309" t="s">
        <v>24</v>
      </c>
      <c r="F9" s="308"/>
      <c r="G9" s="308"/>
      <c r="H9" s="312" t="str">
        <f>(E9)</f>
        <v> </v>
      </c>
      <c r="I9" s="312"/>
      <c r="J9" s="308"/>
      <c r="K9" s="308"/>
      <c r="L9" s="308"/>
      <c r="M9" s="308"/>
      <c r="N9" s="308"/>
      <c r="O9" s="308"/>
      <c r="P9" s="308"/>
      <c r="Q9" s="308"/>
      <c r="S9" s="193">
        <f t="shared" si="0"/>
        <v>0</v>
      </c>
    </row>
    <row r="10" spans="2:21" ht="15.75">
      <c r="B10" s="412"/>
      <c r="C10" s="314" t="s">
        <v>51</v>
      </c>
      <c r="D10" s="308"/>
      <c r="E10" s="309">
        <f>(Functionalization!E7)</f>
        <v>31279093.129281994</v>
      </c>
      <c r="F10" s="309">
        <f>SUM(F6:F8)</f>
        <v>6986348.459999998</v>
      </c>
      <c r="G10" s="309">
        <f>SUM(G6:G8)</f>
        <v>23587568.669281997</v>
      </c>
      <c r="H10" s="309">
        <f>SUM(H6:H8)</f>
        <v>705176</v>
      </c>
      <c r="I10" s="309"/>
      <c r="J10" s="308"/>
      <c r="K10" s="308"/>
      <c r="L10" s="308"/>
      <c r="M10" s="308"/>
      <c r="N10" s="308"/>
      <c r="O10" s="308"/>
      <c r="P10" s="308"/>
      <c r="Q10" s="308"/>
      <c r="S10" s="193">
        <f>SUM(F10:Q10)</f>
        <v>31279093.129281994</v>
      </c>
      <c r="U10" s="192" t="s">
        <v>184</v>
      </c>
    </row>
    <row r="11" spans="2:19" ht="15.75">
      <c r="B11" s="412"/>
      <c r="C11" s="308"/>
      <c r="D11" s="308"/>
      <c r="E11" s="309" t="str">
        <f>(Functionalization!E8)</f>
        <v> </v>
      </c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S11" s="193">
        <f t="shared" si="0"/>
        <v>0</v>
      </c>
    </row>
    <row r="12" spans="2:19" ht="15.75">
      <c r="B12" s="412">
        <v>580</v>
      </c>
      <c r="C12" s="308" t="s">
        <v>27</v>
      </c>
      <c r="D12" s="308" t="s">
        <v>24</v>
      </c>
      <c r="E12" s="309">
        <f>(Functionalization!E9)</f>
        <v>0</v>
      </c>
      <c r="F12" s="308"/>
      <c r="G12" s="308"/>
      <c r="H12" s="308"/>
      <c r="I12" s="308"/>
      <c r="J12" s="312">
        <f>(SUM(J14:J18)/$T$21)*($E$12)</f>
        <v>0</v>
      </c>
      <c r="K12" s="312"/>
      <c r="L12" s="312">
        <f>((L14+L15+L16+L17+L18)/$T$21)*($E$12)</f>
        <v>0</v>
      </c>
      <c r="M12" s="312"/>
      <c r="N12" s="312">
        <f>(SUM(N14:N18)/$T$21)*($E$12)</f>
        <v>0</v>
      </c>
      <c r="O12" s="312">
        <f>((O14+O15+O16+O17+O18)/$T$21)*($E$12)</f>
        <v>0</v>
      </c>
      <c r="P12" s="312">
        <f>((P14+P15+P16+P17+P18)/$T$21)*($E$12)</f>
        <v>0</v>
      </c>
      <c r="Q12" s="312" t="s">
        <v>24</v>
      </c>
      <c r="S12" s="193">
        <f t="shared" si="0"/>
        <v>0</v>
      </c>
    </row>
    <row r="13" spans="2:19" ht="15.75">
      <c r="B13" s="412"/>
      <c r="C13" s="308"/>
      <c r="D13" s="308" t="s">
        <v>24</v>
      </c>
      <c r="E13" s="309" t="s">
        <v>24</v>
      </c>
      <c r="F13" s="308"/>
      <c r="G13" s="308"/>
      <c r="H13" s="308"/>
      <c r="I13" s="308"/>
      <c r="J13" s="312"/>
      <c r="K13" s="312"/>
      <c r="L13" s="308"/>
      <c r="M13" s="308"/>
      <c r="N13" s="312" t="s">
        <v>24</v>
      </c>
      <c r="O13" s="308"/>
      <c r="P13" s="308"/>
      <c r="Q13" s="308"/>
      <c r="S13" s="193">
        <f t="shared" si="0"/>
        <v>0</v>
      </c>
    </row>
    <row r="14" spans="2:19" ht="15.75">
      <c r="B14" s="412">
        <v>582</v>
      </c>
      <c r="C14" s="308" t="s">
        <v>143</v>
      </c>
      <c r="D14" s="308" t="s">
        <v>24</v>
      </c>
      <c r="E14" s="309">
        <f>(Functionalization!E10)</f>
        <v>5655.689935612879</v>
      </c>
      <c r="F14" s="308"/>
      <c r="G14" s="308"/>
      <c r="H14" s="308"/>
      <c r="I14" s="312">
        <f>(E14)</f>
        <v>5655.689935612879</v>
      </c>
      <c r="J14" s="309" t="s">
        <v>24</v>
      </c>
      <c r="K14" s="309"/>
      <c r="L14" s="308"/>
      <c r="M14" s="308"/>
      <c r="N14" s="312" t="s">
        <v>24</v>
      </c>
      <c r="O14" s="308"/>
      <c r="P14" s="308"/>
      <c r="Q14" s="308"/>
      <c r="S14" s="193">
        <f t="shared" si="0"/>
        <v>5655.689935612879</v>
      </c>
    </row>
    <row r="15" spans="2:19" ht="15.75">
      <c r="B15" s="412">
        <v>583</v>
      </c>
      <c r="C15" s="308" t="s">
        <v>28</v>
      </c>
      <c r="D15" s="308" t="s">
        <v>24</v>
      </c>
      <c r="E15" s="309">
        <f>(Functionalization!E11)</f>
        <v>625561.8300775903</v>
      </c>
      <c r="F15" s="312">
        <v>0</v>
      </c>
      <c r="G15" s="308"/>
      <c r="H15" s="308"/>
      <c r="I15" s="308"/>
      <c r="J15" s="309">
        <f>(Functionalization!H11*'Classification 2'!$H$101)</f>
        <v>301402.85450228106</v>
      </c>
      <c r="K15" s="309">
        <f>(Functionalization!H11-'Classification 1'!J15)</f>
        <v>249624.51548869873</v>
      </c>
      <c r="L15" s="308"/>
      <c r="M15" s="308"/>
      <c r="N15" s="312">
        <f>E15-(J15+K15)</f>
        <v>74534.46008661052</v>
      </c>
      <c r="O15" s="308"/>
      <c r="P15" s="308"/>
      <c r="Q15" s="308"/>
      <c r="S15" s="193">
        <f>SUM(F15:Q15)</f>
        <v>625561.8300775903</v>
      </c>
    </row>
    <row r="16" spans="2:19" ht="15.75">
      <c r="B16" s="412">
        <v>584</v>
      </c>
      <c r="C16" s="308" t="s">
        <v>144</v>
      </c>
      <c r="D16" s="308" t="s">
        <v>24</v>
      </c>
      <c r="E16" s="309">
        <f>(Functionalization!E12)</f>
        <v>46967.74822195168</v>
      </c>
      <c r="F16" s="308"/>
      <c r="G16" s="308"/>
      <c r="H16" s="308"/>
      <c r="I16" s="308"/>
      <c r="J16" s="309">
        <f>(Functionalization!H12*'Classification 2'!$F$89)</f>
        <v>18968.447182271382</v>
      </c>
      <c r="K16" s="309">
        <f>(Functionalization!H12-'Classification 1'!J16)</f>
        <v>22403.18633624191</v>
      </c>
      <c r="L16" s="308"/>
      <c r="M16" s="308"/>
      <c r="N16" s="312">
        <f>E16-(J16+K16)</f>
        <v>5596.11470343839</v>
      </c>
      <c r="O16" s="308"/>
      <c r="P16" s="308"/>
      <c r="Q16" s="308"/>
      <c r="S16" s="193">
        <f t="shared" si="0"/>
        <v>46967.74822195168</v>
      </c>
    </row>
    <row r="17" spans="2:19" ht="15.75">
      <c r="B17" s="412">
        <v>586</v>
      </c>
      <c r="C17" s="308" t="s">
        <v>286</v>
      </c>
      <c r="D17" s="308" t="s">
        <v>24</v>
      </c>
      <c r="E17" s="309">
        <f>(Functionalization!E13)</f>
        <v>450353.63128666114</v>
      </c>
      <c r="F17" s="308"/>
      <c r="G17" s="308"/>
      <c r="H17" s="308"/>
      <c r="I17" s="308"/>
      <c r="J17" s="309" t="s">
        <v>24</v>
      </c>
      <c r="K17" s="309"/>
      <c r="L17" s="308"/>
      <c r="M17" s="308"/>
      <c r="N17" s="312" t="s">
        <v>24</v>
      </c>
      <c r="O17" s="312">
        <f>(E17)</f>
        <v>450353.63128666114</v>
      </c>
      <c r="P17" s="308"/>
      <c r="Q17" s="308"/>
      <c r="S17" s="193">
        <f t="shared" si="0"/>
        <v>450353.63128666114</v>
      </c>
    </row>
    <row r="18" spans="2:19" ht="15.75">
      <c r="B18" s="412">
        <v>587</v>
      </c>
      <c r="C18" s="308" t="s">
        <v>29</v>
      </c>
      <c r="D18" s="308" t="s">
        <v>24</v>
      </c>
      <c r="E18" s="309">
        <f>(Functionalization!E14)</f>
        <v>118728.15306829296</v>
      </c>
      <c r="F18" s="308"/>
      <c r="G18" s="308"/>
      <c r="H18" s="308"/>
      <c r="I18" s="308"/>
      <c r="J18" s="309" t="s">
        <v>24</v>
      </c>
      <c r="K18" s="309"/>
      <c r="L18" s="308"/>
      <c r="M18" s="308"/>
      <c r="N18" s="312" t="s">
        <v>24</v>
      </c>
      <c r="O18" s="308"/>
      <c r="P18" s="308"/>
      <c r="Q18" s="312">
        <f>(E18)</f>
        <v>118728.15306829296</v>
      </c>
      <c r="S18" s="193">
        <f t="shared" si="0"/>
        <v>118728.15306829296</v>
      </c>
    </row>
    <row r="19" spans="2:19" ht="15.75">
      <c r="B19" s="412">
        <v>588</v>
      </c>
      <c r="C19" s="308" t="s">
        <v>30</v>
      </c>
      <c r="D19" s="308" t="s">
        <v>24</v>
      </c>
      <c r="E19" s="309">
        <f>(Functionalization!E15)</f>
        <v>163138.81240670278</v>
      </c>
      <c r="F19" s="308"/>
      <c r="G19" s="308"/>
      <c r="H19" s="308"/>
      <c r="I19" s="315">
        <f>($E$19*'Func. Footnotes'!D21)</f>
        <v>739.7473841070363</v>
      </c>
      <c r="J19" s="309">
        <f>(Functionalization!H15*'Classification 2'!$H$104)</f>
        <v>41792.02878869311</v>
      </c>
      <c r="K19" s="309">
        <f>(Functionalization!H15-'Classification 1'!J19)</f>
        <v>35691.99494364295</v>
      </c>
      <c r="L19" s="309" t="s">
        <v>24</v>
      </c>
      <c r="M19" s="309"/>
      <c r="N19" s="309">
        <f>($E$19*'Func. Footnotes'!G21)</f>
        <v>10480.840315286561</v>
      </c>
      <c r="O19" s="309">
        <f>($E$19*'Func. Footnotes'!H21)</f>
        <v>58904.91247931377</v>
      </c>
      <c r="P19" s="308"/>
      <c r="Q19" s="309">
        <f>($E$19*'Func. Footnotes'!I21)</f>
        <v>15529.28849565936</v>
      </c>
      <c r="S19" s="193">
        <f t="shared" si="0"/>
        <v>163138.81240670278</v>
      </c>
    </row>
    <row r="20" spans="2:19" ht="15.75">
      <c r="B20" s="412">
        <v>589</v>
      </c>
      <c r="C20" s="308" t="s">
        <v>31</v>
      </c>
      <c r="D20" s="308" t="s">
        <v>24</v>
      </c>
      <c r="E20" s="309">
        <f>(Functionalization!E16)</f>
        <v>6397.655003188277</v>
      </c>
      <c r="F20" s="308"/>
      <c r="G20" s="308"/>
      <c r="H20" s="308"/>
      <c r="I20" s="312">
        <f>($E$20*'Func. Footnotes'!D21)</f>
        <v>29.009948541426144</v>
      </c>
      <c r="J20" s="309">
        <f>(Functionalization!H16*'Classification 2'!$H$104)</f>
        <v>1638.9170555368448</v>
      </c>
      <c r="K20" s="309">
        <f>(Functionalization!H16-'Classification 1'!J20)</f>
        <v>1399.698003536442</v>
      </c>
      <c r="L20" s="312">
        <f>($E$20*'Func. Footnotes'!F21)</f>
        <v>0</v>
      </c>
      <c r="M20" s="312"/>
      <c r="N20" s="312">
        <f>($E$20*'Func. Footnotes'!G21)</f>
        <v>411.0168481155102</v>
      </c>
      <c r="O20" s="312">
        <f>($E$20*'Func. Footnotes'!H21)</f>
        <v>2310.016252270853</v>
      </c>
      <c r="P20" s="308"/>
      <c r="Q20" s="312">
        <f>($E$20*'Func. Footnotes'!I21)</f>
        <v>608.9968951872013</v>
      </c>
      <c r="S20" s="193">
        <f t="shared" si="0"/>
        <v>6397.655003188278</v>
      </c>
    </row>
    <row r="21" spans="2:21" ht="15.75">
      <c r="B21" s="412"/>
      <c r="C21" s="308"/>
      <c r="D21" s="308" t="s">
        <v>24</v>
      </c>
      <c r="E21" s="309" t="s">
        <v>24</v>
      </c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192" t="s">
        <v>24</v>
      </c>
      <c r="S21" s="193">
        <f t="shared" si="0"/>
        <v>0</v>
      </c>
      <c r="T21" s="194">
        <f>SUM(J14:R18)</f>
        <v>1241611.362654496</v>
      </c>
      <c r="U21" s="194">
        <f>SUM(J14:R19)</f>
        <v>1404010.4276770917</v>
      </c>
    </row>
    <row r="22" spans="2:21" ht="15.75">
      <c r="B22" s="412"/>
      <c r="C22" s="314" t="s">
        <v>208</v>
      </c>
      <c r="D22" s="308"/>
      <c r="E22" s="309">
        <f>(Functionalization!E17)</f>
        <v>1416803.5199999998</v>
      </c>
      <c r="F22" s="308"/>
      <c r="G22" s="308"/>
      <c r="H22" s="308"/>
      <c r="I22" s="309">
        <f>SUM(I12:I20)</f>
        <v>6424.4472682613405</v>
      </c>
      <c r="J22" s="309">
        <f>SUM(J12:J20)</f>
        <v>363802.2475287824</v>
      </c>
      <c r="K22" s="309">
        <f>SUM(K12:K20)</f>
        <v>309119.39477212</v>
      </c>
      <c r="L22" s="309">
        <f>SUM(L12:L20)</f>
        <v>0</v>
      </c>
      <c r="M22" s="309"/>
      <c r="N22" s="309">
        <f>SUM(N12:N20)</f>
        <v>91022.43195345099</v>
      </c>
      <c r="O22" s="309">
        <f>SUM(O12:O20)</f>
        <v>511568.5600182458</v>
      </c>
      <c r="P22" s="309" t="s">
        <v>24</v>
      </c>
      <c r="Q22" s="309">
        <f>SUM(Q12:Q20)</f>
        <v>134866.43845913952</v>
      </c>
      <c r="R22" s="193" t="s">
        <v>24</v>
      </c>
      <c r="S22" s="193">
        <f>SUM(F22:Q22)</f>
        <v>1416803.52</v>
      </c>
      <c r="U22" s="192" t="s">
        <v>184</v>
      </c>
    </row>
    <row r="23" spans="2:19" ht="15.75">
      <c r="B23" s="308"/>
      <c r="C23" s="308"/>
      <c r="D23" s="308"/>
      <c r="E23" s="309">
        <f>(Functionalization!E18)</f>
        <v>0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192" t="s">
        <v>24</v>
      </c>
      <c r="S23" s="193" t="s">
        <v>24</v>
      </c>
    </row>
    <row r="24" spans="2:19" ht="15.75">
      <c r="B24" s="412">
        <v>590</v>
      </c>
      <c r="C24" s="308" t="s">
        <v>33</v>
      </c>
      <c r="D24" s="308" t="s">
        <v>24</v>
      </c>
      <c r="E24" s="309">
        <f>(Functionalization!E19)</f>
        <v>0</v>
      </c>
      <c r="F24" s="308"/>
      <c r="G24" s="308"/>
      <c r="H24" s="308"/>
      <c r="I24" s="308"/>
      <c r="J24" s="312" t="s">
        <v>24</v>
      </c>
      <c r="K24" s="312"/>
      <c r="L24" s="312" t="s">
        <v>24</v>
      </c>
      <c r="M24" s="312"/>
      <c r="N24" s="312" t="s">
        <v>24</v>
      </c>
      <c r="O24" s="312" t="s">
        <v>24</v>
      </c>
      <c r="P24" s="312" t="s">
        <v>24</v>
      </c>
      <c r="Q24" s="312" t="s">
        <v>24</v>
      </c>
      <c r="R24" s="194" t="s">
        <v>24</v>
      </c>
      <c r="S24" s="193" t="s">
        <v>24</v>
      </c>
    </row>
    <row r="25" spans="2:19" ht="15.75">
      <c r="B25" s="412"/>
      <c r="C25" s="308"/>
      <c r="D25" s="308" t="s">
        <v>24</v>
      </c>
      <c r="E25" s="309">
        <f>(Functionalization!E20)</f>
        <v>0</v>
      </c>
      <c r="F25" s="308"/>
      <c r="G25" s="308"/>
      <c r="H25" s="308"/>
      <c r="I25" s="308"/>
      <c r="J25" s="308"/>
      <c r="K25" s="308"/>
      <c r="L25" s="308"/>
      <c r="M25" s="308"/>
      <c r="N25" s="312" t="s">
        <v>24</v>
      </c>
      <c r="O25" s="308"/>
      <c r="P25" s="308"/>
      <c r="Q25" s="308"/>
      <c r="R25" s="192" t="s">
        <v>24</v>
      </c>
      <c r="S25" s="193" t="s">
        <v>24</v>
      </c>
    </row>
    <row r="26" spans="2:19" ht="15.75">
      <c r="B26" s="412">
        <v>592</v>
      </c>
      <c r="C26" s="308" t="s">
        <v>145</v>
      </c>
      <c r="D26" s="308" t="s">
        <v>24</v>
      </c>
      <c r="E26" s="309">
        <f>(Functionalization!E21)</f>
        <v>0</v>
      </c>
      <c r="F26" s="308"/>
      <c r="G26" s="308"/>
      <c r="H26" s="308"/>
      <c r="I26" s="308"/>
      <c r="J26" s="309" t="s">
        <v>24</v>
      </c>
      <c r="K26" s="309"/>
      <c r="L26" s="308" t="s">
        <v>24</v>
      </c>
      <c r="M26" s="308"/>
      <c r="N26" s="312" t="s">
        <v>24</v>
      </c>
      <c r="O26" s="308"/>
      <c r="P26" s="308"/>
      <c r="Q26" s="308"/>
      <c r="R26" s="192" t="s">
        <v>24</v>
      </c>
      <c r="S26" s="193" t="s">
        <v>24</v>
      </c>
    </row>
    <row r="27" spans="2:19" ht="15.75">
      <c r="B27" s="412">
        <v>593</v>
      </c>
      <c r="C27" s="308" t="s">
        <v>34</v>
      </c>
      <c r="D27" s="308" t="s">
        <v>24</v>
      </c>
      <c r="E27" s="309">
        <f>(Functionalization!E22)</f>
        <v>2566462.7341753584</v>
      </c>
      <c r="F27" s="308"/>
      <c r="G27" s="308"/>
      <c r="H27" s="308"/>
      <c r="I27" s="308"/>
      <c r="J27" s="309">
        <f>(Functionalization!H22*'Classification 2'!$H$101)</f>
        <v>1236551.139890101</v>
      </c>
      <c r="K27" s="309">
        <f>(Functionalization!H22-'Classification 1'!J27)</f>
        <v>1024122.6138411656</v>
      </c>
      <c r="L27" s="308"/>
      <c r="M27" s="308"/>
      <c r="N27" s="312">
        <f>E27-(J27+K27)</f>
        <v>305788.98044409184</v>
      </c>
      <c r="O27" s="308"/>
      <c r="P27" s="308"/>
      <c r="Q27" s="308"/>
      <c r="R27" s="192" t="s">
        <v>24</v>
      </c>
      <c r="S27" s="193">
        <f t="shared" si="0"/>
        <v>2566462.7341753584</v>
      </c>
    </row>
    <row r="28" spans="2:19" ht="15.75">
      <c r="B28" s="412">
        <v>594</v>
      </c>
      <c r="C28" s="308" t="s">
        <v>146</v>
      </c>
      <c r="D28" s="308" t="s">
        <v>24</v>
      </c>
      <c r="E28" s="309">
        <f>(Functionalization!E23)</f>
        <v>0</v>
      </c>
      <c r="F28" s="308"/>
      <c r="G28" s="308"/>
      <c r="H28" s="308"/>
      <c r="I28" s="308"/>
      <c r="J28" s="309" t="s">
        <v>24</v>
      </c>
      <c r="K28" s="309"/>
      <c r="L28" s="308"/>
      <c r="M28" s="308"/>
      <c r="N28" s="312">
        <v>0</v>
      </c>
      <c r="O28" s="308"/>
      <c r="P28" s="308"/>
      <c r="Q28" s="308"/>
      <c r="R28" s="192" t="s">
        <v>24</v>
      </c>
      <c r="S28" s="193" t="s">
        <v>24</v>
      </c>
    </row>
    <row r="29" spans="2:19" ht="15.75">
      <c r="B29" s="412">
        <v>595</v>
      </c>
      <c r="C29" s="308" t="s">
        <v>35</v>
      </c>
      <c r="D29" s="308" t="s">
        <v>24</v>
      </c>
      <c r="E29" s="309">
        <f>(Functionalization!E24)</f>
        <v>13169.62756977151</v>
      </c>
      <c r="F29" s="308"/>
      <c r="G29" s="308"/>
      <c r="H29" s="308"/>
      <c r="I29" s="308"/>
      <c r="J29" s="308"/>
      <c r="K29" s="308"/>
      <c r="L29" s="312">
        <f>(Functionalization!I24*'Classification 2'!$F$151)</f>
        <v>9991.127965339163</v>
      </c>
      <c r="M29" s="312">
        <f>(E29-L29)</f>
        <v>3178.499604432347</v>
      </c>
      <c r="N29" s="312" t="s">
        <v>24</v>
      </c>
      <c r="O29" s="308"/>
      <c r="P29" s="308"/>
      <c r="Q29" s="308"/>
      <c r="R29" s="192" t="s">
        <v>24</v>
      </c>
      <c r="S29" s="193">
        <f t="shared" si="0"/>
        <v>13169.62756977151</v>
      </c>
    </row>
    <row r="30" spans="2:19" ht="15.75">
      <c r="B30" s="412">
        <v>596</v>
      </c>
      <c r="C30" s="308" t="s">
        <v>147</v>
      </c>
      <c r="D30" s="308" t="s">
        <v>24</v>
      </c>
      <c r="E30" s="309">
        <f>(Functionalization!E25)</f>
        <v>0</v>
      </c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194" t="s">
        <v>24</v>
      </c>
      <c r="S30" s="193" t="s">
        <v>24</v>
      </c>
    </row>
    <row r="31" spans="2:19" ht="15.75">
      <c r="B31" s="412">
        <v>597</v>
      </c>
      <c r="C31" s="308" t="s">
        <v>287</v>
      </c>
      <c r="D31" s="308" t="s">
        <v>24</v>
      </c>
      <c r="E31" s="309">
        <f>(Functionalization!E26)</f>
        <v>138663.1523271955</v>
      </c>
      <c r="F31" s="308"/>
      <c r="G31" s="308"/>
      <c r="H31" s="308"/>
      <c r="I31" s="308"/>
      <c r="J31" s="308"/>
      <c r="K31" s="308"/>
      <c r="L31" s="308"/>
      <c r="M31" s="308"/>
      <c r="N31" s="308"/>
      <c r="O31" s="312">
        <f>(E31)</f>
        <v>138663.1523271955</v>
      </c>
      <c r="P31" s="308"/>
      <c r="Q31" s="308"/>
      <c r="R31" s="192" t="s">
        <v>24</v>
      </c>
      <c r="S31" s="193">
        <f t="shared" si="0"/>
        <v>138663.1523271955</v>
      </c>
    </row>
    <row r="32" spans="2:19" ht="15.75">
      <c r="B32" s="412">
        <v>598</v>
      </c>
      <c r="C32" s="308" t="s">
        <v>36</v>
      </c>
      <c r="D32" s="308" t="s">
        <v>24</v>
      </c>
      <c r="E32" s="309">
        <f>(Functionalization!E27)</f>
        <v>182725.1559276746</v>
      </c>
      <c r="F32" s="308"/>
      <c r="G32" s="308"/>
      <c r="H32" s="308"/>
      <c r="I32" s="308"/>
      <c r="J32" s="309">
        <f>(Functionalization!H27*'Classification 2'!$H$104)</f>
        <v>81963.56767059541</v>
      </c>
      <c r="K32" s="309">
        <f>(Functionalization!H27-'Classification 1'!J32)</f>
        <v>70000.02937529825</v>
      </c>
      <c r="L32" s="312">
        <f>(Functionalization!I27*'Classification 2'!$F$151)</f>
        <v>671.6085156705207</v>
      </c>
      <c r="M32" s="312">
        <f>(Functionalization!I27-'Classification 1'!L32)</f>
        <v>213.66030029820354</v>
      </c>
      <c r="N32" s="312">
        <f>(SUM(N26:N31)/$T$33)*($E$32)</f>
        <v>20555.285046585504</v>
      </c>
      <c r="O32" s="312">
        <f>(SUM(O26:O31)/$T$33)*($E$32)</f>
        <v>9321.005019226748</v>
      </c>
      <c r="P32" s="312">
        <f>(SUM(P26:P31)/$T$33)*($E$32)</f>
        <v>0</v>
      </c>
      <c r="Q32" s="312">
        <f>(SUM(Q26:Q31)/$T$33)*($E$32)</f>
        <v>0</v>
      </c>
      <c r="R32" s="194" t="s">
        <v>24</v>
      </c>
      <c r="S32" s="193">
        <f t="shared" si="0"/>
        <v>182725.15592767467</v>
      </c>
    </row>
    <row r="33" spans="2:20" ht="15.75">
      <c r="B33" s="412" t="s">
        <v>24</v>
      </c>
      <c r="C33" s="308" t="s">
        <v>24</v>
      </c>
      <c r="D33" s="308"/>
      <c r="E33" s="309" t="s">
        <v>24</v>
      </c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192" t="s">
        <v>24</v>
      </c>
      <c r="S33" s="193" t="s">
        <v>24</v>
      </c>
      <c r="T33" s="193">
        <f>(SUM(J26:R31))</f>
        <v>2718295.514072325</v>
      </c>
    </row>
    <row r="34" spans="2:19" ht="15.75">
      <c r="B34" s="412" t="s">
        <v>24</v>
      </c>
      <c r="C34" s="314" t="s">
        <v>32</v>
      </c>
      <c r="D34" s="308"/>
      <c r="E34" s="309">
        <f>(Functionalization!E28)</f>
        <v>2901020.67</v>
      </c>
      <c r="F34" s="312">
        <f>SUM(F24,F26,F27,F28,F29,F30,F31,F32)</f>
        <v>0</v>
      </c>
      <c r="G34" s="312">
        <f>SUM(G24,G26,G27,G28,G29,G30,G31,G32)</f>
        <v>0</v>
      </c>
      <c r="H34" s="312">
        <f>SUM(H24,H26,H27,H28,H29,H30,H31,H32)</f>
        <v>0</v>
      </c>
      <c r="I34" s="312">
        <f>SUM(I24,I26,I27,I28,I29,I30,I31,I32)</f>
        <v>0</v>
      </c>
      <c r="J34" s="312">
        <f>SUM(J24,J26,J27,J28,J29,J30,J31,J32)</f>
        <v>1318514.7075606964</v>
      </c>
      <c r="K34" s="312">
        <f aca="true" t="shared" si="1" ref="K34:Q34">SUM(K24,K26,K27,K28,K29,K30,K31,K32)</f>
        <v>1094122.6432164637</v>
      </c>
      <c r="L34" s="312">
        <f t="shared" si="1"/>
        <v>10662.736481009684</v>
      </c>
      <c r="M34" s="312">
        <f t="shared" si="1"/>
        <v>3392.159904730551</v>
      </c>
      <c r="N34" s="312">
        <f t="shared" si="1"/>
        <v>326344.2654906773</v>
      </c>
      <c r="O34" s="312">
        <f>SUM(O24,O26,O27,O28,O29,O30,O31,O32)</f>
        <v>147984.15734642226</v>
      </c>
      <c r="P34" s="312">
        <f t="shared" si="1"/>
        <v>0</v>
      </c>
      <c r="Q34" s="312">
        <f t="shared" si="1"/>
        <v>0</v>
      </c>
      <c r="R34" s="194" t="s">
        <v>24</v>
      </c>
      <c r="S34" s="193">
        <f t="shared" si="0"/>
        <v>2901020.67</v>
      </c>
    </row>
    <row r="35" spans="2:19" ht="15.75">
      <c r="B35" s="412" t="s">
        <v>24</v>
      </c>
      <c r="C35" s="308" t="s">
        <v>24</v>
      </c>
      <c r="D35" s="308"/>
      <c r="E35" s="309" t="str">
        <f>(Functionalization!E29)</f>
        <v> </v>
      </c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192" t="s">
        <v>24</v>
      </c>
      <c r="S35" s="193">
        <f t="shared" si="0"/>
        <v>0</v>
      </c>
    </row>
    <row r="36" spans="2:19" ht="15.75">
      <c r="B36" s="412">
        <v>901</v>
      </c>
      <c r="C36" s="308" t="s">
        <v>37</v>
      </c>
      <c r="D36" s="308" t="s">
        <v>24</v>
      </c>
      <c r="E36" s="309">
        <f>(Functionalization!E31)</f>
        <v>174610.0401781241</v>
      </c>
      <c r="F36" s="308"/>
      <c r="G36" s="308"/>
      <c r="H36" s="308" t="s">
        <v>24</v>
      </c>
      <c r="I36" s="308"/>
      <c r="J36" s="312" t="s">
        <v>24</v>
      </c>
      <c r="K36" s="312"/>
      <c r="L36" s="312" t="s">
        <v>24</v>
      </c>
      <c r="M36" s="312"/>
      <c r="N36" s="312" t="s">
        <v>24</v>
      </c>
      <c r="O36" s="312" t="s">
        <v>24</v>
      </c>
      <c r="P36" s="312" t="s">
        <v>24</v>
      </c>
      <c r="Q36" s="312" t="s">
        <v>24</v>
      </c>
      <c r="R36" s="194" t="s">
        <v>24</v>
      </c>
      <c r="S36" s="193">
        <f t="shared" si="0"/>
        <v>0</v>
      </c>
    </row>
    <row r="37" spans="2:19" ht="15.75">
      <c r="B37" s="412"/>
      <c r="C37" s="308"/>
      <c r="D37" s="308"/>
      <c r="E37" s="309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192" t="s">
        <v>24</v>
      </c>
      <c r="S37" s="193">
        <f t="shared" si="0"/>
        <v>0</v>
      </c>
    </row>
    <row r="38" spans="2:19" ht="15.75">
      <c r="B38" s="412">
        <v>902</v>
      </c>
      <c r="C38" s="308" t="s">
        <v>38</v>
      </c>
      <c r="D38" s="308" t="s">
        <v>24</v>
      </c>
      <c r="E38" s="309">
        <f>(Functionalization!E31)</f>
        <v>174610.0401781241</v>
      </c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12">
        <f>(E38)</f>
        <v>174610.0401781241</v>
      </c>
      <c r="Q38" s="312" t="s">
        <v>24</v>
      </c>
      <c r="R38" s="194" t="s">
        <v>24</v>
      </c>
      <c r="S38" s="193">
        <f t="shared" si="0"/>
        <v>174610.0401781241</v>
      </c>
    </row>
    <row r="39" spans="2:19" ht="15.75">
      <c r="B39" s="412">
        <v>903</v>
      </c>
      <c r="C39" s="308" t="s">
        <v>39</v>
      </c>
      <c r="D39" s="308" t="s">
        <v>24</v>
      </c>
      <c r="E39" s="309">
        <f>(Functionalization!E32)</f>
        <v>1676738.1269840398</v>
      </c>
      <c r="F39" s="312">
        <f>('Classification 1'!M69+M74)</f>
        <v>94680.70914066058</v>
      </c>
      <c r="G39" s="308"/>
      <c r="H39" s="308"/>
      <c r="I39" s="308"/>
      <c r="J39" s="308"/>
      <c r="K39" s="308"/>
      <c r="L39" s="308"/>
      <c r="M39" s="308"/>
      <c r="N39" s="308"/>
      <c r="O39" s="308"/>
      <c r="P39" s="312">
        <f>(E39)</f>
        <v>1676738.1269840398</v>
      </c>
      <c r="Q39" s="312" t="s">
        <v>24</v>
      </c>
      <c r="R39" s="194" t="s">
        <v>24</v>
      </c>
      <c r="S39" s="193">
        <f t="shared" si="0"/>
        <v>1771418.8361247003</v>
      </c>
    </row>
    <row r="40" spans="2:19" ht="15.75">
      <c r="B40" s="412">
        <v>904</v>
      </c>
      <c r="C40" s="308" t="s">
        <v>40</v>
      </c>
      <c r="D40" s="308" t="s">
        <v>24</v>
      </c>
      <c r="E40" s="309">
        <f>(Functionalization!E33)</f>
        <v>178617.55283783612</v>
      </c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12">
        <f>(E40)</f>
        <v>178617.55283783612</v>
      </c>
      <c r="Q40" s="312" t="s">
        <v>24</v>
      </c>
      <c r="R40" s="194" t="s">
        <v>24</v>
      </c>
      <c r="S40" s="193">
        <f t="shared" si="0"/>
        <v>178617.55283783612</v>
      </c>
    </row>
    <row r="41" spans="2:20" ht="10.5" customHeight="1">
      <c r="B41" s="412"/>
      <c r="C41" s="308"/>
      <c r="D41" s="308"/>
      <c r="E41" s="309" t="s">
        <v>24</v>
      </c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12" t="s">
        <v>24</v>
      </c>
      <c r="Q41" s="308" t="s">
        <v>24</v>
      </c>
      <c r="S41" s="193">
        <f t="shared" si="0"/>
        <v>0</v>
      </c>
      <c r="T41" s="193">
        <f>SUM(J38:R40)</f>
        <v>2029965.72</v>
      </c>
    </row>
    <row r="42" spans="2:19" ht="15.75">
      <c r="B42" s="412" t="s">
        <v>24</v>
      </c>
      <c r="C42" s="314" t="s">
        <v>342</v>
      </c>
      <c r="D42" s="308"/>
      <c r="E42" s="309">
        <f>(Functionalization!E34)</f>
        <v>2029965.72</v>
      </c>
      <c r="F42" s="308"/>
      <c r="G42" s="308"/>
      <c r="H42" s="308"/>
      <c r="I42" s="308"/>
      <c r="J42" s="312">
        <f aca="true" t="shared" si="2" ref="J42:Q42">SUM(J36,J38,J39,J40)</f>
        <v>0</v>
      </c>
      <c r="K42" s="312"/>
      <c r="L42" s="312">
        <f t="shared" si="2"/>
        <v>0</v>
      </c>
      <c r="M42" s="312"/>
      <c r="N42" s="312">
        <f t="shared" si="2"/>
        <v>0</v>
      </c>
      <c r="O42" s="308"/>
      <c r="P42" s="312">
        <f>SUM(P38,P39,P40)</f>
        <v>2029965.72</v>
      </c>
      <c r="Q42" s="312">
        <f t="shared" si="2"/>
        <v>0</v>
      </c>
      <c r="R42" s="194" t="s">
        <v>24</v>
      </c>
      <c r="S42" s="193">
        <f t="shared" si="0"/>
        <v>2029965.72</v>
      </c>
    </row>
    <row r="43" spans="2:19" ht="15.75">
      <c r="B43" s="412"/>
      <c r="C43" s="314"/>
      <c r="D43" s="308"/>
      <c r="E43" s="309">
        <f>(Functionalization!E35)</f>
        <v>0</v>
      </c>
      <c r="F43" s="308"/>
      <c r="G43" s="308"/>
      <c r="H43" s="308"/>
      <c r="I43" s="308"/>
      <c r="J43" s="312"/>
      <c r="K43" s="312"/>
      <c r="L43" s="312"/>
      <c r="M43" s="312"/>
      <c r="N43" s="312"/>
      <c r="O43" s="308"/>
      <c r="P43" s="312"/>
      <c r="Q43" s="312"/>
      <c r="R43" s="194"/>
      <c r="S43" s="193">
        <f t="shared" si="0"/>
        <v>0</v>
      </c>
    </row>
    <row r="44" spans="2:19" ht="12.75" customHeight="1">
      <c r="B44" s="412">
        <v>908</v>
      </c>
      <c r="C44" s="308" t="s">
        <v>357</v>
      </c>
      <c r="D44" s="308" t="s">
        <v>24</v>
      </c>
      <c r="E44" s="309">
        <f>(Functionalization!E36)</f>
        <v>76265.16269654718</v>
      </c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12">
        <f>(E44)</f>
        <v>76265.16269654718</v>
      </c>
      <c r="Q44" s="308"/>
      <c r="S44" s="193">
        <f t="shared" si="0"/>
        <v>76265.16269654718</v>
      </c>
    </row>
    <row r="45" spans="2:19" ht="15.75">
      <c r="B45" s="412">
        <v>909</v>
      </c>
      <c r="C45" s="308" t="s">
        <v>358</v>
      </c>
      <c r="D45" s="308" t="s">
        <v>24</v>
      </c>
      <c r="E45" s="309">
        <f>(Functionalization!E37)</f>
        <v>40001.63730345282</v>
      </c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12">
        <f>(E45)</f>
        <v>40001.63730345282</v>
      </c>
      <c r="Q45" s="308"/>
      <c r="S45" s="193">
        <f t="shared" si="0"/>
        <v>40001.63730345282</v>
      </c>
    </row>
    <row r="46" spans="2:19" ht="15.75">
      <c r="B46" s="412"/>
      <c r="C46" s="308" t="s">
        <v>24</v>
      </c>
      <c r="D46" s="308" t="s">
        <v>658</v>
      </c>
      <c r="E46" s="309" t="s">
        <v>24</v>
      </c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S46" s="193">
        <f t="shared" si="0"/>
        <v>0</v>
      </c>
    </row>
    <row r="47" spans="2:19" ht="15.75">
      <c r="B47" s="412"/>
      <c r="C47" s="314" t="s">
        <v>26</v>
      </c>
      <c r="D47" s="308"/>
      <c r="E47" s="309">
        <f>(Functionalization!E38)</f>
        <v>116266.79999999999</v>
      </c>
      <c r="F47" s="309">
        <f aca="true" t="shared" si="3" ref="F47:Q47">SUM(F44:F45)</f>
        <v>0</v>
      </c>
      <c r="G47" s="309"/>
      <c r="H47" s="309">
        <f t="shared" si="3"/>
        <v>0</v>
      </c>
      <c r="I47" s="309"/>
      <c r="J47" s="309">
        <f t="shared" si="3"/>
        <v>0</v>
      </c>
      <c r="K47" s="309"/>
      <c r="L47" s="309">
        <f t="shared" si="3"/>
        <v>0</v>
      </c>
      <c r="M47" s="309"/>
      <c r="N47" s="309">
        <f t="shared" si="3"/>
        <v>0</v>
      </c>
      <c r="O47" s="308"/>
      <c r="P47" s="309">
        <f>SUM(P44:P45)</f>
        <v>116266.8</v>
      </c>
      <c r="Q47" s="309">
        <f t="shared" si="3"/>
        <v>0</v>
      </c>
      <c r="R47" s="193" t="s">
        <v>24</v>
      </c>
      <c r="S47" s="193">
        <f>SUM(F47:Q47)</f>
        <v>116266.8</v>
      </c>
    </row>
    <row r="48" spans="2:19" ht="15.75">
      <c r="B48" s="412" t="s">
        <v>24</v>
      </c>
      <c r="C48" s="308" t="s">
        <v>24</v>
      </c>
      <c r="D48" s="308"/>
      <c r="E48" s="309" t="str">
        <f>(Functionalization!E39)</f>
        <v> </v>
      </c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S48" s="193">
        <f t="shared" si="0"/>
        <v>0</v>
      </c>
    </row>
    <row r="49" spans="2:21" ht="15.75">
      <c r="B49" s="412"/>
      <c r="C49" s="314" t="s">
        <v>153</v>
      </c>
      <c r="D49" s="308"/>
      <c r="E49" s="309">
        <f>(Functionalization!E40)</f>
        <v>37743149.839282</v>
      </c>
      <c r="F49" s="309">
        <f>SUM(F10,F22,F34,F42,F47)</f>
        <v>6986348.459999998</v>
      </c>
      <c r="G49" s="309">
        <f aca="true" t="shared" si="4" ref="G49:Q49">SUM(G10,G22,G34,G42,G47)</f>
        <v>23587568.669281997</v>
      </c>
      <c r="H49" s="309">
        <f t="shared" si="4"/>
        <v>705176</v>
      </c>
      <c r="I49" s="309">
        <f t="shared" si="4"/>
        <v>6424.4472682613405</v>
      </c>
      <c r="J49" s="309">
        <f t="shared" si="4"/>
        <v>1682316.9550894788</v>
      </c>
      <c r="K49" s="309">
        <f t="shared" si="4"/>
        <v>1403242.0379885838</v>
      </c>
      <c r="L49" s="309">
        <f t="shared" si="4"/>
        <v>10662.736481009684</v>
      </c>
      <c r="M49" s="309">
        <f t="shared" si="4"/>
        <v>3392.159904730551</v>
      </c>
      <c r="N49" s="309">
        <f t="shared" si="4"/>
        <v>417366.69744412834</v>
      </c>
      <c r="O49" s="309">
        <f t="shared" si="4"/>
        <v>659552.717364668</v>
      </c>
      <c r="P49" s="309">
        <f>SUM(P10,P22,P34,P42,P47)</f>
        <v>2146232.52</v>
      </c>
      <c r="Q49" s="309">
        <f t="shared" si="4"/>
        <v>134866.43845913952</v>
      </c>
      <c r="R49" s="193" t="s">
        <v>24</v>
      </c>
      <c r="S49" s="193">
        <f>SUM(S10,S22,S34,S42,S47)</f>
        <v>37743149.83928199</v>
      </c>
      <c r="T49" s="194">
        <f>SUM(F49:Q49)</f>
        <v>37743149.839282006</v>
      </c>
      <c r="U49" s="194">
        <f>SUM(F49:Q49)</f>
        <v>37743149.839282006</v>
      </c>
    </row>
    <row r="50" spans="2:19" ht="15.75">
      <c r="B50" s="412"/>
      <c r="C50" s="308"/>
      <c r="D50" s="308"/>
      <c r="E50" s="309" t="str">
        <f>(Functionalization!E41)</f>
        <v> </v>
      </c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S50" s="193">
        <f aca="true" t="shared" si="5" ref="S50:S76">SUM(F50:Q50)</f>
        <v>0</v>
      </c>
    </row>
    <row r="51" spans="2:19" ht="15.75">
      <c r="B51" s="412">
        <v>920</v>
      </c>
      <c r="C51" s="308" t="s">
        <v>288</v>
      </c>
      <c r="D51" s="308" t="s">
        <v>24</v>
      </c>
      <c r="E51" s="309">
        <f>(Functionalization!E42)</f>
        <v>888864.57</v>
      </c>
      <c r="F51" s="308"/>
      <c r="G51" s="308"/>
      <c r="H51" s="308"/>
      <c r="I51" s="309">
        <f>(E51*'Func. Footnotes'!$D$43)</f>
        <v>883.4179238800012</v>
      </c>
      <c r="J51" s="309">
        <f>(Functionalization!H42*'Classification 2'!$H$104)</f>
        <v>228847.18826508196</v>
      </c>
      <c r="K51" s="309">
        <f>(Functionalization!H42-'Classification 1'!J51)</f>
        <v>195444.27306276356</v>
      </c>
      <c r="L51" s="312">
        <f>(Functionalization!I42*'Classification 2'!$F$151)</f>
        <v>1466.2199145861127</v>
      </c>
      <c r="M51" s="312">
        <f>(Functionalization!I42-'Classification 1'!L51)</f>
        <v>466.4517794878011</v>
      </c>
      <c r="N51" s="309">
        <f>(E51*'Func. Footnotes'!$G$43)</f>
        <v>57391.58653761181</v>
      </c>
      <c r="O51" s="309">
        <f>(E51*'Func. Footnotes'!$H$43)</f>
        <v>90694.29134273132</v>
      </c>
      <c r="P51" s="309">
        <f>(E51*'Func. Footnotes'!$I$43)</f>
        <v>295125.82138373854</v>
      </c>
      <c r="Q51" s="309">
        <f>(E51*'Func. Footnotes'!$J$43)</f>
        <v>18545.319790119</v>
      </c>
      <c r="S51" s="193">
        <f t="shared" si="5"/>
        <v>888864.57</v>
      </c>
    </row>
    <row r="52" spans="2:19" ht="15.75">
      <c r="B52" s="412">
        <v>921</v>
      </c>
      <c r="C52" s="308" t="s">
        <v>43</v>
      </c>
      <c r="D52" s="308" t="s">
        <v>24</v>
      </c>
      <c r="E52" s="309">
        <f>(Functionalization!E43)</f>
        <v>111054.72</v>
      </c>
      <c r="F52" s="308"/>
      <c r="G52" s="308"/>
      <c r="H52" s="308"/>
      <c r="I52" s="309">
        <f>(E52*'Func. Footnotes'!$D$43)</f>
        <v>110.37421615249538</v>
      </c>
      <c r="J52" s="309">
        <f>(Functionalization!H43*'Classification 2'!$H$104)</f>
        <v>28592.162713343347</v>
      </c>
      <c r="K52" s="309">
        <f>(Functionalization!H43-'Classification 1'!J52)</f>
        <v>24418.80321609483</v>
      </c>
      <c r="L52" s="312">
        <f>(Functionalization!I43*'Classification 2'!$F$151)</f>
        <v>183.18948416718268</v>
      </c>
      <c r="M52" s="312">
        <f>(Functionalization!I43-'Classification 1'!L52)</f>
        <v>58.27847516131678</v>
      </c>
      <c r="N52" s="309">
        <f>(E52*'Func. Footnotes'!$G$43)</f>
        <v>7170.503570966102</v>
      </c>
      <c r="O52" s="309">
        <f>(E52*'Func. Footnotes'!$H$43)</f>
        <v>11331.342783373007</v>
      </c>
      <c r="P52" s="309">
        <f>(E52*'Func. Footnotes'!$I$43)</f>
        <v>36873.01369042204</v>
      </c>
      <c r="Q52" s="309">
        <f>(E52*'Func. Footnotes'!$J$43)</f>
        <v>2317.0518503197</v>
      </c>
      <c r="S52" s="193">
        <f t="shared" si="5"/>
        <v>111054.72000000002</v>
      </c>
    </row>
    <row r="53" spans="2:19" ht="15.75">
      <c r="B53" s="412">
        <v>923</v>
      </c>
      <c r="C53" s="308" t="s">
        <v>44</v>
      </c>
      <c r="D53" s="308" t="s">
        <v>24</v>
      </c>
      <c r="E53" s="309">
        <f>(Functionalization!E44)</f>
        <v>89394.77</v>
      </c>
      <c r="F53" s="308"/>
      <c r="G53" s="308"/>
      <c r="H53" s="308"/>
      <c r="I53" s="309">
        <f>(E53*'Func. Footnotes'!$D$43)</f>
        <v>88.84699062662631</v>
      </c>
      <c r="J53" s="309">
        <f>(Functionalization!H44*'Classification 2'!$H$104)</f>
        <v>23015.589157866536</v>
      </c>
      <c r="K53" s="309">
        <f>(Functionalization!H44-'Classification 1'!J53)</f>
        <v>19656.19558698683</v>
      </c>
      <c r="L53" s="312">
        <f>(Functionalization!I44*'Classification 2'!$F$151)</f>
        <v>147.46047537235643</v>
      </c>
      <c r="M53" s="312">
        <f>(Functionalization!I44-'Classification 1'!L53)</f>
        <v>46.911926688002325</v>
      </c>
      <c r="N53" s="309">
        <f>(E53*'Func. Footnotes'!$G$43)</f>
        <v>5771.979052404918</v>
      </c>
      <c r="O53" s="309">
        <f>(E53*'Func. Footnotes'!$H$43)</f>
        <v>9121.294276468301</v>
      </c>
      <c r="P53" s="309">
        <f>(E53*'Func. Footnotes'!$I$43)</f>
        <v>29681.355083891343</v>
      </c>
      <c r="Q53" s="309">
        <f>(E53*'Func. Footnotes'!$J$43)</f>
        <v>1865.1374496951055</v>
      </c>
      <c r="S53" s="193">
        <f t="shared" si="5"/>
        <v>89394.77</v>
      </c>
    </row>
    <row r="54" spans="2:19" ht="15.75">
      <c r="B54" s="412">
        <v>928</v>
      </c>
      <c r="C54" s="308" t="s">
        <v>359</v>
      </c>
      <c r="D54" s="308" t="s">
        <v>24</v>
      </c>
      <c r="E54" s="309">
        <f>(Functionalization!E45)</f>
        <v>10690.6</v>
      </c>
      <c r="F54" s="308"/>
      <c r="G54" s="308"/>
      <c r="H54" s="308"/>
      <c r="I54" s="309">
        <f>(E54*'Func. Footnotes'!$D$43)</f>
        <v>10.62509180339086</v>
      </c>
      <c r="J54" s="309">
        <f>(Functionalization!H45*'Classification 2'!$H$104)</f>
        <v>2752.40327203804</v>
      </c>
      <c r="K54" s="309">
        <f>(Functionalization!H45-'Classification 1'!J54)</f>
        <v>2350.65792486788</v>
      </c>
      <c r="L54" s="312">
        <f>(Functionalization!I45*'Classification 2'!$F$151)</f>
        <v>17.634599406830105</v>
      </c>
      <c r="M54" s="312">
        <f>(Functionalization!I45-'Classification 1'!L54)</f>
        <v>5.610134054271381</v>
      </c>
      <c r="N54" s="309">
        <f>(E54*'Func. Footnotes'!$G$43)</f>
        <v>690.2631916569617</v>
      </c>
      <c r="O54" s="309">
        <f>(E54*'Func. Footnotes'!$H$43)</f>
        <v>1090.8032829214956</v>
      </c>
      <c r="P54" s="309">
        <f>(E54*'Func. Footnotes'!$I$43)</f>
        <v>3549.55323068507</v>
      </c>
      <c r="Q54" s="309">
        <f>(E54*'Func. Footnotes'!$J$43)</f>
        <v>223.0492725660628</v>
      </c>
      <c r="S54" s="193">
        <f t="shared" si="5"/>
        <v>10690.6</v>
      </c>
    </row>
    <row r="55" spans="2:19" ht="15.75">
      <c r="B55" s="412">
        <v>925</v>
      </c>
      <c r="C55" s="308" t="s">
        <v>45</v>
      </c>
      <c r="D55" s="308" t="s">
        <v>24</v>
      </c>
      <c r="E55" s="309">
        <f>(Functionalization!E46)</f>
        <v>0</v>
      </c>
      <c r="F55" s="308"/>
      <c r="G55" s="308"/>
      <c r="H55" s="308"/>
      <c r="I55" s="309">
        <f>(E55*'Func. Footnotes'!$D$43)</f>
        <v>0</v>
      </c>
      <c r="J55" s="309">
        <f>(Functionalization!H46*'Classification 2'!$H$104)</f>
        <v>0</v>
      </c>
      <c r="K55" s="309">
        <f>(Functionalization!H46-'Classification 1'!J55)</f>
        <v>0</v>
      </c>
      <c r="L55" s="312">
        <f>(Functionalization!I46*'Classification 2'!$F$151)</f>
        <v>0</v>
      </c>
      <c r="M55" s="312">
        <f>(Functionalization!I46-'Classification 1'!L55)</f>
        <v>0</v>
      </c>
      <c r="N55" s="309">
        <f>(E55*'Func. Footnotes'!$G$43)</f>
        <v>0</v>
      </c>
      <c r="O55" s="309">
        <f>(E55*'Func. Footnotes'!$H$43)</f>
        <v>0</v>
      </c>
      <c r="P55" s="309">
        <f>(E55*'Func. Footnotes'!$I$43)</f>
        <v>0</v>
      </c>
      <c r="Q55" s="309">
        <f>(E55*'Func. Footnotes'!$J$43)</f>
        <v>0</v>
      </c>
      <c r="S55" s="193">
        <f t="shared" si="5"/>
        <v>0</v>
      </c>
    </row>
    <row r="56" spans="2:19" ht="15.75">
      <c r="B56" s="412">
        <v>929</v>
      </c>
      <c r="C56" s="308" t="s">
        <v>46</v>
      </c>
      <c r="D56" s="308" t="s">
        <v>24</v>
      </c>
      <c r="E56" s="309">
        <f>(Functionalization!E47)</f>
        <v>-42650.21</v>
      </c>
      <c r="F56" s="308"/>
      <c r="G56" s="308"/>
      <c r="H56" s="308"/>
      <c r="I56" s="309">
        <f>(E56*'Func. Footnotes'!$D$43)</f>
        <v>-42.38886467400322</v>
      </c>
      <c r="J56" s="309">
        <f>(Functionalization!H47*'Classification 2'!$H$104)</f>
        <v>-10980.728636101765</v>
      </c>
      <c r="K56" s="309">
        <f>(Functionalization!H47-'Classification 1'!J56)</f>
        <v>-9377.963269954846</v>
      </c>
      <c r="L56" s="312">
        <f>(Functionalization!I47*'Classification 2'!$F$151)</f>
        <v>-70.353335450506</v>
      </c>
      <c r="M56" s="312">
        <f>(Functionalization!I47-'Classification 1'!L56)</f>
        <v>-22.381661978076608</v>
      </c>
      <c r="N56" s="309">
        <f>(E56*'Func. Footnotes'!$G$43)</f>
        <v>-2753.8089610910206</v>
      </c>
      <c r="O56" s="309">
        <f>(E56*'Func. Footnotes'!$H$43)</f>
        <v>-4351.765951891493</v>
      </c>
      <c r="P56" s="309">
        <f>(E56*'Func. Footnotes'!$I$43)</f>
        <v>-14160.96296698938</v>
      </c>
      <c r="Q56" s="309">
        <f>(E56*'Func. Footnotes'!$J$43)</f>
        <v>-889.8563518689144</v>
      </c>
      <c r="S56" s="193">
        <f t="shared" si="5"/>
        <v>-42650.21</v>
      </c>
    </row>
    <row r="57" spans="2:19" ht="15.75">
      <c r="B57" s="412">
        <v>930.1</v>
      </c>
      <c r="C57" s="308" t="s">
        <v>360</v>
      </c>
      <c r="D57" s="308" t="s">
        <v>24</v>
      </c>
      <c r="E57" s="309">
        <f>(Functionalization!E48)</f>
        <v>111309.82999999999</v>
      </c>
      <c r="F57" s="308"/>
      <c r="G57" s="308"/>
      <c r="H57" s="308"/>
      <c r="I57" s="309">
        <f>(E57*'Func. Footnotes'!$D$43)</f>
        <v>110.62776292909939</v>
      </c>
      <c r="J57" s="309">
        <f>(Functionalization!H48*'Classification 2'!$H$104)</f>
        <v>28657.843367257025</v>
      </c>
      <c r="K57" s="309">
        <f>(Functionalization!H48-'Classification 1'!J57)</f>
        <v>24474.89701281466</v>
      </c>
      <c r="L57" s="312">
        <f>(Functionalization!I48*'Classification 2'!$F$151)</f>
        <v>183.61029896286078</v>
      </c>
      <c r="M57" s="312">
        <f>(Functionalization!I48-'Classification 1'!L57)</f>
        <v>58.41234990161058</v>
      </c>
      <c r="N57" s="309">
        <f>(E57*'Func. Footnotes'!$G$43)</f>
        <v>7186.975335209793</v>
      </c>
      <c r="O57" s="309">
        <f>(E57*'Func. Footnotes'!$H$43)</f>
        <v>11357.372643764947</v>
      </c>
      <c r="P57" s="309">
        <f>(E57*'Func. Footnotes'!$I$43)</f>
        <v>36957.71674962171</v>
      </c>
      <c r="Q57" s="309">
        <f>(E57*'Func. Footnotes'!$J$43)</f>
        <v>2322.3744795382963</v>
      </c>
      <c r="S57" s="193">
        <f t="shared" si="5"/>
        <v>111309.83000000002</v>
      </c>
    </row>
    <row r="58" spans="2:19" ht="15.75">
      <c r="B58" s="412">
        <v>930.11</v>
      </c>
      <c r="C58" s="308" t="s">
        <v>361</v>
      </c>
      <c r="D58" s="308" t="s">
        <v>24</v>
      </c>
      <c r="E58" s="309">
        <f>(Functionalization!E49)</f>
        <v>74401.83</v>
      </c>
      <c r="F58" s="308"/>
      <c r="G58" s="308"/>
      <c r="H58" s="308"/>
      <c r="I58" s="309">
        <f>(E58*'Func. Footnotes'!$D$43)</f>
        <v>73.94592203340133</v>
      </c>
      <c r="J58" s="309">
        <f>(Functionalization!H49*'Classification 2'!$H$104)</f>
        <v>19155.504867605</v>
      </c>
      <c r="K58" s="309">
        <f>(Functionalization!H49-'Classification 1'!J58)</f>
        <v>16359.535602695149</v>
      </c>
      <c r="L58" s="312">
        <f>(Functionalization!I49*'Classification 2'!$F$151)</f>
        <v>122.72898314267434</v>
      </c>
      <c r="M58" s="312">
        <f>(Functionalization!I49-'Classification 1'!L58)</f>
        <v>39.044042446926284</v>
      </c>
      <c r="N58" s="309">
        <f>(E58*'Func. Footnotes'!$G$43)</f>
        <v>4803.925377520315</v>
      </c>
      <c r="O58" s="309">
        <f>(E58*'Func. Footnotes'!$H$43)</f>
        <v>7591.506596390008</v>
      </c>
      <c r="P58" s="309">
        <f>(E58*'Func. Footnotes'!$I$43)</f>
        <v>24703.31469191452</v>
      </c>
      <c r="Q58" s="309">
        <f>(E58*'Func. Footnotes'!$J$43)</f>
        <v>1552.3239162520222</v>
      </c>
      <c r="S58" s="193">
        <f t="shared" si="5"/>
        <v>74401.83000000002</v>
      </c>
    </row>
    <row r="59" spans="2:19" ht="15.75">
      <c r="B59" s="308">
        <v>930.2</v>
      </c>
      <c r="C59" s="308" t="s">
        <v>364</v>
      </c>
      <c r="D59" s="308" t="s">
        <v>24</v>
      </c>
      <c r="E59" s="309">
        <f>(Functionalization!E50)</f>
        <v>85041.36</v>
      </c>
      <c r="F59" s="308"/>
      <c r="G59" s="308"/>
      <c r="H59" s="308"/>
      <c r="I59" s="309">
        <f>(E59*'Func. Footnotes'!$D$43)</f>
        <v>84.52025677559831</v>
      </c>
      <c r="J59" s="309">
        <f>(Functionalization!H50*'Classification 2'!$H$104)</f>
        <v>21894.759650774035</v>
      </c>
      <c r="K59" s="309">
        <f>(Functionalization!H50-'Classification 1'!J59)</f>
        <v>18698.964213939562</v>
      </c>
      <c r="L59" s="312">
        <f>(Functionalization!I50*'Classification 2'!$F$151)</f>
        <v>140.27934041232723</v>
      </c>
      <c r="M59" s="312">
        <f>(Functionalization!I50-'Classification 1'!L59)</f>
        <v>44.627376364053646</v>
      </c>
      <c r="N59" s="309">
        <f>(E59*'Func. Footnotes'!$G$43)</f>
        <v>5490.891117098075</v>
      </c>
      <c r="O59" s="309">
        <f>(E59*'Func. Footnotes'!$H$43)</f>
        <v>8677.09900960739</v>
      </c>
      <c r="P59" s="309">
        <f>(E59*'Func. Footnotes'!$I$43)</f>
        <v>28235.911373529278</v>
      </c>
      <c r="Q59" s="309">
        <f>(E59*'Func. Footnotes'!$J$43)</f>
        <v>1774.3076614996978</v>
      </c>
      <c r="S59" s="193">
        <f t="shared" si="5"/>
        <v>85041.36000000002</v>
      </c>
    </row>
    <row r="60" spans="2:19" ht="15.75">
      <c r="B60" s="412">
        <v>930.3</v>
      </c>
      <c r="C60" s="308" t="s">
        <v>362</v>
      </c>
      <c r="D60" s="308" t="s">
        <v>24</v>
      </c>
      <c r="E60" s="309">
        <f>(Functionalization!E51)</f>
        <v>13.29</v>
      </c>
      <c r="F60" s="308"/>
      <c r="G60" s="308"/>
      <c r="H60" s="308"/>
      <c r="I60" s="309">
        <f>(E60*'Func. Footnotes'!$D$43)</f>
        <v>0.013208563604200375</v>
      </c>
      <c r="J60" s="309">
        <f>(Functionalization!H51*'Classification 2'!$H$104)</f>
        <v>3.421645135482157</v>
      </c>
      <c r="K60" s="309">
        <f>(Functionalization!H51-'Classification 1'!J60)</f>
        <v>2.9222161358103493</v>
      </c>
      <c r="L60" s="312">
        <f>(Functionalization!I51*'Classification 2'!$F$151)</f>
        <v>0.021922420267971122</v>
      </c>
      <c r="M60" s="312">
        <f>(Functionalization!I51-'Classification 1'!L60)</f>
        <v>0.006974227974226577</v>
      </c>
      <c r="N60" s="309">
        <f>(E60*'Func. Footnotes'!$G$43)</f>
        <v>0.858099434748379</v>
      </c>
      <c r="O60" s="309">
        <f>(E60*'Func. Footnotes'!$H$43)</f>
        <v>1.3560301227271316</v>
      </c>
      <c r="P60" s="309">
        <f>(E60*'Func. Footnotes'!$I$43)</f>
        <v>4.412620660749123</v>
      </c>
      <c r="Q60" s="309">
        <f>(E60*'Func. Footnotes'!$J$43)</f>
        <v>0.2772832986364633</v>
      </c>
      <c r="S60" s="193">
        <f t="shared" si="5"/>
        <v>13.290000000000003</v>
      </c>
    </row>
    <row r="61" spans="2:19" ht="15.75">
      <c r="B61" s="412">
        <v>930.4</v>
      </c>
      <c r="C61" s="308" t="s">
        <v>363</v>
      </c>
      <c r="D61" s="308" t="s">
        <v>24</v>
      </c>
      <c r="E61" s="309">
        <f>(Functionalization!E52)</f>
        <v>25839.76</v>
      </c>
      <c r="F61" s="308"/>
      <c r="G61" s="308"/>
      <c r="H61" s="308"/>
      <c r="I61" s="309">
        <f>(E61*'Func. Footnotes'!$D$43)</f>
        <v>25.68142313598741</v>
      </c>
      <c r="J61" s="309">
        <f>(Functionalization!H52*'Classification 2'!$H$104)</f>
        <v>6652.707983899655</v>
      </c>
      <c r="K61" s="309">
        <f>(Functionalization!H52-'Classification 1'!J61)</f>
        <v>5681.6676913067595</v>
      </c>
      <c r="L61" s="312">
        <f>(Functionalization!I52*'Classification 2'!$F$151)</f>
        <v>42.62378317106919</v>
      </c>
      <c r="M61" s="312">
        <f>(Functionalization!I52-'Classification 1'!L61)</f>
        <v>13.559998272332649</v>
      </c>
      <c r="N61" s="309">
        <f>(E61*'Func. Footnotes'!$G$43)</f>
        <v>1668.4035703561906</v>
      </c>
      <c r="O61" s="309">
        <f>(E61*'Func. Footnotes'!$H$43)</f>
        <v>2636.530694058663</v>
      </c>
      <c r="P61" s="309">
        <f>(E61*'Func. Footnotes'!$I$43)</f>
        <v>8579.462667027747</v>
      </c>
      <c r="Q61" s="309">
        <f>(E61*'Func. Footnotes'!$J$43)</f>
        <v>539.1221887715981</v>
      </c>
      <c r="S61" s="193">
        <f t="shared" si="5"/>
        <v>25839.760000000002</v>
      </c>
    </row>
    <row r="62" spans="2:19" ht="15.75">
      <c r="B62" s="412">
        <v>932</v>
      </c>
      <c r="C62" s="308" t="s">
        <v>365</v>
      </c>
      <c r="D62" s="308" t="s">
        <v>24</v>
      </c>
      <c r="E62" s="309">
        <f>(Functionalization!E53)</f>
        <v>116627.22</v>
      </c>
      <c r="F62" s="308"/>
      <c r="G62" s="308"/>
      <c r="H62" s="308"/>
      <c r="I62" s="309">
        <f>(E62*'Func. Footnotes'!$D$43)</f>
        <v>115.91256985335366</v>
      </c>
      <c r="J62" s="309">
        <f>(Functionalization!H53*'Classification 2'!$H$104)</f>
        <v>30026.859291031404</v>
      </c>
      <c r="K62" s="309">
        <f>(Functionalization!H53-'Classification 1'!J62)</f>
        <v>25644.089101482583</v>
      </c>
      <c r="L62" s="312">
        <f>(Functionalization!I53*'Classification 2'!$F$151)</f>
        <v>192.38155993417058</v>
      </c>
      <c r="M62" s="312">
        <f>(Functionalization!I53-'Classification 1'!L62)</f>
        <v>61.202770525227805</v>
      </c>
      <c r="N62" s="309">
        <f>(E62*'Func. Footnotes'!$G$43)</f>
        <v>7530.304857658002</v>
      </c>
      <c r="O62" s="309">
        <f>(E62*'Func. Footnotes'!$H$43)</f>
        <v>11899.9265199341</v>
      </c>
      <c r="P62" s="309">
        <f>(E62*'Func. Footnotes'!$I$43)</f>
        <v>38723.226529551044</v>
      </c>
      <c r="Q62" s="309">
        <f>(E62*'Func. Footnotes'!$J$43)</f>
        <v>2433.3168000301357</v>
      </c>
      <c r="S62" s="193">
        <f t="shared" si="5"/>
        <v>116627.22000000002</v>
      </c>
    </row>
    <row r="63" spans="2:19" ht="15.75">
      <c r="B63" s="412"/>
      <c r="C63" s="308"/>
      <c r="D63" s="308" t="s">
        <v>24</v>
      </c>
      <c r="E63" s="309" t="s">
        <v>24</v>
      </c>
      <c r="F63" s="308"/>
      <c r="G63" s="308"/>
      <c r="H63" s="308"/>
      <c r="I63" s="308"/>
      <c r="J63" s="309" t="s">
        <v>24</v>
      </c>
      <c r="K63" s="309" t="s">
        <v>24</v>
      </c>
      <c r="L63" s="308"/>
      <c r="M63" s="308"/>
      <c r="N63" s="308"/>
      <c r="O63" s="308"/>
      <c r="P63" s="308"/>
      <c r="Q63" s="308"/>
      <c r="S63" s="193">
        <f t="shared" si="5"/>
        <v>0</v>
      </c>
    </row>
    <row r="64" spans="2:20" ht="15.75">
      <c r="B64" s="412"/>
      <c r="C64" s="314" t="s">
        <v>47</v>
      </c>
      <c r="D64" s="308" t="s">
        <v>24</v>
      </c>
      <c r="E64" s="309">
        <f>(Functionalization!E54)</f>
        <v>1470587.7400000002</v>
      </c>
      <c r="F64" s="309" t="s">
        <v>24</v>
      </c>
      <c r="G64" s="308"/>
      <c r="H64" s="308"/>
      <c r="I64" s="309">
        <f>SUM(I51:I62)</f>
        <v>1461.5765010795549</v>
      </c>
      <c r="J64" s="309">
        <f aca="true" t="shared" si="6" ref="J64:Q64">SUM(J51:J62)</f>
        <v>378617.7115779307</v>
      </c>
      <c r="K64" s="309">
        <f t="shared" si="6"/>
        <v>323354.0423591328</v>
      </c>
      <c r="L64" s="309">
        <f t="shared" si="6"/>
        <v>2425.797026125346</v>
      </c>
      <c r="M64" s="309">
        <f t="shared" si="6"/>
        <v>771.7241651514402</v>
      </c>
      <c r="N64" s="309">
        <f t="shared" si="6"/>
        <v>94951.8817488259</v>
      </c>
      <c r="O64" s="309">
        <f t="shared" si="6"/>
        <v>150049.75722748044</v>
      </c>
      <c r="P64" s="309">
        <f>SUM(P51:P62)</f>
        <v>488272.8250540527</v>
      </c>
      <c r="Q64" s="309">
        <f t="shared" si="6"/>
        <v>30682.42434022134</v>
      </c>
      <c r="R64" s="193">
        <f>SUM(R51:R61)</f>
        <v>0</v>
      </c>
      <c r="S64" s="193">
        <f>SUM(F64:Q64)</f>
        <v>1470587.7400000002</v>
      </c>
      <c r="T64" s="194">
        <f>(S64-E64)</f>
        <v>0</v>
      </c>
    </row>
    <row r="65" spans="2:20" ht="15.75">
      <c r="B65" s="412"/>
      <c r="C65" s="314"/>
      <c r="D65" s="308"/>
      <c r="E65" s="309">
        <f>(Functionalization!E55)</f>
        <v>0</v>
      </c>
      <c r="F65" s="308"/>
      <c r="G65" s="308"/>
      <c r="H65" s="308"/>
      <c r="I65" s="308"/>
      <c r="J65" s="309">
        <f>(Functionalization!H55*'Classification 2'!$F$89)</f>
        <v>0</v>
      </c>
      <c r="K65" s="309">
        <f>(Functionalization!H55-'Classification 1'!J65)</f>
        <v>0</v>
      </c>
      <c r="L65" s="309"/>
      <c r="M65" s="309"/>
      <c r="N65" s="309"/>
      <c r="O65" s="309"/>
      <c r="P65" s="309"/>
      <c r="Q65" s="309"/>
      <c r="R65" s="193"/>
      <c r="S65" s="193">
        <f t="shared" si="5"/>
        <v>0</v>
      </c>
      <c r="T65" s="194"/>
    </row>
    <row r="66" spans="2:19" ht="15.75">
      <c r="B66" s="412">
        <v>403</v>
      </c>
      <c r="C66" s="308" t="s">
        <v>64</v>
      </c>
      <c r="D66" s="308" t="s">
        <v>24</v>
      </c>
      <c r="E66" s="309">
        <f>(Functionalization!E56)</f>
        <v>3518784.36</v>
      </c>
      <c r="F66" s="308"/>
      <c r="G66" s="308"/>
      <c r="H66" s="308"/>
      <c r="I66" s="309">
        <f>($E$66*'Rate Base'!F31)</f>
        <v>27117.65288115674</v>
      </c>
      <c r="J66" s="309">
        <f>(Functionalization!H56*'Classification 2'!$H$104)</f>
        <v>1229486.2597449874</v>
      </c>
      <c r="K66" s="309">
        <f>(Functionalization!H56-'Classification 1'!J66)</f>
        <v>1050028.4058468374</v>
      </c>
      <c r="L66" s="312">
        <f>(Functionalization!I56*'Classification 2'!$F$151)</f>
        <v>282653.83329183975</v>
      </c>
      <c r="M66" s="312">
        <f>(Functionalization!I56-'Classification 1'!L66)</f>
        <v>89921.28820951411</v>
      </c>
      <c r="N66" s="309">
        <f>($E$66*'Rate Base'!I31)</f>
        <v>308311.57850928797</v>
      </c>
      <c r="O66" s="309">
        <f>($E$66*'Rate Base'!J31)</f>
        <v>260916.39326308423</v>
      </c>
      <c r="P66" s="309">
        <f>($E$66*'Rate Base'!K31)</f>
        <v>93030.22128747491</v>
      </c>
      <c r="Q66" s="309">
        <f>($E$66*'Rate Base'!L31)</f>
        <v>177318.72696581765</v>
      </c>
      <c r="R66" s="193" t="s">
        <v>24</v>
      </c>
      <c r="S66" s="193">
        <f t="shared" si="5"/>
        <v>3518784.3600000003</v>
      </c>
    </row>
    <row r="67" spans="2:19" ht="15.75">
      <c r="B67" s="412">
        <v>403</v>
      </c>
      <c r="C67" s="308" t="s">
        <v>65</v>
      </c>
      <c r="D67" s="308" t="s">
        <v>24</v>
      </c>
      <c r="E67" s="309">
        <f>(Functionalization!E57)</f>
        <v>186244.84</v>
      </c>
      <c r="F67" s="308"/>
      <c r="G67" s="308"/>
      <c r="H67" s="308"/>
      <c r="I67" s="309">
        <f>($E$67*'Rate Base'!F31)</f>
        <v>1435.3033335713064</v>
      </c>
      <c r="J67" s="309">
        <f>(Functionalization!H57*'Classification 2'!$H$104)</f>
        <v>65075.16468795593</v>
      </c>
      <c r="K67" s="309">
        <f>(Functionalization!H57-'Classification 1'!J67)</f>
        <v>55576.68570585534</v>
      </c>
      <c r="L67" s="312">
        <f>(Functionalization!I57*'Classification 2'!$F$151)</f>
        <v>14960.51265750919</v>
      </c>
      <c r="M67" s="312">
        <f>(Functionalization!I57-'Classification 1'!L67)</f>
        <v>4759.420931146471</v>
      </c>
      <c r="N67" s="309">
        <f>($E$67*'Rate Base'!I31)</f>
        <v>16318.544910666187</v>
      </c>
      <c r="O67" s="309">
        <f>($E$67*'Rate Base'!J31)</f>
        <v>13809.977237894793</v>
      </c>
      <c r="P67" s="309">
        <f>($E$67*'Rate Base'!K31)</f>
        <v>4923.972857163193</v>
      </c>
      <c r="Q67" s="309">
        <f>($E$67*'Rate Base'!L31)</f>
        <v>9385.257678237604</v>
      </c>
      <c r="R67" s="193" t="s">
        <v>24</v>
      </c>
      <c r="S67" s="193">
        <f t="shared" si="5"/>
        <v>186244.84000000003</v>
      </c>
    </row>
    <row r="68" spans="2:19" ht="15.75">
      <c r="B68" s="412"/>
      <c r="C68" s="308"/>
      <c r="D68" s="308"/>
      <c r="E68" s="309" t="s">
        <v>24</v>
      </c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192" t="s">
        <v>24</v>
      </c>
      <c r="S68" s="193">
        <f t="shared" si="5"/>
        <v>0</v>
      </c>
    </row>
    <row r="69" spans="2:19" ht="15.75">
      <c r="B69" s="412"/>
      <c r="C69" s="314" t="s">
        <v>52</v>
      </c>
      <c r="D69" s="308"/>
      <c r="E69" s="309">
        <f>(Functionalization!E58)</f>
        <v>3705029.1999999997</v>
      </c>
      <c r="F69" s="309">
        <f aca="true" t="shared" si="7" ref="F69:Q69">(F66+F67)</f>
        <v>0</v>
      </c>
      <c r="G69" s="309">
        <f t="shared" si="7"/>
        <v>0</v>
      </c>
      <c r="H69" s="309">
        <f t="shared" si="7"/>
        <v>0</v>
      </c>
      <c r="I69" s="309">
        <f>SUM(I66:I67)</f>
        <v>28552.95621472805</v>
      </c>
      <c r="J69" s="309">
        <f t="shared" si="7"/>
        <v>1294561.4244329433</v>
      </c>
      <c r="K69" s="309">
        <f t="shared" si="7"/>
        <v>1105605.0915526927</v>
      </c>
      <c r="L69" s="309">
        <f t="shared" si="7"/>
        <v>297614.34594934894</v>
      </c>
      <c r="M69" s="309">
        <f t="shared" si="7"/>
        <v>94680.70914066058</v>
      </c>
      <c r="N69" s="309">
        <f t="shared" si="7"/>
        <v>324630.12341995415</v>
      </c>
      <c r="O69" s="309">
        <f t="shared" si="7"/>
        <v>274726.370500979</v>
      </c>
      <c r="P69" s="309">
        <f t="shared" si="7"/>
        <v>97954.19414463811</v>
      </c>
      <c r="Q69" s="309">
        <f t="shared" si="7"/>
        <v>186703.98464405525</v>
      </c>
      <c r="R69" s="193" t="s">
        <v>24</v>
      </c>
      <c r="S69" s="193">
        <f t="shared" si="5"/>
        <v>3705029.2</v>
      </c>
    </row>
    <row r="70" spans="2:19" ht="15.75">
      <c r="B70" s="412"/>
      <c r="C70" s="308"/>
      <c r="D70" s="308"/>
      <c r="E70" s="309">
        <f>(Functionalization!E59)</f>
        <v>0</v>
      </c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192" t="s">
        <v>24</v>
      </c>
      <c r="S70" s="193">
        <f>SUM(F70:Q70)</f>
        <v>0</v>
      </c>
    </row>
    <row r="71" spans="2:19" ht="15.75">
      <c r="B71" s="412">
        <v>408</v>
      </c>
      <c r="C71" s="308" t="s">
        <v>341</v>
      </c>
      <c r="D71" s="308" t="s">
        <v>24</v>
      </c>
      <c r="E71" s="309">
        <f>(Functionalization!E60)</f>
        <v>56395.32</v>
      </c>
      <c r="F71" s="308"/>
      <c r="G71" s="308"/>
      <c r="H71" s="308"/>
      <c r="I71" s="309">
        <f>($E$71*'Rate Base'!F43)</f>
        <v>434.6847387201293</v>
      </c>
      <c r="J71" s="309">
        <f>(Functionalization!H60*'Classification 2'!$H$104)</f>
        <v>19705.878918538154</v>
      </c>
      <c r="K71" s="309">
        <f>(Functionalization!H60-'Classification 1'!J71)</f>
        <v>16829.576144214232</v>
      </c>
      <c r="L71" s="312">
        <f>(Functionalization!I60*'Classification 2'!$F$151)</f>
        <v>4530.917168296996</v>
      </c>
      <c r="M71" s="312">
        <f>(Functionalization!I60-'Classification 1'!L71)</f>
        <v>1441.4306850146368</v>
      </c>
      <c r="N71" s="309">
        <f>($E$71*'Rate Base'!I43)</f>
        <v>4941.535959138661</v>
      </c>
      <c r="O71" s="309">
        <f>($E$71*'Rate Base'!J43)</f>
        <v>4181.390620531161</v>
      </c>
      <c r="P71" s="309">
        <f>($E$71*'Rate Base'!K43)</f>
        <v>1487.7140066847564</v>
      </c>
      <c r="Q71" s="309">
        <f>($E$71*'Rate Base'!L43)</f>
        <v>2842.191758861277</v>
      </c>
      <c r="R71" s="193" t="s">
        <v>24</v>
      </c>
      <c r="S71" s="193">
        <f>SUM(F71:Q71)</f>
        <v>56395.32000000001</v>
      </c>
    </row>
    <row r="72" spans="2:19" ht="15.75">
      <c r="B72" s="412">
        <v>426.1</v>
      </c>
      <c r="C72" s="308" t="s">
        <v>366</v>
      </c>
      <c r="D72" s="308" t="s">
        <v>24</v>
      </c>
      <c r="E72" s="309">
        <f>(Functionalization!E61)</f>
        <v>0.1999999999998181</v>
      </c>
      <c r="F72" s="308"/>
      <c r="G72" s="308"/>
      <c r="H72" s="308"/>
      <c r="I72" s="309">
        <f>($E$72*'Rate Base'!F43)</f>
        <v>0.0015415631606301161</v>
      </c>
      <c r="J72" s="309">
        <f>(Functionalization!H61*'Classification 2'!$F$89)</f>
        <v>0.05940603435810628</v>
      </c>
      <c r="K72" s="309">
        <f>(Functionalization!H61-'Classification 1'!J72)</f>
        <v>0.07016306840687193</v>
      </c>
      <c r="L72" s="312">
        <f>(Functionalization!I61*'Classification 2'!$F$151)</f>
        <v>0.016068415493671728</v>
      </c>
      <c r="M72" s="312">
        <f>(Functionalization!I61-'Classification 1'!L72)</f>
        <v>0.005111880507153169</v>
      </c>
      <c r="N72" s="309">
        <f>($E$72*'Rate Base'!I43)</f>
        <v>0.017524631331586264</v>
      </c>
      <c r="O72" s="309">
        <f>($E$72*'Rate Base'!J43)</f>
        <v>0.014828856793533076</v>
      </c>
      <c r="P72" s="309">
        <f>($E$72*'Rate Base'!K43)</f>
        <v>0.005276019381336619</v>
      </c>
      <c r="Q72" s="309">
        <f>($E$72*'Rate Base'!L43)</f>
        <v>0.010079530566928929</v>
      </c>
      <c r="R72" s="193" t="s">
        <v>24</v>
      </c>
      <c r="S72" s="193">
        <f>SUM(F72:Q72)</f>
        <v>0.1999999999998181</v>
      </c>
    </row>
    <row r="73" spans="2:19" ht="15.75">
      <c r="B73" s="412">
        <v>426.11</v>
      </c>
      <c r="C73" s="308" t="s">
        <v>403</v>
      </c>
      <c r="D73" s="308" t="s">
        <v>24</v>
      </c>
      <c r="E73" s="309">
        <f>(Functionalization!E62)</f>
        <v>0</v>
      </c>
      <c r="F73" s="308"/>
      <c r="G73" s="308"/>
      <c r="H73" s="308"/>
      <c r="I73" s="308"/>
      <c r="J73" s="309">
        <f>(Functionalization!H62*'Classification 2'!$F$89)</f>
        <v>0</v>
      </c>
      <c r="K73" s="309">
        <f>(Functionalization!H62-'Classification 1'!J73)</f>
        <v>0</v>
      </c>
      <c r="L73" s="309"/>
      <c r="M73" s="309"/>
      <c r="N73" s="309"/>
      <c r="O73" s="309"/>
      <c r="P73" s="309"/>
      <c r="Q73" s="309"/>
      <c r="R73" s="193"/>
      <c r="S73" s="193">
        <f t="shared" si="5"/>
        <v>0</v>
      </c>
    </row>
    <row r="74" spans="2:19" ht="15.75">
      <c r="B74" s="412">
        <v>423.12</v>
      </c>
      <c r="C74" s="308" t="s">
        <v>367</v>
      </c>
      <c r="D74" s="308" t="s">
        <v>24</v>
      </c>
      <c r="E74" s="309">
        <f>(Functionalization!E63)</f>
        <v>0.4700000000000273</v>
      </c>
      <c r="F74" s="308"/>
      <c r="G74" s="308"/>
      <c r="H74" s="308"/>
      <c r="I74" s="308"/>
      <c r="J74" s="309">
        <f>(Functionalization!H63*'Classification 2'!$F$89)</f>
        <v>0</v>
      </c>
      <c r="K74" s="309">
        <f>(Functionalization!H63-'Classification 1'!J74)</f>
        <v>0</v>
      </c>
      <c r="L74" s="309"/>
      <c r="M74" s="309"/>
      <c r="N74" s="309"/>
      <c r="O74" s="309"/>
      <c r="P74" s="309"/>
      <c r="Q74" s="309"/>
      <c r="R74" s="193"/>
      <c r="S74" s="193">
        <f t="shared" si="5"/>
        <v>0</v>
      </c>
    </row>
    <row r="75" spans="2:19" ht="15.75">
      <c r="B75" s="412"/>
      <c r="C75" s="308"/>
      <c r="D75" s="308" t="s">
        <v>24</v>
      </c>
      <c r="E75" s="309" t="s">
        <v>24</v>
      </c>
      <c r="F75" s="308"/>
      <c r="G75" s="308"/>
      <c r="H75" s="308"/>
      <c r="I75" s="308"/>
      <c r="J75" s="309" t="s">
        <v>24</v>
      </c>
      <c r="K75" s="309" t="s">
        <v>24</v>
      </c>
      <c r="L75" s="308"/>
      <c r="M75" s="308"/>
      <c r="N75" s="308"/>
      <c r="O75" s="308"/>
      <c r="P75" s="308"/>
      <c r="Q75" s="308"/>
      <c r="S75" s="193">
        <f t="shared" si="5"/>
        <v>0</v>
      </c>
    </row>
    <row r="76" spans="2:19" ht="15.75">
      <c r="B76" s="412"/>
      <c r="C76" s="314" t="s">
        <v>53</v>
      </c>
      <c r="D76" s="308" t="s">
        <v>24</v>
      </c>
      <c r="E76" s="309">
        <f>(Functionalization!E64)</f>
        <v>56395.98999999999</v>
      </c>
      <c r="F76" s="309">
        <f>(F71+F72)</f>
        <v>0</v>
      </c>
      <c r="G76" s="309">
        <f>(G71+G72)</f>
        <v>0</v>
      </c>
      <c r="H76" s="309">
        <f>(H71+H72)</f>
        <v>0</v>
      </c>
      <c r="I76" s="309">
        <f>SUM(I71:I74)</f>
        <v>434.68628028328993</v>
      </c>
      <c r="J76" s="309">
        <f aca="true" t="shared" si="8" ref="J76:Q76">SUM(J71:J74)</f>
        <v>19705.93832457251</v>
      </c>
      <c r="K76" s="309">
        <f t="shared" si="8"/>
        <v>16829.646307282637</v>
      </c>
      <c r="L76" s="309">
        <f t="shared" si="8"/>
        <v>4530.93323671249</v>
      </c>
      <c r="M76" s="309">
        <f t="shared" si="8"/>
        <v>1441.435796895144</v>
      </c>
      <c r="N76" s="309">
        <f t="shared" si="8"/>
        <v>4941.553483769993</v>
      </c>
      <c r="O76" s="309">
        <f t="shared" si="8"/>
        <v>4181.405449387955</v>
      </c>
      <c r="P76" s="309">
        <f t="shared" si="8"/>
        <v>1487.7192827041379</v>
      </c>
      <c r="Q76" s="309">
        <f t="shared" si="8"/>
        <v>2842.201838391844</v>
      </c>
      <c r="R76" s="193" t="s">
        <v>24</v>
      </c>
      <c r="S76" s="193">
        <f t="shared" si="5"/>
        <v>56395.520000000004</v>
      </c>
    </row>
    <row r="77" spans="2:19" ht="15.75">
      <c r="B77" s="412"/>
      <c r="C77" s="308"/>
      <c r="D77" s="308"/>
      <c r="E77" s="309">
        <f>(Functionalization!E65)</f>
        <v>0</v>
      </c>
      <c r="F77" s="308"/>
      <c r="G77" s="308"/>
      <c r="H77" s="308"/>
      <c r="I77" s="308" t="s">
        <v>24</v>
      </c>
      <c r="J77" s="309">
        <f>(Functionalization!H65*'Classification 2'!$F$89)</f>
        <v>0</v>
      </c>
      <c r="K77" s="309">
        <f>(Functionalization!H65-'Classification 1'!J77)</f>
        <v>0</v>
      </c>
      <c r="L77" s="308"/>
      <c r="M77" s="308"/>
      <c r="N77" s="308"/>
      <c r="O77" s="308"/>
      <c r="P77" s="308"/>
      <c r="Q77" s="308"/>
      <c r="S77" s="193" t="s">
        <v>24</v>
      </c>
    </row>
    <row r="78" spans="2:19" ht="15.75">
      <c r="B78" s="412"/>
      <c r="C78" s="314" t="s">
        <v>54</v>
      </c>
      <c r="D78" s="308"/>
      <c r="E78" s="309">
        <f>(Functionalization!E66)</f>
        <v>850646.3345358</v>
      </c>
      <c r="F78" s="309">
        <v>0</v>
      </c>
      <c r="G78" s="309"/>
      <c r="H78" s="308"/>
      <c r="I78" s="309">
        <f>($E$78*'Rate Base'!F43)</f>
        <v>6556.625260233118</v>
      </c>
      <c r="J78" s="309">
        <f>(Functionalization!H66*'Classification 2'!$H$104)</f>
        <v>297236.25419380143</v>
      </c>
      <c r="K78" s="309">
        <f>(Functionalization!H66-'Classification 1'!J78)</f>
        <v>253851.15748730535</v>
      </c>
      <c r="L78" s="312">
        <f>(Functionalization!I66*'Classification 2'!$F$151)</f>
        <v>68342.69370751272</v>
      </c>
      <c r="M78" s="312">
        <f>(Functionalization!I66-'Classification 1'!L78)</f>
        <v>21742.01207999402</v>
      </c>
      <c r="N78" s="309">
        <f>($E$78*'Rate Base'!I43)</f>
        <v>74536.31703159325</v>
      </c>
      <c r="O78" s="309">
        <f>($E$78*'Rate Base'!J43)</f>
        <v>63070.563383933404</v>
      </c>
      <c r="P78" s="309">
        <f>($E$78*'Rate Base'!K43)</f>
        <v>22440.132738389584</v>
      </c>
      <c r="Q78" s="309">
        <f>($E$78*'Rate Base'!L43)</f>
        <v>42870.578653037235</v>
      </c>
      <c r="R78" s="193" t="s">
        <v>24</v>
      </c>
      <c r="S78" s="193">
        <f aca="true" t="shared" si="9" ref="S78:S85">SUM(F78:Q78)</f>
        <v>850646.3345358</v>
      </c>
    </row>
    <row r="79" spans="2:19" ht="15.75">
      <c r="B79" s="412"/>
      <c r="C79" s="308"/>
      <c r="D79" s="308"/>
      <c r="E79" s="309">
        <f>(Functionalization!E67)</f>
        <v>0</v>
      </c>
      <c r="F79" s="308"/>
      <c r="G79" s="308"/>
      <c r="H79" s="308"/>
      <c r="I79" s="308"/>
      <c r="J79" s="309">
        <f>(Functionalization!H67*'Classification 2'!$F$89)</f>
        <v>0</v>
      </c>
      <c r="K79" s="309">
        <f>(Functionalization!H67-'Classification 1'!J79)</f>
        <v>0</v>
      </c>
      <c r="L79" s="308"/>
      <c r="M79" s="308"/>
      <c r="N79" s="308"/>
      <c r="O79" s="308"/>
      <c r="P79" s="308"/>
      <c r="Q79" s="308"/>
      <c r="S79" s="193">
        <f t="shared" si="9"/>
        <v>0</v>
      </c>
    </row>
    <row r="80" spans="2:19" ht="15.75">
      <c r="B80" s="412"/>
      <c r="C80" s="314" t="s">
        <v>284</v>
      </c>
      <c r="D80" s="308" t="s">
        <v>24</v>
      </c>
      <c r="E80" s="309">
        <f>(Functionalization!E68)</f>
        <v>3795.78</v>
      </c>
      <c r="F80" s="309">
        <v>0</v>
      </c>
      <c r="G80" s="309"/>
      <c r="H80" s="308"/>
      <c r="I80" s="309">
        <f>($E$80*'Rate Base'!F43)</f>
        <v>29.25717306930952</v>
      </c>
      <c r="J80" s="309">
        <f>(Functionalization!H68*'Classification 2'!$H$104)</f>
        <v>1326.3366726424952</v>
      </c>
      <c r="K80" s="309">
        <f>(Functionalization!H68-'Classification 1'!J80)</f>
        <v>1132.7423718259865</v>
      </c>
      <c r="L80" s="312">
        <f>(Functionalization!I68*'Classification 2'!$F$151)</f>
        <v>304.9608508131237</v>
      </c>
      <c r="M80" s="312">
        <f>(Functionalization!I68-'Classification 1'!L80)</f>
        <v>97.01786895729754</v>
      </c>
      <c r="N80" s="309">
        <f>($E$80*'Rate Base'!I43)</f>
        <v>332.59822557934507</v>
      </c>
      <c r="O80" s="309">
        <f>($E$80*'Rate Base'!J43)</f>
        <v>281.4353901990409</v>
      </c>
      <c r="P80" s="309">
        <f>($E$80*'Rate Base'!K43)</f>
        <v>100.13304423654064</v>
      </c>
      <c r="Q80" s="309">
        <f>($E$80*'Rate Base'!L43)</f>
        <v>191.29840267686146</v>
      </c>
      <c r="R80" s="193" t="s">
        <v>24</v>
      </c>
      <c r="S80" s="193">
        <f t="shared" si="9"/>
        <v>3795.7800000000007</v>
      </c>
    </row>
    <row r="81" spans="2:19" ht="15.75">
      <c r="B81" s="412"/>
      <c r="C81" s="308"/>
      <c r="D81" s="308"/>
      <c r="E81" s="309">
        <f>(Functionalization!E69)</f>
        <v>0</v>
      </c>
      <c r="F81" s="308"/>
      <c r="G81" s="308"/>
      <c r="H81" s="308"/>
      <c r="I81" s="308"/>
      <c r="J81" s="309">
        <f>(Functionalization!H69*'Classification 2'!$F$89)</f>
        <v>0</v>
      </c>
      <c r="K81" s="309">
        <f>(Functionalization!H69-'Classification 1'!J81)</f>
        <v>0</v>
      </c>
      <c r="L81" s="308"/>
      <c r="M81" s="308"/>
      <c r="N81" s="308"/>
      <c r="O81" s="308"/>
      <c r="P81" s="308"/>
      <c r="Q81" s="308"/>
      <c r="S81" s="193">
        <f t="shared" si="9"/>
        <v>0</v>
      </c>
    </row>
    <row r="82" spans="2:22" ht="15.75">
      <c r="B82" s="412"/>
      <c r="C82" s="314" t="s">
        <v>55</v>
      </c>
      <c r="D82" s="308"/>
      <c r="E82" s="309">
        <f>(Functionalization!E70)</f>
        <v>43829604.88381781</v>
      </c>
      <c r="F82" s="309">
        <f aca="true" t="shared" si="10" ref="F82:O82">SUM(F49,F69,F76,F78,F80,F64)</f>
        <v>6986348.459999998</v>
      </c>
      <c r="G82" s="309">
        <f t="shared" si="10"/>
        <v>23587568.669281997</v>
      </c>
      <c r="H82" s="309">
        <f t="shared" si="10"/>
        <v>705176</v>
      </c>
      <c r="I82" s="309">
        <f t="shared" si="10"/>
        <v>43459.54869765465</v>
      </c>
      <c r="J82" s="309">
        <f t="shared" si="10"/>
        <v>3673764.620291369</v>
      </c>
      <c r="K82" s="309">
        <f t="shared" si="10"/>
        <v>3104014.718066823</v>
      </c>
      <c r="L82" s="309">
        <f t="shared" si="10"/>
        <v>383881.4672515223</v>
      </c>
      <c r="M82" s="309">
        <f t="shared" si="10"/>
        <v>122125.05895638901</v>
      </c>
      <c r="N82" s="309">
        <f t="shared" si="10"/>
        <v>916759.1713538511</v>
      </c>
      <c r="O82" s="309">
        <f t="shared" si="10"/>
        <v>1151862.2493166479</v>
      </c>
      <c r="P82" s="309">
        <f>SUM(P49,P69,P76,P78,P80,P64)</f>
        <v>2756487.524264021</v>
      </c>
      <c r="Q82" s="309">
        <f>SUM(Q49,Q69,Q76,Q78,Q80,Q64)</f>
        <v>398156.9263375221</v>
      </c>
      <c r="R82" s="193" t="s">
        <v>24</v>
      </c>
      <c r="S82" s="193">
        <f>SUM(S49,S69,S76,S78,S80,S64)</f>
        <v>43829604.4138178</v>
      </c>
      <c r="U82" s="194">
        <f>SUM(F82:Q82)</f>
        <v>43829604.41381781</v>
      </c>
      <c r="V82" s="194">
        <f>SUM(I82:Q82)</f>
        <v>12550511.284535801</v>
      </c>
    </row>
    <row r="83" spans="2:19" ht="15.75">
      <c r="B83" s="412"/>
      <c r="C83" s="308"/>
      <c r="D83" s="308"/>
      <c r="E83" s="309">
        <f>(Functionalization!E71)</f>
        <v>0</v>
      </c>
      <c r="F83" s="308">
        <v>0</v>
      </c>
      <c r="G83" s="308"/>
      <c r="H83" s="308"/>
      <c r="I83" s="308"/>
      <c r="J83" s="309">
        <f>(Functionalization!H71*'Classification 2'!$F$89)</f>
        <v>0</v>
      </c>
      <c r="K83" s="309">
        <f>(Functionalization!H71-'Classification 1'!J83)</f>
        <v>0</v>
      </c>
      <c r="L83" s="308"/>
      <c r="M83" s="308"/>
      <c r="N83" s="308"/>
      <c r="O83" s="308"/>
      <c r="P83" s="308"/>
      <c r="Q83" s="308"/>
      <c r="S83" s="193">
        <f t="shared" si="9"/>
        <v>0</v>
      </c>
    </row>
    <row r="84" spans="2:19" ht="15.75">
      <c r="B84" s="412"/>
      <c r="C84" s="314" t="s">
        <v>56</v>
      </c>
      <c r="D84" s="308" t="s">
        <v>24</v>
      </c>
      <c r="E84" s="309">
        <f>(Functionalization!E72)</f>
        <v>1199411.331695478</v>
      </c>
      <c r="F84" s="308"/>
      <c r="G84" s="308"/>
      <c r="H84" s="308"/>
      <c r="I84" s="309">
        <f>(I78*1.41)</f>
        <v>9244.841616928696</v>
      </c>
      <c r="J84" s="309">
        <f aca="true" t="shared" si="11" ref="J84:P84">(J78*1.41)</f>
        <v>419103.11841326</v>
      </c>
      <c r="K84" s="309">
        <f t="shared" si="11"/>
        <v>357930.13205710053</v>
      </c>
      <c r="L84" s="309">
        <f t="shared" si="11"/>
        <v>96363.19812759293</v>
      </c>
      <c r="M84" s="309">
        <f t="shared" si="11"/>
        <v>30656.237032791567</v>
      </c>
      <c r="N84" s="309">
        <f t="shared" si="11"/>
        <v>105096.20701454648</v>
      </c>
      <c r="O84" s="309">
        <f t="shared" si="11"/>
        <v>88929.4943713461</v>
      </c>
      <c r="P84" s="309">
        <f t="shared" si="11"/>
        <v>31640.58716112931</v>
      </c>
      <c r="Q84" s="309">
        <f>(Q78*1.41)</f>
        <v>60447.5159007825</v>
      </c>
      <c r="R84" s="194" t="str">
        <f>(R78)</f>
        <v> </v>
      </c>
      <c r="S84" s="193">
        <f>SUM(F84:Q84)</f>
        <v>1199411.3316954782</v>
      </c>
    </row>
    <row r="85" spans="2:19" ht="15.75">
      <c r="B85" s="412"/>
      <c r="C85" s="308"/>
      <c r="D85" s="308"/>
      <c r="E85" s="309">
        <f>(Functionalization!E73)</f>
        <v>0</v>
      </c>
      <c r="F85" s="308"/>
      <c r="G85" s="308"/>
      <c r="H85" s="308"/>
      <c r="I85" s="308"/>
      <c r="J85" s="309">
        <f>(Functionalization!H73*'Classification 2'!$F$89)</f>
        <v>0</v>
      </c>
      <c r="K85" s="309">
        <f>(Functionalization!H73-'Classification 1'!J85)</f>
        <v>0</v>
      </c>
      <c r="L85" s="308"/>
      <c r="M85" s="308"/>
      <c r="N85" s="308"/>
      <c r="O85" s="308"/>
      <c r="P85" s="308"/>
      <c r="Q85" s="308"/>
      <c r="S85" s="193">
        <f t="shared" si="9"/>
        <v>0</v>
      </c>
    </row>
    <row r="86" spans="2:20" ht="15.75">
      <c r="B86" s="412"/>
      <c r="C86" s="314" t="s">
        <v>57</v>
      </c>
      <c r="D86" s="308"/>
      <c r="E86" s="309">
        <f>(Functionalization!E74)</f>
        <v>45029016.21551329</v>
      </c>
      <c r="F86" s="309">
        <f aca="true" t="shared" si="12" ref="F86:Q86">(F82+F84)</f>
        <v>6986348.459999998</v>
      </c>
      <c r="G86" s="309">
        <f t="shared" si="12"/>
        <v>23587568.669281997</v>
      </c>
      <c r="H86" s="309">
        <f t="shared" si="12"/>
        <v>705176</v>
      </c>
      <c r="I86" s="309">
        <f t="shared" si="12"/>
        <v>52704.39031458335</v>
      </c>
      <c r="J86" s="309">
        <f t="shared" si="12"/>
        <v>4092867.7387046292</v>
      </c>
      <c r="K86" s="309">
        <f t="shared" si="12"/>
        <v>3461944.8501239237</v>
      </c>
      <c r="L86" s="309">
        <f t="shared" si="12"/>
        <v>480244.6653791152</v>
      </c>
      <c r="M86" s="309">
        <f t="shared" si="12"/>
        <v>152781.29598918057</v>
      </c>
      <c r="N86" s="309">
        <f t="shared" si="12"/>
        <v>1021855.3783683976</v>
      </c>
      <c r="O86" s="309">
        <f t="shared" si="12"/>
        <v>1240791.743687994</v>
      </c>
      <c r="P86" s="309">
        <f t="shared" si="12"/>
        <v>2788128.11142515</v>
      </c>
      <c r="Q86" s="309">
        <f t="shared" si="12"/>
        <v>458604.4422383046</v>
      </c>
      <c r="R86" s="193" t="s">
        <v>24</v>
      </c>
      <c r="S86" s="193">
        <f>(S82+S84)</f>
        <v>45029015.745513275</v>
      </c>
      <c r="T86" s="194">
        <f>SUM(F86:Q86)</f>
        <v>45029015.745513275</v>
      </c>
    </row>
    <row r="87" spans="2:19" ht="15.75">
      <c r="B87" s="412"/>
      <c r="C87" s="308"/>
      <c r="D87" s="308"/>
      <c r="E87" s="309">
        <f>(Functionalization!E75)</f>
        <v>0</v>
      </c>
      <c r="F87" s="308" t="s">
        <v>24</v>
      </c>
      <c r="G87" s="308"/>
      <c r="H87" s="308"/>
      <c r="I87" s="308"/>
      <c r="J87" s="309">
        <f>(Functionalization!H75*'Classification 2'!$F$89)</f>
        <v>0</v>
      </c>
      <c r="K87" s="309">
        <f>(Functionalization!H75-'Classification 1'!J87)</f>
        <v>0</v>
      </c>
      <c r="L87" s="308"/>
      <c r="M87" s="308"/>
      <c r="N87" s="308"/>
      <c r="O87" s="308"/>
      <c r="P87" s="308"/>
      <c r="Q87" s="308"/>
      <c r="S87" s="193">
        <f>SUM(F87:R87)</f>
        <v>0</v>
      </c>
    </row>
    <row r="88" spans="2:19" ht="15.75">
      <c r="B88" s="412"/>
      <c r="C88" s="314" t="s">
        <v>58</v>
      </c>
      <c r="D88" s="308"/>
      <c r="E88" s="309">
        <f>(Functionalization!E76)</f>
        <v>0</v>
      </c>
      <c r="F88" s="308"/>
      <c r="G88" s="308"/>
      <c r="H88" s="308"/>
      <c r="I88" s="308"/>
      <c r="J88" s="309">
        <f>(Functionalization!H76*'Classification 2'!$F$89)</f>
        <v>0</v>
      </c>
      <c r="K88" s="309">
        <f>(Functionalization!H76-'Classification 1'!J88)</f>
        <v>0</v>
      </c>
      <c r="L88" s="308"/>
      <c r="M88" s="308"/>
      <c r="N88" s="308"/>
      <c r="O88" s="308"/>
      <c r="P88" s="308"/>
      <c r="Q88" s="308"/>
      <c r="S88" s="193">
        <f>SUM(F88:R88)</f>
        <v>0</v>
      </c>
    </row>
    <row r="89" spans="2:19" ht="15.75">
      <c r="B89" s="412"/>
      <c r="C89" s="308"/>
      <c r="D89" s="308"/>
      <c r="E89" s="309">
        <f>(Functionalization!E77)</f>
        <v>0</v>
      </c>
      <c r="F89" s="308"/>
      <c r="G89" s="308"/>
      <c r="H89" s="308"/>
      <c r="I89" s="308"/>
      <c r="J89" s="309">
        <f>(Functionalization!H77*'Classification 2'!$F$89)</f>
        <v>0</v>
      </c>
      <c r="K89" s="309">
        <f>(Functionalization!H77-'Classification 1'!J89)</f>
        <v>0</v>
      </c>
      <c r="L89" s="308"/>
      <c r="M89" s="308"/>
      <c r="N89" s="308"/>
      <c r="O89" s="308"/>
      <c r="P89" s="308"/>
      <c r="Q89" s="308"/>
      <c r="S89" s="193"/>
    </row>
    <row r="90" spans="2:19" ht="15.75">
      <c r="B90" s="412"/>
      <c r="C90" s="308" t="s">
        <v>285</v>
      </c>
      <c r="D90" s="308"/>
      <c r="E90" s="309">
        <f>(Functionalization!E78)</f>
        <v>0</v>
      </c>
      <c r="F90" s="308"/>
      <c r="G90" s="308"/>
      <c r="H90" s="308"/>
      <c r="I90" s="308"/>
      <c r="J90" s="309">
        <f>(Functionalization!H78*'Classification 2'!$F$89)</f>
        <v>0</v>
      </c>
      <c r="K90" s="309">
        <f>(Functionalization!H78-'Classification 1'!J90)</f>
        <v>0</v>
      </c>
      <c r="L90" s="309">
        <f>($E$90*'Rate Base'!H43)</f>
        <v>0</v>
      </c>
      <c r="M90" s="309"/>
      <c r="N90" s="309">
        <f>($E$90*'Rate Base'!I43)</f>
        <v>0</v>
      </c>
      <c r="O90" s="309">
        <f>($E$90*'Rate Base'!J43)</f>
        <v>0</v>
      </c>
      <c r="P90" s="309">
        <f>($E$90*'Rate Base'!K43)</f>
        <v>0</v>
      </c>
      <c r="Q90" s="309">
        <f>($E$90*'Rate Base'!L43)</f>
        <v>0</v>
      </c>
      <c r="R90" s="193" t="s">
        <v>24</v>
      </c>
      <c r="S90" s="193" t="s">
        <v>24</v>
      </c>
    </row>
    <row r="91" spans="2:19" ht="15.75">
      <c r="B91" s="412">
        <v>450</v>
      </c>
      <c r="C91" s="308" t="s">
        <v>148</v>
      </c>
      <c r="D91" s="308" t="s">
        <v>24</v>
      </c>
      <c r="E91" s="309">
        <f>(Functionalization!E79)</f>
        <v>541661.71</v>
      </c>
      <c r="F91" s="308"/>
      <c r="G91" s="308"/>
      <c r="H91" s="308"/>
      <c r="I91" s="309">
        <f>(Functionalization!G79)</f>
        <v>4175.028688303363</v>
      </c>
      <c r="J91" s="309">
        <f>(Functionalization!H79*'Classification 2'!$F$89)</f>
        <v>160889.8707737993</v>
      </c>
      <c r="K91" s="309">
        <f>(Functionalization!H79-'Classification 1'!J91)</f>
        <v>190023.23806073895</v>
      </c>
      <c r="L91" s="312">
        <f>(Functionalization!I79*'Classification 2'!$F$151)</f>
        <v>43518.22706650319</v>
      </c>
      <c r="M91" s="312">
        <f>(Functionalization!I79-'Classification 1'!L91)</f>
        <v>13844.549684113852</v>
      </c>
      <c r="N91" s="309">
        <f>(Functionalization!J79)</f>
        <v>47462.10887097613</v>
      </c>
      <c r="O91" s="309">
        <f>(Functionalization!K79)</f>
        <v>40161.11964068774</v>
      </c>
      <c r="P91" s="309">
        <f>(Functionalization!L79)</f>
        <v>14289.088400452672</v>
      </c>
      <c r="Q91" s="309">
        <f>(Functionalization!M79)</f>
        <v>27298.478814424794</v>
      </c>
      <c r="R91" s="193" t="s">
        <v>24</v>
      </c>
      <c r="S91" s="193">
        <f>SUM(F91:R91)</f>
        <v>541661.71</v>
      </c>
    </row>
    <row r="92" spans="2:19" ht="15.75">
      <c r="B92" s="412">
        <v>451</v>
      </c>
      <c r="C92" s="308" t="s">
        <v>59</v>
      </c>
      <c r="D92" s="308" t="s">
        <v>24</v>
      </c>
      <c r="E92" s="309">
        <f>(Functionalization!E80)</f>
        <v>114155.14528181792</v>
      </c>
      <c r="F92" s="308"/>
      <c r="G92" s="308"/>
      <c r="H92" s="308"/>
      <c r="I92" s="309">
        <f>(Functionalization!G80)</f>
        <v>879.8868328149468</v>
      </c>
      <c r="J92" s="309">
        <f>(Functionalization!H80*'Classification 2'!$F$89)</f>
        <v>33907.52241386229</v>
      </c>
      <c r="K92" s="309">
        <f>(Functionalization!H80-'Classification 1'!J92)</f>
        <v>40047.376337059395</v>
      </c>
      <c r="L92" s="312">
        <f>(Functionalization!I80*'Classification 2'!$F$151)</f>
        <v>9171.461525651892</v>
      </c>
      <c r="M92" s="312">
        <f>(Functionalization!I80-'Classification 1'!L92)</f>
        <v>2917.737309789469</v>
      </c>
      <c r="N92" s="309">
        <f>(Functionalization!J80)</f>
        <v>10002.63417834674</v>
      </c>
      <c r="O92" s="309">
        <f>(Functionalization!K80)</f>
        <v>8463.951508152903</v>
      </c>
      <c r="P92" s="309">
        <f>(Functionalization!L80)</f>
        <v>3011.4237949335834</v>
      </c>
      <c r="Q92" s="309">
        <f>(Functionalization!M80)</f>
        <v>5753.151381206715</v>
      </c>
      <c r="R92" s="193" t="s">
        <v>24</v>
      </c>
      <c r="S92" s="193">
        <f>SUM(F92:R92)</f>
        <v>114155.14528181794</v>
      </c>
    </row>
    <row r="93" spans="2:19" ht="15.75">
      <c r="B93" s="412">
        <v>454</v>
      </c>
      <c r="C93" s="308" t="s">
        <v>60</v>
      </c>
      <c r="D93" s="308" t="s">
        <v>24</v>
      </c>
      <c r="E93" s="309">
        <f>(Functionalization!E81)</f>
        <v>986122.88</v>
      </c>
      <c r="F93" s="308"/>
      <c r="G93" s="308"/>
      <c r="H93" s="308"/>
      <c r="I93" s="309">
        <f>(Functionalization!G81)</f>
        <v>7600.853518319276</v>
      </c>
      <c r="J93" s="309">
        <f>(Functionalization!H81*'Classification 2'!$F$89)</f>
        <v>292908.24845324</v>
      </c>
      <c r="K93" s="309">
        <f>(Functionalization!H81-'Classification 1'!J93)</f>
        <v>345947.03543542244</v>
      </c>
      <c r="L93" s="312">
        <f>(Functionalization!I81*'Classification 2'!$F$151)</f>
        <v>79227.16081835298</v>
      </c>
      <c r="M93" s="312">
        <f>(Functionalization!I81-'Classification 1'!L93)</f>
        <v>25204.711639671645</v>
      </c>
      <c r="N93" s="309">
        <f>(Functionalization!J81)</f>
        <v>86407.199598289</v>
      </c>
      <c r="O93" s="309">
        <f>(Functionalization!K81)</f>
        <v>73115.37484179852</v>
      </c>
      <c r="P93" s="309">
        <f>(Functionalization!L81)</f>
        <v>26014.017136321087</v>
      </c>
      <c r="Q93" s="309">
        <f>(Functionalization!M81)</f>
        <v>49698.278558585145</v>
      </c>
      <c r="R93" s="193" t="s">
        <v>24</v>
      </c>
      <c r="S93" s="193">
        <f>SUM(F93:R93)</f>
        <v>986122.8800000001</v>
      </c>
    </row>
    <row r="94" spans="2:19" ht="15.75">
      <c r="B94" s="412">
        <v>456.1</v>
      </c>
      <c r="C94" s="308" t="s">
        <v>252</v>
      </c>
      <c r="D94" s="308" t="s">
        <v>24</v>
      </c>
      <c r="E94" s="309">
        <f>(Functionalization!E82)</f>
        <v>854.75</v>
      </c>
      <c r="F94" s="308"/>
      <c r="G94" s="308"/>
      <c r="H94" s="308"/>
      <c r="I94" s="309">
        <f>(Functionalization!G82)</f>
        <v>6.58825555774895</v>
      </c>
      <c r="J94" s="309">
        <f>(Functionalization!H82*'Classification 2'!$F$89)</f>
        <v>253.88653933818762</v>
      </c>
      <c r="K94" s="309">
        <f>(Functionalization!H82-'Classification 1'!J94)</f>
        <v>299.85941360414165</v>
      </c>
      <c r="L94" s="312">
        <f>(Functionalization!I82*'Classification 2'!$F$151)</f>
        <v>68.672390716142</v>
      </c>
      <c r="M94" s="312">
        <f>(Functionalization!I82-'Classification 1'!L94)</f>
        <v>21.846899317465727</v>
      </c>
      <c r="N94" s="309">
        <f>(Functionalization!J82)</f>
        <v>74.89589315343491</v>
      </c>
      <c r="O94" s="309">
        <f>(Functionalization!K82)</f>
        <v>63.37482672141962</v>
      </c>
      <c r="P94" s="309">
        <f>(Functionalization!L82)</f>
        <v>22.548387831007886</v>
      </c>
      <c r="Q94" s="309">
        <f>(Functionalization!M82)</f>
        <v>43.07739376045169</v>
      </c>
      <c r="R94" s="193" t="s">
        <v>24</v>
      </c>
      <c r="S94" s="193">
        <f>($E$94*'Rate Base'!M43)</f>
        <v>854.75</v>
      </c>
    </row>
    <row r="95" spans="2:19" ht="15.75">
      <c r="B95" s="412"/>
      <c r="C95" s="308"/>
      <c r="D95" s="308"/>
      <c r="E95" s="309">
        <f>(Functionalization!E83)</f>
        <v>0</v>
      </c>
      <c r="F95" s="308"/>
      <c r="G95" s="308"/>
      <c r="H95" s="308"/>
      <c r="I95" s="308"/>
      <c r="J95" s="309">
        <f>(Functionalization!H83*'Classification 2'!$F$89)</f>
        <v>0</v>
      </c>
      <c r="K95" s="309">
        <f>(Functionalization!H83-'Classification 1'!J95)</f>
        <v>0</v>
      </c>
      <c r="L95" s="309"/>
      <c r="M95" s="309"/>
      <c r="N95" s="309"/>
      <c r="O95" s="309"/>
      <c r="P95" s="309"/>
      <c r="Q95" s="309"/>
      <c r="R95" s="193" t="s">
        <v>24</v>
      </c>
      <c r="S95" s="193"/>
    </row>
    <row r="96" spans="2:19" ht="15.75">
      <c r="B96" s="412"/>
      <c r="C96" s="314" t="s">
        <v>61</v>
      </c>
      <c r="D96" s="308" t="s">
        <v>24</v>
      </c>
      <c r="E96" s="309">
        <f>(Functionalization!E84)</f>
        <v>1642794.4852818178</v>
      </c>
      <c r="F96" s="309">
        <f>SUM(F91:F94)</f>
        <v>0</v>
      </c>
      <c r="G96" s="309"/>
      <c r="H96" s="308"/>
      <c r="I96" s="309">
        <f>SUM(I91:I94)</f>
        <v>12662.357294995334</v>
      </c>
      <c r="J96" s="309">
        <f aca="true" t="shared" si="13" ref="J96:S96">SUM(J91:J94)</f>
        <v>487959.52818023984</v>
      </c>
      <c r="K96" s="309">
        <f t="shared" si="13"/>
        <v>576317.5092468249</v>
      </c>
      <c r="L96" s="309">
        <f t="shared" si="13"/>
        <v>131985.5218012242</v>
      </c>
      <c r="M96" s="309">
        <f t="shared" si="13"/>
        <v>41988.84553289243</v>
      </c>
      <c r="N96" s="309">
        <f t="shared" si="13"/>
        <v>143946.8385407653</v>
      </c>
      <c r="O96" s="309">
        <f t="shared" si="13"/>
        <v>121803.82081736058</v>
      </c>
      <c r="P96" s="309">
        <f t="shared" si="13"/>
        <v>43337.07771953835</v>
      </c>
      <c r="Q96" s="309">
        <f t="shared" si="13"/>
        <v>82792.9861479771</v>
      </c>
      <c r="R96" s="193">
        <f>SUM(R91:R94)</f>
        <v>0</v>
      </c>
      <c r="S96" s="193">
        <f t="shared" si="13"/>
        <v>1642794.485281818</v>
      </c>
    </row>
    <row r="97" spans="2:19" ht="15.75">
      <c r="B97" s="412"/>
      <c r="C97" s="308"/>
      <c r="D97" s="308" t="s">
        <v>24</v>
      </c>
      <c r="E97" s="309">
        <f>(Functionalization!E85)</f>
        <v>0</v>
      </c>
      <c r="F97" s="308"/>
      <c r="G97" s="308"/>
      <c r="H97" s="308"/>
      <c r="I97" s="308"/>
      <c r="J97" s="309">
        <f>(Functionalization!H85*'Classification 2'!$F$89)</f>
        <v>0</v>
      </c>
      <c r="K97" s="309">
        <f>(Functionalization!H85-'Classification 1'!J97)</f>
        <v>0</v>
      </c>
      <c r="L97" s="308"/>
      <c r="M97" s="308"/>
      <c r="N97" s="308"/>
      <c r="O97" s="308"/>
      <c r="P97" s="308"/>
      <c r="Q97" s="308"/>
      <c r="R97" s="192" t="s">
        <v>24</v>
      </c>
      <c r="S97" s="193" t="s">
        <v>24</v>
      </c>
    </row>
    <row r="98" spans="2:19" ht="15.75">
      <c r="B98" s="412"/>
      <c r="C98" s="308" t="s">
        <v>152</v>
      </c>
      <c r="D98" s="308" t="s">
        <v>24</v>
      </c>
      <c r="E98" s="309">
        <f>(Functionalization!E86)</f>
        <v>0</v>
      </c>
      <c r="F98" s="308"/>
      <c r="G98" s="308"/>
      <c r="H98" s="308"/>
      <c r="I98" s="308"/>
      <c r="J98" s="309">
        <f>(Functionalization!H86*'Classification 2'!$F$89)</f>
        <v>0</v>
      </c>
      <c r="K98" s="309">
        <f>(Functionalization!H86-'Classification 1'!J98)</f>
        <v>0</v>
      </c>
      <c r="L98" s="308"/>
      <c r="M98" s="308"/>
      <c r="N98" s="308"/>
      <c r="O98" s="308"/>
      <c r="P98" s="308"/>
      <c r="Q98" s="308"/>
      <c r="R98" s="192" t="s">
        <v>24</v>
      </c>
      <c r="S98" s="193" t="s">
        <v>24</v>
      </c>
    </row>
    <row r="99" spans="2:19" ht="15.75">
      <c r="B99" s="412">
        <v>419</v>
      </c>
      <c r="C99" s="308" t="s">
        <v>149</v>
      </c>
      <c r="D99" s="308" t="s">
        <v>24</v>
      </c>
      <c r="E99" s="309">
        <f>(Functionalization!E87)</f>
        <v>124231.72</v>
      </c>
      <c r="F99" s="308"/>
      <c r="G99" s="308"/>
      <c r="H99" s="308"/>
      <c r="I99" s="309">
        <f>(Functionalization!G87)</f>
        <v>957.5552146694489</v>
      </c>
      <c r="J99" s="309">
        <f>(Functionalization!H87*'Classification 2'!$F$89)</f>
        <v>36900.56913346676</v>
      </c>
      <c r="K99" s="309">
        <f>(Functionalization!H87-'Classification 1'!J99)</f>
        <v>43582.393343356445</v>
      </c>
      <c r="L99" s="312">
        <f>(Functionalization!I87*'Classification 2'!$F$151)</f>
        <v>9981.034472276517</v>
      </c>
      <c r="M99" s="312">
        <f>(Functionalization!I87-'Classification 1'!L99)</f>
        <v>3175.2885391934396</v>
      </c>
      <c r="N99" s="309">
        <f>(Functionalization!J87)</f>
        <v>10885.57546345416</v>
      </c>
      <c r="O99" s="309">
        <f>(Functionalization!K87)</f>
        <v>9211.071925479871</v>
      </c>
      <c r="P99" s="309">
        <f>(Functionalization!L87)</f>
        <v>3277.2448124869015</v>
      </c>
      <c r="Q99" s="309">
        <f>(Functionalization!M87)</f>
        <v>6260.987095616475</v>
      </c>
      <c r="R99" s="193" t="s">
        <v>24</v>
      </c>
      <c r="S99" s="193">
        <f>SUM(F99:R99)</f>
        <v>124231.72000000003</v>
      </c>
    </row>
    <row r="100" spans="2:19" ht="15.75">
      <c r="B100" s="412">
        <v>423</v>
      </c>
      <c r="C100" s="308" t="s">
        <v>404</v>
      </c>
      <c r="D100" s="308" t="s">
        <v>24</v>
      </c>
      <c r="E100" s="309">
        <f>(Functionalization!E88)</f>
        <v>0</v>
      </c>
      <c r="F100" s="308"/>
      <c r="G100" s="308"/>
      <c r="H100" s="308"/>
      <c r="I100" s="308"/>
      <c r="J100" s="309">
        <f>(Functionalization!H88*'Classification 2'!$F$89)</f>
        <v>0</v>
      </c>
      <c r="K100" s="309">
        <f>(Functionalization!H88-'Classification 1'!J100)</f>
        <v>0</v>
      </c>
      <c r="L100" s="312">
        <f>(Functionalization!I88*'Classification 2'!$F$151)</f>
        <v>0</v>
      </c>
      <c r="M100" s="312">
        <f>(Functionalization!I88-'Classification 1'!L100)</f>
        <v>0</v>
      </c>
      <c r="N100" s="309">
        <f>($E$100*'Rate Base'!I43)</f>
        <v>0</v>
      </c>
      <c r="O100" s="309">
        <f>($E$100*'Rate Base'!J43)</f>
        <v>0</v>
      </c>
      <c r="P100" s="309">
        <f>($E$100*'Rate Base'!K43)</f>
        <v>0</v>
      </c>
      <c r="Q100" s="309">
        <f>($E$100*'Rate Base'!L43)</f>
        <v>0</v>
      </c>
      <c r="R100" s="193" t="s">
        <v>24</v>
      </c>
      <c r="S100" s="193">
        <f>SUM(F100:R100)</f>
        <v>0</v>
      </c>
    </row>
    <row r="101" spans="2:19" ht="15.75">
      <c r="B101" s="412">
        <v>424</v>
      </c>
      <c r="C101" s="308" t="s">
        <v>150</v>
      </c>
      <c r="D101" s="308" t="s">
        <v>24</v>
      </c>
      <c r="E101" s="309">
        <f>(Functionalization!E89)</f>
        <v>96057.23</v>
      </c>
      <c r="F101" s="308"/>
      <c r="G101" s="308"/>
      <c r="H101" s="308"/>
      <c r="I101" s="309">
        <f>(Functionalization!G89)</f>
        <v>740.3914354015434</v>
      </c>
      <c r="J101" s="309">
        <f>(Functionalization!H89*'Classification 2'!$F$89)</f>
        <v>28531.895528648536</v>
      </c>
      <c r="K101" s="309">
        <f>(Functionalization!H89-'Classification 1'!J101)</f>
        <v>33698.3499973538</v>
      </c>
      <c r="L101" s="312">
        <f>(Functionalization!I89*'Classification 2'!$F$151)</f>
        <v>7717.437414062962</v>
      </c>
      <c r="M101" s="312">
        <f>(Functionalization!I89-'Classification 1'!L101)</f>
        <v>2455.1654080428752</v>
      </c>
      <c r="N101" s="309">
        <f>(Functionalization!J89)</f>
        <v>8416.837712424594</v>
      </c>
      <c r="O101" s="309">
        <f>(Functionalization!K89)</f>
        <v>7122.094538273824</v>
      </c>
      <c r="P101" s="309">
        <f>(Functionalization!L89)</f>
        <v>2533.9990359898516</v>
      </c>
      <c r="Q101" s="309">
        <f>(Functionalization!M89)</f>
        <v>4841.058929802016</v>
      </c>
      <c r="R101" s="193" t="s">
        <v>24</v>
      </c>
      <c r="S101" s="193">
        <f>SUM(F101:R101)</f>
        <v>96057.23</v>
      </c>
    </row>
    <row r="102" spans="2:19" ht="15.75">
      <c r="B102" s="412"/>
      <c r="C102" s="308"/>
      <c r="D102" s="308"/>
      <c r="E102" s="309">
        <f>(Functionalization!E90)</f>
        <v>0</v>
      </c>
      <c r="F102" s="308"/>
      <c r="G102" s="308"/>
      <c r="H102" s="308"/>
      <c r="I102" s="308"/>
      <c r="J102" s="309">
        <f>(Functionalization!H90*'Classification 2'!$F$89)</f>
        <v>0</v>
      </c>
      <c r="K102" s="309">
        <f>(Functionalization!H90-'Classification 1'!J102)</f>
        <v>0</v>
      </c>
      <c r="L102" s="308"/>
      <c r="M102" s="308"/>
      <c r="N102" s="308"/>
      <c r="O102" s="308"/>
      <c r="P102" s="308"/>
      <c r="Q102" s="308"/>
      <c r="S102" s="193" t="s">
        <v>24</v>
      </c>
    </row>
    <row r="103" spans="2:19" ht="15.75">
      <c r="B103" s="412"/>
      <c r="C103" s="314" t="s">
        <v>151</v>
      </c>
      <c r="D103" s="308"/>
      <c r="E103" s="309">
        <f>(Functionalization!E91)</f>
        <v>220288.9500000002</v>
      </c>
      <c r="F103" s="309">
        <f>SUM(F99:F101)</f>
        <v>0</v>
      </c>
      <c r="G103" s="309"/>
      <c r="H103" s="308"/>
      <c r="I103" s="309">
        <f>SUM(I99:I101)</f>
        <v>1697.9466500709923</v>
      </c>
      <c r="J103" s="309">
        <f>SUM(J99:J101)</f>
        <v>65432.46466211529</v>
      </c>
      <c r="K103" s="309">
        <f>SUM(K99:K101)</f>
        <v>77280.74334071024</v>
      </c>
      <c r="L103" s="309">
        <f aca="true" t="shared" si="14" ref="L103:S103">SUM(L99:L101)</f>
        <v>17698.471886339477</v>
      </c>
      <c r="M103" s="309">
        <f t="shared" si="14"/>
        <v>5630.453947236315</v>
      </c>
      <c r="N103" s="309">
        <f t="shared" si="14"/>
        <v>19302.413175878755</v>
      </c>
      <c r="O103" s="309">
        <f t="shared" si="14"/>
        <v>16333.166463753696</v>
      </c>
      <c r="P103" s="309">
        <f t="shared" si="14"/>
        <v>5811.243848476754</v>
      </c>
      <c r="Q103" s="309">
        <f t="shared" si="14"/>
        <v>11102.04602541849</v>
      </c>
      <c r="R103" s="193" t="s">
        <v>24</v>
      </c>
      <c r="S103" s="193">
        <f t="shared" si="14"/>
        <v>220288.95</v>
      </c>
    </row>
    <row r="104" spans="2:19" ht="15.75">
      <c r="B104" s="412"/>
      <c r="C104" s="308"/>
      <c r="D104" s="308"/>
      <c r="E104" s="309">
        <f>(Functionalization!E92)</f>
        <v>0</v>
      </c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S104" s="193" t="s">
        <v>24</v>
      </c>
    </row>
    <row r="105" spans="2:19" ht="15.75">
      <c r="B105" s="412"/>
      <c r="C105" s="314" t="s">
        <v>62</v>
      </c>
      <c r="D105" s="308"/>
      <c r="E105" s="309">
        <f>(Functionalization!E93)</f>
        <v>0</v>
      </c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S105" s="193" t="s">
        <v>24</v>
      </c>
    </row>
    <row r="106" spans="2:20" ht="15.75">
      <c r="B106" s="412"/>
      <c r="C106" s="314" t="s">
        <v>63</v>
      </c>
      <c r="D106" s="308"/>
      <c r="E106" s="309">
        <f>(Functionalization!E94)</f>
        <v>43165932.78023147</v>
      </c>
      <c r="F106" s="309">
        <f aca="true" t="shared" si="15" ref="F106:Q106">(F86-F96-F103)</f>
        <v>6986348.459999998</v>
      </c>
      <c r="G106" s="309">
        <f t="shared" si="15"/>
        <v>23587568.669281997</v>
      </c>
      <c r="H106" s="309">
        <f t="shared" si="15"/>
        <v>705176</v>
      </c>
      <c r="I106" s="309">
        <f t="shared" si="15"/>
        <v>38344.08636951702</v>
      </c>
      <c r="J106" s="309">
        <f t="shared" si="15"/>
        <v>3539475.7458622744</v>
      </c>
      <c r="K106" s="309">
        <f t="shared" si="15"/>
        <v>2808346.597536389</v>
      </c>
      <c r="L106" s="309">
        <f t="shared" si="15"/>
        <v>330560.6716915515</v>
      </c>
      <c r="M106" s="309">
        <f t="shared" si="15"/>
        <v>105161.99650905182</v>
      </c>
      <c r="N106" s="309">
        <f t="shared" si="15"/>
        <v>858606.1266517534</v>
      </c>
      <c r="O106" s="309">
        <f t="shared" si="15"/>
        <v>1102654.7564068798</v>
      </c>
      <c r="P106" s="309">
        <f>(P86-P96-P103)</f>
        <v>2738979.789857135</v>
      </c>
      <c r="Q106" s="309">
        <f t="shared" si="15"/>
        <v>364709.41006490897</v>
      </c>
      <c r="R106" s="193" t="s">
        <v>24</v>
      </c>
      <c r="S106" s="193">
        <f>(S86-S96-S103)</f>
        <v>43165932.310231455</v>
      </c>
      <c r="T106" s="194">
        <f>SUM(F106:Q106)</f>
        <v>43165932.310231455</v>
      </c>
    </row>
    <row r="107" spans="2:19" ht="15.75">
      <c r="B107" s="412"/>
      <c r="C107" s="308"/>
      <c r="D107" s="308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193"/>
      <c r="S107" s="193"/>
    </row>
    <row r="108" spans="2:18" ht="15.75">
      <c r="B108" s="412"/>
      <c r="C108" s="308"/>
      <c r="D108" s="412" t="s">
        <v>7</v>
      </c>
      <c r="E108" s="410" t="s">
        <v>240</v>
      </c>
      <c r="F108" s="426" t="s">
        <v>419</v>
      </c>
      <c r="G108" s="426"/>
      <c r="H108" s="426"/>
      <c r="I108" s="412" t="s">
        <v>445</v>
      </c>
      <c r="J108" s="426" t="s">
        <v>25</v>
      </c>
      <c r="K108" s="426"/>
      <c r="L108" s="426" t="s">
        <v>124</v>
      </c>
      <c r="M108" s="426"/>
      <c r="N108" s="412" t="s">
        <v>13</v>
      </c>
      <c r="O108" s="412" t="s">
        <v>14</v>
      </c>
      <c r="P108" s="412" t="s">
        <v>420</v>
      </c>
      <c r="Q108" s="412" t="s">
        <v>16</v>
      </c>
      <c r="R108" s="411" t="s">
        <v>24</v>
      </c>
    </row>
    <row r="109" spans="2:18" ht="15.75">
      <c r="B109" s="412" t="s">
        <v>238</v>
      </c>
      <c r="C109" s="308" t="s">
        <v>0</v>
      </c>
      <c r="D109" s="299" t="s">
        <v>8</v>
      </c>
      <c r="E109" s="292" t="s">
        <v>9</v>
      </c>
      <c r="F109" s="412" t="s">
        <v>10</v>
      </c>
      <c r="G109" s="412" t="s">
        <v>42</v>
      </c>
      <c r="H109" s="412" t="s">
        <v>446</v>
      </c>
      <c r="I109" s="412" t="s">
        <v>368</v>
      </c>
      <c r="J109" s="412" t="s">
        <v>10</v>
      </c>
      <c r="K109" s="412" t="s">
        <v>11</v>
      </c>
      <c r="L109" s="412" t="s">
        <v>10</v>
      </c>
      <c r="M109" s="412" t="s">
        <v>11</v>
      </c>
      <c r="N109" s="412" t="s">
        <v>11</v>
      </c>
      <c r="O109" s="412" t="s">
        <v>11</v>
      </c>
      <c r="P109" s="412" t="s">
        <v>11</v>
      </c>
      <c r="Q109" s="412" t="s">
        <v>17</v>
      </c>
      <c r="R109" s="109" t="s">
        <v>24</v>
      </c>
    </row>
    <row r="110" spans="2:18" ht="15.75">
      <c r="B110" s="412"/>
      <c r="C110" s="308"/>
      <c r="D110" s="308"/>
      <c r="E110" s="309"/>
      <c r="F110" s="308"/>
      <c r="G110" s="308"/>
      <c r="H110" s="308"/>
      <c r="I110" s="308"/>
      <c r="J110" s="308"/>
      <c r="K110" s="308"/>
      <c r="L110" s="312" t="s">
        <v>24</v>
      </c>
      <c r="M110" s="312"/>
      <c r="N110" s="308"/>
      <c r="O110" s="308"/>
      <c r="P110" s="308"/>
      <c r="Q110" s="308"/>
      <c r="R110" s="192" t="s">
        <v>24</v>
      </c>
    </row>
    <row r="111" spans="2:17" ht="15.75">
      <c r="B111" s="412"/>
      <c r="C111" s="308" t="s">
        <v>207</v>
      </c>
      <c r="D111" s="308"/>
      <c r="E111" s="309"/>
      <c r="F111" s="309">
        <v>6986348.459999998</v>
      </c>
      <c r="G111" s="309">
        <v>23587568.669281997</v>
      </c>
      <c r="H111" s="309">
        <v>705176</v>
      </c>
      <c r="I111" s="308"/>
      <c r="J111" s="308"/>
      <c r="K111" s="308"/>
      <c r="L111" s="308"/>
      <c r="M111" s="308"/>
      <c r="N111" s="308"/>
      <c r="O111" s="308"/>
      <c r="P111" s="308"/>
      <c r="Q111" s="308"/>
    </row>
    <row r="112" spans="2:19" ht="15.75">
      <c r="B112" s="412"/>
      <c r="C112" s="414" t="s">
        <v>159</v>
      </c>
      <c r="D112" s="308"/>
      <c r="E112" s="309" t="s">
        <v>24</v>
      </c>
      <c r="F112" s="308"/>
      <c r="G112" s="308"/>
      <c r="H112" s="308"/>
      <c r="I112" s="312">
        <f>SUM(I22,I34,)</f>
        <v>6424.4472682613405</v>
      </c>
      <c r="J112" s="312">
        <f>SUM(J22,J34,)</f>
        <v>1682316.9550894788</v>
      </c>
      <c r="K112" s="308"/>
      <c r="L112" s="312">
        <f>SUM(L22,L34,)</f>
        <v>10662.736481009684</v>
      </c>
      <c r="M112" s="308"/>
      <c r="N112" s="308"/>
      <c r="O112" s="308"/>
      <c r="P112" s="308"/>
      <c r="Q112" s="308"/>
      <c r="S112" s="194">
        <f>SUM(I112:Q112)</f>
        <v>1699404.1388387498</v>
      </c>
    </row>
    <row r="113" spans="2:20" ht="15.75">
      <c r="B113" s="412"/>
      <c r="C113" s="414" t="s">
        <v>166</v>
      </c>
      <c r="D113" s="308"/>
      <c r="E113" s="309"/>
      <c r="F113" s="308"/>
      <c r="G113" s="308"/>
      <c r="H113" s="308"/>
      <c r="I113" s="308"/>
      <c r="J113" s="308"/>
      <c r="K113" s="312">
        <f>SUM(K22,K34)</f>
        <v>1403242.0379885838</v>
      </c>
      <c r="L113" s="308"/>
      <c r="M113" s="312">
        <f>SUM(M22,M34)</f>
        <v>3392.159904730551</v>
      </c>
      <c r="N113" s="312">
        <f>SUM(N22,N34)</f>
        <v>417366.69744412834</v>
      </c>
      <c r="O113" s="312">
        <f>SUM(O22,O34)</f>
        <v>659552.717364668</v>
      </c>
      <c r="P113" s="312">
        <f>SUM(P22,P34)</f>
        <v>0</v>
      </c>
      <c r="Q113" s="312">
        <f>SUM(Q22,Q34)</f>
        <v>134866.43845913952</v>
      </c>
      <c r="R113" s="194" t="s">
        <v>24</v>
      </c>
      <c r="S113" s="194">
        <f aca="true" t="shared" si="16" ref="S113:S123">SUM(I113:Q113)</f>
        <v>2618420.05116125</v>
      </c>
      <c r="T113" s="194">
        <f>SUM(S112:S113)</f>
        <v>4317824.1899999995</v>
      </c>
    </row>
    <row r="114" spans="2:19" ht="15.75">
      <c r="B114" s="412"/>
      <c r="C114" s="414" t="s">
        <v>160</v>
      </c>
      <c r="D114" s="308"/>
      <c r="E114" s="309"/>
      <c r="F114" s="308"/>
      <c r="G114" s="308"/>
      <c r="H114" s="308"/>
      <c r="I114" s="312">
        <f>(I64)</f>
        <v>1461.5765010795549</v>
      </c>
      <c r="J114" s="312">
        <f>(J64)</f>
        <v>378617.7115779307</v>
      </c>
      <c r="K114" s="308"/>
      <c r="L114" s="312">
        <f>(L64)</f>
        <v>2425.797026125346</v>
      </c>
      <c r="M114" s="308"/>
      <c r="N114" s="308"/>
      <c r="O114" s="308"/>
      <c r="P114" s="308"/>
      <c r="Q114" s="308"/>
      <c r="S114" s="194">
        <f t="shared" si="16"/>
        <v>382505.08510513563</v>
      </c>
    </row>
    <row r="115" spans="2:20" ht="15.75">
      <c r="B115" s="412"/>
      <c r="C115" s="414" t="s">
        <v>167</v>
      </c>
      <c r="D115" s="308"/>
      <c r="E115" s="309"/>
      <c r="F115" s="308"/>
      <c r="G115" s="308"/>
      <c r="H115" s="308"/>
      <c r="I115" s="308"/>
      <c r="J115" s="308"/>
      <c r="K115" s="312">
        <f>SUM(K64)</f>
        <v>323354.0423591328</v>
      </c>
      <c r="L115" s="308"/>
      <c r="M115" s="312">
        <f>SUM(M64)</f>
        <v>771.7241651514402</v>
      </c>
      <c r="N115" s="312">
        <f>SUM(N64)</f>
        <v>94951.8817488259</v>
      </c>
      <c r="O115" s="312">
        <f>SUM(O64)</f>
        <v>150049.75722748044</v>
      </c>
      <c r="P115" s="312">
        <f>SUM(P64,P42,P47)</f>
        <v>2634505.3450540523</v>
      </c>
      <c r="Q115" s="312">
        <f>SUM(Q64)</f>
        <v>30682.42434022134</v>
      </c>
      <c r="S115" s="194">
        <f t="shared" si="16"/>
        <v>3234315.174894864</v>
      </c>
      <c r="T115" s="194">
        <f>SUM(S114:S115)</f>
        <v>3616820.26</v>
      </c>
    </row>
    <row r="116" spans="2:19" ht="15.75">
      <c r="B116" s="412"/>
      <c r="C116" s="414" t="s">
        <v>161</v>
      </c>
      <c r="D116" s="308"/>
      <c r="E116" s="309"/>
      <c r="F116" s="308"/>
      <c r="G116" s="308"/>
      <c r="H116" s="308"/>
      <c r="I116" s="312">
        <f>(I69+I76+I80)</f>
        <v>29016.89966808065</v>
      </c>
      <c r="J116" s="312">
        <f>(J69+J76+J80)</f>
        <v>1315593.6994301584</v>
      </c>
      <c r="K116" s="312" t="s">
        <v>24</v>
      </c>
      <c r="L116" s="312">
        <f>(L69+L76+L80)</f>
        <v>302450.24003687454</v>
      </c>
      <c r="M116" s="308"/>
      <c r="N116" s="308"/>
      <c r="O116" s="308"/>
      <c r="P116" s="308"/>
      <c r="Q116" s="308"/>
      <c r="S116" s="194">
        <f t="shared" si="16"/>
        <v>1647060.8391351136</v>
      </c>
    </row>
    <row r="117" spans="2:20" ht="15.75">
      <c r="B117" s="412"/>
      <c r="C117" s="414" t="s">
        <v>168</v>
      </c>
      <c r="D117" s="308"/>
      <c r="E117" s="309"/>
      <c r="F117" s="308"/>
      <c r="G117" s="308"/>
      <c r="H117" s="308"/>
      <c r="I117" s="308"/>
      <c r="J117" s="308"/>
      <c r="K117" s="312">
        <f>(K69+K76+K80)</f>
        <v>1123567.4802318013</v>
      </c>
      <c r="L117" s="312" t="s">
        <v>24</v>
      </c>
      <c r="M117" s="312">
        <f>(M69+M76+M80)</f>
        <v>96219.162806513</v>
      </c>
      <c r="N117" s="312">
        <f>(N69+N76+N80)</f>
        <v>329904.2751293035</v>
      </c>
      <c r="O117" s="312">
        <f>(O69+O76+O80)</f>
        <v>279189.21134056605</v>
      </c>
      <c r="P117" s="312">
        <f>(P69+P76+P80)</f>
        <v>99542.0464715788</v>
      </c>
      <c r="Q117" s="312">
        <f>(Q69+Q76+Q80)</f>
        <v>189737.48488512394</v>
      </c>
      <c r="S117" s="194">
        <f t="shared" si="16"/>
        <v>2118159.6608648864</v>
      </c>
      <c r="T117" s="194">
        <f>SUM(S116:S117)</f>
        <v>3765220.5</v>
      </c>
    </row>
    <row r="118" spans="2:19" ht="15.75">
      <c r="B118" s="412"/>
      <c r="C118" s="415" t="s">
        <v>162</v>
      </c>
      <c r="D118" s="308"/>
      <c r="E118" s="309"/>
      <c r="F118" s="308"/>
      <c r="G118" s="308"/>
      <c r="H118" s="308"/>
      <c r="I118" s="312">
        <f>(I78)</f>
        <v>6556.625260233118</v>
      </c>
      <c r="J118" s="312">
        <f>(J78)</f>
        <v>297236.25419380143</v>
      </c>
      <c r="K118" s="312" t="s">
        <v>24</v>
      </c>
      <c r="L118" s="312">
        <f>(L78)</f>
        <v>68342.69370751272</v>
      </c>
      <c r="M118" s="312" t="s">
        <v>24</v>
      </c>
      <c r="N118" s="312" t="s">
        <v>24</v>
      </c>
      <c r="O118" s="312" t="s">
        <v>24</v>
      </c>
      <c r="P118" s="312" t="s">
        <v>24</v>
      </c>
      <c r="Q118" s="312" t="s">
        <v>24</v>
      </c>
      <c r="R118" s="194" t="str">
        <f>(R78)</f>
        <v> </v>
      </c>
      <c r="S118" s="194">
        <f t="shared" si="16"/>
        <v>372135.5731615473</v>
      </c>
    </row>
    <row r="119" spans="2:20" ht="15.75">
      <c r="B119" s="412"/>
      <c r="C119" s="414" t="s">
        <v>163</v>
      </c>
      <c r="D119" s="308"/>
      <c r="E119" s="309"/>
      <c r="F119" s="308"/>
      <c r="G119" s="308"/>
      <c r="H119" s="308"/>
      <c r="I119" s="308"/>
      <c r="J119" s="308"/>
      <c r="K119" s="312">
        <f>(K78)</f>
        <v>253851.15748730535</v>
      </c>
      <c r="L119" s="308"/>
      <c r="M119" s="312">
        <f>(M78)</f>
        <v>21742.01207999402</v>
      </c>
      <c r="N119" s="312">
        <f>(N78)</f>
        <v>74536.31703159325</v>
      </c>
      <c r="O119" s="312">
        <f>(O78)</f>
        <v>63070.563383933404</v>
      </c>
      <c r="P119" s="312">
        <f>(P78)</f>
        <v>22440.132738389584</v>
      </c>
      <c r="Q119" s="312">
        <f>(Q78)</f>
        <v>42870.578653037235</v>
      </c>
      <c r="S119" s="194">
        <f t="shared" si="16"/>
        <v>478510.76137425285</v>
      </c>
      <c r="T119" s="194">
        <f>SUM(S118:S119)</f>
        <v>850646.3345358002</v>
      </c>
    </row>
    <row r="120" spans="2:20" ht="15.75">
      <c r="B120" s="412"/>
      <c r="C120" s="415" t="s">
        <v>602</v>
      </c>
      <c r="D120" s="308"/>
      <c r="E120" s="309"/>
      <c r="F120" s="308"/>
      <c r="G120" s="308"/>
      <c r="H120" s="308"/>
      <c r="I120" s="312">
        <f>SUM(I112,I114,I116,I118)</f>
        <v>43459.54869765466</v>
      </c>
      <c r="J120" s="312">
        <f>SUM(J112,J114,J116,J118)</f>
        <v>3673764.620291369</v>
      </c>
      <c r="K120" s="312">
        <f>SUM(K113,K115,K117,K119)</f>
        <v>3104014.718066823</v>
      </c>
      <c r="L120" s="312">
        <f>SUM(L112,L114,L116,L118)</f>
        <v>383881.46725152235</v>
      </c>
      <c r="M120" s="312">
        <f>SUM(M113,M115,M117,M119)</f>
        <v>122125.05895638902</v>
      </c>
      <c r="N120" s="312">
        <f>SUM(N113,N115,N117,N119)</f>
        <v>916759.171353851</v>
      </c>
      <c r="O120" s="312">
        <f>SUM(O113,O115,O117,O119)</f>
        <v>1151862.2493166479</v>
      </c>
      <c r="P120" s="312">
        <f>SUM(P113,P115,P117,P119)</f>
        <v>2756487.524264021</v>
      </c>
      <c r="Q120" s="312">
        <f>SUM(Q113,Q115,Q117,Q119)</f>
        <v>398156.92633752205</v>
      </c>
      <c r="S120" s="194">
        <f>SUM(I120:Q120)</f>
        <v>12550511.2845358</v>
      </c>
      <c r="T120" s="194">
        <f>SUM(T113:T119)</f>
        <v>12550511.2845358</v>
      </c>
    </row>
    <row r="121" spans="2:20" ht="15.75">
      <c r="B121" s="412"/>
      <c r="C121" s="414" t="s">
        <v>24</v>
      </c>
      <c r="D121" s="308"/>
      <c r="E121" s="309"/>
      <c r="F121" s="308"/>
      <c r="G121" s="308"/>
      <c r="H121" s="308"/>
      <c r="I121" s="309">
        <v>34808.3417565782</v>
      </c>
      <c r="J121" s="309">
        <v>3062282.387329596</v>
      </c>
      <c r="K121" s="309">
        <v>3616789.623225319</v>
      </c>
      <c r="L121" s="309">
        <v>371994.810516601</v>
      </c>
      <c r="M121" s="309">
        <v>118343.53059832557</v>
      </c>
      <c r="N121" s="309">
        <v>903404.2634827073</v>
      </c>
      <c r="O121" s="309">
        <v>1140270.1108223712</v>
      </c>
      <c r="P121" s="309">
        <v>2750531.7569062705</v>
      </c>
      <c r="Q121" s="309">
        <v>390577.76536223036</v>
      </c>
      <c r="S121" s="194">
        <f>SUM(I121:Q121)</f>
        <v>12389002.590000002</v>
      </c>
      <c r="T121" s="194">
        <f>SUM(F111,G111,H111,T120)</f>
        <v>43829604.41381779</v>
      </c>
    </row>
    <row r="122" spans="3:19" ht="15.75">
      <c r="C122" s="416" t="s">
        <v>164</v>
      </c>
      <c r="I122" s="194">
        <f>(I84)</f>
        <v>9244.841616928696</v>
      </c>
      <c r="J122" s="194">
        <f>(J84)</f>
        <v>419103.11841326</v>
      </c>
      <c r="L122" s="194">
        <f>(L84)</f>
        <v>96363.19812759293</v>
      </c>
      <c r="S122" s="194">
        <f t="shared" si="16"/>
        <v>524711.1581577816</v>
      </c>
    </row>
    <row r="123" spans="3:19" ht="15.75">
      <c r="C123" s="416" t="s">
        <v>165</v>
      </c>
      <c r="K123" s="194">
        <f>(K84)</f>
        <v>357930.13205710053</v>
      </c>
      <c r="M123" s="194">
        <f>(M84)</f>
        <v>30656.237032791567</v>
      </c>
      <c r="N123" s="194">
        <f>(N84)</f>
        <v>105096.20701454648</v>
      </c>
      <c r="O123" s="194">
        <f>(O84)</f>
        <v>88929.4943713461</v>
      </c>
      <c r="P123" s="194">
        <f>(P84)</f>
        <v>31640.58716112931</v>
      </c>
      <c r="Q123" s="194">
        <f>(Q84)</f>
        <v>60447.5159007825</v>
      </c>
      <c r="S123" s="194">
        <f t="shared" si="16"/>
        <v>674700.1735376966</v>
      </c>
    </row>
    <row r="124" spans="3:19" ht="15.75">
      <c r="C124" s="417" t="s">
        <v>57</v>
      </c>
      <c r="F124" s="194">
        <f>(F111)</f>
        <v>6986348.459999998</v>
      </c>
      <c r="G124" s="194">
        <f>(G111)</f>
        <v>23587568.669281997</v>
      </c>
      <c r="H124" s="194">
        <f>(H111)</f>
        <v>705176</v>
      </c>
      <c r="I124" s="194">
        <f>(I120+I122+I123)</f>
        <v>52704.390314583354</v>
      </c>
      <c r="J124" s="194">
        <f aca="true" t="shared" si="17" ref="J124:Q124">(J120+J122+J123)</f>
        <v>4092867.7387046292</v>
      </c>
      <c r="K124" s="194">
        <f t="shared" si="17"/>
        <v>3461944.8501239237</v>
      </c>
      <c r="L124" s="194">
        <f t="shared" si="17"/>
        <v>480244.66537911526</v>
      </c>
      <c r="M124" s="194">
        <f t="shared" si="17"/>
        <v>152781.2959891806</v>
      </c>
      <c r="N124" s="194">
        <f t="shared" si="17"/>
        <v>1021855.3783683975</v>
      </c>
      <c r="O124" s="194">
        <f t="shared" si="17"/>
        <v>1240791.743687994</v>
      </c>
      <c r="P124" s="194">
        <f t="shared" si="17"/>
        <v>2788128.11142515</v>
      </c>
      <c r="Q124" s="194">
        <f t="shared" si="17"/>
        <v>458604.44223830453</v>
      </c>
      <c r="R124" s="192" t="s">
        <v>24</v>
      </c>
      <c r="S124" s="194">
        <f>SUM(F124:Q124)</f>
        <v>45029015.745513275</v>
      </c>
    </row>
    <row r="125" spans="3:19" ht="15.75">
      <c r="C125" s="416" t="s">
        <v>169</v>
      </c>
      <c r="I125" s="194" t="s">
        <v>24</v>
      </c>
      <c r="J125" s="194" t="s">
        <v>24</v>
      </c>
      <c r="K125" s="194" t="s">
        <v>24</v>
      </c>
      <c r="L125" s="194" t="s">
        <v>24</v>
      </c>
      <c r="M125" s="194" t="s">
        <v>24</v>
      </c>
      <c r="N125" s="194" t="s">
        <v>24</v>
      </c>
      <c r="O125" s="194" t="s">
        <v>24</v>
      </c>
      <c r="P125" s="194" t="s">
        <v>24</v>
      </c>
      <c r="Q125" s="194" t="s">
        <v>24</v>
      </c>
      <c r="S125" s="194">
        <f>SUM(I125:Q125)</f>
        <v>0</v>
      </c>
    </row>
    <row r="126" spans="3:19" ht="15.75">
      <c r="C126" s="416" t="s">
        <v>170</v>
      </c>
      <c r="I126" s="194">
        <f>(I96+I103)</f>
        <v>14360.303945066327</v>
      </c>
      <c r="J126" s="194">
        <f aca="true" t="shared" si="18" ref="J126:S126">(J96+J103)</f>
        <v>553391.9928423552</v>
      </c>
      <c r="K126" s="194">
        <f t="shared" si="18"/>
        <v>653598.2525875352</v>
      </c>
      <c r="L126" s="194">
        <f t="shared" si="18"/>
        <v>149683.9936875637</v>
      </c>
      <c r="M126" s="194">
        <f t="shared" si="18"/>
        <v>47619.29948012875</v>
      </c>
      <c r="N126" s="194">
        <f t="shared" si="18"/>
        <v>163249.25171664407</v>
      </c>
      <c r="O126" s="194">
        <f t="shared" si="18"/>
        <v>138136.98728111427</v>
      </c>
      <c r="P126" s="194">
        <f t="shared" si="18"/>
        <v>49148.321568015104</v>
      </c>
      <c r="Q126" s="194">
        <f t="shared" si="18"/>
        <v>93895.0321733956</v>
      </c>
      <c r="R126" s="194" t="s">
        <v>24</v>
      </c>
      <c r="S126" s="194">
        <f t="shared" si="18"/>
        <v>1863083.435281818</v>
      </c>
    </row>
    <row r="127" spans="3:11" ht="15.75">
      <c r="C127" s="416"/>
      <c r="K127" s="192" t="s">
        <v>24</v>
      </c>
    </row>
    <row r="128" spans="3:19" ht="15.75">
      <c r="C128" s="418" t="s">
        <v>603</v>
      </c>
      <c r="F128" s="194">
        <f>(F124-F126)</f>
        <v>6986348.459999998</v>
      </c>
      <c r="G128" s="194">
        <f aca="true" t="shared" si="19" ref="G128:Q128">(G124-G126)</f>
        <v>23587568.669281997</v>
      </c>
      <c r="H128" s="194">
        <f t="shared" si="19"/>
        <v>705176</v>
      </c>
      <c r="I128" s="194">
        <f t="shared" si="19"/>
        <v>38344.08636951703</v>
      </c>
      <c r="J128" s="194">
        <f t="shared" si="19"/>
        <v>3539475.745862274</v>
      </c>
      <c r="K128" s="194">
        <f t="shared" si="19"/>
        <v>2808346.597536389</v>
      </c>
      <c r="L128" s="194">
        <f t="shared" si="19"/>
        <v>330560.6716915516</v>
      </c>
      <c r="M128" s="194">
        <f t="shared" si="19"/>
        <v>105161.99650905185</v>
      </c>
      <c r="N128" s="194">
        <f t="shared" si="19"/>
        <v>858606.1266517534</v>
      </c>
      <c r="O128" s="194">
        <f t="shared" si="19"/>
        <v>1102654.7564068798</v>
      </c>
      <c r="P128" s="194">
        <f t="shared" si="19"/>
        <v>2738979.789857135</v>
      </c>
      <c r="Q128" s="194">
        <f t="shared" si="19"/>
        <v>364709.4100649089</v>
      </c>
      <c r="R128" s="194" t="s">
        <v>24</v>
      </c>
      <c r="S128" s="194">
        <f>(S124-S126)</f>
        <v>43165932.310231455</v>
      </c>
    </row>
    <row r="131" spans="3:19" ht="15.75">
      <c r="C131" s="418" t="s">
        <v>48</v>
      </c>
      <c r="E131" s="193">
        <f>SUM(E10)</f>
        <v>31279093.129281994</v>
      </c>
      <c r="F131" s="193">
        <f aca="true" t="shared" si="20" ref="F131:S131">SUM(F10)</f>
        <v>6986348.459999998</v>
      </c>
      <c r="G131" s="193">
        <f t="shared" si="20"/>
        <v>23587568.669281997</v>
      </c>
      <c r="H131" s="193">
        <f t="shared" si="20"/>
        <v>705176</v>
      </c>
      <c r="I131" s="193">
        <f t="shared" si="20"/>
        <v>0</v>
      </c>
      <c r="J131" s="193">
        <f t="shared" si="20"/>
        <v>0</v>
      </c>
      <c r="K131" s="193">
        <f t="shared" si="20"/>
        <v>0</v>
      </c>
      <c r="L131" s="193">
        <f t="shared" si="20"/>
        <v>0</v>
      </c>
      <c r="M131" s="193">
        <f t="shared" si="20"/>
        <v>0</v>
      </c>
      <c r="N131" s="193">
        <f t="shared" si="20"/>
        <v>0</v>
      </c>
      <c r="O131" s="193">
        <f t="shared" si="20"/>
        <v>0</v>
      </c>
      <c r="P131" s="193">
        <f t="shared" si="20"/>
        <v>0</v>
      </c>
      <c r="Q131" s="193">
        <f t="shared" si="20"/>
        <v>0</v>
      </c>
      <c r="R131" s="193" t="s">
        <v>24</v>
      </c>
      <c r="S131" s="193">
        <f t="shared" si="20"/>
        <v>31279093.129281994</v>
      </c>
    </row>
    <row r="132" spans="3:19" ht="15.75">
      <c r="C132" s="418" t="s">
        <v>199</v>
      </c>
      <c r="E132" s="193">
        <f>SUM(E22,E34)</f>
        <v>4317824.1899999995</v>
      </c>
      <c r="F132" s="193">
        <f aca="true" t="shared" si="21" ref="F132:S132">SUM(F22,F34)</f>
        <v>0</v>
      </c>
      <c r="G132" s="193">
        <f t="shared" si="21"/>
        <v>0</v>
      </c>
      <c r="H132" s="193">
        <f t="shared" si="21"/>
        <v>0</v>
      </c>
      <c r="I132" s="193">
        <f t="shared" si="21"/>
        <v>6424.4472682613405</v>
      </c>
      <c r="J132" s="193">
        <f t="shared" si="21"/>
        <v>1682316.9550894788</v>
      </c>
      <c r="K132" s="193">
        <f t="shared" si="21"/>
        <v>1403242.0379885838</v>
      </c>
      <c r="L132" s="193">
        <f t="shared" si="21"/>
        <v>10662.736481009684</v>
      </c>
      <c r="M132" s="193">
        <f t="shared" si="21"/>
        <v>3392.159904730551</v>
      </c>
      <c r="N132" s="193">
        <f t="shared" si="21"/>
        <v>417366.69744412834</v>
      </c>
      <c r="O132" s="193">
        <f t="shared" si="21"/>
        <v>659552.717364668</v>
      </c>
      <c r="P132" s="193">
        <f t="shared" si="21"/>
        <v>0</v>
      </c>
      <c r="Q132" s="193">
        <f t="shared" si="21"/>
        <v>134866.43845913952</v>
      </c>
      <c r="R132" s="193" t="s">
        <v>24</v>
      </c>
      <c r="S132" s="193">
        <f t="shared" si="21"/>
        <v>4317824.1899999995</v>
      </c>
    </row>
    <row r="133" spans="3:19" ht="15.75">
      <c r="C133" s="418" t="s">
        <v>178</v>
      </c>
      <c r="E133" s="193">
        <f>SUM(E42,E47,E64)</f>
        <v>3616820.2600000002</v>
      </c>
      <c r="F133" s="193">
        <f aca="true" t="shared" si="22" ref="F133:S133">SUM(F42,F47,F64)</f>
        <v>0</v>
      </c>
      <c r="G133" s="193">
        <f t="shared" si="22"/>
        <v>0</v>
      </c>
      <c r="H133" s="193">
        <f t="shared" si="22"/>
        <v>0</v>
      </c>
      <c r="I133" s="193">
        <f t="shared" si="22"/>
        <v>1461.5765010795549</v>
      </c>
      <c r="J133" s="193">
        <f t="shared" si="22"/>
        <v>378617.7115779307</v>
      </c>
      <c r="K133" s="193">
        <f t="shared" si="22"/>
        <v>323354.0423591328</v>
      </c>
      <c r="L133" s="193">
        <f t="shared" si="22"/>
        <v>2425.797026125346</v>
      </c>
      <c r="M133" s="193">
        <f t="shared" si="22"/>
        <v>771.7241651514402</v>
      </c>
      <c r="N133" s="193">
        <f t="shared" si="22"/>
        <v>94951.8817488259</v>
      </c>
      <c r="O133" s="193">
        <f t="shared" si="22"/>
        <v>150049.75722748044</v>
      </c>
      <c r="P133" s="193">
        <f t="shared" si="22"/>
        <v>2634505.345054053</v>
      </c>
      <c r="Q133" s="193">
        <f t="shared" si="22"/>
        <v>30682.42434022134</v>
      </c>
      <c r="R133" s="193" t="s">
        <v>24</v>
      </c>
      <c r="S133" s="193">
        <f t="shared" si="22"/>
        <v>3616820.2600000002</v>
      </c>
    </row>
    <row r="134" spans="3:19" ht="15.75">
      <c r="C134" s="418" t="s">
        <v>179</v>
      </c>
      <c r="E134" s="193">
        <f>(E69+E76)</f>
        <v>3761425.1899999995</v>
      </c>
      <c r="F134" s="193">
        <f aca="true" t="shared" si="23" ref="F134:S134">(F69+F76)</f>
        <v>0</v>
      </c>
      <c r="G134" s="193">
        <f t="shared" si="23"/>
        <v>0</v>
      </c>
      <c r="H134" s="193">
        <f>(H69+H76)</f>
        <v>0</v>
      </c>
      <c r="I134" s="193">
        <f t="shared" si="23"/>
        <v>28987.64249501134</v>
      </c>
      <c r="J134" s="193">
        <f t="shared" si="23"/>
        <v>1314267.3627575159</v>
      </c>
      <c r="K134" s="193">
        <f t="shared" si="23"/>
        <v>1122434.7378599753</v>
      </c>
      <c r="L134" s="193">
        <f t="shared" si="23"/>
        <v>302145.2791860614</v>
      </c>
      <c r="M134" s="193">
        <f t="shared" si="23"/>
        <v>96122.14493755571</v>
      </c>
      <c r="N134" s="193">
        <f t="shared" si="23"/>
        <v>329571.67690372415</v>
      </c>
      <c r="O134" s="193">
        <f t="shared" si="23"/>
        <v>278907.775950367</v>
      </c>
      <c r="P134" s="193">
        <f t="shared" si="23"/>
        <v>99441.91342734225</v>
      </c>
      <c r="Q134" s="193">
        <f t="shared" si="23"/>
        <v>189546.18648244708</v>
      </c>
      <c r="R134" s="193" t="s">
        <v>24</v>
      </c>
      <c r="S134" s="193">
        <f t="shared" si="23"/>
        <v>3761424.72</v>
      </c>
    </row>
    <row r="135" spans="3:19" ht="15.75">
      <c r="C135" s="418" t="s">
        <v>180</v>
      </c>
      <c r="E135" s="193">
        <f>(E78+E80)</f>
        <v>854442.1145358001</v>
      </c>
      <c r="F135" s="193">
        <f aca="true" t="shared" si="24" ref="F135:S135">(F78+F80)</f>
        <v>0</v>
      </c>
      <c r="G135" s="193">
        <f t="shared" si="24"/>
        <v>0</v>
      </c>
      <c r="H135" s="193">
        <f t="shared" si="24"/>
        <v>0</v>
      </c>
      <c r="I135" s="193">
        <f t="shared" si="24"/>
        <v>6585.882433302428</v>
      </c>
      <c r="J135" s="193">
        <f t="shared" si="24"/>
        <v>298562.59086644393</v>
      </c>
      <c r="K135" s="193">
        <f t="shared" si="24"/>
        <v>254983.89985913134</v>
      </c>
      <c r="L135" s="193">
        <f t="shared" si="24"/>
        <v>68647.65455832584</v>
      </c>
      <c r="M135" s="193">
        <f t="shared" si="24"/>
        <v>21839.029948951316</v>
      </c>
      <c r="N135" s="193">
        <f t="shared" si="24"/>
        <v>74868.9152571726</v>
      </c>
      <c r="O135" s="193">
        <f t="shared" si="24"/>
        <v>63351.998774132444</v>
      </c>
      <c r="P135" s="193">
        <f t="shared" si="24"/>
        <v>22540.265782626124</v>
      </c>
      <c r="Q135" s="193">
        <f t="shared" si="24"/>
        <v>43061.877055714096</v>
      </c>
      <c r="R135" s="193" t="s">
        <v>24</v>
      </c>
      <c r="S135" s="193">
        <f t="shared" si="24"/>
        <v>854442.1145358001</v>
      </c>
    </row>
    <row r="136" spans="6:19" ht="15.75"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 t="s">
        <v>24</v>
      </c>
      <c r="S136" s="193"/>
    </row>
    <row r="137" spans="5:19" ht="15.75">
      <c r="E137" s="193">
        <f>SUM(E131:E135)</f>
        <v>43829604.88381779</v>
      </c>
      <c r="F137" s="193">
        <f aca="true" t="shared" si="25" ref="F137:S137">SUM(F131:F135)</f>
        <v>6986348.459999998</v>
      </c>
      <c r="G137" s="193">
        <f t="shared" si="25"/>
        <v>23587568.669281997</v>
      </c>
      <c r="H137" s="193">
        <f t="shared" si="25"/>
        <v>705176</v>
      </c>
      <c r="I137" s="193">
        <f t="shared" si="25"/>
        <v>43459.54869765467</v>
      </c>
      <c r="J137" s="193">
        <f t="shared" si="25"/>
        <v>3673764.620291369</v>
      </c>
      <c r="K137" s="193">
        <f t="shared" si="25"/>
        <v>3104014.718066823</v>
      </c>
      <c r="L137" s="193">
        <f t="shared" si="25"/>
        <v>383881.4672515223</v>
      </c>
      <c r="M137" s="193">
        <f t="shared" si="25"/>
        <v>122125.05895638901</v>
      </c>
      <c r="N137" s="193">
        <f t="shared" si="25"/>
        <v>916759.171353851</v>
      </c>
      <c r="O137" s="193">
        <f t="shared" si="25"/>
        <v>1151862.2493166479</v>
      </c>
      <c r="P137" s="193">
        <f t="shared" si="25"/>
        <v>2756487.5242640213</v>
      </c>
      <c r="Q137" s="193">
        <f t="shared" si="25"/>
        <v>398156.92633752205</v>
      </c>
      <c r="R137" s="193" t="s">
        <v>24</v>
      </c>
      <c r="S137" s="193">
        <f t="shared" si="25"/>
        <v>43829604.41381779</v>
      </c>
    </row>
  </sheetData>
  <sheetProtection/>
  <mergeCells count="8">
    <mergeCell ref="F1:H1"/>
    <mergeCell ref="J1:Q1"/>
    <mergeCell ref="J3:K3"/>
    <mergeCell ref="L3:M3"/>
    <mergeCell ref="F3:H3"/>
    <mergeCell ref="F108:H108"/>
    <mergeCell ref="J108:K108"/>
    <mergeCell ref="L108:M108"/>
  </mergeCells>
  <printOptions gridLines="1" horizontalCentered="1" verticalCentered="1"/>
  <pageMargins left="0.7" right="0.7" top="0.75" bottom="0.75" header="0.3" footer="0.3"/>
  <pageSetup horizontalDpi="600" verticalDpi="600" orientation="landscape" pageOrder="overThenDown" scale="78" r:id="rId1"/>
  <headerFooter>
    <oddHeader>&amp;C&amp;"Arial,Bold"&amp;12CUMBLERLAND VALLEY ELECTRIC
CASE NO. 2016-00169
CLASSIFICATION  OF FUNCTIONALIZED COSTS&amp;RRevision 2  Exhibit ____
Page ____ of ____
WIitness:  James Adkins
Schedule E</oddHeader>
  </headerFooter>
  <rowBreaks count="3" manualBreakCount="3">
    <brk id="32" max="16" man="1"/>
    <brk id="57" max="16" man="1"/>
    <brk id="106" max="15" man="1"/>
  </rowBreaks>
  <colBreaks count="1" manualBreakCount="1">
    <brk id="10" max="81" man="1"/>
  </colBreaks>
  <ignoredErrors>
    <ignoredError sqref="P115 S82 K120 S4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3:X255"/>
  <sheetViews>
    <sheetView zoomScalePageLayoutView="0" workbookViewId="0" topLeftCell="A106">
      <selection activeCell="A137" sqref="A137"/>
    </sheetView>
  </sheetViews>
  <sheetFormatPr defaultColWidth="9.140625" defaultRowHeight="12.75"/>
  <cols>
    <col min="1" max="1" width="11.7109375" style="7" customWidth="1"/>
    <col min="2" max="2" width="11.57421875" style="7" customWidth="1"/>
    <col min="3" max="3" width="4.7109375" style="7" customWidth="1"/>
    <col min="4" max="4" width="13.8515625" style="8" customWidth="1"/>
    <col min="5" max="5" width="14.00390625" style="7" customWidth="1"/>
    <col min="6" max="6" width="13.8515625" style="7" customWidth="1"/>
    <col min="7" max="7" width="12.28125" style="7" customWidth="1"/>
    <col min="8" max="8" width="13.8515625" style="7" customWidth="1"/>
    <col min="9" max="9" width="11.28125" style="7" customWidth="1"/>
    <col min="10" max="10" width="14.00390625" style="7" bestFit="1" customWidth="1"/>
    <col min="11" max="11" width="13.140625" style="7" customWidth="1"/>
    <col min="12" max="12" width="14.28125" style="7" customWidth="1"/>
    <col min="13" max="13" width="13.140625" style="7" customWidth="1"/>
    <col min="14" max="16384" width="9.140625" style="7" customWidth="1"/>
  </cols>
  <sheetData>
    <row r="3" spans="1:12" ht="15">
      <c r="A3" s="12"/>
      <c r="B3" s="12"/>
      <c r="C3" s="12"/>
      <c r="D3" s="429" t="s">
        <v>261</v>
      </c>
      <c r="E3" s="429"/>
      <c r="F3" s="429"/>
      <c r="G3" s="12"/>
      <c r="H3" s="12"/>
      <c r="I3" s="12"/>
      <c r="J3" s="12"/>
      <c r="K3" s="12"/>
      <c r="L3" s="12"/>
    </row>
    <row r="4" spans="1:12" ht="12.75">
      <c r="A4" s="12"/>
      <c r="B4" s="12"/>
      <c r="C4" s="12"/>
      <c r="D4" s="83" t="s">
        <v>24</v>
      </c>
      <c r="E4" s="83" t="s">
        <v>24</v>
      </c>
      <c r="F4" s="83" t="s">
        <v>24</v>
      </c>
      <c r="G4" s="83" t="s">
        <v>24</v>
      </c>
      <c r="H4" s="12"/>
      <c r="I4" s="12"/>
      <c r="J4" s="12"/>
      <c r="K4" s="12"/>
      <c r="L4" s="12"/>
    </row>
    <row r="5" spans="1:13" ht="15">
      <c r="A5" s="38" t="s">
        <v>68</v>
      </c>
      <c r="B5" s="84"/>
      <c r="C5" s="38"/>
      <c r="D5" s="82" t="s">
        <v>70</v>
      </c>
      <c r="E5" s="38" t="s">
        <v>382</v>
      </c>
      <c r="F5" s="38" t="s">
        <v>71</v>
      </c>
      <c r="G5" s="38" t="s">
        <v>69</v>
      </c>
      <c r="K5" s="24" t="str">
        <f>(E5)</f>
        <v>Number of Units</v>
      </c>
      <c r="L5" s="24" t="s">
        <v>24</v>
      </c>
      <c r="M5" s="12"/>
    </row>
    <row r="6" spans="1:13" ht="15">
      <c r="A6" s="12"/>
      <c r="C6" s="12"/>
      <c r="D6" s="10"/>
      <c r="E6" s="24"/>
      <c r="F6" s="12"/>
      <c r="G6" s="12"/>
      <c r="K6" s="76" t="s">
        <v>373</v>
      </c>
      <c r="L6" s="76" t="s">
        <v>374</v>
      </c>
      <c r="M6" s="76" t="s">
        <v>375</v>
      </c>
    </row>
    <row r="7" spans="1:13" ht="12.75">
      <c r="A7" s="12">
        <v>30</v>
      </c>
      <c r="C7" s="12"/>
      <c r="D7" s="10">
        <v>4684595.48</v>
      </c>
      <c r="E7" s="10">
        <v>13980</v>
      </c>
      <c r="F7" s="12">
        <f aca="true" t="shared" si="0" ref="F7:F16">(D7/E7)</f>
        <v>335.0926666666667</v>
      </c>
      <c r="G7" s="12">
        <v>25</v>
      </c>
      <c r="K7" s="12">
        <f>(SQRT(E7)*F7)</f>
        <v>39620.368393640834</v>
      </c>
      <c r="L7" s="3">
        <f>(SQRT(E7))</f>
        <v>118.23705003085962</v>
      </c>
      <c r="M7" s="12">
        <f>(SQRT(E7)*G7)</f>
        <v>2955.9262507714907</v>
      </c>
    </row>
    <row r="8" spans="1:13" ht="12.75">
      <c r="A8" s="12">
        <v>35</v>
      </c>
      <c r="C8" s="12"/>
      <c r="D8" s="10">
        <v>1216604.36</v>
      </c>
      <c r="E8" s="10">
        <v>8267</v>
      </c>
      <c r="F8" s="12">
        <f t="shared" si="0"/>
        <v>147.16394822789405</v>
      </c>
      <c r="G8" s="12">
        <f aca="true" t="shared" si="1" ref="G8:G16">(A8)</f>
        <v>35</v>
      </c>
      <c r="K8" s="12">
        <f aca="true" t="shared" si="2" ref="K8:K16">(SQRT(E8)*F8)</f>
        <v>13380.594196405113</v>
      </c>
      <c r="L8" s="3">
        <f aca="true" t="shared" si="3" ref="L8:L16">(SQRT(E8))</f>
        <v>90.92304438369845</v>
      </c>
      <c r="M8" s="12">
        <f aca="true" t="shared" si="4" ref="M8:M16">(SQRT(E8)*G8)</f>
        <v>3182.306553429446</v>
      </c>
    </row>
    <row r="9" spans="1:13" ht="12.75">
      <c r="A9" s="12">
        <v>40</v>
      </c>
      <c r="C9" s="12"/>
      <c r="D9" s="10">
        <v>8757706.82</v>
      </c>
      <c r="E9" s="10">
        <v>18467</v>
      </c>
      <c r="F9" s="12">
        <f t="shared" si="0"/>
        <v>474.23549141712243</v>
      </c>
      <c r="G9" s="12">
        <f t="shared" si="1"/>
        <v>40</v>
      </c>
      <c r="K9" s="12">
        <f t="shared" si="2"/>
        <v>64445.445125856524</v>
      </c>
      <c r="L9" s="3">
        <f t="shared" si="3"/>
        <v>135.8933405285189</v>
      </c>
      <c r="M9" s="12">
        <f t="shared" si="4"/>
        <v>5435.733621140756</v>
      </c>
    </row>
    <row r="10" spans="1:13" ht="12.75">
      <c r="A10" s="12">
        <v>45</v>
      </c>
      <c r="C10" s="12"/>
      <c r="D10" s="10">
        <v>3082724.32</v>
      </c>
      <c r="E10" s="10">
        <v>5788</v>
      </c>
      <c r="F10" s="12">
        <f t="shared" si="0"/>
        <v>532.6061368348306</v>
      </c>
      <c r="G10" s="12">
        <f t="shared" si="1"/>
        <v>45</v>
      </c>
      <c r="K10" s="12">
        <f t="shared" si="2"/>
        <v>40520.092435753155</v>
      </c>
      <c r="L10" s="3">
        <f t="shared" si="3"/>
        <v>76.07890640644094</v>
      </c>
      <c r="M10" s="12">
        <f t="shared" si="4"/>
        <v>3423.5507882898423</v>
      </c>
    </row>
    <row r="11" spans="1:13" ht="12.75">
      <c r="A11" s="12">
        <v>50</v>
      </c>
      <c r="C11" s="12"/>
      <c r="D11" s="10">
        <v>1047257.47</v>
      </c>
      <c r="E11" s="10">
        <v>1568</v>
      </c>
      <c r="F11" s="12">
        <f t="shared" si="0"/>
        <v>667.8937946428571</v>
      </c>
      <c r="G11" s="12">
        <f t="shared" si="1"/>
        <v>50</v>
      </c>
      <c r="K11" s="12">
        <f t="shared" si="2"/>
        <v>26447.24495304526</v>
      </c>
      <c r="L11" s="3">
        <f t="shared" si="3"/>
        <v>39.59797974644666</v>
      </c>
      <c r="M11" s="12">
        <f t="shared" si="4"/>
        <v>1979.8989873223331</v>
      </c>
    </row>
    <row r="12" spans="1:13" ht="12.75">
      <c r="A12" s="12">
        <v>55</v>
      </c>
      <c r="C12" s="12"/>
      <c r="D12" s="10">
        <v>390394.09</v>
      </c>
      <c r="E12" s="10">
        <v>410</v>
      </c>
      <c r="F12" s="12">
        <f t="shared" si="0"/>
        <v>952.1807073170733</v>
      </c>
      <c r="G12" s="12">
        <f t="shared" si="1"/>
        <v>55</v>
      </c>
      <c r="K12" s="12">
        <f t="shared" si="2"/>
        <v>19280.18985250418</v>
      </c>
      <c r="L12" s="3">
        <f t="shared" si="3"/>
        <v>20.248456731316587</v>
      </c>
      <c r="M12" s="12">
        <f t="shared" si="4"/>
        <v>1113.6651202224123</v>
      </c>
    </row>
    <row r="13" spans="1:13" ht="12.75">
      <c r="A13" s="12">
        <v>60</v>
      </c>
      <c r="C13" s="12"/>
      <c r="D13" s="10">
        <v>106418.62</v>
      </c>
      <c r="E13" s="10">
        <v>87</v>
      </c>
      <c r="F13" s="12">
        <f t="shared" si="0"/>
        <v>1223.202528735632</v>
      </c>
      <c r="G13" s="12">
        <f t="shared" si="1"/>
        <v>60</v>
      </c>
      <c r="K13" s="12">
        <f t="shared" si="2"/>
        <v>11409.273644214005</v>
      </c>
      <c r="L13" s="3">
        <f t="shared" si="3"/>
        <v>9.327379053088816</v>
      </c>
      <c r="M13" s="12">
        <f t="shared" si="4"/>
        <v>559.642743185329</v>
      </c>
    </row>
    <row r="14" spans="1:13" ht="12.75">
      <c r="A14" s="12">
        <v>65</v>
      </c>
      <c r="C14" s="12"/>
      <c r="D14" s="10">
        <v>63077.14</v>
      </c>
      <c r="E14" s="10">
        <v>58</v>
      </c>
      <c r="F14" s="12">
        <f t="shared" si="0"/>
        <v>1087.536896551724</v>
      </c>
      <c r="G14" s="12">
        <f t="shared" si="1"/>
        <v>65</v>
      </c>
      <c r="H14" s="7" t="s">
        <v>24</v>
      </c>
      <c r="K14" s="12">
        <f t="shared" si="2"/>
        <v>8282.43424839332</v>
      </c>
      <c r="L14" s="3">
        <f t="shared" si="3"/>
        <v>7.615773105863909</v>
      </c>
      <c r="M14" s="12">
        <f t="shared" si="4"/>
        <v>495.0252518811541</v>
      </c>
    </row>
    <row r="15" spans="1:13" ht="12.75">
      <c r="A15" s="12">
        <v>70</v>
      </c>
      <c r="C15" s="12"/>
      <c r="D15" s="10">
        <v>17986.51</v>
      </c>
      <c r="E15" s="10">
        <v>21</v>
      </c>
      <c r="F15" s="12">
        <f t="shared" si="0"/>
        <v>856.5004761904761</v>
      </c>
      <c r="G15" s="12">
        <f t="shared" si="1"/>
        <v>70</v>
      </c>
      <c r="I15" s="91" t="s">
        <v>399</v>
      </c>
      <c r="K15" s="12">
        <f t="shared" si="2"/>
        <v>3924.9782649085787</v>
      </c>
      <c r="L15" s="3">
        <f t="shared" si="3"/>
        <v>4.58257569495584</v>
      </c>
      <c r="M15" s="12">
        <f t="shared" si="4"/>
        <v>320.78029864690876</v>
      </c>
    </row>
    <row r="16" spans="1:13" ht="12.75">
      <c r="A16" s="12">
        <v>75</v>
      </c>
      <c r="C16" s="12"/>
      <c r="D16" s="14">
        <v>13697.35</v>
      </c>
      <c r="E16" s="14">
        <v>2</v>
      </c>
      <c r="F16" s="117">
        <f t="shared" si="0"/>
        <v>6848.675</v>
      </c>
      <c r="G16" s="117">
        <f t="shared" si="1"/>
        <v>75</v>
      </c>
      <c r="K16" s="12">
        <f t="shared" si="2"/>
        <v>9685.489069285557</v>
      </c>
      <c r="L16" s="3">
        <f t="shared" si="3"/>
        <v>1.4142135623730951</v>
      </c>
      <c r="M16" s="12">
        <f t="shared" si="4"/>
        <v>106.06601717798213</v>
      </c>
    </row>
    <row r="17" spans="1:12" ht="12.75">
      <c r="A17" s="19" t="s">
        <v>377</v>
      </c>
      <c r="B17" s="12"/>
      <c r="C17" s="12"/>
      <c r="D17" s="41">
        <f>SUM(D7:D16)</f>
        <v>19380462.160000004</v>
      </c>
      <c r="E17" s="41">
        <f>SUM(E7:E16)</f>
        <v>48648</v>
      </c>
      <c r="F17" s="12"/>
      <c r="H17" s="12"/>
      <c r="I17" s="22" t="s">
        <v>24</v>
      </c>
      <c r="J17" s="12"/>
      <c r="K17" s="12"/>
      <c r="L17" s="12"/>
    </row>
    <row r="18" spans="1:7" ht="12.75">
      <c r="A18" s="12"/>
      <c r="B18" s="12"/>
      <c r="C18" s="12"/>
      <c r="D18" s="10"/>
      <c r="E18" s="12"/>
      <c r="F18" s="12"/>
      <c r="G18" s="12"/>
    </row>
    <row r="19" spans="1:7" ht="12.75">
      <c r="A19" s="12" t="s">
        <v>74</v>
      </c>
      <c r="B19" s="12"/>
      <c r="C19" s="12"/>
      <c r="D19" s="12">
        <f>INDEX(LINEST(K7:K15,L7:M15),1)</f>
        <v>11.005282805727074</v>
      </c>
      <c r="E19" s="22" t="s">
        <v>24</v>
      </c>
      <c r="F19" s="12"/>
      <c r="G19" s="12"/>
    </row>
    <row r="20" spans="1:10" ht="12.75">
      <c r="A20" s="12" t="s">
        <v>75</v>
      </c>
      <c r="B20" s="12"/>
      <c r="C20" s="12"/>
      <c r="D20" s="12">
        <f>INDEX(LINEST(K7:K15,L7:M15),2)</f>
        <v>-29.913806249619682</v>
      </c>
      <c r="E20" s="22" t="s">
        <v>24</v>
      </c>
      <c r="F20" s="12"/>
      <c r="G20" s="12"/>
      <c r="J20" s="91" t="s">
        <v>24</v>
      </c>
    </row>
    <row r="21" spans="1:7" ht="12.75">
      <c r="A21" s="22" t="s">
        <v>24</v>
      </c>
      <c r="B21" s="12"/>
      <c r="C21" s="12"/>
      <c r="D21" s="10"/>
      <c r="E21" s="22" t="s">
        <v>24</v>
      </c>
      <c r="F21" s="12"/>
      <c r="G21" s="12"/>
    </row>
    <row r="22" spans="1:20" ht="12.75">
      <c r="A22" s="22" t="s">
        <v>418</v>
      </c>
      <c r="B22" s="12"/>
      <c r="C22" s="12"/>
      <c r="D22" s="10"/>
      <c r="E22" s="12" t="s">
        <v>24</v>
      </c>
      <c r="F22" s="12">
        <f>(F8)</f>
        <v>147.16394822789405</v>
      </c>
      <c r="G22" s="12"/>
      <c r="J22" s="91" t="s">
        <v>24</v>
      </c>
      <c r="N22"/>
      <c r="O22"/>
      <c r="P22"/>
      <c r="Q22"/>
      <c r="R22"/>
      <c r="S22"/>
      <c r="T22"/>
    </row>
    <row r="23" spans="1:20" ht="12.75">
      <c r="A23" s="12" t="s">
        <v>82</v>
      </c>
      <c r="B23" s="12"/>
      <c r="C23" s="12"/>
      <c r="D23" s="10"/>
      <c r="E23" s="12"/>
      <c r="F23" s="12">
        <f>(E17)</f>
        <v>48648</v>
      </c>
      <c r="G23" s="12"/>
      <c r="J23" s="91" t="s">
        <v>24</v>
      </c>
      <c r="N23"/>
      <c r="O23"/>
      <c r="P23"/>
      <c r="Q23"/>
      <c r="R23"/>
      <c r="S23"/>
      <c r="T23"/>
    </row>
    <row r="24" spans="1:20" ht="12.75">
      <c r="A24" s="12" t="s">
        <v>83</v>
      </c>
      <c r="B24" s="12"/>
      <c r="C24" s="12"/>
      <c r="D24" s="10"/>
      <c r="E24" s="12"/>
      <c r="F24" s="12">
        <f>(F22*F23)</f>
        <v>7159231.75339059</v>
      </c>
      <c r="G24" s="12"/>
      <c r="N24"/>
      <c r="O24"/>
      <c r="P24"/>
      <c r="Q24"/>
      <c r="R24"/>
      <c r="S24"/>
      <c r="T24"/>
    </row>
    <row r="25" spans="1:12" ht="12.75">
      <c r="A25" s="12" t="s">
        <v>376</v>
      </c>
      <c r="B25" s="12"/>
      <c r="C25" s="12"/>
      <c r="D25" s="10"/>
      <c r="E25" s="12"/>
      <c r="F25" s="12">
        <f>(D17)</f>
        <v>19380462.160000004</v>
      </c>
      <c r="G25" s="12"/>
      <c r="K25" s="3"/>
      <c r="L25" s="3"/>
    </row>
    <row r="26" spans="1:12" ht="12.75">
      <c r="A26" s="19" t="s">
        <v>84</v>
      </c>
      <c r="B26" s="19"/>
      <c r="C26" s="19"/>
      <c r="D26" s="26"/>
      <c r="E26" s="19"/>
      <c r="F26" s="124">
        <f>(F24/F25)</f>
        <v>0.36940459387840463</v>
      </c>
      <c r="G26" s="12" t="s">
        <v>24</v>
      </c>
      <c r="H26" s="12"/>
      <c r="I26" s="12"/>
      <c r="J26" s="3"/>
      <c r="K26" s="3"/>
      <c r="L26" s="3"/>
    </row>
    <row r="27" spans="1:12" ht="12.75">
      <c r="A27" s="19" t="s">
        <v>85</v>
      </c>
      <c r="B27" s="19"/>
      <c r="C27" s="19"/>
      <c r="D27" s="26"/>
      <c r="E27" s="19"/>
      <c r="F27" s="125">
        <f>(1-F26)</f>
        <v>0.6305954061215954</v>
      </c>
      <c r="G27" s="12"/>
      <c r="H27" s="12"/>
      <c r="I27" s="12"/>
      <c r="J27" s="3"/>
      <c r="K27" s="3"/>
      <c r="L27" s="3"/>
    </row>
    <row r="28" spans="1:12" ht="12.75">
      <c r="A28" s="19"/>
      <c r="B28" s="19"/>
      <c r="C28" s="19"/>
      <c r="D28" s="26"/>
      <c r="E28" s="19"/>
      <c r="F28" s="25"/>
      <c r="G28" s="12"/>
      <c r="H28" s="12"/>
      <c r="I28" s="12"/>
      <c r="J28" s="3"/>
      <c r="K28" s="3"/>
      <c r="L28" s="3"/>
    </row>
    <row r="29" spans="1:12" ht="12.75">
      <c r="A29" s="12"/>
      <c r="B29" s="12"/>
      <c r="C29" s="12"/>
      <c r="D29" s="10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0"/>
      <c r="E30" s="12"/>
      <c r="F30" s="427" t="s">
        <v>24</v>
      </c>
      <c r="G30" s="427"/>
      <c r="H30" s="427"/>
      <c r="I30" s="427"/>
      <c r="J30" s="12"/>
      <c r="K30" s="12"/>
      <c r="L30" s="12"/>
    </row>
    <row r="31" spans="1:12" ht="12.75">
      <c r="A31" s="12"/>
      <c r="B31" s="12"/>
      <c r="C31" s="12"/>
      <c r="D31" s="428" t="s">
        <v>260</v>
      </c>
      <c r="E31" s="428"/>
      <c r="F31" s="428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0"/>
      <c r="E32" s="12"/>
      <c r="F32" s="12"/>
      <c r="G32" s="12"/>
      <c r="H32" s="12"/>
      <c r="I32" s="12"/>
      <c r="J32" s="12"/>
      <c r="K32" s="12"/>
      <c r="L32" s="12"/>
    </row>
    <row r="33" spans="1:13" ht="12.75">
      <c r="A33" s="24"/>
      <c r="B33" s="24"/>
      <c r="C33" s="24"/>
      <c r="D33" s="83" t="s">
        <v>24</v>
      </c>
      <c r="E33" s="83" t="s">
        <v>24</v>
      </c>
      <c r="F33" s="83" t="s">
        <v>24</v>
      </c>
      <c r="G33" s="83" t="s">
        <v>24</v>
      </c>
      <c r="H33" s="12"/>
      <c r="I33" s="24" t="s">
        <v>24</v>
      </c>
      <c r="J33" s="12"/>
      <c r="K33" s="24" t="str">
        <f>(E34)</f>
        <v>Number of Units</v>
      </c>
      <c r="L33" s="24" t="s">
        <v>24</v>
      </c>
      <c r="M33" s="12"/>
    </row>
    <row r="34" spans="1:24" ht="15">
      <c r="A34" s="38" t="s">
        <v>79</v>
      </c>
      <c r="B34" s="81"/>
      <c r="C34" s="38"/>
      <c r="D34" s="82" t="s">
        <v>70</v>
      </c>
      <c r="E34" s="38" t="s">
        <v>382</v>
      </c>
      <c r="F34" s="38" t="s">
        <v>71</v>
      </c>
      <c r="G34" s="76" t="s">
        <v>381</v>
      </c>
      <c r="H34"/>
      <c r="I34"/>
      <c r="J34"/>
      <c r="K34" s="76" t="s">
        <v>373</v>
      </c>
      <c r="L34" s="76" t="s">
        <v>374</v>
      </c>
      <c r="M34" s="76" t="s">
        <v>375</v>
      </c>
      <c r="N34"/>
      <c r="O34"/>
      <c r="P34"/>
      <c r="Q34"/>
      <c r="R34"/>
      <c r="S34"/>
      <c r="T34"/>
      <c r="U34"/>
      <c r="V34"/>
      <c r="W34"/>
      <c r="X34"/>
    </row>
    <row r="35" spans="1:24" ht="18">
      <c r="A35" s="37" t="s">
        <v>24</v>
      </c>
      <c r="B35"/>
      <c r="C35" s="13"/>
      <c r="D35" s="317"/>
      <c r="E35" s="318" t="s">
        <v>24</v>
      </c>
      <c r="F35" s="318" t="s">
        <v>24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2.75">
      <c r="A36" s="12"/>
      <c r="B36"/>
      <c r="C36" s="12"/>
      <c r="D36" s="10"/>
      <c r="E36" s="12"/>
      <c r="F36" s="12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2.75">
      <c r="A37" s="12" t="s">
        <v>228</v>
      </c>
      <c r="B37"/>
      <c r="C37" s="3" t="s">
        <v>24</v>
      </c>
      <c r="D37" s="10">
        <v>688.56</v>
      </c>
      <c r="E37" s="10">
        <v>12164</v>
      </c>
      <c r="F37" s="39">
        <f aca="true" t="shared" si="5" ref="F37:F45">(D37/E37)</f>
        <v>0.056606379480434066</v>
      </c>
      <c r="G37" s="95">
        <v>140</v>
      </c>
      <c r="H37"/>
      <c r="I37"/>
      <c r="J37"/>
      <c r="K37" s="7">
        <f>SQRT(E37)*F37</f>
        <v>6.2431473356831555</v>
      </c>
      <c r="L37" s="7">
        <f>SQRT(E37)</f>
        <v>110.2905254316979</v>
      </c>
      <c r="M37" s="7">
        <f>SQRT(E37)*G37</f>
        <v>15440.673560437706</v>
      </c>
      <c r="N37"/>
      <c r="O37"/>
      <c r="P37"/>
      <c r="Q37"/>
      <c r="R37"/>
      <c r="S37"/>
      <c r="T37"/>
      <c r="U37"/>
      <c r="V37"/>
      <c r="W37"/>
      <c r="X37"/>
    </row>
    <row r="38" spans="1:24" ht="12.75">
      <c r="A38" s="12" t="s">
        <v>229</v>
      </c>
      <c r="B38"/>
      <c r="C38" s="3" t="s">
        <v>24</v>
      </c>
      <c r="D38" s="10">
        <v>8354.56</v>
      </c>
      <c r="E38" s="10">
        <v>154482</v>
      </c>
      <c r="F38" s="39">
        <f t="shared" si="5"/>
        <v>0.05408112271979907</v>
      </c>
      <c r="G38" s="95">
        <v>100</v>
      </c>
      <c r="H38"/>
      <c r="I38"/>
      <c r="J38"/>
      <c r="K38" s="7">
        <f aca="true" t="shared" si="6" ref="K38:K55">SQRT(E38)*F38</f>
        <v>21.256151689097546</v>
      </c>
      <c r="L38" s="7">
        <f aca="true" t="shared" si="7" ref="L38:L55">SQRT(E38)</f>
        <v>393.0419824904205</v>
      </c>
      <c r="M38" s="7">
        <f aca="true" t="shared" si="8" ref="M38:M55">SQRT(E38)*G38</f>
        <v>39304.19824904205</v>
      </c>
      <c r="N38"/>
      <c r="O38"/>
      <c r="P38"/>
      <c r="Q38"/>
      <c r="R38"/>
      <c r="S38"/>
      <c r="T38"/>
      <c r="U38"/>
      <c r="V38"/>
      <c r="W38"/>
      <c r="X38"/>
    </row>
    <row r="39" spans="1:24" ht="12.75">
      <c r="A39" s="12" t="s">
        <v>324</v>
      </c>
      <c r="B39"/>
      <c r="C39" s="3"/>
      <c r="D39" s="10">
        <v>22934.89</v>
      </c>
      <c r="E39" s="10">
        <v>206906</v>
      </c>
      <c r="F39" s="39">
        <f t="shared" si="5"/>
        <v>0.11084690632461118</v>
      </c>
      <c r="G39" s="95">
        <v>170</v>
      </c>
      <c r="H39"/>
      <c r="I39"/>
      <c r="J39"/>
      <c r="K39" s="7">
        <f t="shared" si="6"/>
        <v>50.42084492940655</v>
      </c>
      <c r="L39" s="7">
        <f t="shared" si="7"/>
        <v>454.8692119719689</v>
      </c>
      <c r="M39" s="7">
        <f t="shared" si="8"/>
        <v>77327.76603523472</v>
      </c>
      <c r="N39"/>
      <c r="O39"/>
      <c r="P39"/>
      <c r="Q39"/>
      <c r="R39"/>
      <c r="S39"/>
      <c r="T39"/>
      <c r="U39"/>
      <c r="V39"/>
      <c r="W39"/>
      <c r="X39"/>
    </row>
    <row r="40" spans="1:24" ht="12.75">
      <c r="A40" s="12" t="s">
        <v>325</v>
      </c>
      <c r="B40"/>
      <c r="C40" s="3"/>
      <c r="D40" s="10">
        <v>8876.45</v>
      </c>
      <c r="E40" s="10">
        <v>107987</v>
      </c>
      <c r="F40" s="39">
        <f t="shared" si="5"/>
        <v>0.0821992462055618</v>
      </c>
      <c r="G40" s="95">
        <v>128</v>
      </c>
      <c r="H40"/>
      <c r="I40"/>
      <c r="J40"/>
      <c r="K40" s="7">
        <f t="shared" si="6"/>
        <v>27.01180295688089</v>
      </c>
      <c r="L40" s="7">
        <f t="shared" si="7"/>
        <v>328.6137550377342</v>
      </c>
      <c r="M40" s="7">
        <f t="shared" si="8"/>
        <v>42062.56064482998</v>
      </c>
      <c r="N40"/>
      <c r="O40"/>
      <c r="P40"/>
      <c r="Q40"/>
      <c r="R40"/>
      <c r="S40"/>
      <c r="T40"/>
      <c r="U40"/>
      <c r="V40"/>
      <c r="W40"/>
      <c r="X40"/>
    </row>
    <row r="41" spans="1:24" ht="12.75">
      <c r="A41" s="12" t="s">
        <v>230</v>
      </c>
      <c r="B41"/>
      <c r="C41" s="3" t="s">
        <v>24</v>
      </c>
      <c r="D41" s="88">
        <v>1830597.75</v>
      </c>
      <c r="E41" s="10">
        <v>4427885</v>
      </c>
      <c r="F41" s="39">
        <f t="shared" si="5"/>
        <v>0.41342486311184684</v>
      </c>
      <c r="G41" s="95">
        <v>242</v>
      </c>
      <c r="H41"/>
      <c r="I41"/>
      <c r="J41"/>
      <c r="K41" s="7">
        <f t="shared" si="6"/>
        <v>869.950932068358</v>
      </c>
      <c r="L41" s="7">
        <f t="shared" si="7"/>
        <v>2104.254024589237</v>
      </c>
      <c r="M41" s="7">
        <f t="shared" si="8"/>
        <v>509229.4739505953</v>
      </c>
      <c r="N41"/>
      <c r="O41"/>
      <c r="P41"/>
      <c r="Q41"/>
      <c r="R41"/>
      <c r="S41"/>
      <c r="T41"/>
      <c r="U41"/>
      <c r="V41"/>
      <c r="W41"/>
      <c r="X41"/>
    </row>
    <row r="42" spans="1:24" ht="12.75">
      <c r="A42" s="12" t="s">
        <v>323</v>
      </c>
      <c r="B42"/>
      <c r="C42" s="3"/>
      <c r="D42" s="10">
        <v>117654.22</v>
      </c>
      <c r="E42" s="10">
        <v>527534</v>
      </c>
      <c r="F42" s="39">
        <f t="shared" si="5"/>
        <v>0.22302680016833037</v>
      </c>
      <c r="G42" s="95">
        <v>276</v>
      </c>
      <c r="H42"/>
      <c r="I42"/>
      <c r="J42"/>
      <c r="K42" s="7">
        <f t="shared" si="6"/>
        <v>161.987790320446</v>
      </c>
      <c r="L42" s="7">
        <f t="shared" si="7"/>
        <v>726.3153585048302</v>
      </c>
      <c r="M42" s="7">
        <f t="shared" si="8"/>
        <v>200463.03894733315</v>
      </c>
      <c r="N42"/>
      <c r="O42"/>
      <c r="P42"/>
      <c r="Q42"/>
      <c r="R42"/>
      <c r="S42"/>
      <c r="T42"/>
      <c r="U42"/>
      <c r="V42"/>
      <c r="W42"/>
      <c r="X42"/>
    </row>
    <row r="43" spans="1:24" ht="12.75">
      <c r="A43" s="12" t="s">
        <v>250</v>
      </c>
      <c r="B43"/>
      <c r="C43" s="3" t="s">
        <v>24</v>
      </c>
      <c r="D43" s="10">
        <v>1598034.82</v>
      </c>
      <c r="E43" s="10">
        <v>2199887</v>
      </c>
      <c r="F43" s="39">
        <f t="shared" si="5"/>
        <v>0.7264167750434455</v>
      </c>
      <c r="G43" s="95">
        <v>357</v>
      </c>
      <c r="H43"/>
      <c r="I43"/>
      <c r="J43"/>
      <c r="K43" s="7">
        <f t="shared" si="6"/>
        <v>1077.4225263802186</v>
      </c>
      <c r="L43" s="7">
        <f t="shared" si="7"/>
        <v>1483.2016046377512</v>
      </c>
      <c r="M43" s="7">
        <f t="shared" si="8"/>
        <v>529502.9728556771</v>
      </c>
      <c r="N43"/>
      <c r="O43"/>
      <c r="P43"/>
      <c r="Q43"/>
      <c r="R43"/>
      <c r="S43"/>
      <c r="T43"/>
      <c r="U43"/>
      <c r="V43"/>
      <c r="W43"/>
      <c r="X43"/>
    </row>
    <row r="44" spans="1:13" ht="12.75">
      <c r="A44" s="12" t="s">
        <v>232</v>
      </c>
      <c r="C44" s="3" t="s">
        <v>24</v>
      </c>
      <c r="D44" s="10">
        <v>6485602.85</v>
      </c>
      <c r="E44" s="10">
        <v>12712740</v>
      </c>
      <c r="F44" s="39">
        <f t="shared" si="5"/>
        <v>0.5101656173256119</v>
      </c>
      <c r="G44" s="95">
        <v>184</v>
      </c>
      <c r="K44" s="7">
        <f t="shared" si="6"/>
        <v>1818.9919135881275</v>
      </c>
      <c r="L44" s="7">
        <f t="shared" si="7"/>
        <v>3565.492953295519</v>
      </c>
      <c r="M44" s="7">
        <f t="shared" si="8"/>
        <v>656050.7034063755</v>
      </c>
    </row>
    <row r="45" spans="1:24" ht="12.75">
      <c r="A45" s="12" t="s">
        <v>233</v>
      </c>
      <c r="B45"/>
      <c r="C45" s="3" t="s">
        <v>24</v>
      </c>
      <c r="D45" s="10">
        <v>2030455</v>
      </c>
      <c r="E45" s="10">
        <v>6419781.66</v>
      </c>
      <c r="F45" s="39">
        <f t="shared" si="5"/>
        <v>0.31628100573127593</v>
      </c>
      <c r="G45" s="95">
        <v>140</v>
      </c>
      <c r="H45"/>
      <c r="I45"/>
      <c r="J45"/>
      <c r="K45" s="7">
        <f t="shared" si="6"/>
        <v>801.3702948650505</v>
      </c>
      <c r="L45" s="7">
        <f t="shared" si="7"/>
        <v>2533.7288055354306</v>
      </c>
      <c r="M45" s="7">
        <f t="shared" si="8"/>
        <v>354722.0327749603</v>
      </c>
      <c r="N45"/>
      <c r="O45"/>
      <c r="P45"/>
      <c r="Q45"/>
      <c r="R45"/>
      <c r="S45"/>
      <c r="T45"/>
      <c r="U45"/>
      <c r="V45"/>
      <c r="W45"/>
      <c r="X45"/>
    </row>
    <row r="46" spans="1:24" ht="12.75">
      <c r="A46" s="12" t="s">
        <v>251</v>
      </c>
      <c r="B46"/>
      <c r="C46" s="3" t="s">
        <v>24</v>
      </c>
      <c r="D46" s="10">
        <v>880426.44</v>
      </c>
      <c r="E46" s="10">
        <v>918426</v>
      </c>
      <c r="F46" s="39">
        <f>(D46/E46)</f>
        <v>0.9586253437947095</v>
      </c>
      <c r="G46" s="95">
        <v>519</v>
      </c>
      <c r="H46"/>
      <c r="I46"/>
      <c r="J46"/>
      <c r="K46" s="7">
        <f t="shared" si="6"/>
        <v>918.6942357122701</v>
      </c>
      <c r="L46" s="7">
        <f t="shared" si="7"/>
        <v>958.3454491987741</v>
      </c>
      <c r="M46" s="7">
        <f t="shared" si="8"/>
        <v>497381.28813416377</v>
      </c>
      <c r="N46"/>
      <c r="O46"/>
      <c r="P46"/>
      <c r="Q46"/>
      <c r="R46"/>
      <c r="S46"/>
      <c r="T46"/>
      <c r="U46"/>
      <c r="V46"/>
      <c r="W46"/>
      <c r="X46"/>
    </row>
    <row r="47" spans="1:24" ht="12.75">
      <c r="A47" s="12" t="s">
        <v>231</v>
      </c>
      <c r="B47"/>
      <c r="C47" s="3" t="s">
        <v>24</v>
      </c>
      <c r="D47" s="10">
        <v>23425.39</v>
      </c>
      <c r="E47" s="10">
        <v>2259903</v>
      </c>
      <c r="F47" s="39">
        <f>(D47/E47)</f>
        <v>0.010365661712029232</v>
      </c>
      <c r="G47" s="95">
        <v>315</v>
      </c>
      <c r="H47"/>
      <c r="I47"/>
      <c r="J47"/>
      <c r="K47" s="7">
        <f t="shared" si="6"/>
        <v>15.582672049823563</v>
      </c>
      <c r="L47" s="7">
        <f t="shared" si="7"/>
        <v>1503.2973757710083</v>
      </c>
      <c r="M47" s="7">
        <f t="shared" si="8"/>
        <v>473538.6733678676</v>
      </c>
      <c r="N47"/>
      <c r="O47"/>
      <c r="P47"/>
      <c r="Q47"/>
      <c r="R47"/>
      <c r="S47"/>
      <c r="T47"/>
      <c r="U47"/>
      <c r="V47"/>
      <c r="W47"/>
      <c r="X47"/>
    </row>
    <row r="48" spans="1:24" ht="12.75">
      <c r="A48" s="12" t="s">
        <v>327</v>
      </c>
      <c r="B48"/>
      <c r="C48" s="3"/>
      <c r="D48" s="10">
        <v>109.84</v>
      </c>
      <c r="E48" s="10">
        <v>267</v>
      </c>
      <c r="F48" s="39">
        <f aca="true" t="shared" si="9" ref="F48:F56">(D48/E48)</f>
        <v>0.4113857677902622</v>
      </c>
      <c r="G48" s="95">
        <v>576</v>
      </c>
      <c r="H48"/>
      <c r="I48"/>
      <c r="J48"/>
      <c r="K48" s="7">
        <f t="shared" si="6"/>
        <v>6.722098834001357</v>
      </c>
      <c r="L48" s="7">
        <f t="shared" si="7"/>
        <v>16.34013463836819</v>
      </c>
      <c r="M48" s="7">
        <f t="shared" si="8"/>
        <v>9411.917551700079</v>
      </c>
      <c r="N48"/>
      <c r="O48"/>
      <c r="P48"/>
      <c r="Q48"/>
      <c r="R48"/>
      <c r="S48"/>
      <c r="T48"/>
      <c r="U48"/>
      <c r="V48"/>
      <c r="W48"/>
      <c r="X48"/>
    </row>
    <row r="49" spans="1:24" ht="12.75">
      <c r="A49" s="12" t="s">
        <v>328</v>
      </c>
      <c r="B49"/>
      <c r="C49" s="3"/>
      <c r="D49" s="10">
        <v>83322.62</v>
      </c>
      <c r="E49" s="10">
        <v>72029</v>
      </c>
      <c r="F49" s="39">
        <f t="shared" si="9"/>
        <v>1.1567926807258186</v>
      </c>
      <c r="G49" s="8">
        <v>268</v>
      </c>
      <c r="H49"/>
      <c r="I49"/>
      <c r="J49"/>
      <c r="K49" s="7">
        <f t="shared" si="6"/>
        <v>310.46255322485945</v>
      </c>
      <c r="L49" s="7">
        <f t="shared" si="7"/>
        <v>268.382190169169</v>
      </c>
      <c r="M49" s="7">
        <f t="shared" si="8"/>
        <v>71926.42696533729</v>
      </c>
      <c r="N49"/>
      <c r="O49"/>
      <c r="P49"/>
      <c r="Q49"/>
      <c r="R49"/>
      <c r="S49"/>
      <c r="T49"/>
      <c r="U49"/>
      <c r="V49"/>
      <c r="W49"/>
      <c r="X49"/>
    </row>
    <row r="50" spans="1:24" ht="12.75">
      <c r="A50" s="12" t="s">
        <v>329</v>
      </c>
      <c r="B50"/>
      <c r="C50" s="3"/>
      <c r="D50" s="10">
        <v>4242.37</v>
      </c>
      <c r="E50" s="10">
        <v>7885</v>
      </c>
      <c r="F50" s="39">
        <f t="shared" si="9"/>
        <v>0.5380304375396322</v>
      </c>
      <c r="G50" s="94">
        <v>268</v>
      </c>
      <c r="H50"/>
      <c r="I50"/>
      <c r="J50"/>
      <c r="K50" s="7">
        <f t="shared" si="6"/>
        <v>47.77576987663317</v>
      </c>
      <c r="L50" s="7">
        <f t="shared" si="7"/>
        <v>88.79752248796134</v>
      </c>
      <c r="M50" s="7">
        <f t="shared" si="8"/>
        <v>23797.73602677364</v>
      </c>
      <c r="N50"/>
      <c r="O50"/>
      <c r="P50"/>
      <c r="Q50"/>
      <c r="R50"/>
      <c r="S50"/>
      <c r="T50"/>
      <c r="U50"/>
      <c r="V50"/>
      <c r="W50"/>
      <c r="X50"/>
    </row>
    <row r="51" spans="1:24" ht="12.75">
      <c r="A51" s="12" t="s">
        <v>330</v>
      </c>
      <c r="B51"/>
      <c r="C51" s="3"/>
      <c r="D51" s="10">
        <v>8106.39</v>
      </c>
      <c r="E51" s="10">
        <v>1430</v>
      </c>
      <c r="F51" s="39">
        <f t="shared" si="9"/>
        <v>5.668804195804196</v>
      </c>
      <c r="G51" s="94">
        <v>128</v>
      </c>
      <c r="H51"/>
      <c r="I51"/>
      <c r="J51"/>
      <c r="K51" s="7">
        <f t="shared" si="6"/>
        <v>214.36776260628642</v>
      </c>
      <c r="L51" s="7">
        <f t="shared" si="7"/>
        <v>37.815340802378074</v>
      </c>
      <c r="M51" s="7">
        <f t="shared" si="8"/>
        <v>4840.3636227043935</v>
      </c>
      <c r="N51"/>
      <c r="O51"/>
      <c r="P51"/>
      <c r="Q51"/>
      <c r="R51"/>
      <c r="S51"/>
      <c r="T51"/>
      <c r="U51"/>
      <c r="V51"/>
      <c r="W51"/>
      <c r="X51"/>
    </row>
    <row r="52" spans="1:24" ht="12.75">
      <c r="A52" s="12" t="s">
        <v>331</v>
      </c>
      <c r="B52"/>
      <c r="C52" s="3"/>
      <c r="D52" s="10">
        <v>200</v>
      </c>
      <c r="E52" s="10">
        <v>838.46</v>
      </c>
      <c r="F52" s="39">
        <f t="shared" si="9"/>
        <v>0.2385325477661427</v>
      </c>
      <c r="G52" s="94">
        <v>128</v>
      </c>
      <c r="H52"/>
      <c r="I52"/>
      <c r="J52"/>
      <c r="K52" s="7">
        <f t="shared" si="6"/>
        <v>6.906989905395008</v>
      </c>
      <c r="L52" s="7">
        <f t="shared" si="7"/>
        <v>28.95617378038749</v>
      </c>
      <c r="M52" s="7">
        <f t="shared" si="8"/>
        <v>3706.390243889599</v>
      </c>
      <c r="N52"/>
      <c r="O52"/>
      <c r="P52"/>
      <c r="Q52"/>
      <c r="R52"/>
      <c r="S52"/>
      <c r="T52"/>
      <c r="U52"/>
      <c r="V52"/>
      <c r="W52"/>
      <c r="X52"/>
    </row>
    <row r="53" spans="1:24" ht="12.75">
      <c r="A53" s="12" t="s">
        <v>332</v>
      </c>
      <c r="B53"/>
      <c r="C53" s="3"/>
      <c r="D53" s="10">
        <v>7470</v>
      </c>
      <c r="E53" s="10">
        <v>950</v>
      </c>
      <c r="F53" s="39">
        <f t="shared" si="9"/>
        <v>7.863157894736842</v>
      </c>
      <c r="G53" s="94">
        <v>172</v>
      </c>
      <c r="H53"/>
      <c r="I53"/>
      <c r="J53"/>
      <c r="K53" s="7">
        <f t="shared" si="6"/>
        <v>242.35880316935925</v>
      </c>
      <c r="L53" s="7">
        <f t="shared" si="7"/>
        <v>30.822070014844883</v>
      </c>
      <c r="M53" s="7">
        <f t="shared" si="8"/>
        <v>5301.39604255332</v>
      </c>
      <c r="N53"/>
      <c r="O53"/>
      <c r="P53"/>
      <c r="Q53"/>
      <c r="R53"/>
      <c r="S53"/>
      <c r="T53"/>
      <c r="U53"/>
      <c r="V53"/>
      <c r="W53"/>
      <c r="X53"/>
    </row>
    <row r="54" spans="1:24" ht="12.75">
      <c r="A54" s="12" t="s">
        <v>326</v>
      </c>
      <c r="B54"/>
      <c r="C54" s="3"/>
      <c r="D54" s="10">
        <v>9350.82</v>
      </c>
      <c r="E54" s="10">
        <v>44109</v>
      </c>
      <c r="F54" s="39">
        <f>(D54/E54)</f>
        <v>0.21199347072026117</v>
      </c>
      <c r="G54" s="94">
        <v>308</v>
      </c>
      <c r="H54"/>
      <c r="I54"/>
      <c r="J54"/>
      <c r="K54" s="7">
        <f t="shared" si="6"/>
        <v>44.52317133673693</v>
      </c>
      <c r="L54" s="7">
        <f t="shared" si="7"/>
        <v>210.02142747824567</v>
      </c>
      <c r="M54" s="7">
        <f t="shared" si="8"/>
        <v>64686.59966329967</v>
      </c>
      <c r="N54"/>
      <c r="O54"/>
      <c r="P54"/>
      <c r="Q54"/>
      <c r="R54"/>
      <c r="S54"/>
      <c r="T54"/>
      <c r="U54"/>
      <c r="V54"/>
      <c r="W54"/>
      <c r="X54"/>
    </row>
    <row r="55" spans="1:24" ht="12.75">
      <c r="A55" s="12" t="s">
        <v>333</v>
      </c>
      <c r="B55"/>
      <c r="C55" s="3"/>
      <c r="D55" s="14">
        <v>70292.09</v>
      </c>
      <c r="E55" s="14">
        <v>23880</v>
      </c>
      <c r="F55" s="118">
        <f t="shared" si="9"/>
        <v>2.9435548576214403</v>
      </c>
      <c r="G55" s="119">
        <v>268</v>
      </c>
      <c r="H55"/>
      <c r="I55"/>
      <c r="J55"/>
      <c r="K55" s="7">
        <f t="shared" si="6"/>
        <v>454.87209517826375</v>
      </c>
      <c r="L55" s="7">
        <f t="shared" si="7"/>
        <v>154.53155017665486</v>
      </c>
      <c r="M55" s="7">
        <f t="shared" si="8"/>
        <v>41414.455447343506</v>
      </c>
      <c r="N55"/>
      <c r="O55"/>
      <c r="P55"/>
      <c r="Q55"/>
      <c r="R55"/>
      <c r="S55"/>
      <c r="T55"/>
      <c r="U55"/>
      <c r="V55"/>
      <c r="W55"/>
      <c r="X55"/>
    </row>
    <row r="56" spans="1:24" ht="12.75">
      <c r="A56" s="19" t="s">
        <v>377</v>
      </c>
      <c r="B56" s="12"/>
      <c r="C56" s="3" t="s">
        <v>24</v>
      </c>
      <c r="D56" s="41">
        <f>SUM(D37:D55)</f>
        <v>13190145.059999999</v>
      </c>
      <c r="E56" s="41">
        <f>SUM(E37:E55)</f>
        <v>30099084.12</v>
      </c>
      <c r="F56" s="120">
        <f t="shared" si="9"/>
        <v>0.4382241335787196</v>
      </c>
      <c r="G56" s="12" t="s">
        <v>24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2.75">
      <c r="A57" s="12" t="s">
        <v>24</v>
      </c>
      <c r="B57" s="12" t="s">
        <v>24</v>
      </c>
      <c r="C57" s="3" t="s">
        <v>24</v>
      </c>
      <c r="D57" s="10" t="s">
        <v>24</v>
      </c>
      <c r="E57" s="10" t="s">
        <v>24</v>
      </c>
      <c r="F57" s="12"/>
      <c r="G57" s="12" t="s">
        <v>24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2.75">
      <c r="A58" s="12" t="s">
        <v>74</v>
      </c>
      <c r="B58" s="12"/>
      <c r="D58" s="79">
        <f>INDEX(LINEST(K37:K55,L37:M55),1)</f>
        <v>0.0008098305824323867</v>
      </c>
      <c r="E58" s="10" t="s">
        <v>24</v>
      </c>
      <c r="F58" s="12"/>
      <c r="G58" s="3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5">
      <c r="A59" s="12" t="s">
        <v>75</v>
      </c>
      <c r="B59" s="12"/>
      <c r="C59" s="3" t="s">
        <v>24</v>
      </c>
      <c r="D59" s="79">
        <f>INDEX(LINEST(K37:K55,L37:M55),2)</f>
        <v>0.2523595793034554</v>
      </c>
      <c r="E59" s="10"/>
      <c r="F59" s="12"/>
      <c r="G59" s="3"/>
      <c r="H59"/>
      <c r="I59"/>
      <c r="J59"/>
      <c r="K59"/>
      <c r="L59" s="77" t="s">
        <v>24</v>
      </c>
      <c r="M59" s="12" t="s">
        <v>24</v>
      </c>
      <c r="N59" s="78" t="s">
        <v>24</v>
      </c>
      <c r="O59"/>
      <c r="P59"/>
      <c r="Q59"/>
      <c r="R59"/>
      <c r="S59"/>
      <c r="T59"/>
      <c r="U59"/>
      <c r="V59"/>
      <c r="W59"/>
      <c r="X59"/>
    </row>
    <row r="60" spans="1:14" ht="15">
      <c r="A60" s="12" t="s">
        <v>262</v>
      </c>
      <c r="B60" s="12"/>
      <c r="C60" s="12"/>
      <c r="D60" s="10"/>
      <c r="E60" s="10">
        <f>(E56)</f>
        <v>30099084.12</v>
      </c>
      <c r="F60" s="12"/>
      <c r="G60" s="12"/>
      <c r="H60" s="12"/>
      <c r="I60" s="12"/>
      <c r="J60" s="12"/>
      <c r="K60" s="12"/>
      <c r="L60" s="77" t="s">
        <v>24</v>
      </c>
      <c r="M60" s="3"/>
      <c r="N60" s="78" t="s">
        <v>24</v>
      </c>
    </row>
    <row r="61" spans="1:12" ht="12.75">
      <c r="A61" s="19" t="s">
        <v>400</v>
      </c>
      <c r="B61" s="19"/>
      <c r="C61" s="19"/>
      <c r="D61" s="26"/>
      <c r="E61" s="80">
        <f>(D59)</f>
        <v>0.2523595793034554</v>
      </c>
      <c r="F61" s="19"/>
      <c r="G61" s="12"/>
      <c r="H61" s="12"/>
      <c r="I61" s="12"/>
      <c r="J61" s="12"/>
      <c r="K61" s="12"/>
      <c r="L61" s="12"/>
    </row>
    <row r="62" spans="1:12" ht="12.75">
      <c r="A62" s="19" t="s">
        <v>290</v>
      </c>
      <c r="B62" s="19"/>
      <c r="C62" s="19"/>
      <c r="D62" s="26"/>
      <c r="E62" s="12">
        <f>(E61*E60)</f>
        <v>7595792.205942514</v>
      </c>
      <c r="F62" s="116">
        <f>(E62/E64)</f>
        <v>0.575868739228446</v>
      </c>
      <c r="G62" s="12"/>
      <c r="H62" s="12"/>
      <c r="I62" s="12"/>
      <c r="J62" s="12"/>
      <c r="K62" s="12"/>
      <c r="L62" s="12"/>
    </row>
    <row r="63" spans="1:12" ht="12.75">
      <c r="A63" s="19" t="s">
        <v>142</v>
      </c>
      <c r="B63" s="19"/>
      <c r="C63" s="19"/>
      <c r="D63" s="26"/>
      <c r="E63" s="26">
        <f>(E64-E62)</f>
        <v>5594352.854057484</v>
      </c>
      <c r="F63" s="116">
        <f>(E63/E64)</f>
        <v>0.424131260771554</v>
      </c>
      <c r="G63" s="12"/>
      <c r="H63" s="12"/>
      <c r="I63" s="12"/>
      <c r="J63" s="12"/>
      <c r="K63" s="12"/>
      <c r="L63" s="12"/>
    </row>
    <row r="64" spans="1:12" ht="12.75">
      <c r="A64" s="19" t="s">
        <v>393</v>
      </c>
      <c r="B64" s="19"/>
      <c r="C64" s="19"/>
      <c r="D64" s="26"/>
      <c r="E64" s="19">
        <f>(D56)</f>
        <v>13190145.059999999</v>
      </c>
      <c r="F64" s="21">
        <f>(F62+F63)</f>
        <v>1</v>
      </c>
      <c r="G64" s="12"/>
      <c r="H64" s="12"/>
      <c r="I64" s="12"/>
      <c r="J64" s="12"/>
      <c r="K64" s="12"/>
      <c r="L64" s="12"/>
    </row>
    <row r="65" spans="1:12" ht="12.75">
      <c r="A65" s="19"/>
      <c r="B65" s="19"/>
      <c r="C65" s="19"/>
      <c r="D65" s="26"/>
      <c r="E65" s="19"/>
      <c r="F65" s="21"/>
      <c r="G65" s="12"/>
      <c r="H65" s="12"/>
      <c r="I65" s="12"/>
      <c r="J65" s="12"/>
      <c r="K65" s="12"/>
      <c r="L65" s="12"/>
    </row>
    <row r="66" spans="1:12" ht="12.75">
      <c r="A66" s="19"/>
      <c r="B66" s="19"/>
      <c r="C66" s="19"/>
      <c r="D66" s="26"/>
      <c r="E66" s="19"/>
      <c r="F66" s="21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0"/>
      <c r="E67" s="12"/>
      <c r="F67" s="12"/>
      <c r="G67" s="12"/>
      <c r="H67" s="12"/>
      <c r="I67" s="12"/>
      <c r="J67" s="12"/>
      <c r="K67" s="12"/>
      <c r="L67" s="12"/>
    </row>
    <row r="68" spans="1:12" ht="15">
      <c r="A68" s="19"/>
      <c r="B68" s="19"/>
      <c r="C68" s="19"/>
      <c r="D68" s="430" t="s">
        <v>380</v>
      </c>
      <c r="E68" s="430"/>
      <c r="F68" s="430"/>
      <c r="G68" s="25"/>
      <c r="H68" s="25"/>
      <c r="I68" s="12"/>
      <c r="J68" s="12"/>
      <c r="K68" s="12"/>
      <c r="L68" s="12"/>
    </row>
    <row r="69" spans="1:12" ht="12.75">
      <c r="A69" s="19"/>
      <c r="B69" s="19"/>
      <c r="C69" s="19"/>
      <c r="D69" s="26"/>
      <c r="E69" s="19"/>
      <c r="F69" s="25"/>
      <c r="G69" s="25"/>
      <c r="H69" s="25"/>
      <c r="I69" s="12"/>
      <c r="J69" s="12"/>
      <c r="K69" s="12"/>
      <c r="L69" s="12"/>
    </row>
    <row r="70" spans="1:12" ht="15">
      <c r="A70" s="38" t="s">
        <v>79</v>
      </c>
      <c r="B70" s="81"/>
      <c r="C70" s="38"/>
      <c r="D70" s="82" t="s">
        <v>70</v>
      </c>
      <c r="E70" s="38" t="s">
        <v>382</v>
      </c>
      <c r="F70" s="38" t="s">
        <v>71</v>
      </c>
      <c r="G70" s="76" t="s">
        <v>381</v>
      </c>
      <c r="H70" s="25"/>
      <c r="I70" s="12"/>
      <c r="J70" s="12"/>
      <c r="K70" s="12"/>
      <c r="L70" s="12"/>
    </row>
    <row r="71" spans="1:12" ht="12.75">
      <c r="A71" s="19"/>
      <c r="B71" s="19"/>
      <c r="C71" s="19"/>
      <c r="D71" s="26"/>
      <c r="E71" s="19"/>
      <c r="F71" s="25"/>
      <c r="G71" s="25"/>
      <c r="H71" s="25"/>
      <c r="I71" s="12"/>
      <c r="J71" s="12"/>
      <c r="K71" s="12"/>
      <c r="L71" s="12"/>
    </row>
    <row r="72" spans="1:13" ht="12.75">
      <c r="A72" s="19" t="s">
        <v>383</v>
      </c>
      <c r="B72" s="19"/>
      <c r="C72" s="19"/>
      <c r="D72" s="26">
        <v>2769.12</v>
      </c>
      <c r="E72" s="26">
        <v>373</v>
      </c>
      <c r="F72" s="19">
        <f>(D72/E72)</f>
        <v>7.423914209115281</v>
      </c>
      <c r="G72" s="95">
        <v>70</v>
      </c>
      <c r="H72" s="25"/>
      <c r="I72" s="96" t="s">
        <v>24</v>
      </c>
      <c r="K72" s="91" t="s">
        <v>24</v>
      </c>
      <c r="L72" s="91" t="s">
        <v>24</v>
      </c>
      <c r="M72" s="91" t="s">
        <v>24</v>
      </c>
    </row>
    <row r="73" spans="1:9" ht="12.75">
      <c r="A73" s="19" t="s">
        <v>384</v>
      </c>
      <c r="B73" s="19"/>
      <c r="C73" s="19"/>
      <c r="D73" s="26">
        <v>227471</v>
      </c>
      <c r="E73" s="26">
        <v>53184</v>
      </c>
      <c r="F73" s="19">
        <f>(D73/E73)</f>
        <v>4.277057009626955</v>
      </c>
      <c r="G73" s="95">
        <v>120</v>
      </c>
      <c r="H73" s="25"/>
      <c r="I73" s="96" t="s">
        <v>24</v>
      </c>
    </row>
    <row r="74" spans="1:9" ht="12.75">
      <c r="A74" s="19" t="s">
        <v>385</v>
      </c>
      <c r="B74" s="19"/>
      <c r="C74" s="19"/>
      <c r="D74" s="8">
        <v>4566.81</v>
      </c>
      <c r="E74" s="8">
        <v>570</v>
      </c>
      <c r="F74" s="19">
        <f aca="true" t="shared" si="10" ref="F74:F82">(D74/E74)</f>
        <v>8.011947368421053</v>
      </c>
      <c r="G74" s="95">
        <v>90</v>
      </c>
      <c r="H74" s="25"/>
      <c r="I74" s="96" t="s">
        <v>24</v>
      </c>
    </row>
    <row r="75" spans="1:13" ht="12.75">
      <c r="A75" s="85" t="s">
        <v>386</v>
      </c>
      <c r="B75" s="19"/>
      <c r="C75" s="19"/>
      <c r="D75" s="26">
        <v>156635.2</v>
      </c>
      <c r="E75" s="26">
        <v>29635</v>
      </c>
      <c r="F75" s="19">
        <f t="shared" si="10"/>
        <v>5.285480006748777</v>
      </c>
      <c r="G75" s="95">
        <v>320</v>
      </c>
      <c r="H75" s="25"/>
      <c r="I75" s="96" t="s">
        <v>24</v>
      </c>
      <c r="K75" s="7">
        <f>SQRT(E73)*F73</f>
        <v>986.3601953834375</v>
      </c>
      <c r="L75" s="7">
        <f>SQRT(E73)</f>
        <v>230.61656488639318</v>
      </c>
      <c r="M75" s="7">
        <f>SQRT(E73)*G73</f>
        <v>27673.987786367183</v>
      </c>
    </row>
    <row r="76" spans="1:13" ht="12.75">
      <c r="A76" s="19" t="s">
        <v>387</v>
      </c>
      <c r="B76" s="19"/>
      <c r="C76" s="19"/>
      <c r="D76" s="26">
        <v>33664.31</v>
      </c>
      <c r="E76" s="26">
        <v>13213</v>
      </c>
      <c r="F76" s="19">
        <f t="shared" si="10"/>
        <v>2.5478173011428136</v>
      </c>
      <c r="G76" s="95">
        <v>155</v>
      </c>
      <c r="H76" s="25"/>
      <c r="I76" s="96" t="s">
        <v>24</v>
      </c>
      <c r="K76" s="7">
        <f>SQRT(E75)*F75</f>
        <v>909.885826877799</v>
      </c>
      <c r="L76" s="7">
        <f>SQRT(E75)</f>
        <v>172.1481919742406</v>
      </c>
      <c r="M76" s="7">
        <f>SQRT(E75)*G75</f>
        <v>55087.42143175699</v>
      </c>
    </row>
    <row r="77" spans="1:13" ht="12.75">
      <c r="A77" s="19" t="s">
        <v>388</v>
      </c>
      <c r="B77" s="19"/>
      <c r="C77" s="19"/>
      <c r="D77" s="26">
        <v>882419.68</v>
      </c>
      <c r="E77" s="26">
        <v>248394</v>
      </c>
      <c r="F77" s="19">
        <f t="shared" si="10"/>
        <v>3.5524999798706896</v>
      </c>
      <c r="G77" s="95">
        <v>180</v>
      </c>
      <c r="H77" s="25"/>
      <c r="I77" s="96" t="s">
        <v>24</v>
      </c>
      <c r="K77" s="7">
        <f>SQRT(E76)*F76</f>
        <v>292.8660298652526</v>
      </c>
      <c r="L77" s="7">
        <f>SQRT(E76)</f>
        <v>114.94781424629178</v>
      </c>
      <c r="M77" s="7">
        <f>SQRT(E76)*G76</f>
        <v>17816.91120817523</v>
      </c>
    </row>
    <row r="78" spans="1:13" ht="12.75">
      <c r="A78" s="19" t="s">
        <v>389</v>
      </c>
      <c r="B78" s="19"/>
      <c r="C78" s="19"/>
      <c r="D78" s="26">
        <v>942695.19</v>
      </c>
      <c r="E78" s="26">
        <v>292874</v>
      </c>
      <c r="F78" s="19">
        <f t="shared" si="10"/>
        <v>3.2187739095993497</v>
      </c>
      <c r="G78" s="95">
        <v>240</v>
      </c>
      <c r="H78" s="25"/>
      <c r="I78" s="96" t="s">
        <v>24</v>
      </c>
      <c r="K78" s="7">
        <f>SQRT(E77)*F77</f>
        <v>1770.5354826824287</v>
      </c>
      <c r="L78" s="7">
        <f>SQRT(E77)</f>
        <v>498.3914124460814</v>
      </c>
      <c r="M78" s="7">
        <f>SQRT(E77)*G77</f>
        <v>89710.45424029465</v>
      </c>
    </row>
    <row r="79" spans="1:13" ht="12.75">
      <c r="A79" s="19" t="s">
        <v>390</v>
      </c>
      <c r="B79" s="19"/>
      <c r="C79" s="19"/>
      <c r="D79" s="26">
        <v>5462.43</v>
      </c>
      <c r="E79" s="26">
        <v>746</v>
      </c>
      <c r="F79" s="19">
        <f t="shared" si="10"/>
        <v>7.322292225201073</v>
      </c>
      <c r="G79" s="95">
        <v>320</v>
      </c>
      <c r="H79" s="25"/>
      <c r="I79" s="96" t="s">
        <v>24</v>
      </c>
      <c r="K79" s="7">
        <f>SQRT(E78)*F78</f>
        <v>1741.930734064016</v>
      </c>
      <c r="L79" s="7">
        <f>SQRT(E78)</f>
        <v>541.1783439865272</v>
      </c>
      <c r="M79" s="7">
        <f>SQRT(E78)*G78</f>
        <v>129882.80255676653</v>
      </c>
    </row>
    <row r="80" spans="1:13" ht="12.75">
      <c r="A80" s="19" t="s">
        <v>391</v>
      </c>
      <c r="B80" s="19"/>
      <c r="C80" s="19"/>
      <c r="D80" s="26">
        <v>756273.12</v>
      </c>
      <c r="E80" s="26">
        <v>172891</v>
      </c>
      <c r="F80" s="19">
        <f t="shared" si="10"/>
        <v>4.374276972196355</v>
      </c>
      <c r="G80" s="95">
        <v>119</v>
      </c>
      <c r="H80" s="25"/>
      <c r="I80" s="96" t="s">
        <v>24</v>
      </c>
      <c r="K80" s="7">
        <f>SQRT(E80)*F80</f>
        <v>1818.83151872489</v>
      </c>
      <c r="L80" s="7">
        <f>SQRT(E80)</f>
        <v>415.80163539841925</v>
      </c>
      <c r="M80" s="7">
        <f>SQRT(E80)*G80</f>
        <v>49480.39461241189</v>
      </c>
    </row>
    <row r="81" spans="1:13" ht="12.75">
      <c r="A81" s="19" t="s">
        <v>392</v>
      </c>
      <c r="B81" s="19"/>
      <c r="C81" s="19"/>
      <c r="D81" s="86">
        <v>56981.72</v>
      </c>
      <c r="E81" s="86">
        <v>28826</v>
      </c>
      <c r="F81" s="87">
        <f t="shared" si="10"/>
        <v>1.9767473808367446</v>
      </c>
      <c r="G81" s="123">
        <v>168</v>
      </c>
      <c r="H81" s="25"/>
      <c r="I81" s="96" t="s">
        <v>24</v>
      </c>
      <c r="K81" s="7">
        <f>SQRT(E81)*F81</f>
        <v>335.6165457267755</v>
      </c>
      <c r="L81" s="7">
        <f>SQRT(E81)</f>
        <v>169.7822134382751</v>
      </c>
      <c r="M81" s="7">
        <f>SQRT(E81)*G81</f>
        <v>28523.411857630217</v>
      </c>
    </row>
    <row r="82" spans="1:13" ht="12.75">
      <c r="A82" s="19" t="s">
        <v>377</v>
      </c>
      <c r="B82" s="19"/>
      <c r="C82" s="19"/>
      <c r="D82" s="121">
        <f>SUM(D72:D81)</f>
        <v>3068938.5800000005</v>
      </c>
      <c r="E82" s="121">
        <f>SUM(E72:E81)</f>
        <v>840706</v>
      </c>
      <c r="F82" s="122">
        <f t="shared" si="10"/>
        <v>3.6504302098474386</v>
      </c>
      <c r="G82" s="25"/>
      <c r="H82" s="25"/>
      <c r="I82" s="96" t="s">
        <v>24</v>
      </c>
      <c r="K82" s="91" t="s">
        <v>24</v>
      </c>
      <c r="L82" s="91" t="s">
        <v>24</v>
      </c>
      <c r="M82" s="7">
        <f>SQRT(E82)*G82</f>
        <v>0</v>
      </c>
    </row>
    <row r="83" spans="1:12" ht="12.75">
      <c r="A83" s="19"/>
      <c r="B83" s="19"/>
      <c r="C83" s="19"/>
      <c r="D83" s="26"/>
      <c r="E83" s="19"/>
      <c r="F83" s="25"/>
      <c r="G83" s="25"/>
      <c r="H83" s="25"/>
      <c r="I83" s="12"/>
      <c r="J83" s="12"/>
      <c r="K83" s="12"/>
      <c r="L83" s="12"/>
    </row>
    <row r="84" spans="1:12" ht="12.75">
      <c r="A84" s="12" t="s">
        <v>74</v>
      </c>
      <c r="B84" s="12"/>
      <c r="D84" s="79">
        <f>INDEX(LINEST(K75:K81,L75:M81),1)</f>
        <v>-0.0038556689495275846</v>
      </c>
      <c r="E84" s="10" t="s">
        <v>24</v>
      </c>
      <c r="F84" s="12"/>
      <c r="G84" s="25"/>
      <c r="H84" s="25"/>
      <c r="I84" s="12"/>
      <c r="J84" s="12"/>
      <c r="K84" s="12"/>
      <c r="L84" s="12"/>
    </row>
    <row r="85" spans="1:12" ht="12.75">
      <c r="A85" s="12" t="s">
        <v>75</v>
      </c>
      <c r="B85" s="12"/>
      <c r="C85" s="3" t="s">
        <v>24</v>
      </c>
      <c r="D85" s="79">
        <f>INDEX(LINEST(K75:K81,L75:M81),2)</f>
        <v>4.325538263064669</v>
      </c>
      <c r="E85" s="10"/>
      <c r="F85" s="12"/>
      <c r="G85" s="25"/>
      <c r="H85" s="25"/>
      <c r="I85" s="12"/>
      <c r="J85" s="12"/>
      <c r="K85" s="12"/>
      <c r="L85" s="12"/>
    </row>
    <row r="86" spans="1:12" ht="12.75">
      <c r="A86" s="12" t="s">
        <v>262</v>
      </c>
      <c r="B86" s="12"/>
      <c r="C86" s="12"/>
      <c r="D86" s="10"/>
      <c r="E86" s="10">
        <f>(E82)</f>
        <v>840706</v>
      </c>
      <c r="F86" s="12"/>
      <c r="G86" s="25"/>
      <c r="H86" s="25"/>
      <c r="I86" s="12"/>
      <c r="J86" s="12"/>
      <c r="K86" s="12"/>
      <c r="L86" s="12"/>
    </row>
    <row r="87" spans="1:12" ht="12.75">
      <c r="A87" s="19" t="s">
        <v>417</v>
      </c>
      <c r="B87" s="19"/>
      <c r="C87" s="19"/>
      <c r="D87" s="26"/>
      <c r="E87" s="80">
        <f>(F81)</f>
        <v>1.9767473808367446</v>
      </c>
      <c r="F87" s="19"/>
      <c r="G87" s="25"/>
      <c r="H87" s="25"/>
      <c r="I87" s="12"/>
      <c r="J87" s="12"/>
      <c r="K87" s="12"/>
      <c r="L87" s="12"/>
    </row>
    <row r="88" spans="1:12" ht="12.75">
      <c r="A88" s="19" t="s">
        <v>290</v>
      </c>
      <c r="B88" s="19"/>
      <c r="C88" s="19"/>
      <c r="D88" s="26"/>
      <c r="E88" s="12">
        <f>(E87*E86)</f>
        <v>1661863.3835537361</v>
      </c>
      <c r="F88" s="124">
        <f>(E88/E90)</f>
        <v>0.5415107993310625</v>
      </c>
      <c r="G88" s="25"/>
      <c r="H88" s="25"/>
      <c r="I88" s="12"/>
      <c r="J88" s="12"/>
      <c r="K88" s="12"/>
      <c r="L88" s="12"/>
    </row>
    <row r="89" spans="1:12" ht="12.75">
      <c r="A89" s="19" t="s">
        <v>142</v>
      </c>
      <c r="B89" s="19"/>
      <c r="C89" s="19"/>
      <c r="D89" s="26"/>
      <c r="E89" s="26">
        <f>(E90-E88)</f>
        <v>1407075.1964462644</v>
      </c>
      <c r="F89" s="125">
        <f>(E89/E90)</f>
        <v>0.4584892006689375</v>
      </c>
      <c r="G89" s="25"/>
      <c r="H89" s="25"/>
      <c r="I89" s="12"/>
      <c r="J89" s="12"/>
      <c r="K89" s="12"/>
      <c r="L89" s="12"/>
    </row>
    <row r="90" spans="1:12" ht="12.75">
      <c r="A90" s="19" t="s">
        <v>393</v>
      </c>
      <c r="B90" s="19"/>
      <c r="C90" s="19"/>
      <c r="D90" s="26"/>
      <c r="E90" s="19">
        <f>(D82)</f>
        <v>3068938.5800000005</v>
      </c>
      <c r="F90" s="21">
        <f>(F88+F89)</f>
        <v>1</v>
      </c>
      <c r="G90" s="25"/>
      <c r="H90" s="25"/>
      <c r="I90" s="12"/>
      <c r="J90" s="12"/>
      <c r="K90" s="12"/>
      <c r="L90" s="12"/>
    </row>
    <row r="91" spans="1:12" ht="12.75">
      <c r="A91" s="19"/>
      <c r="B91" s="19"/>
      <c r="C91" s="19"/>
      <c r="D91" s="26"/>
      <c r="E91" s="19"/>
      <c r="F91" s="21"/>
      <c r="G91" s="25"/>
      <c r="H91" s="25"/>
      <c r="I91" s="12"/>
      <c r="J91" s="12"/>
      <c r="K91" s="12"/>
      <c r="L91" s="12"/>
    </row>
    <row r="92" spans="1:12" ht="12.75">
      <c r="A92" s="19" t="s">
        <v>291</v>
      </c>
      <c r="B92" s="12"/>
      <c r="C92" s="12"/>
      <c r="D92" s="10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0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9"/>
      <c r="B94" s="19"/>
      <c r="C94" s="19"/>
      <c r="D94" s="100" t="s">
        <v>378</v>
      </c>
      <c r="E94" s="99" t="s">
        <v>104</v>
      </c>
      <c r="F94" s="99" t="s">
        <v>121</v>
      </c>
      <c r="G94" s="99" t="s">
        <v>104</v>
      </c>
      <c r="H94" s="99" t="s">
        <v>122</v>
      </c>
      <c r="I94" s="12"/>
      <c r="J94" s="12"/>
      <c r="K94" s="12"/>
      <c r="L94" s="12"/>
    </row>
    <row r="95" spans="1:12" ht="12.75">
      <c r="A95" s="19" t="s">
        <v>24</v>
      </c>
      <c r="B95" s="19"/>
      <c r="C95" s="19"/>
      <c r="D95" s="100" t="s">
        <v>70</v>
      </c>
      <c r="E95" s="99" t="s">
        <v>120</v>
      </c>
      <c r="F95" s="99" t="s">
        <v>11</v>
      </c>
      <c r="G95" s="99" t="s">
        <v>10</v>
      </c>
      <c r="H95" s="99" t="s">
        <v>10</v>
      </c>
      <c r="I95" s="12"/>
      <c r="J95" s="12"/>
      <c r="K95" s="12"/>
      <c r="L95" s="12"/>
    </row>
    <row r="96" spans="1:12" ht="12.75">
      <c r="A96" s="19"/>
      <c r="B96" s="19"/>
      <c r="C96" s="19"/>
      <c r="D96" s="100"/>
      <c r="E96" s="99"/>
      <c r="F96" s="99"/>
      <c r="G96" s="99"/>
      <c r="H96" s="99"/>
      <c r="I96" s="12"/>
      <c r="J96" s="12"/>
      <c r="K96" s="12"/>
      <c r="L96" s="12"/>
    </row>
    <row r="97" spans="1:12" ht="12.75">
      <c r="A97" s="19" t="s">
        <v>409</v>
      </c>
      <c r="B97" s="19"/>
      <c r="C97" s="19"/>
      <c r="D97" s="26">
        <f>(E90)</f>
        <v>3068938.5800000005</v>
      </c>
      <c r="E97" s="21">
        <f>(F88)</f>
        <v>0.5415107993310625</v>
      </c>
      <c r="F97" s="19">
        <f>(E97*D97)</f>
        <v>1661863.3835537361</v>
      </c>
      <c r="G97" s="21">
        <f>(F89)</f>
        <v>0.4584892006689375</v>
      </c>
      <c r="H97" s="26">
        <f>(G97*D97)</f>
        <v>1407075.1964462644</v>
      </c>
      <c r="I97" s="12"/>
      <c r="J97" s="12"/>
      <c r="K97" s="10">
        <f>SUM(D97:D99)</f>
        <v>35639545.800000004</v>
      </c>
      <c r="L97" s="12">
        <f>SUM(F97:F99)</f>
        <v>16416887.342886839</v>
      </c>
    </row>
    <row r="98" spans="1:12" ht="12.75">
      <c r="A98" s="19" t="s">
        <v>20</v>
      </c>
      <c r="B98" s="19"/>
      <c r="C98" s="19"/>
      <c r="D98" s="26">
        <f>(E64)</f>
        <v>13190145.059999999</v>
      </c>
      <c r="E98" s="21">
        <f>(F62)</f>
        <v>0.575868739228446</v>
      </c>
      <c r="F98" s="19">
        <f>(E98*D98)</f>
        <v>7595792.205942513</v>
      </c>
      <c r="G98" s="21">
        <f>(F63)</f>
        <v>0.424131260771554</v>
      </c>
      <c r="H98" s="26">
        <f>(G98*D98)</f>
        <v>5594352.854057484</v>
      </c>
      <c r="I98" s="12"/>
      <c r="J98" s="12"/>
      <c r="K98" s="12"/>
      <c r="L98" s="408">
        <f>(L97/K97)</f>
        <v>0.46063682839882986</v>
      </c>
    </row>
    <row r="99" spans="1:12" ht="12.75">
      <c r="A99" s="19" t="s">
        <v>119</v>
      </c>
      <c r="B99" s="19" t="s">
        <v>24</v>
      </c>
      <c r="C99" s="19"/>
      <c r="D99" s="86">
        <f>(F25)</f>
        <v>19380462.160000004</v>
      </c>
      <c r="E99" s="115">
        <f>(F26)</f>
        <v>0.36940459387840463</v>
      </c>
      <c r="F99" s="87">
        <f>(F24)</f>
        <v>7159231.75339059</v>
      </c>
      <c r="G99" s="115">
        <f>(F27)</f>
        <v>0.6305954061215954</v>
      </c>
      <c r="H99" s="86">
        <f>(G99*D99)</f>
        <v>12221230.406609414</v>
      </c>
      <c r="I99" s="12"/>
      <c r="J99" s="12"/>
      <c r="K99" s="12"/>
      <c r="L99" s="12"/>
    </row>
    <row r="100" spans="1:12" ht="12.75">
      <c r="A100" s="19"/>
      <c r="B100" s="19"/>
      <c r="C100" s="19"/>
      <c r="D100" s="87">
        <f>(D98+D99)</f>
        <v>32570607.220000003</v>
      </c>
      <c r="E100" s="87"/>
      <c r="F100" s="87">
        <f>(F98+F99)</f>
        <v>14755023.959333103</v>
      </c>
      <c r="G100" s="87"/>
      <c r="H100" s="87">
        <f>(H98+H99)</f>
        <v>17815583.2606669</v>
      </c>
      <c r="I100" s="12"/>
      <c r="J100" s="12"/>
      <c r="K100" s="12"/>
      <c r="L100" s="12"/>
    </row>
    <row r="101" spans="1:12" ht="12.75">
      <c r="A101" s="19" t="s">
        <v>379</v>
      </c>
      <c r="B101" s="19"/>
      <c r="C101" s="19"/>
      <c r="D101" s="26"/>
      <c r="E101" s="19"/>
      <c r="F101" s="116">
        <f>(F100/D100)</f>
        <v>0.45301654524490326</v>
      </c>
      <c r="G101" s="25"/>
      <c r="H101" s="116">
        <f>(H100/D100)</f>
        <v>0.5469834547550968</v>
      </c>
      <c r="I101" s="12"/>
      <c r="J101" s="12"/>
      <c r="K101" s="12"/>
      <c r="L101" s="12"/>
    </row>
    <row r="102" spans="9:12" ht="12.75">
      <c r="I102" s="12"/>
      <c r="J102" s="12"/>
      <c r="K102" s="12"/>
      <c r="L102" s="12"/>
    </row>
    <row r="103" spans="4:12" ht="12.75">
      <c r="D103" s="8">
        <f>SUM(D97:D99)</f>
        <v>35639545.800000004</v>
      </c>
      <c r="F103" s="8">
        <f>SUM(F97:F99)</f>
        <v>16416887.342886839</v>
      </c>
      <c r="H103" s="8">
        <f>SUM(H97:H99)</f>
        <v>19222658.45711316</v>
      </c>
      <c r="I103" s="12"/>
      <c r="J103" s="12"/>
      <c r="K103" s="12"/>
      <c r="L103" s="12"/>
    </row>
    <row r="104" spans="1:12" ht="12.75">
      <c r="A104" s="409" t="s">
        <v>659</v>
      </c>
      <c r="F104" s="252">
        <f>(F103/D103)</f>
        <v>0.46063682839882986</v>
      </c>
      <c r="H104" s="116">
        <f>(H103/D103)</f>
        <v>0.5393631716011701</v>
      </c>
      <c r="I104" s="12"/>
      <c r="J104" s="12"/>
      <c r="K104" s="12"/>
      <c r="L104" s="12"/>
    </row>
    <row r="105" spans="1:12" ht="15" customHeight="1">
      <c r="A105" s="12"/>
      <c r="B105" s="12"/>
      <c r="C105" s="12"/>
      <c r="D105" s="10"/>
      <c r="E105" s="12"/>
      <c r="F105" s="12"/>
      <c r="J105" s="12"/>
      <c r="K105" s="12"/>
      <c r="L105" s="12"/>
    </row>
    <row r="106" spans="1:12" ht="12.75">
      <c r="A106" s="12"/>
      <c r="B106" s="12"/>
      <c r="C106" s="12"/>
      <c r="D106" s="427" t="s">
        <v>211</v>
      </c>
      <c r="E106" s="427"/>
      <c r="F106" s="427"/>
      <c r="G106" s="427"/>
      <c r="H106" s="12"/>
      <c r="I106" s="12"/>
      <c r="J106" s="12"/>
      <c r="K106" s="12"/>
      <c r="L106" s="12"/>
    </row>
    <row r="107" spans="1:13" ht="12.75">
      <c r="A107" s="12"/>
      <c r="B107" s="12"/>
      <c r="C107" s="12"/>
      <c r="D107" s="10"/>
      <c r="E107" s="12"/>
      <c r="F107" s="12"/>
      <c r="G107" s="12"/>
      <c r="H107" s="12"/>
      <c r="I107" s="12"/>
      <c r="J107" s="12"/>
      <c r="K107" s="24" t="str">
        <f>(E108)</f>
        <v>Number</v>
      </c>
      <c r="L107" s="24" t="s">
        <v>24</v>
      </c>
      <c r="M107" s="12"/>
    </row>
    <row r="108" spans="1:13" ht="15">
      <c r="A108" s="24" t="s">
        <v>68</v>
      </c>
      <c r="C108" s="24"/>
      <c r="D108" s="17" t="s">
        <v>70</v>
      </c>
      <c r="E108" s="24" t="s">
        <v>72</v>
      </c>
      <c r="F108" s="24" t="s">
        <v>71</v>
      </c>
      <c r="G108" s="24" t="s">
        <v>77</v>
      </c>
      <c r="H108" s="24" t="s">
        <v>69</v>
      </c>
      <c r="I108" s="24" t="s">
        <v>24</v>
      </c>
      <c r="J108" s="12"/>
      <c r="K108" s="76" t="s">
        <v>373</v>
      </c>
      <c r="L108" s="76" t="s">
        <v>374</v>
      </c>
      <c r="M108" s="76" t="s">
        <v>375</v>
      </c>
    </row>
    <row r="109" spans="1:11" ht="12.75">
      <c r="A109" s="12"/>
      <c r="C109" s="12"/>
      <c r="D109" s="10"/>
      <c r="E109" s="24" t="s">
        <v>73</v>
      </c>
      <c r="F109" s="12"/>
      <c r="G109" s="24" t="s">
        <v>76</v>
      </c>
      <c r="H109" s="12"/>
      <c r="I109"/>
      <c r="J109"/>
      <c r="K109"/>
    </row>
    <row r="110" spans="1:11" ht="12.75">
      <c r="A110" s="12"/>
      <c r="C110" s="12"/>
      <c r="D110" s="10"/>
      <c r="E110" s="12"/>
      <c r="F110" s="12"/>
      <c r="G110" s="12"/>
      <c r="H110" s="12"/>
      <c r="I110"/>
      <c r="J110"/>
      <c r="K110"/>
    </row>
    <row r="111" spans="1:13" ht="12.75">
      <c r="A111" s="12" t="s">
        <v>226</v>
      </c>
      <c r="C111" s="12"/>
      <c r="D111" s="10">
        <v>22260.23</v>
      </c>
      <c r="E111" s="12">
        <v>213</v>
      </c>
      <c r="F111" s="12">
        <f aca="true" t="shared" si="11" ref="F111:F129">(D111/E111)</f>
        <v>104.5081220657277</v>
      </c>
      <c r="G111" s="12">
        <v>1.5</v>
      </c>
      <c r="I111"/>
      <c r="J111"/>
      <c r="K111" s="7">
        <f>SQRT(E111)*F111</f>
        <v>1525.2458274164114</v>
      </c>
      <c r="L111" s="7">
        <f>SQRT(E111)</f>
        <v>14.594519519326424</v>
      </c>
      <c r="M111" s="7">
        <f aca="true" t="shared" si="12" ref="M111:M123">SQRT(E111)*G111</f>
        <v>21.891779278989635</v>
      </c>
    </row>
    <row r="112" spans="1:13" ht="12.75">
      <c r="A112" s="22" t="s">
        <v>601</v>
      </c>
      <c r="C112" s="12"/>
      <c r="D112" s="10">
        <v>73018.49</v>
      </c>
      <c r="E112" s="12">
        <v>542</v>
      </c>
      <c r="F112" s="12">
        <f t="shared" si="11"/>
        <v>134.72046125461256</v>
      </c>
      <c r="G112" s="12">
        <v>3</v>
      </c>
      <c r="I112"/>
      <c r="J112"/>
      <c r="K112" s="7">
        <f aca="true" t="shared" si="13" ref="K112:K123">SQRT(E112)*F112</f>
        <v>3136.4127044946295</v>
      </c>
      <c r="L112" s="7">
        <f aca="true" t="shared" si="14" ref="L112:L123">SQRT(E112)</f>
        <v>23.280893453645632</v>
      </c>
      <c r="M112" s="7">
        <f t="shared" si="12"/>
        <v>69.8426803609369</v>
      </c>
    </row>
    <row r="113" spans="1:13" ht="12.75">
      <c r="A113" s="12" t="s">
        <v>131</v>
      </c>
      <c r="C113" s="12" t="s">
        <v>24</v>
      </c>
      <c r="D113" s="10">
        <v>150248.84</v>
      </c>
      <c r="E113" s="12">
        <v>881</v>
      </c>
      <c r="F113" s="12">
        <f t="shared" si="11"/>
        <v>170.54351872871737</v>
      </c>
      <c r="G113" s="12">
        <v>5</v>
      </c>
      <c r="I113"/>
      <c r="J113"/>
      <c r="K113" s="7">
        <f t="shared" si="13"/>
        <v>5062.012036582692</v>
      </c>
      <c r="L113" s="7">
        <f t="shared" si="14"/>
        <v>29.68164415931166</v>
      </c>
      <c r="M113" s="7">
        <f t="shared" si="12"/>
        <v>148.40822079655828</v>
      </c>
    </row>
    <row r="114" spans="1:13" ht="12.75">
      <c r="A114" s="12" t="s">
        <v>130</v>
      </c>
      <c r="C114" s="12" t="s">
        <v>24</v>
      </c>
      <c r="D114" s="10">
        <v>7132.02</v>
      </c>
      <c r="E114" s="12">
        <v>32</v>
      </c>
      <c r="F114" s="12">
        <f t="shared" si="11"/>
        <v>222.875625</v>
      </c>
      <c r="G114" s="12">
        <v>7.5</v>
      </c>
      <c r="I114"/>
      <c r="J114"/>
      <c r="K114" s="7">
        <f t="shared" si="13"/>
        <v>1260.7749263895203</v>
      </c>
      <c r="L114" s="7">
        <f t="shared" si="14"/>
        <v>5.656854249492381</v>
      </c>
      <c r="M114" s="7">
        <f t="shared" si="12"/>
        <v>42.42640687119285</v>
      </c>
    </row>
    <row r="115" spans="1:13" ht="12.75">
      <c r="A115" s="12" t="s">
        <v>132</v>
      </c>
      <c r="C115" s="12" t="s">
        <v>24</v>
      </c>
      <c r="D115" s="10">
        <v>1031822.03</v>
      </c>
      <c r="E115" s="12">
        <v>4548</v>
      </c>
      <c r="F115" s="12">
        <f t="shared" si="11"/>
        <v>226.87379727352683</v>
      </c>
      <c r="G115" s="12">
        <v>10</v>
      </c>
      <c r="I115"/>
      <c r="J115"/>
      <c r="K115" s="7">
        <f t="shared" si="13"/>
        <v>15300.110524325599</v>
      </c>
      <c r="L115" s="7">
        <f t="shared" si="14"/>
        <v>67.43886120034946</v>
      </c>
      <c r="M115" s="7">
        <f t="shared" si="12"/>
        <v>674.3886120034947</v>
      </c>
    </row>
    <row r="116" spans="1:13" ht="12.75">
      <c r="A116" s="12" t="s">
        <v>133</v>
      </c>
      <c r="C116" s="12" t="s">
        <v>24</v>
      </c>
      <c r="D116" s="10">
        <v>2552394.02</v>
      </c>
      <c r="E116" s="12">
        <v>8743</v>
      </c>
      <c r="F116" s="12">
        <f t="shared" si="11"/>
        <v>291.9357222921194</v>
      </c>
      <c r="G116" s="12">
        <v>15</v>
      </c>
      <c r="I116"/>
      <c r="J116"/>
      <c r="K116" s="7">
        <f t="shared" si="13"/>
        <v>27297.160874398392</v>
      </c>
      <c r="L116" s="7">
        <f t="shared" si="14"/>
        <v>93.5040106091712</v>
      </c>
      <c r="M116" s="7">
        <f t="shared" si="12"/>
        <v>1402.560159137568</v>
      </c>
    </row>
    <row r="117" spans="1:13" ht="12.75">
      <c r="A117" s="12" t="s">
        <v>227</v>
      </c>
      <c r="C117" s="12"/>
      <c r="D117" s="10">
        <v>2097274.27</v>
      </c>
      <c r="E117" s="12">
        <v>4013</v>
      </c>
      <c r="F117" s="12">
        <f t="shared" si="11"/>
        <v>522.6200523299277</v>
      </c>
      <c r="G117" s="12">
        <v>25</v>
      </c>
      <c r="I117"/>
      <c r="J117"/>
      <c r="K117" s="7">
        <f t="shared" si="13"/>
        <v>33107.06252051986</v>
      </c>
      <c r="L117" s="7">
        <f t="shared" si="14"/>
        <v>63.34824385884742</v>
      </c>
      <c r="M117" s="7">
        <f t="shared" si="12"/>
        <v>1583.7060964711854</v>
      </c>
    </row>
    <row r="118" spans="1:13" ht="12.75">
      <c r="A118" s="12" t="s">
        <v>316</v>
      </c>
      <c r="C118" s="12"/>
      <c r="D118" s="10">
        <v>279152.49</v>
      </c>
      <c r="E118" s="12">
        <v>337</v>
      </c>
      <c r="F118" s="12">
        <f t="shared" si="11"/>
        <v>828.3456676557863</v>
      </c>
      <c r="G118" s="12">
        <v>50</v>
      </c>
      <c r="I118"/>
      <c r="J118"/>
      <c r="K118" s="7">
        <f t="shared" si="13"/>
        <v>15206.405088212836</v>
      </c>
      <c r="L118" s="7">
        <f t="shared" si="14"/>
        <v>18.35755975068582</v>
      </c>
      <c r="M118" s="7">
        <f t="shared" si="12"/>
        <v>917.8779875342909</v>
      </c>
    </row>
    <row r="119" spans="1:13" ht="12.75">
      <c r="A119" s="12" t="s">
        <v>225</v>
      </c>
      <c r="C119" s="12"/>
      <c r="D119" s="10">
        <v>23235.62</v>
      </c>
      <c r="E119" s="12">
        <v>60</v>
      </c>
      <c r="F119" s="12">
        <f>(D119/E119)</f>
        <v>387.26033333333334</v>
      </c>
      <c r="G119" s="12">
        <v>10</v>
      </c>
      <c r="I119"/>
      <c r="J119"/>
      <c r="K119" s="7">
        <f t="shared" si="13"/>
        <v>2999.705643293466</v>
      </c>
      <c r="L119" s="7">
        <f t="shared" si="14"/>
        <v>7.745966692414834</v>
      </c>
      <c r="M119" s="7">
        <f t="shared" si="12"/>
        <v>77.45966692414834</v>
      </c>
    </row>
    <row r="120" spans="1:13" ht="12.75">
      <c r="A120" s="12" t="s">
        <v>234</v>
      </c>
      <c r="C120" s="12"/>
      <c r="D120" s="10">
        <v>425502.05</v>
      </c>
      <c r="E120" s="12">
        <v>660</v>
      </c>
      <c r="F120" s="12">
        <f>(D120/E120)</f>
        <v>644.7000757575757</v>
      </c>
      <c r="G120" s="12">
        <v>15</v>
      </c>
      <c r="I120"/>
      <c r="J120"/>
      <c r="K120" s="7">
        <f t="shared" si="13"/>
        <v>16562.64483317818</v>
      </c>
      <c r="L120" s="7">
        <f t="shared" si="14"/>
        <v>25.69046515733026</v>
      </c>
      <c r="M120" s="7">
        <f t="shared" si="12"/>
        <v>385.3569773599539</v>
      </c>
    </row>
    <row r="121" spans="1:13" ht="12.75">
      <c r="A121" s="12" t="s">
        <v>235</v>
      </c>
      <c r="C121" s="12"/>
      <c r="D121" s="10">
        <v>184987.7</v>
      </c>
      <c r="E121" s="12">
        <v>280</v>
      </c>
      <c r="F121" s="12">
        <f>(D121/E121)</f>
        <v>660.6703571428571</v>
      </c>
      <c r="G121" s="12">
        <v>25</v>
      </c>
      <c r="I121"/>
      <c r="J121"/>
      <c r="K121" s="7">
        <f t="shared" si="13"/>
        <v>11055.1295707484</v>
      </c>
      <c r="L121" s="7">
        <f t="shared" si="14"/>
        <v>16.73320053068151</v>
      </c>
      <c r="M121" s="7">
        <f t="shared" si="12"/>
        <v>418.33001326703777</v>
      </c>
    </row>
    <row r="122" spans="1:13" ht="12.75">
      <c r="A122" s="12" t="s">
        <v>246</v>
      </c>
      <c r="C122" s="12"/>
      <c r="D122" s="10">
        <v>21794.3</v>
      </c>
      <c r="E122" s="12">
        <v>46</v>
      </c>
      <c r="F122" s="12">
        <f>(D122/E122)</f>
        <v>473.7891304347826</v>
      </c>
      <c r="G122" s="12">
        <v>37.5</v>
      </c>
      <c r="I122"/>
      <c r="J122"/>
      <c r="K122" s="7">
        <f t="shared" si="13"/>
        <v>3213.3942250266746</v>
      </c>
      <c r="L122" s="7">
        <f t="shared" si="14"/>
        <v>6.782329983125268</v>
      </c>
      <c r="M122" s="7">
        <f t="shared" si="12"/>
        <v>254.33737436719755</v>
      </c>
    </row>
    <row r="123" spans="1:13" ht="12.75">
      <c r="A123" s="12" t="s">
        <v>247</v>
      </c>
      <c r="C123" s="12"/>
      <c r="D123" s="10">
        <v>328841.14</v>
      </c>
      <c r="E123" s="12">
        <v>415</v>
      </c>
      <c r="F123" s="12">
        <f>(D123/E123)</f>
        <v>792.3882891566266</v>
      </c>
      <c r="G123" s="12">
        <v>50</v>
      </c>
      <c r="I123" s="12"/>
      <c r="J123" s="12"/>
      <c r="K123" s="7">
        <f t="shared" si="13"/>
        <v>16142.176691168843</v>
      </c>
      <c r="L123" s="7">
        <f t="shared" si="14"/>
        <v>20.37154878746336</v>
      </c>
      <c r="M123" s="7">
        <f t="shared" si="12"/>
        <v>1018.5774393731681</v>
      </c>
    </row>
    <row r="124" spans="1:11" ht="12.75">
      <c r="A124" s="12" t="s">
        <v>334</v>
      </c>
      <c r="B124" s="22" t="s">
        <v>24</v>
      </c>
      <c r="C124" s="12"/>
      <c r="D124" s="10">
        <v>1645.42</v>
      </c>
      <c r="E124" s="12">
        <v>2</v>
      </c>
      <c r="F124" s="12">
        <f t="shared" si="11"/>
        <v>822.71</v>
      </c>
      <c r="G124" s="22" t="s">
        <v>24</v>
      </c>
      <c r="H124" s="12"/>
      <c r="I124"/>
      <c r="J124"/>
      <c r="K124"/>
    </row>
    <row r="125" spans="1:11" ht="12.75">
      <c r="A125" s="22" t="s">
        <v>338</v>
      </c>
      <c r="B125" s="12"/>
      <c r="C125" s="12"/>
      <c r="D125" s="10">
        <v>40445.31</v>
      </c>
      <c r="E125" s="12">
        <v>8</v>
      </c>
      <c r="F125" s="12">
        <f t="shared" si="11"/>
        <v>5055.66375</v>
      </c>
      <c r="G125" s="12"/>
      <c r="H125" s="12"/>
      <c r="I125"/>
      <c r="J125"/>
      <c r="K125"/>
    </row>
    <row r="126" spans="1:11" ht="12.75">
      <c r="A126" s="22" t="s">
        <v>396</v>
      </c>
      <c r="B126" s="12"/>
      <c r="C126" s="12"/>
      <c r="D126" s="10">
        <v>4609.57</v>
      </c>
      <c r="E126" s="12">
        <v>2</v>
      </c>
      <c r="F126" s="12">
        <f t="shared" si="11"/>
        <v>2304.785</v>
      </c>
      <c r="G126" s="12"/>
      <c r="H126" s="12"/>
      <c r="I126"/>
      <c r="J126"/>
      <c r="K126"/>
    </row>
    <row r="127" spans="1:11" ht="12.75">
      <c r="A127" s="22" t="s">
        <v>339</v>
      </c>
      <c r="B127" s="12"/>
      <c r="C127" s="12"/>
      <c r="D127" s="10">
        <v>15475.28</v>
      </c>
      <c r="E127" s="12">
        <v>4</v>
      </c>
      <c r="F127" s="12">
        <f t="shared" si="11"/>
        <v>3868.82</v>
      </c>
      <c r="G127" s="12"/>
      <c r="H127" s="12"/>
      <c r="I127"/>
      <c r="J127"/>
      <c r="K127"/>
    </row>
    <row r="128" spans="1:11" ht="12.75">
      <c r="A128" s="22" t="s">
        <v>397</v>
      </c>
      <c r="B128" s="12"/>
      <c r="C128" s="12"/>
      <c r="D128" s="10">
        <v>4158.51</v>
      </c>
      <c r="E128" s="12">
        <v>3</v>
      </c>
      <c r="F128" s="12">
        <f t="shared" si="11"/>
        <v>1386.17</v>
      </c>
      <c r="G128" s="12"/>
      <c r="H128" s="12"/>
      <c r="I128"/>
      <c r="J128"/>
      <c r="K128"/>
    </row>
    <row r="129" spans="1:11" ht="12.75">
      <c r="A129" s="22" t="s">
        <v>340</v>
      </c>
      <c r="B129" s="22"/>
      <c r="C129" s="12"/>
      <c r="D129" s="10">
        <v>16503.85</v>
      </c>
      <c r="E129" s="12">
        <v>4</v>
      </c>
      <c r="F129" s="12">
        <f t="shared" si="11"/>
        <v>4125.9625</v>
      </c>
      <c r="G129" s="12"/>
      <c r="H129" s="12"/>
      <c r="I129"/>
      <c r="J129"/>
      <c r="K129"/>
    </row>
    <row r="130" spans="1:11" ht="12.75">
      <c r="A130" s="12" t="s">
        <v>86</v>
      </c>
      <c r="B130" s="12"/>
      <c r="C130" s="12"/>
      <c r="D130" s="10">
        <v>12457.45</v>
      </c>
      <c r="E130" s="12">
        <v>13</v>
      </c>
      <c r="F130" s="12">
        <f aca="true" t="shared" si="15" ref="F130:F141">(D130/E130)</f>
        <v>958.2653846153846</v>
      </c>
      <c r="G130" s="12" t="s">
        <v>24</v>
      </c>
      <c r="H130" s="12"/>
      <c r="I130" s="12"/>
      <c r="J130" s="12"/>
      <c r="K130" s="12"/>
    </row>
    <row r="131" spans="1:11" ht="12.75">
      <c r="A131" s="12" t="s">
        <v>87</v>
      </c>
      <c r="B131" s="12" t="s">
        <v>24</v>
      </c>
      <c r="C131" s="12"/>
      <c r="D131" s="10">
        <v>177407.51</v>
      </c>
      <c r="E131" s="12">
        <v>132</v>
      </c>
      <c r="F131" s="12">
        <f t="shared" si="15"/>
        <v>1343.996287878788</v>
      </c>
      <c r="G131" s="12" t="s">
        <v>24</v>
      </c>
      <c r="H131" s="12"/>
      <c r="I131" s="12"/>
      <c r="J131" s="12"/>
      <c r="K131" s="12"/>
    </row>
    <row r="132" spans="1:20" ht="12.75">
      <c r="A132" s="12" t="s">
        <v>248</v>
      </c>
      <c r="B132" s="12"/>
      <c r="C132" s="12"/>
      <c r="D132" s="10">
        <v>160098.73</v>
      </c>
      <c r="E132" s="12">
        <v>87</v>
      </c>
      <c r="F132" s="12">
        <f t="shared" si="15"/>
        <v>1840.215287356322</v>
      </c>
      <c r="G132" s="12" t="s">
        <v>24</v>
      </c>
      <c r="H132" s="12"/>
      <c r="I132" s="12"/>
      <c r="J132" s="12"/>
      <c r="K132" s="12"/>
      <c r="L132" s="3"/>
      <c r="M132"/>
      <c r="N132"/>
      <c r="O132"/>
      <c r="P132"/>
      <c r="Q132"/>
      <c r="R132"/>
      <c r="S132"/>
      <c r="T132"/>
    </row>
    <row r="133" spans="1:20" ht="12.75">
      <c r="A133" s="12" t="s">
        <v>335</v>
      </c>
      <c r="B133" s="12"/>
      <c r="C133" s="12"/>
      <c r="D133" s="10">
        <v>57538.89</v>
      </c>
      <c r="E133" s="12">
        <v>22</v>
      </c>
      <c r="F133" s="12">
        <f t="shared" si="15"/>
        <v>2615.404090909091</v>
      </c>
      <c r="G133" s="12" t="s">
        <v>24</v>
      </c>
      <c r="H133" s="12"/>
      <c r="I133" s="12"/>
      <c r="J133" s="12"/>
      <c r="K133" s="12"/>
      <c r="L133" s="3"/>
      <c r="M133"/>
      <c r="N133"/>
      <c r="O133"/>
      <c r="P133"/>
      <c r="Q133"/>
      <c r="R133"/>
      <c r="S133"/>
      <c r="T133"/>
    </row>
    <row r="134" spans="1:12" ht="12.75">
      <c r="A134" s="12" t="s">
        <v>336</v>
      </c>
      <c r="B134" s="12"/>
      <c r="C134" s="12"/>
      <c r="D134" s="10">
        <v>175919.41</v>
      </c>
      <c r="E134" s="12">
        <v>51</v>
      </c>
      <c r="F134" s="12">
        <f t="shared" si="15"/>
        <v>3449.4001960784312</v>
      </c>
      <c r="G134" s="12" t="s">
        <v>24</v>
      </c>
      <c r="H134" s="12"/>
      <c r="I134" s="12"/>
      <c r="J134" s="12"/>
      <c r="K134" s="12"/>
      <c r="L134" s="12"/>
    </row>
    <row r="135" spans="1:12" ht="12.75">
      <c r="A135" s="12" t="s">
        <v>249</v>
      </c>
      <c r="B135" s="12"/>
      <c r="C135" s="12"/>
      <c r="D135" s="10">
        <v>21705.96</v>
      </c>
      <c r="E135" s="12">
        <v>3</v>
      </c>
      <c r="F135" s="12">
        <f t="shared" si="15"/>
        <v>7235.32</v>
      </c>
      <c r="G135" s="12" t="s">
        <v>24</v>
      </c>
      <c r="H135" s="12"/>
      <c r="I135" s="12"/>
      <c r="J135" s="12"/>
      <c r="K135" s="12"/>
      <c r="L135" s="12"/>
    </row>
    <row r="136" spans="1:12" ht="12.75">
      <c r="A136" s="22" t="s">
        <v>394</v>
      </c>
      <c r="B136" s="12"/>
      <c r="C136" s="12"/>
      <c r="D136" s="10">
        <v>79744.88</v>
      </c>
      <c r="E136" s="12">
        <v>11</v>
      </c>
      <c r="F136" s="12">
        <f t="shared" si="15"/>
        <v>7249.534545454546</v>
      </c>
      <c r="G136" s="12" t="s">
        <v>24</v>
      </c>
      <c r="H136" s="12"/>
      <c r="I136" s="12"/>
      <c r="J136" s="12"/>
      <c r="K136" s="12"/>
      <c r="L136" s="12"/>
    </row>
    <row r="137" spans="1:12" ht="12.75">
      <c r="A137" s="12" t="s">
        <v>337</v>
      </c>
      <c r="B137" s="12"/>
      <c r="C137" s="12"/>
      <c r="D137" s="10">
        <v>9265</v>
      </c>
      <c r="E137" s="12">
        <v>1</v>
      </c>
      <c r="F137" s="12">
        <f t="shared" si="15"/>
        <v>9265</v>
      </c>
      <c r="G137" s="12"/>
      <c r="H137" s="12"/>
      <c r="I137" s="12"/>
      <c r="J137" s="12"/>
      <c r="K137" s="12"/>
      <c r="L137" s="12"/>
    </row>
    <row r="138" spans="1:12" ht="12.75">
      <c r="A138" s="12" t="s">
        <v>338</v>
      </c>
      <c r="B138" s="12"/>
      <c r="C138" s="12"/>
      <c r="D138" s="10">
        <v>39936.51</v>
      </c>
      <c r="E138" s="12">
        <v>8</v>
      </c>
      <c r="F138" s="12">
        <f t="shared" si="15"/>
        <v>4992.06375</v>
      </c>
      <c r="G138" s="12"/>
      <c r="H138" s="12"/>
      <c r="I138" s="12"/>
      <c r="J138" s="12"/>
      <c r="K138" s="12"/>
      <c r="L138" s="12"/>
    </row>
    <row r="139" spans="1:12" ht="12.75">
      <c r="A139" s="22" t="s">
        <v>395</v>
      </c>
      <c r="B139" s="12"/>
      <c r="C139" s="12"/>
      <c r="D139" s="10">
        <v>79109.43</v>
      </c>
      <c r="E139" s="12">
        <v>8</v>
      </c>
      <c r="F139" s="12">
        <f t="shared" si="15"/>
        <v>9888.67875</v>
      </c>
      <c r="G139" s="12"/>
      <c r="H139" s="12"/>
      <c r="I139" s="12"/>
      <c r="J139" s="12"/>
      <c r="K139" s="12"/>
      <c r="L139" s="12"/>
    </row>
    <row r="140" spans="1:12" ht="12.75">
      <c r="A140" s="22" t="s">
        <v>337</v>
      </c>
      <c r="B140" s="12"/>
      <c r="C140" s="12"/>
      <c r="D140" s="10">
        <v>9265</v>
      </c>
      <c r="E140" s="12">
        <v>1</v>
      </c>
      <c r="F140" s="12">
        <f t="shared" si="15"/>
        <v>9265</v>
      </c>
      <c r="G140" s="12"/>
      <c r="H140" s="12"/>
      <c r="I140" s="12"/>
      <c r="J140" s="12"/>
      <c r="K140" s="12"/>
      <c r="L140" s="12"/>
    </row>
    <row r="141" spans="1:12" ht="12.75">
      <c r="A141" s="22" t="s">
        <v>398</v>
      </c>
      <c r="B141" s="12"/>
      <c r="C141" s="12"/>
      <c r="D141" s="126">
        <f>SUM(D111:D140)</f>
        <v>8102949.909999999</v>
      </c>
      <c r="E141" s="126">
        <f>SUM(E111:E140)</f>
        <v>21130</v>
      </c>
      <c r="F141" s="127">
        <f t="shared" si="15"/>
        <v>383.48082867960244</v>
      </c>
      <c r="G141" s="12"/>
      <c r="H141" s="12"/>
      <c r="I141" s="12"/>
      <c r="J141" s="12"/>
      <c r="K141" s="12"/>
      <c r="L141" s="12"/>
    </row>
    <row r="142" spans="1:12" ht="12.75">
      <c r="A142" s="22" t="s">
        <v>24</v>
      </c>
      <c r="B142" s="12"/>
      <c r="C142" s="12"/>
      <c r="D142" s="15" t="s">
        <v>24</v>
      </c>
      <c r="E142" s="12" t="s">
        <v>24</v>
      </c>
      <c r="F142" s="12" t="s">
        <v>24</v>
      </c>
      <c r="G142" s="12"/>
      <c r="H142" s="12"/>
      <c r="I142" s="12"/>
      <c r="J142" s="12"/>
      <c r="K142" s="12"/>
      <c r="L142" s="12"/>
    </row>
    <row r="143" spans="1:12" ht="12.75">
      <c r="A143" s="12" t="s">
        <v>74</v>
      </c>
      <c r="B143" s="12"/>
      <c r="C143" s="12"/>
      <c r="D143" s="12">
        <f>INDEX(LINEST(K111:K123,L111:M123),1)</f>
        <v>15.650224190334802</v>
      </c>
      <c r="E143" s="12"/>
      <c r="F143" s="12"/>
      <c r="G143" s="12"/>
      <c r="H143" s="12"/>
      <c r="I143" s="3"/>
      <c r="J143" s="3"/>
      <c r="K143" s="3"/>
      <c r="L143" s="3"/>
    </row>
    <row r="144" spans="1:12" ht="12.75">
      <c r="A144" s="12" t="s">
        <v>75</v>
      </c>
      <c r="B144" s="12"/>
      <c r="C144" s="12"/>
      <c r="D144" s="40">
        <f>INDEX(LINEST(K111:K123,L111:M123),2)</f>
        <v>67.37661349783085</v>
      </c>
      <c r="E144" s="12"/>
      <c r="F144" s="12"/>
      <c r="G144" s="12"/>
      <c r="H144" s="12"/>
      <c r="I144" s="3"/>
      <c r="J144" s="3"/>
      <c r="K144" s="3"/>
      <c r="L144" s="3"/>
    </row>
    <row r="145" spans="1:12" ht="12.75">
      <c r="A145" s="22" t="s">
        <v>24</v>
      </c>
      <c r="B145" s="12"/>
      <c r="C145" s="12"/>
      <c r="D145" s="89" t="s">
        <v>24</v>
      </c>
      <c r="E145" s="12"/>
      <c r="F145" s="12"/>
      <c r="G145" s="12"/>
      <c r="H145" s="12"/>
      <c r="I145" s="3"/>
      <c r="J145" s="3"/>
      <c r="K145" s="3"/>
      <c r="L145" s="3"/>
    </row>
    <row r="146" spans="1:12" ht="12.75">
      <c r="A146" s="12" t="s">
        <v>89</v>
      </c>
      <c r="B146" s="12"/>
      <c r="C146" s="12"/>
      <c r="D146" s="10"/>
      <c r="E146" s="12"/>
      <c r="F146" s="12">
        <f>SUM(E111:E123)</f>
        <v>20770</v>
      </c>
      <c r="G146" s="12"/>
      <c r="H146" s="12"/>
      <c r="I146" s="3"/>
      <c r="J146" s="3"/>
      <c r="K146" s="3"/>
      <c r="L146" s="3"/>
    </row>
    <row r="147" spans="1:12" ht="12.75">
      <c r="A147" s="12" t="s">
        <v>75</v>
      </c>
      <c r="B147" s="12"/>
      <c r="C147" s="12"/>
      <c r="D147" s="10"/>
      <c r="E147" s="12"/>
      <c r="F147" s="12">
        <f>D144</f>
        <v>67.37661349783085</v>
      </c>
      <c r="G147" s="12"/>
      <c r="H147" s="12"/>
      <c r="I147" s="3"/>
      <c r="J147" s="3"/>
      <c r="K147" s="3"/>
      <c r="L147" s="3"/>
    </row>
    <row r="148" spans="1:12" ht="12.75">
      <c r="A148" s="12" t="s">
        <v>83</v>
      </c>
      <c r="B148" s="12"/>
      <c r="C148" s="12"/>
      <c r="D148" s="10"/>
      <c r="E148" s="12"/>
      <c r="F148" s="12">
        <f>(F146*F147)</f>
        <v>1399412.2623499467</v>
      </c>
      <c r="G148" s="12"/>
      <c r="H148" s="12"/>
      <c r="I148" s="3"/>
      <c r="J148" s="3"/>
      <c r="K148" s="3"/>
      <c r="L148" s="3"/>
    </row>
    <row r="149" spans="1:12" ht="12.75">
      <c r="A149" s="12" t="s">
        <v>90</v>
      </c>
      <c r="B149" s="12"/>
      <c r="C149" s="12"/>
      <c r="D149" s="10"/>
      <c r="E149" s="12"/>
      <c r="F149" s="12">
        <f>SUM(D111:D123)-F148</f>
        <v>5798250.937650054</v>
      </c>
      <c r="G149" s="12"/>
      <c r="H149" s="12"/>
      <c r="I149" s="12"/>
      <c r="J149" s="12"/>
      <c r="K149" s="12"/>
      <c r="L149" s="12"/>
    </row>
    <row r="150" spans="1:12" ht="12.75">
      <c r="A150" s="19" t="s">
        <v>78</v>
      </c>
      <c r="B150" s="19"/>
      <c r="C150" s="19"/>
      <c r="D150" s="26"/>
      <c r="E150" s="19"/>
      <c r="F150" s="124">
        <f>(F148/F149)</f>
        <v>0.24135075859912816</v>
      </c>
      <c r="G150" s="12"/>
      <c r="H150" s="12"/>
      <c r="I150" s="12"/>
      <c r="J150" s="12"/>
      <c r="K150" s="12"/>
      <c r="L150" s="12"/>
    </row>
    <row r="151" spans="1:12" ht="12.75">
      <c r="A151" s="19" t="s">
        <v>81</v>
      </c>
      <c r="B151" s="19"/>
      <c r="C151" s="19"/>
      <c r="D151" s="26"/>
      <c r="E151" s="19"/>
      <c r="F151" s="125">
        <f>(1-F150)</f>
        <v>0.7586492414008719</v>
      </c>
      <c r="G151" s="12"/>
      <c r="H151" s="12"/>
      <c r="I151" s="12"/>
      <c r="J151" s="12"/>
      <c r="K151" s="12"/>
      <c r="L151" s="12"/>
    </row>
    <row r="152" spans="1:12" ht="12.75">
      <c r="A152" s="12"/>
      <c r="B152" s="12"/>
      <c r="C152" s="12"/>
      <c r="D152"/>
      <c r="E152"/>
      <c r="F152"/>
      <c r="G152"/>
      <c r="H152"/>
      <c r="I152" s="12"/>
      <c r="J152" s="12"/>
      <c r="K152" s="12"/>
      <c r="L152" s="12"/>
    </row>
    <row r="153" spans="1:12" ht="12.75">
      <c r="A153" s="3" t="s">
        <v>126</v>
      </c>
      <c r="B153"/>
      <c r="C153"/>
      <c r="D153"/>
      <c r="E153"/>
      <c r="F153"/>
      <c r="G153"/>
      <c r="H153"/>
      <c r="I153"/>
      <c r="J153" s="12"/>
      <c r="K153" s="12"/>
      <c r="L153" s="12"/>
    </row>
    <row r="154" spans="1:12" ht="12.75">
      <c r="A154" s="3"/>
      <c r="B154"/>
      <c r="C154"/>
      <c r="D154"/>
      <c r="E154"/>
      <c r="F154"/>
      <c r="G154"/>
      <c r="H154"/>
      <c r="I154"/>
      <c r="J154" s="12"/>
      <c r="K154" s="12"/>
      <c r="L154" s="12"/>
    </row>
    <row r="155" spans="1:12" ht="12.75">
      <c r="A155" s="90" t="s">
        <v>24</v>
      </c>
      <c r="B155" s="90"/>
      <c r="C155"/>
      <c r="D155"/>
      <c r="E155"/>
      <c r="F155"/>
      <c r="G155"/>
      <c r="H155"/>
      <c r="I155"/>
      <c r="J155" s="12"/>
      <c r="K155" s="12"/>
      <c r="L155" s="12"/>
    </row>
    <row r="156" spans="1:12" ht="12.75">
      <c r="A156" s="33" t="s">
        <v>24</v>
      </c>
      <c r="B156" s="33" t="s">
        <v>24</v>
      </c>
      <c r="C156"/>
      <c r="D156"/>
      <c r="E156"/>
      <c r="F156"/>
      <c r="G156"/>
      <c r="H156"/>
      <c r="I156"/>
      <c r="J156" s="12"/>
      <c r="K156" s="12"/>
      <c r="L156" s="12"/>
    </row>
    <row r="157" spans="1:2" ht="12.75">
      <c r="A157" s="33" t="s">
        <v>24</v>
      </c>
      <c r="B157" s="33" t="s">
        <v>24</v>
      </c>
    </row>
    <row r="158" spans="1:2" ht="12.75">
      <c r="A158" s="33" t="s">
        <v>24</v>
      </c>
      <c r="B158" s="33" t="s">
        <v>24</v>
      </c>
    </row>
    <row r="159" spans="1:2" ht="12.75">
      <c r="A159" s="33" t="s">
        <v>24</v>
      </c>
      <c r="B159" s="33" t="s">
        <v>24</v>
      </c>
    </row>
    <row r="160" spans="1:2" ht="12.75">
      <c r="A160" s="33" t="s">
        <v>24</v>
      </c>
      <c r="B160" s="33" t="s">
        <v>24</v>
      </c>
    </row>
    <row r="161" spans="1:2" ht="12.75">
      <c r="A161" s="33" t="s">
        <v>24</v>
      </c>
      <c r="B161" s="3" t="s">
        <v>24</v>
      </c>
    </row>
    <row r="162" spans="1:2" ht="12.75">
      <c r="A162" s="36"/>
      <c r="B162" s="36" t="s">
        <v>24</v>
      </c>
    </row>
    <row r="163" spans="1:2" ht="12.75">
      <c r="A163" s="33" t="s">
        <v>24</v>
      </c>
      <c r="B163" s="33" t="s">
        <v>24</v>
      </c>
    </row>
    <row r="164" spans="1:2" ht="12.75">
      <c r="A164" s="33" t="s">
        <v>24</v>
      </c>
      <c r="B164" s="33" t="s">
        <v>24</v>
      </c>
    </row>
    <row r="165" spans="1:2" ht="12.75">
      <c r="A165" s="3"/>
      <c r="B165" s="3"/>
    </row>
    <row r="166" ht="12.75"/>
    <row r="167" spans="1:12" ht="12.75">
      <c r="A167" s="12"/>
      <c r="B167" s="12"/>
      <c r="C167" s="12"/>
      <c r="E167"/>
      <c r="F167"/>
      <c r="G167"/>
      <c r="H167"/>
      <c r="I167" s="12"/>
      <c r="J167" s="12"/>
      <c r="K167" s="12"/>
      <c r="L167" s="12"/>
    </row>
    <row r="168" spans="1:12" ht="12.75">
      <c r="A168" s="12"/>
      <c r="B168" s="12"/>
      <c r="C168" s="12"/>
      <c r="E168"/>
      <c r="F168"/>
      <c r="G168"/>
      <c r="H168"/>
      <c r="I168" s="12"/>
      <c r="J168" s="12"/>
      <c r="K168" s="12"/>
      <c r="L168" s="12"/>
    </row>
    <row r="169" spans="1:12" ht="12.75">
      <c r="A169" s="12"/>
      <c r="B169" s="12"/>
      <c r="C169" s="12"/>
      <c r="E169"/>
      <c r="F169"/>
      <c r="G169"/>
      <c r="H169"/>
      <c r="I169" s="12"/>
      <c r="J169" s="12"/>
      <c r="K169" s="12"/>
      <c r="L169" s="12"/>
    </row>
    <row r="170" spans="1:12" ht="12.75">
      <c r="A170" s="12"/>
      <c r="B170" s="12"/>
      <c r="C170" s="12"/>
      <c r="E170"/>
      <c r="F170"/>
      <c r="G170"/>
      <c r="H170"/>
      <c r="I170" s="12"/>
      <c r="J170" s="12"/>
      <c r="K170" s="12"/>
      <c r="L170" s="12"/>
    </row>
    <row r="171" spans="1:12" ht="12.75">
      <c r="A171" s="12"/>
      <c r="B171" s="12"/>
      <c r="C171" s="12"/>
      <c r="E171"/>
      <c r="F171"/>
      <c r="G171"/>
      <c r="H171"/>
      <c r="I171" s="12"/>
      <c r="J171" s="12"/>
      <c r="K171" s="12"/>
      <c r="L171" s="12"/>
    </row>
    <row r="172" spans="1:12" ht="12.75">
      <c r="A172" s="12"/>
      <c r="B172" s="12"/>
      <c r="C172" s="12"/>
      <c r="E172"/>
      <c r="F172"/>
      <c r="G172"/>
      <c r="H172"/>
      <c r="I172" s="12"/>
      <c r="J172" s="12"/>
      <c r="K172" s="12"/>
      <c r="L172" s="12"/>
    </row>
    <row r="173" spans="1:12" ht="12.75">
      <c r="A173" s="12"/>
      <c r="B173" s="12"/>
      <c r="C173" s="12"/>
      <c r="E173"/>
      <c r="F173"/>
      <c r="G173"/>
      <c r="H173"/>
      <c r="I173" s="12"/>
      <c r="J173" s="12"/>
      <c r="K173" s="12"/>
      <c r="L173" s="12"/>
    </row>
    <row r="174" spans="1:12" ht="12.75">
      <c r="A174" s="12"/>
      <c r="B174" s="12"/>
      <c r="C174" s="12"/>
      <c r="E174"/>
      <c r="F174"/>
      <c r="G174"/>
      <c r="H174"/>
      <c r="I174" s="12"/>
      <c r="J174" s="12"/>
      <c r="K174" s="12"/>
      <c r="L174" s="12"/>
    </row>
    <row r="175" spans="1:12" ht="12.75">
      <c r="A175" s="12"/>
      <c r="B175" s="12"/>
      <c r="C175" s="12"/>
      <c r="E175"/>
      <c r="F175"/>
      <c r="G175"/>
      <c r="H175"/>
      <c r="I175" s="12"/>
      <c r="J175" s="12"/>
      <c r="K175" s="12"/>
      <c r="L175" s="12"/>
    </row>
    <row r="176" spans="1:12" ht="12.75">
      <c r="A176" s="12"/>
      <c r="B176" s="12"/>
      <c r="C176" s="12"/>
      <c r="E176"/>
      <c r="F176"/>
      <c r="G176"/>
      <c r="H176"/>
      <c r="I176" s="12"/>
      <c r="J176" s="12"/>
      <c r="K176" s="12"/>
      <c r="L176" s="12"/>
    </row>
    <row r="177" spans="1:12" ht="12.75">
      <c r="A177" s="12"/>
      <c r="B177" s="12"/>
      <c r="C177" s="12"/>
      <c r="E177"/>
      <c r="F177"/>
      <c r="G177"/>
      <c r="H177"/>
      <c r="I177" s="12"/>
      <c r="J177" s="12"/>
      <c r="K177" s="12"/>
      <c r="L177" s="12"/>
    </row>
    <row r="178" spans="1:12" ht="12.75">
      <c r="A178" s="12"/>
      <c r="B178" s="12"/>
      <c r="C178" s="12"/>
      <c r="E178"/>
      <c r="F178"/>
      <c r="G178"/>
      <c r="H178"/>
      <c r="I178" s="12"/>
      <c r="J178" s="12"/>
      <c r="K178" s="12"/>
      <c r="L178" s="12"/>
    </row>
    <row r="179" spans="1:12" ht="12.75">
      <c r="A179" s="12"/>
      <c r="B179" s="12"/>
      <c r="C179" s="12"/>
      <c r="E179"/>
      <c r="F179"/>
      <c r="G179"/>
      <c r="H179"/>
      <c r="I179" s="12"/>
      <c r="J179" s="12"/>
      <c r="K179" s="12"/>
      <c r="L179" s="12"/>
    </row>
    <row r="180" spans="1:12" ht="12.75">
      <c r="A180" s="12"/>
      <c r="B180" s="12"/>
      <c r="C180" s="12"/>
      <c r="E180"/>
      <c r="F180"/>
      <c r="G180"/>
      <c r="H180"/>
      <c r="I180" s="12"/>
      <c r="J180" s="12"/>
      <c r="K180" s="12"/>
      <c r="L180" s="12"/>
    </row>
    <row r="181" spans="1:12" ht="12.75">
      <c r="A181" s="12"/>
      <c r="B181" s="12"/>
      <c r="C181" s="12"/>
      <c r="E181"/>
      <c r="F181"/>
      <c r="G181"/>
      <c r="H181"/>
      <c r="I181" s="12"/>
      <c r="J181" s="12"/>
      <c r="K181" s="12"/>
      <c r="L181" s="12"/>
    </row>
    <row r="182" spans="1:12" ht="12.75">
      <c r="A182" s="12"/>
      <c r="B182" s="12"/>
      <c r="C182" s="12"/>
      <c r="E182"/>
      <c r="F182"/>
      <c r="G182"/>
      <c r="H182"/>
      <c r="I182" s="12"/>
      <c r="J182" s="12"/>
      <c r="K182" s="12"/>
      <c r="L182" s="12"/>
    </row>
    <row r="183" spans="1:12" ht="12.75">
      <c r="A183" s="12"/>
      <c r="B183" s="12"/>
      <c r="C183" s="12"/>
      <c r="E183"/>
      <c r="F183"/>
      <c r="G183"/>
      <c r="H183"/>
      <c r="I183" s="12"/>
      <c r="J183" s="12"/>
      <c r="K183" s="12"/>
      <c r="L183" s="12"/>
    </row>
    <row r="184" spans="1:12" ht="12.75">
      <c r="A184" s="12"/>
      <c r="B184" s="12"/>
      <c r="C184" s="12"/>
      <c r="E184"/>
      <c r="F184"/>
      <c r="G184"/>
      <c r="H184"/>
      <c r="I184" s="12"/>
      <c r="J184" s="12"/>
      <c r="K184" s="12"/>
      <c r="L184" s="12"/>
    </row>
    <row r="185" spans="1:12" ht="12.75">
      <c r="A185" s="12"/>
      <c r="B185" s="12"/>
      <c r="C185" s="12"/>
      <c r="E185"/>
      <c r="F185"/>
      <c r="G185"/>
      <c r="H185"/>
      <c r="I185" s="12"/>
      <c r="J185" s="12"/>
      <c r="K185" s="12"/>
      <c r="L185" s="12"/>
    </row>
    <row r="186" spans="1:12" ht="12.75">
      <c r="A186" s="12"/>
      <c r="B186" s="12"/>
      <c r="C186" s="12"/>
      <c r="E186"/>
      <c r="F186"/>
      <c r="G186"/>
      <c r="H186"/>
      <c r="I186" s="12"/>
      <c r="J186" s="12"/>
      <c r="K186" s="12"/>
      <c r="L186" s="12"/>
    </row>
    <row r="187" spans="1:12" ht="12.75">
      <c r="A187" s="3"/>
      <c r="B187" s="3"/>
      <c r="C187" s="3"/>
      <c r="D187" s="10"/>
      <c r="E187" s="3"/>
      <c r="F187" s="3"/>
      <c r="G187" s="12"/>
      <c r="H187" s="12"/>
      <c r="I187" s="10"/>
      <c r="J187" s="12"/>
      <c r="K187" s="12"/>
      <c r="L187" s="12"/>
    </row>
    <row r="188" spans="1:12" ht="12.75">
      <c r="A188" s="3"/>
      <c r="B188" s="3"/>
      <c r="C188" s="3"/>
      <c r="D188" s="10"/>
      <c r="E188" s="3"/>
      <c r="F188" s="3"/>
      <c r="G188" s="12"/>
      <c r="H188" s="12"/>
      <c r="I188" s="12"/>
      <c r="J188" s="12"/>
      <c r="K188" s="12"/>
      <c r="L188" s="12"/>
    </row>
    <row r="189" spans="1:12" ht="12.75">
      <c r="A189" s="3"/>
      <c r="B189" s="3"/>
      <c r="C189" s="3"/>
      <c r="D189" s="10"/>
      <c r="E189" s="3"/>
      <c r="F189" s="3"/>
      <c r="G189" s="12"/>
      <c r="H189" s="12"/>
      <c r="I189" s="12"/>
      <c r="J189" s="12"/>
      <c r="K189" s="12"/>
      <c r="L189" s="12"/>
    </row>
    <row r="190" spans="1:12" ht="12.75">
      <c r="A190" s="3"/>
      <c r="B190" s="3"/>
      <c r="C190" s="3"/>
      <c r="D190" s="10"/>
      <c r="E190" s="3"/>
      <c r="F190" s="3"/>
      <c r="G190" s="12"/>
      <c r="H190" s="12"/>
      <c r="I190" s="12"/>
      <c r="J190" s="12"/>
      <c r="K190" s="12"/>
      <c r="L190" s="12"/>
    </row>
    <row r="191" spans="1:12" ht="12.75">
      <c r="A191" s="3"/>
      <c r="B191" s="3"/>
      <c r="C191" s="3"/>
      <c r="D191" s="10"/>
      <c r="E191" s="3"/>
      <c r="F191" s="3"/>
      <c r="G191" s="12"/>
      <c r="H191" s="12"/>
      <c r="I191" s="12"/>
      <c r="J191" s="12"/>
      <c r="K191" s="12"/>
      <c r="L191" s="12"/>
    </row>
    <row r="192" spans="1:12" ht="12.75">
      <c r="A192" s="3"/>
      <c r="B192" s="3"/>
      <c r="C192" s="3"/>
      <c r="D192" s="10"/>
      <c r="E192" s="3"/>
      <c r="F192" s="3"/>
      <c r="G192" s="12"/>
      <c r="H192" s="12"/>
      <c r="I192" s="12"/>
      <c r="J192" s="12"/>
      <c r="K192" s="12"/>
      <c r="L192" s="12"/>
    </row>
    <row r="193" spans="1:12" ht="12.75">
      <c r="A193" s="3"/>
      <c r="B193" s="3"/>
      <c r="C193" s="3"/>
      <c r="D193" s="10"/>
      <c r="E193" s="3"/>
      <c r="F193" s="3"/>
      <c r="G193" s="12"/>
      <c r="H193" s="12"/>
      <c r="I193" s="12"/>
      <c r="J193" s="12"/>
      <c r="K193" s="12"/>
      <c r="L193" s="12"/>
    </row>
    <row r="194" spans="1:12" ht="12.75">
      <c r="A194" s="3"/>
      <c r="B194" s="3"/>
      <c r="C194" s="3"/>
      <c r="D194" s="10"/>
      <c r="E194" s="3"/>
      <c r="F194" s="3"/>
      <c r="G194" s="12"/>
      <c r="H194" s="12"/>
      <c r="I194" s="12"/>
      <c r="J194" s="12"/>
      <c r="K194" s="12"/>
      <c r="L194" s="12"/>
    </row>
    <row r="195" spans="1:12" ht="12.75">
      <c r="A195" s="3"/>
      <c r="B195" s="3"/>
      <c r="C195" s="3"/>
      <c r="D195" s="10"/>
      <c r="E195" s="3"/>
      <c r="F195" s="3"/>
      <c r="G195" s="12"/>
      <c r="H195" s="12"/>
      <c r="I195" s="12"/>
      <c r="J195" s="12"/>
      <c r="K195" s="12"/>
      <c r="L195" s="12"/>
    </row>
    <row r="196" spans="1:12" ht="12.75">
      <c r="A196" s="3"/>
      <c r="B196" s="3"/>
      <c r="C196" s="3"/>
      <c r="D196" s="10"/>
      <c r="E196" s="3"/>
      <c r="F196" s="3"/>
      <c r="G196" s="12"/>
      <c r="H196" s="12"/>
      <c r="I196" s="12"/>
      <c r="J196" s="12"/>
      <c r="K196" s="12"/>
      <c r="L196" s="12"/>
    </row>
    <row r="197" spans="1:12" ht="12.75">
      <c r="A197" s="3"/>
      <c r="B197" s="3"/>
      <c r="C197" s="3"/>
      <c r="D197" s="10"/>
      <c r="E197" s="3"/>
      <c r="F197" s="3"/>
      <c r="G197" s="12"/>
      <c r="H197" s="12"/>
      <c r="I197" s="12"/>
      <c r="J197" s="12"/>
      <c r="K197" s="12"/>
      <c r="L197" s="12"/>
    </row>
    <row r="198" spans="1:12" ht="12.75">
      <c r="A198" s="3"/>
      <c r="B198" s="3"/>
      <c r="C198" s="3"/>
      <c r="D198" s="10"/>
      <c r="E198" s="3"/>
      <c r="F198" s="3"/>
      <c r="G198" s="12"/>
      <c r="H198" s="12"/>
      <c r="I198" s="12"/>
      <c r="J198" s="12"/>
      <c r="K198" s="12"/>
      <c r="L198" s="12"/>
    </row>
    <row r="199" spans="1:12" ht="12.75">
      <c r="A199" s="3"/>
      <c r="B199" s="3"/>
      <c r="C199" s="3"/>
      <c r="D199" s="10"/>
      <c r="E199" s="3"/>
      <c r="F199" s="3"/>
      <c r="G199" s="12"/>
      <c r="H199" s="10">
        <v>24</v>
      </c>
      <c r="I199" s="12"/>
      <c r="J199" s="12"/>
      <c r="K199" s="12"/>
      <c r="L199" s="12"/>
    </row>
    <row r="200" spans="1:12" ht="12.75">
      <c r="A200" s="3"/>
      <c r="B200" s="3"/>
      <c r="C200" s="3"/>
      <c r="D200" s="10"/>
      <c r="E200" s="3"/>
      <c r="F200" s="3"/>
      <c r="G200" s="12"/>
      <c r="H200" s="12"/>
      <c r="I200" s="12"/>
      <c r="J200" s="12"/>
      <c r="K200" s="12"/>
      <c r="L200" s="12"/>
    </row>
    <row r="201" spans="1:12" ht="12.75">
      <c r="A201" s="3"/>
      <c r="B201" s="3"/>
      <c r="C201" s="3"/>
      <c r="D201" s="10"/>
      <c r="E201" s="3"/>
      <c r="F201" s="3"/>
      <c r="G201" s="12"/>
      <c r="H201" s="12"/>
      <c r="I201" s="12"/>
      <c r="J201" s="12"/>
      <c r="K201" s="12"/>
      <c r="L201" s="12"/>
    </row>
    <row r="202" spans="1:12" ht="12.75">
      <c r="A202" s="3"/>
      <c r="B202" s="3"/>
      <c r="C202" s="3"/>
      <c r="D202" s="10"/>
      <c r="E202" s="3"/>
      <c r="F202" s="3"/>
      <c r="G202" s="12"/>
      <c r="H202" s="12"/>
      <c r="I202" s="12"/>
      <c r="J202" s="12"/>
      <c r="K202" s="12"/>
      <c r="L202" s="12"/>
    </row>
    <row r="203" spans="1:12" ht="12.75">
      <c r="A203" s="3"/>
      <c r="B203" s="3"/>
      <c r="C203" s="3"/>
      <c r="D203" s="10"/>
      <c r="E203" s="3"/>
      <c r="F203" s="3"/>
      <c r="G203" s="12"/>
      <c r="H203" s="12"/>
      <c r="I203" s="12"/>
      <c r="J203" s="12"/>
      <c r="K203" s="12"/>
      <c r="L203" s="12"/>
    </row>
    <row r="204" spans="1:12" ht="12.75">
      <c r="A204" s="3"/>
      <c r="B204" s="3"/>
      <c r="C204" s="3"/>
      <c r="D204" s="10"/>
      <c r="E204" s="3"/>
      <c r="F204" s="3"/>
      <c r="G204" s="12"/>
      <c r="H204" s="12"/>
      <c r="I204" s="12"/>
      <c r="J204" s="12"/>
      <c r="K204" s="12"/>
      <c r="L204" s="12"/>
    </row>
    <row r="205" spans="1:12" ht="12.75">
      <c r="A205" s="3"/>
      <c r="B205" s="3"/>
      <c r="C205" s="3"/>
      <c r="D205" s="10"/>
      <c r="E205" s="3"/>
      <c r="F205" s="3"/>
      <c r="G205" s="12"/>
      <c r="H205" s="12"/>
      <c r="I205" s="12"/>
      <c r="J205" s="12"/>
      <c r="K205" s="12"/>
      <c r="L205" s="12"/>
    </row>
    <row r="206" spans="1:12" ht="12.75">
      <c r="A206" s="3"/>
      <c r="B206" s="3"/>
      <c r="C206" s="3"/>
      <c r="D206" s="10"/>
      <c r="E206" s="3"/>
      <c r="F206" s="3"/>
      <c r="G206" s="12"/>
      <c r="H206" s="12"/>
      <c r="I206" s="12"/>
      <c r="J206" s="12"/>
      <c r="K206" s="12"/>
      <c r="L206" s="12"/>
    </row>
    <row r="207" spans="1:12" ht="12.75">
      <c r="A207" s="3"/>
      <c r="B207" s="3"/>
      <c r="C207" s="3"/>
      <c r="D207" s="10"/>
      <c r="E207" s="3"/>
      <c r="F207" s="3"/>
      <c r="G207" s="12"/>
      <c r="H207" s="12"/>
      <c r="I207" s="12"/>
      <c r="J207" s="12"/>
      <c r="K207" s="12"/>
      <c r="L207" s="12"/>
    </row>
    <row r="208" spans="1:12" ht="12.75">
      <c r="A208" s="3"/>
      <c r="B208" s="3"/>
      <c r="C208" s="3"/>
      <c r="D208" s="10"/>
      <c r="E208" s="3"/>
      <c r="F208" s="3"/>
      <c r="G208" s="12"/>
      <c r="H208" s="12"/>
      <c r="I208" s="12"/>
      <c r="J208" s="12"/>
      <c r="K208" s="12"/>
      <c r="L208" s="12"/>
    </row>
    <row r="209" spans="1:12" ht="12.75">
      <c r="A209" s="3"/>
      <c r="B209" s="3"/>
      <c r="C209" s="3"/>
      <c r="D209" s="10"/>
      <c r="E209" s="3"/>
      <c r="F209" s="3"/>
      <c r="G209" s="12"/>
      <c r="H209" s="12"/>
      <c r="I209" s="12"/>
      <c r="J209" s="12"/>
      <c r="K209" s="12"/>
      <c r="L209" s="12"/>
    </row>
    <row r="210" spans="1:12" ht="12.75">
      <c r="A210" s="3"/>
      <c r="B210" s="3"/>
      <c r="C210" s="3"/>
      <c r="D210" s="10"/>
      <c r="E210" s="3"/>
      <c r="F210" s="3"/>
      <c r="G210" s="12"/>
      <c r="H210" s="12"/>
      <c r="I210" s="12"/>
      <c r="J210" s="12"/>
      <c r="K210" s="12"/>
      <c r="L210" s="12"/>
    </row>
    <row r="211" spans="1:12" ht="12.75">
      <c r="A211" s="3"/>
      <c r="B211" s="3"/>
      <c r="C211" s="3"/>
      <c r="D211" s="10"/>
      <c r="E211" s="3"/>
      <c r="F211" s="3"/>
      <c r="G211" s="12"/>
      <c r="H211" s="12"/>
      <c r="I211" s="12"/>
      <c r="J211" s="12"/>
      <c r="K211" s="12"/>
      <c r="L211" s="12"/>
    </row>
    <row r="212" spans="1:12" ht="12.75">
      <c r="A212" s="3"/>
      <c r="B212" s="3"/>
      <c r="C212" s="3"/>
      <c r="D212" s="10"/>
      <c r="E212" s="3"/>
      <c r="F212" s="3"/>
      <c r="G212" s="12"/>
      <c r="H212" s="12"/>
      <c r="I212" s="12"/>
      <c r="J212" s="12"/>
      <c r="K212" s="12"/>
      <c r="L212" s="12"/>
    </row>
    <row r="213" spans="1:12" ht="12.75">
      <c r="A213" s="3"/>
      <c r="B213" s="3"/>
      <c r="C213" s="3"/>
      <c r="D213" s="10"/>
      <c r="E213" s="3"/>
      <c r="F213" s="3"/>
      <c r="G213" s="12"/>
      <c r="H213" s="12"/>
      <c r="I213" s="12"/>
      <c r="J213" s="12"/>
      <c r="K213" s="12"/>
      <c r="L213" s="12"/>
    </row>
    <row r="214" spans="1:12" ht="12.75">
      <c r="A214" s="3"/>
      <c r="B214" s="3"/>
      <c r="C214" s="3"/>
      <c r="D214" s="10"/>
      <c r="E214" s="3"/>
      <c r="F214" s="3"/>
      <c r="G214" s="12"/>
      <c r="H214" s="12"/>
      <c r="I214" s="12"/>
      <c r="J214" s="12"/>
      <c r="K214" s="12"/>
      <c r="L214" s="12"/>
    </row>
    <row r="215" spans="1:12" ht="12.75">
      <c r="A215" s="3"/>
      <c r="B215" s="3"/>
      <c r="C215" s="3"/>
      <c r="D215" s="10"/>
      <c r="E215" s="3"/>
      <c r="F215" s="3"/>
      <c r="G215" s="12"/>
      <c r="H215" s="12"/>
      <c r="I215" s="12"/>
      <c r="J215" s="12"/>
      <c r="K215" s="12"/>
      <c r="L215" s="12"/>
    </row>
    <row r="216" spans="1:12" ht="12.75">
      <c r="A216" s="3"/>
      <c r="B216" s="3"/>
      <c r="C216" s="3"/>
      <c r="D216" s="10"/>
      <c r="E216" s="3"/>
      <c r="F216" s="3"/>
      <c r="G216" s="12"/>
      <c r="H216" s="12"/>
      <c r="I216" s="12"/>
      <c r="J216" s="12"/>
      <c r="K216" s="12"/>
      <c r="L216" s="12"/>
    </row>
    <row r="217" spans="1:12" ht="12.75">
      <c r="A217" s="3"/>
      <c r="B217" s="3"/>
      <c r="C217" s="3"/>
      <c r="D217" s="10"/>
      <c r="E217" s="3"/>
      <c r="F217" s="3"/>
      <c r="G217" s="12"/>
      <c r="H217" s="12"/>
      <c r="I217" s="12"/>
      <c r="J217" s="12"/>
      <c r="K217" s="12"/>
      <c r="L217" s="12"/>
    </row>
    <row r="218" spans="1:12" ht="12.75">
      <c r="A218" s="3"/>
      <c r="B218" s="3"/>
      <c r="C218" s="3"/>
      <c r="D218" s="10"/>
      <c r="E218" s="3"/>
      <c r="F218" s="3"/>
      <c r="G218" s="12"/>
      <c r="H218" s="12"/>
      <c r="I218" s="12"/>
      <c r="J218" s="12"/>
      <c r="K218" s="12"/>
      <c r="L218" s="12"/>
    </row>
    <row r="219" spans="1:12" ht="12.75">
      <c r="A219" s="3"/>
      <c r="B219" s="3"/>
      <c r="C219" s="3"/>
      <c r="D219" s="10"/>
      <c r="E219" s="3"/>
      <c r="F219" s="3"/>
      <c r="G219" s="12"/>
      <c r="H219" s="12"/>
      <c r="I219" s="12"/>
      <c r="J219" s="12"/>
      <c r="K219" s="12"/>
      <c r="L219" s="12"/>
    </row>
    <row r="220" spans="1:12" ht="12.75">
      <c r="A220" s="3"/>
      <c r="B220" s="3"/>
      <c r="C220" s="3"/>
      <c r="D220" s="10"/>
      <c r="E220" s="3"/>
      <c r="F220" s="3"/>
      <c r="G220" s="12"/>
      <c r="H220" s="12"/>
      <c r="I220" s="12"/>
      <c r="J220" s="12"/>
      <c r="K220" s="12"/>
      <c r="L220" s="12"/>
    </row>
    <row r="221" spans="1:12" ht="12.75">
      <c r="A221" s="3"/>
      <c r="B221" s="3"/>
      <c r="C221" s="3"/>
      <c r="D221" s="10"/>
      <c r="E221" s="3"/>
      <c r="F221" s="3"/>
      <c r="G221" s="12"/>
      <c r="H221" s="12"/>
      <c r="I221" s="12"/>
      <c r="J221" s="12"/>
      <c r="K221" s="12"/>
      <c r="L221" s="12"/>
    </row>
    <row r="222" spans="1:12" ht="12.75">
      <c r="A222" s="3"/>
      <c r="B222" s="3"/>
      <c r="C222" s="3"/>
      <c r="D222" s="10"/>
      <c r="E222" s="3"/>
      <c r="F222" s="3"/>
      <c r="G222" s="12"/>
      <c r="H222" s="12"/>
      <c r="I222" s="12"/>
      <c r="J222" s="12"/>
      <c r="K222" s="12"/>
      <c r="L222" s="12"/>
    </row>
    <row r="223" spans="1:12" ht="12.75">
      <c r="A223" s="3"/>
      <c r="B223" s="3"/>
      <c r="C223" s="3"/>
      <c r="D223" s="10"/>
      <c r="E223" s="3"/>
      <c r="F223" s="3"/>
      <c r="G223" s="12"/>
      <c r="H223" s="12"/>
      <c r="I223" s="12"/>
      <c r="J223" s="12"/>
      <c r="K223" s="12"/>
      <c r="L223" s="12"/>
    </row>
    <row r="224" spans="1:12" ht="12.75">
      <c r="A224" s="12"/>
      <c r="B224" s="12"/>
      <c r="C224" s="12"/>
      <c r="D224" s="10"/>
      <c r="E224" s="12"/>
      <c r="F224" s="12"/>
      <c r="G224" s="12"/>
      <c r="H224" s="12"/>
      <c r="I224" s="12"/>
      <c r="J224" s="12"/>
      <c r="K224" s="12"/>
      <c r="L224" s="12"/>
    </row>
    <row r="225" spans="1:12" ht="12.75">
      <c r="A225" s="12"/>
      <c r="B225" s="12"/>
      <c r="C225" s="12"/>
      <c r="D225" s="10"/>
      <c r="E225" s="12"/>
      <c r="F225" s="12"/>
      <c r="G225" s="12"/>
      <c r="H225" s="12"/>
      <c r="I225" s="12"/>
      <c r="J225" s="12"/>
      <c r="K225" s="12"/>
      <c r="L225" s="12"/>
    </row>
    <row r="226" spans="1:12" ht="12.75">
      <c r="A226" s="12"/>
      <c r="B226" s="12"/>
      <c r="C226" s="12"/>
      <c r="D226" s="10"/>
      <c r="E226" s="12"/>
      <c r="F226" s="12"/>
      <c r="G226" s="12"/>
      <c r="H226" s="12"/>
      <c r="I226" s="12"/>
      <c r="J226" s="12"/>
      <c r="K226" s="12"/>
      <c r="L226" s="12"/>
    </row>
    <row r="227" spans="1:12" ht="12.75">
      <c r="A227" s="12"/>
      <c r="B227" s="12"/>
      <c r="C227" s="12"/>
      <c r="D227" s="10"/>
      <c r="E227" s="12"/>
      <c r="F227" s="12"/>
      <c r="G227" s="12"/>
      <c r="H227" s="12"/>
      <c r="I227" s="12"/>
      <c r="J227" s="12"/>
      <c r="K227" s="12"/>
      <c r="L227" s="12"/>
    </row>
    <row r="228" spans="1:12" ht="12.75">
      <c r="A228" s="12"/>
      <c r="B228" s="12"/>
      <c r="C228" s="12"/>
      <c r="D228" s="10"/>
      <c r="E228" s="12"/>
      <c r="F228" s="12"/>
      <c r="G228" s="12"/>
      <c r="H228" s="12"/>
      <c r="I228" s="12"/>
      <c r="J228" s="12"/>
      <c r="K228" s="12"/>
      <c r="L228" s="12"/>
    </row>
    <row r="229" spans="1:12" ht="12.75">
      <c r="A229" s="12"/>
      <c r="B229" s="12"/>
      <c r="C229" s="12"/>
      <c r="D229" s="10"/>
      <c r="E229" s="12"/>
      <c r="F229" s="12"/>
      <c r="G229" s="12"/>
      <c r="H229" s="12"/>
      <c r="I229" s="12"/>
      <c r="J229" s="12"/>
      <c r="K229" s="12"/>
      <c r="L229" s="12"/>
    </row>
    <row r="230" spans="1:12" ht="12.75">
      <c r="A230" s="12"/>
      <c r="B230" s="12"/>
      <c r="C230" s="12"/>
      <c r="D230" s="10"/>
      <c r="E230" s="12"/>
      <c r="F230" s="12"/>
      <c r="G230" s="12"/>
      <c r="H230" s="12"/>
      <c r="I230" s="12"/>
      <c r="J230" s="12"/>
      <c r="K230" s="12"/>
      <c r="L230" s="12"/>
    </row>
    <row r="231" spans="1:12" ht="12.75">
      <c r="A231" s="12"/>
      <c r="B231" s="12"/>
      <c r="C231" s="12"/>
      <c r="D231" s="10"/>
      <c r="E231" s="12"/>
      <c r="F231" s="12"/>
      <c r="G231" s="12"/>
      <c r="H231" s="12"/>
      <c r="I231" s="12"/>
      <c r="J231" s="12"/>
      <c r="K231" s="12"/>
      <c r="L231" s="12"/>
    </row>
    <row r="232" spans="1:12" ht="12.75">
      <c r="A232" s="12"/>
      <c r="B232" s="12"/>
      <c r="C232" s="12"/>
      <c r="D232" s="10"/>
      <c r="E232" s="12"/>
      <c r="F232" s="12"/>
      <c r="G232" s="12"/>
      <c r="H232" s="12"/>
      <c r="I232" s="12"/>
      <c r="J232" s="12"/>
      <c r="K232" s="12"/>
      <c r="L232" s="12"/>
    </row>
    <row r="233" spans="1:12" ht="12.75">
      <c r="A233" s="12"/>
      <c r="B233" s="12"/>
      <c r="C233" s="12"/>
      <c r="D233" s="10"/>
      <c r="E233" s="12"/>
      <c r="F233" s="12"/>
      <c r="G233" s="12"/>
      <c r="H233" s="12"/>
      <c r="I233" s="12"/>
      <c r="J233" s="12"/>
      <c r="K233" s="12"/>
      <c r="L233" s="12"/>
    </row>
    <row r="234" spans="1:12" ht="12.75">
      <c r="A234" s="12"/>
      <c r="B234" s="12"/>
      <c r="C234" s="12"/>
      <c r="D234" s="10"/>
      <c r="E234" s="12"/>
      <c r="F234" s="12"/>
      <c r="G234" s="12"/>
      <c r="H234" s="12"/>
      <c r="I234" s="12"/>
      <c r="J234" s="12"/>
      <c r="K234" s="12"/>
      <c r="L234" s="12"/>
    </row>
    <row r="235" spans="1:12" ht="12.75">
      <c r="A235" s="12"/>
      <c r="B235" s="12"/>
      <c r="C235" s="12"/>
      <c r="D235" s="10"/>
      <c r="E235" s="12"/>
      <c r="F235" s="12"/>
      <c r="G235" s="12"/>
      <c r="H235" s="12"/>
      <c r="I235" s="12"/>
      <c r="J235" s="12"/>
      <c r="K235" s="12"/>
      <c r="L235" s="12"/>
    </row>
    <row r="236" spans="1:12" ht="12.75">
      <c r="A236" s="12"/>
      <c r="B236" s="12"/>
      <c r="C236" s="12"/>
      <c r="D236" s="10"/>
      <c r="E236" s="12"/>
      <c r="F236" s="12"/>
      <c r="G236" s="12"/>
      <c r="H236" s="12"/>
      <c r="I236" s="12"/>
      <c r="J236" s="12"/>
      <c r="K236" s="12"/>
      <c r="L236" s="12"/>
    </row>
    <row r="237" spans="1:12" ht="12.75">
      <c r="A237" s="12"/>
      <c r="B237" s="12"/>
      <c r="C237" s="12"/>
      <c r="D237" s="10"/>
      <c r="E237" s="12"/>
      <c r="F237" s="12"/>
      <c r="G237" s="12"/>
      <c r="H237" s="12"/>
      <c r="I237" s="12"/>
      <c r="J237" s="12"/>
      <c r="K237" s="12"/>
      <c r="L237" s="12"/>
    </row>
    <row r="238" spans="1:12" ht="12.75">
      <c r="A238" s="12"/>
      <c r="B238" s="12"/>
      <c r="C238" s="12"/>
      <c r="D238" s="10"/>
      <c r="E238" s="12"/>
      <c r="F238" s="12"/>
      <c r="G238" s="12"/>
      <c r="H238" s="12"/>
      <c r="I238" s="12"/>
      <c r="J238" s="12"/>
      <c r="K238" s="12"/>
      <c r="L238" s="12"/>
    </row>
    <row r="239" spans="1:12" ht="12.75">
      <c r="A239" s="12"/>
      <c r="B239" s="12"/>
      <c r="C239" s="12"/>
      <c r="D239" s="10"/>
      <c r="E239" s="12"/>
      <c r="F239" s="12"/>
      <c r="G239" s="12"/>
      <c r="H239" s="12"/>
      <c r="I239" s="12"/>
      <c r="J239" s="12"/>
      <c r="K239" s="12"/>
      <c r="L239" s="12"/>
    </row>
    <row r="240" spans="1:12" ht="12.75">
      <c r="A240" s="12"/>
      <c r="B240" s="12"/>
      <c r="C240" s="12"/>
      <c r="D240" s="10"/>
      <c r="E240" s="12"/>
      <c r="F240" s="12"/>
      <c r="G240" s="12"/>
      <c r="H240" s="12"/>
      <c r="I240" s="12"/>
      <c r="J240" s="12"/>
      <c r="K240" s="12"/>
      <c r="L240" s="12"/>
    </row>
    <row r="241" spans="1:12" ht="12.75">
      <c r="A241" s="12"/>
      <c r="B241" s="12"/>
      <c r="C241" s="12"/>
      <c r="D241" s="10"/>
      <c r="E241" s="12"/>
      <c r="F241" s="12"/>
      <c r="G241" s="12"/>
      <c r="H241" s="12"/>
      <c r="I241" s="12"/>
      <c r="J241" s="12"/>
      <c r="K241" s="12"/>
      <c r="L241" s="12"/>
    </row>
    <row r="242" spans="1:12" ht="12.75">
      <c r="A242" s="12"/>
      <c r="B242" s="12"/>
      <c r="C242" s="12"/>
      <c r="D242" s="10"/>
      <c r="E242" s="12"/>
      <c r="F242" s="12"/>
      <c r="G242" s="12"/>
      <c r="H242" s="12"/>
      <c r="I242" s="12"/>
      <c r="J242" s="12"/>
      <c r="K242" s="12"/>
      <c r="L242" s="12"/>
    </row>
    <row r="243" spans="1:12" ht="12.75">
      <c r="A243" s="12"/>
      <c r="B243" s="12"/>
      <c r="C243" s="12"/>
      <c r="D243" s="10"/>
      <c r="E243" s="12"/>
      <c r="F243" s="12"/>
      <c r="G243" s="12"/>
      <c r="H243" s="12"/>
      <c r="I243" s="12"/>
      <c r="J243" s="12"/>
      <c r="K243" s="12"/>
      <c r="L243" s="12"/>
    </row>
    <row r="244" spans="1:12" ht="12.75">
      <c r="A244" s="12"/>
      <c r="B244" s="12"/>
      <c r="C244" s="12"/>
      <c r="D244" s="10"/>
      <c r="E244" s="12"/>
      <c r="F244" s="12"/>
      <c r="G244" s="12"/>
      <c r="H244" s="12"/>
      <c r="I244" s="12"/>
      <c r="J244" s="12"/>
      <c r="K244" s="12"/>
      <c r="L244" s="12"/>
    </row>
    <row r="245" spans="1:12" ht="12.75">
      <c r="A245" s="12"/>
      <c r="B245" s="12"/>
      <c r="C245" s="12"/>
      <c r="D245" s="10"/>
      <c r="E245" s="12"/>
      <c r="F245" s="12"/>
      <c r="G245" s="12"/>
      <c r="H245" s="12"/>
      <c r="I245" s="12"/>
      <c r="J245" s="12"/>
      <c r="K245" s="12"/>
      <c r="L245" s="12"/>
    </row>
    <row r="246" spans="1:12" ht="12.75">
      <c r="A246" s="12"/>
      <c r="B246" s="12"/>
      <c r="C246" s="12"/>
      <c r="D246" s="10"/>
      <c r="E246" s="12"/>
      <c r="F246" s="12"/>
      <c r="G246" s="12"/>
      <c r="H246" s="12"/>
      <c r="I246" s="12"/>
      <c r="J246" s="12"/>
      <c r="K246" s="12"/>
      <c r="L246" s="12"/>
    </row>
    <row r="247" spans="1:12" ht="12.75">
      <c r="A247" s="12"/>
      <c r="B247" s="12"/>
      <c r="C247" s="12"/>
      <c r="D247" s="10"/>
      <c r="E247" s="12"/>
      <c r="F247" s="12"/>
      <c r="G247" s="12"/>
      <c r="H247" s="12"/>
      <c r="I247" s="12"/>
      <c r="J247" s="12"/>
      <c r="K247" s="12"/>
      <c r="L247" s="12"/>
    </row>
    <row r="248" spans="1:12" ht="12.75">
      <c r="A248" s="12"/>
      <c r="B248" s="12"/>
      <c r="C248" s="12"/>
      <c r="D248" s="10"/>
      <c r="E248" s="12"/>
      <c r="F248" s="12"/>
      <c r="G248" s="12"/>
      <c r="H248" s="12"/>
      <c r="I248" s="12"/>
      <c r="J248" s="12"/>
      <c r="K248" s="12"/>
      <c r="L248" s="12"/>
    </row>
    <row r="249" spans="1:12" ht="12.75">
      <c r="A249" s="12"/>
      <c r="B249" s="12"/>
      <c r="C249" s="12"/>
      <c r="D249" s="10"/>
      <c r="E249" s="12"/>
      <c r="F249" s="12"/>
      <c r="G249" s="12"/>
      <c r="H249" s="12"/>
      <c r="I249" s="12"/>
      <c r="J249" s="12"/>
      <c r="K249" s="12"/>
      <c r="L249" s="12"/>
    </row>
    <row r="250" spans="1:12" ht="12.75">
      <c r="A250" s="12"/>
      <c r="B250" s="12"/>
      <c r="C250" s="12"/>
      <c r="D250" s="10"/>
      <c r="E250" s="12"/>
      <c r="F250" s="12"/>
      <c r="G250" s="12"/>
      <c r="H250" s="12"/>
      <c r="I250" s="12"/>
      <c r="J250" s="12"/>
      <c r="K250" s="12"/>
      <c r="L250" s="12"/>
    </row>
    <row r="251" spans="1:12" ht="12.75">
      <c r="A251" s="12"/>
      <c r="B251" s="12"/>
      <c r="C251" s="12"/>
      <c r="D251" s="10"/>
      <c r="E251" s="12"/>
      <c r="F251" s="12"/>
      <c r="G251" s="12"/>
      <c r="H251" s="12"/>
      <c r="I251" s="12"/>
      <c r="J251" s="12"/>
      <c r="K251" s="12"/>
      <c r="L251" s="12"/>
    </row>
    <row r="252" spans="1:12" ht="12.75">
      <c r="A252" s="12"/>
      <c r="B252" s="12"/>
      <c r="C252" s="12"/>
      <c r="D252" s="10"/>
      <c r="E252" s="12"/>
      <c r="F252" s="12"/>
      <c r="G252" s="12"/>
      <c r="H252" s="12"/>
      <c r="I252" s="12"/>
      <c r="J252" s="12"/>
      <c r="K252" s="12"/>
      <c r="L252" s="12"/>
    </row>
    <row r="253" spans="1:12" ht="12.75">
      <c r="A253" s="12"/>
      <c r="B253" s="12"/>
      <c r="C253" s="12"/>
      <c r="D253" s="10"/>
      <c r="E253" s="12"/>
      <c r="F253" s="12"/>
      <c r="G253" s="12"/>
      <c r="H253" s="12"/>
      <c r="I253" s="12"/>
      <c r="J253" s="12"/>
      <c r="K253" s="12"/>
      <c r="L253" s="12"/>
    </row>
    <row r="254" spans="1:12" ht="12.75">
      <c r="A254" s="12"/>
      <c r="B254" s="12"/>
      <c r="C254" s="12"/>
      <c r="D254" s="10"/>
      <c r="E254" s="12"/>
      <c r="F254" s="12"/>
      <c r="G254" s="12"/>
      <c r="H254" s="12"/>
      <c r="I254" s="12"/>
      <c r="J254" s="12"/>
      <c r="K254" s="12"/>
      <c r="L254" s="12"/>
    </row>
    <row r="255" spans="1:12" ht="12.75">
      <c r="A255" s="12"/>
      <c r="B255" s="12"/>
      <c r="C255" s="12"/>
      <c r="D255" s="10"/>
      <c r="E255" s="12"/>
      <c r="F255" s="12"/>
      <c r="G255" s="12"/>
      <c r="H255" s="12"/>
      <c r="I255" s="12"/>
      <c r="J255" s="12"/>
      <c r="K255" s="12"/>
      <c r="L255" s="12"/>
    </row>
  </sheetData>
  <sheetProtection/>
  <mergeCells count="5">
    <mergeCell ref="F30:I30"/>
    <mergeCell ref="D106:G106"/>
    <mergeCell ref="D31:F31"/>
    <mergeCell ref="D3:F3"/>
    <mergeCell ref="D68:F68"/>
  </mergeCells>
  <printOptions gridLines="1" horizontalCentered="1" verticalCentered="1"/>
  <pageMargins left="0.75" right="0.75" top="1" bottom="1" header="0.5" footer="0.5"/>
  <pageSetup horizontalDpi="300" verticalDpi="300" orientation="portrait" scale="95" r:id="rId2"/>
  <headerFooter alignWithMargins="0">
    <oddHeader xml:space="preserve">&amp;C&amp;"Arial,Bold"&amp;14 CUMBERLAND VALLEY ELECTRIC, INC.
Case No.  2016-00169
Determination of Certain Plant Investments as Demand Related or Consumer Related&amp;RRevision 2  Exhibit R
Page ____ of ____
Witness:  James Adkins
Schedule F
 </oddHeader>
  </headerFooter>
  <rowBreaks count="4" manualBreakCount="4">
    <brk id="28" max="7" man="1"/>
    <brk id="65" max="7" man="1"/>
    <brk id="104" max="7" man="1"/>
    <brk id="152" max="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1">
      <selection activeCell="B3" sqref="B3"/>
    </sheetView>
  </sheetViews>
  <sheetFormatPr defaultColWidth="9.140625" defaultRowHeight="12.75"/>
  <cols>
    <col min="1" max="1" width="2.8515625" style="184" customWidth="1"/>
    <col min="2" max="2" width="29.57421875" style="184" customWidth="1"/>
    <col min="3" max="3" width="13.140625" style="184" customWidth="1"/>
    <col min="4" max="4" width="11.57421875" style="184" customWidth="1"/>
    <col min="5" max="5" width="13.8515625" style="184" customWidth="1"/>
    <col min="6" max="6" width="12.140625" style="184" customWidth="1"/>
    <col min="7" max="7" width="11.421875" style="184" customWidth="1"/>
    <col min="8" max="8" width="12.421875" style="184" customWidth="1"/>
    <col min="9" max="9" width="12.7109375" style="184" customWidth="1"/>
    <col min="10" max="11" width="13.00390625" style="184" customWidth="1"/>
    <col min="12" max="12" width="12.7109375" style="184" customWidth="1"/>
    <col min="13" max="13" width="13.8515625" style="184" customWidth="1"/>
    <col min="14" max="16384" width="9.140625" style="184" customWidth="1"/>
  </cols>
  <sheetData>
    <row r="1" spans="1:13" ht="15">
      <c r="A1" s="185"/>
      <c r="B1" s="185"/>
      <c r="C1" s="185"/>
      <c r="D1" s="185"/>
      <c r="E1" s="186" t="s">
        <v>343</v>
      </c>
      <c r="F1" s="186" t="s">
        <v>343</v>
      </c>
      <c r="G1" s="186" t="s">
        <v>298</v>
      </c>
      <c r="H1" s="186" t="s">
        <v>298</v>
      </c>
      <c r="I1" s="186" t="s">
        <v>302</v>
      </c>
      <c r="J1" s="186" t="s">
        <v>304</v>
      </c>
      <c r="K1" s="186" t="s">
        <v>306</v>
      </c>
      <c r="L1" s="186" t="s">
        <v>307</v>
      </c>
      <c r="M1" s="186" t="s">
        <v>24</v>
      </c>
    </row>
    <row r="2" spans="1:13" ht="15">
      <c r="A2" s="185"/>
      <c r="B2" s="325" t="s">
        <v>452</v>
      </c>
      <c r="C2" s="185"/>
      <c r="D2" s="325" t="s">
        <v>568</v>
      </c>
      <c r="E2" s="186" t="s">
        <v>434</v>
      </c>
      <c r="F2" s="186" t="s">
        <v>435</v>
      </c>
      <c r="G2" s="186" t="s">
        <v>428</v>
      </c>
      <c r="H2" s="186" t="s">
        <v>428</v>
      </c>
      <c r="I2" s="186" t="s">
        <v>429</v>
      </c>
      <c r="J2" s="186" t="s">
        <v>135</v>
      </c>
      <c r="K2" s="186" t="s">
        <v>135</v>
      </c>
      <c r="L2" s="186" t="s">
        <v>16</v>
      </c>
      <c r="M2" s="186" t="s">
        <v>24</v>
      </c>
    </row>
    <row r="3" spans="1:13" ht="15">
      <c r="A3" s="185"/>
      <c r="B3" s="185"/>
      <c r="C3" s="325" t="s">
        <v>121</v>
      </c>
      <c r="D3" s="325" t="s">
        <v>476</v>
      </c>
      <c r="E3" s="186" t="s">
        <v>430</v>
      </c>
      <c r="F3" s="186" t="s">
        <v>136</v>
      </c>
      <c r="G3" s="186" t="s">
        <v>431</v>
      </c>
      <c r="H3" s="186" t="s">
        <v>432</v>
      </c>
      <c r="I3" s="186" t="s">
        <v>436</v>
      </c>
      <c r="J3" s="186" t="s">
        <v>437</v>
      </c>
      <c r="K3" s="186" t="s">
        <v>438</v>
      </c>
      <c r="L3" s="186" t="s">
        <v>433</v>
      </c>
      <c r="M3" s="186" t="s">
        <v>88</v>
      </c>
    </row>
    <row r="4" spans="1:13" ht="15">
      <c r="A4" s="185"/>
      <c r="B4" s="187" t="s">
        <v>207</v>
      </c>
      <c r="C4" s="189"/>
      <c r="D4" s="189"/>
      <c r="E4" s="187"/>
      <c r="F4" s="185"/>
      <c r="G4" s="185"/>
      <c r="H4" s="185"/>
      <c r="I4" s="185"/>
      <c r="J4" s="185"/>
      <c r="K4" s="185"/>
      <c r="L4" s="185"/>
      <c r="M4" s="185"/>
    </row>
    <row r="5" spans="1:13" ht="15">
      <c r="A5" s="185"/>
      <c r="B5" s="326" t="s">
        <v>10</v>
      </c>
      <c r="C5" s="327">
        <f>('Classification 1'!F82)</f>
        <v>6986348.459999998</v>
      </c>
      <c r="D5" s="327"/>
      <c r="E5" s="328">
        <f>($C$5*' Energy &amp; Demand Allocations'!C57)</f>
        <v>5059146.93777554</v>
      </c>
      <c r="F5" s="185"/>
      <c r="G5" s="328">
        <f>($C$5*' Energy &amp; Demand Allocations'!E57)</f>
        <v>139656.90740389106</v>
      </c>
      <c r="H5" s="328">
        <f>($C$5*' Energy &amp; Demand Allocations'!F57)</f>
        <v>218266.71523027655</v>
      </c>
      <c r="I5" s="328">
        <f>($C$5*' Energy &amp; Demand Allocations'!G57)</f>
        <v>241748.6409918969</v>
      </c>
      <c r="J5" s="328">
        <f>($C$5*' Energy &amp; Demand Allocations'!H57)</f>
        <v>132975.6349419055</v>
      </c>
      <c r="K5" s="328">
        <f>($C$5*' Energy &amp; Demand Allocations'!I57)</f>
        <v>1107059.0821582843</v>
      </c>
      <c r="L5" s="328">
        <f>($C$5*' Energy &amp; Demand Allocations'!J57)</f>
        <v>87494.54149820357</v>
      </c>
      <c r="M5" s="329">
        <f>SUM(E5:L5)</f>
        <v>6986348.459999999</v>
      </c>
    </row>
    <row r="6" spans="1:13" ht="15">
      <c r="A6" s="185"/>
      <c r="B6" s="187" t="s">
        <v>427</v>
      </c>
      <c r="C6" s="327">
        <f>('Classification 1'!H82)</f>
        <v>705176</v>
      </c>
      <c r="D6" s="327"/>
      <c r="E6" s="328">
        <f>($C$6*' Energy &amp; Demand Allocations'!C90)</f>
        <v>470409.3039165638</v>
      </c>
      <c r="F6" s="185"/>
      <c r="G6" s="328">
        <f>($C$6*' Energy &amp; Demand Allocations'!E90)</f>
        <v>18494.22318303224</v>
      </c>
      <c r="H6" s="328">
        <f>($C$6*' Energy &amp; Demand Allocations'!F90)</f>
        <v>18921.734186764108</v>
      </c>
      <c r="I6" s="328">
        <f>($C$6*' Energy &amp; Demand Allocations'!G90)</f>
        <v>29035.770080734223</v>
      </c>
      <c r="J6" s="328">
        <f>($C$6*' Energy &amp; Demand Allocations'!H90)</f>
        <v>19794.24528074414</v>
      </c>
      <c r="K6" s="328">
        <f>($C$6*' Energy &amp; Demand Allocations'!I90)</f>
        <v>134106.3154070158</v>
      </c>
      <c r="L6" s="328">
        <f>($C$6*' Energy &amp; Demand Allocations'!J90)</f>
        <v>14414.40794514565</v>
      </c>
      <c r="M6" s="329">
        <f>SUM(E6:L6)</f>
        <v>705176</v>
      </c>
    </row>
    <row r="7" spans="1:13" ht="15">
      <c r="A7" s="185"/>
      <c r="B7" s="185" t="s">
        <v>444</v>
      </c>
      <c r="C7" s="327">
        <f>SUM(C5:C6)</f>
        <v>7691524.459999998</v>
      </c>
      <c r="D7" s="327" t="s">
        <v>24</v>
      </c>
      <c r="E7" s="327">
        <f aca="true" t="shared" si="0" ref="E7:L7">SUM(E5:E6)</f>
        <v>5529556.241692104</v>
      </c>
      <c r="F7" s="327">
        <f t="shared" si="0"/>
        <v>0</v>
      </c>
      <c r="G7" s="327">
        <f>SUM(G5:G6)</f>
        <v>158151.1305869233</v>
      </c>
      <c r="H7" s="327">
        <f t="shared" si="0"/>
        <v>237188.44941704065</v>
      </c>
      <c r="I7" s="327">
        <f t="shared" si="0"/>
        <v>270784.41107263113</v>
      </c>
      <c r="J7" s="327">
        <f t="shared" si="0"/>
        <v>152769.88022264963</v>
      </c>
      <c r="K7" s="327">
        <f t="shared" si="0"/>
        <v>1241165.3975653</v>
      </c>
      <c r="L7" s="327">
        <f t="shared" si="0"/>
        <v>101908.94944334922</v>
      </c>
      <c r="M7" s="327">
        <f>SUM(M5:M6)</f>
        <v>7691524.459999999</v>
      </c>
    </row>
    <row r="8" spans="1:13" ht="15">
      <c r="A8" s="185"/>
      <c r="B8" s="185"/>
      <c r="C8" s="327"/>
      <c r="D8" s="327"/>
      <c r="E8" s="187"/>
      <c r="F8" s="185"/>
      <c r="G8" s="185"/>
      <c r="H8" s="185"/>
      <c r="I8" s="185"/>
      <c r="J8" s="185"/>
      <c r="K8" s="185"/>
      <c r="L8" s="185"/>
      <c r="M8" s="185"/>
    </row>
    <row r="9" spans="1:13" ht="15">
      <c r="A9" s="185"/>
      <c r="B9" s="326" t="s">
        <v>42</v>
      </c>
      <c r="C9" s="327">
        <f>('Classification 1'!G82)</f>
        <v>23587568.669281997</v>
      </c>
      <c r="D9" s="327">
        <v>656</v>
      </c>
      <c r="E9" s="327">
        <f>($C$9*' Energy &amp; Demand Allocations'!C26)-(D9)</f>
        <v>15493534.212842934</v>
      </c>
      <c r="F9" s="327">
        <f>($C$9*' Energy &amp; Demand Allocations'!D26)</f>
        <v>37987.71144326891</v>
      </c>
      <c r="G9" s="327">
        <f>($C$9*' Energy &amp; Demand Allocations'!E26)</f>
        <v>746170.845293996</v>
      </c>
      <c r="H9" s="327">
        <f>($C$9*' Energy &amp; Demand Allocations'!F26)</f>
        <v>380744.05892720737</v>
      </c>
      <c r="I9" s="327">
        <f>($C$9*' Energy &amp; Demand Allocations'!G26)</f>
        <v>817165.1225586499</v>
      </c>
      <c r="J9" s="327">
        <f>($C$9*' Energy &amp; Demand Allocations'!H26)</f>
        <v>847178.9428373566</v>
      </c>
      <c r="K9" s="327">
        <f>($C$9*' Energy &amp; Demand Allocations'!I26)</f>
        <v>4681273.260102</v>
      </c>
      <c r="L9" s="327">
        <f>($C$9*' Energy &amp; Demand Allocations'!J26)</f>
        <v>582858.5152765842</v>
      </c>
      <c r="M9" s="329">
        <f>SUM(D9:L9)</f>
        <v>23587568.669282</v>
      </c>
    </row>
    <row r="10" spans="1:13" ht="15">
      <c r="A10" s="185"/>
      <c r="B10" s="187" t="s">
        <v>24</v>
      </c>
      <c r="C10" s="327"/>
      <c r="D10" s="327"/>
      <c r="E10" s="187"/>
      <c r="F10" s="185"/>
      <c r="G10" s="185"/>
      <c r="H10" s="185"/>
      <c r="I10" s="185"/>
      <c r="J10" s="185"/>
      <c r="K10" s="185"/>
      <c r="L10" s="185"/>
      <c r="M10" s="185"/>
    </row>
    <row r="11" spans="1:13" ht="15">
      <c r="A11" s="185"/>
      <c r="B11" s="187" t="s">
        <v>442</v>
      </c>
      <c r="C11" s="330"/>
      <c r="D11" s="330"/>
      <c r="E11" s="187"/>
      <c r="F11" s="185"/>
      <c r="G11" s="185"/>
      <c r="H11" s="185"/>
      <c r="I11" s="185"/>
      <c r="J11" s="185"/>
      <c r="K11" s="185"/>
      <c r="L11" s="185"/>
      <c r="M11" s="185"/>
    </row>
    <row r="12" spans="1:13" ht="15">
      <c r="A12" s="185"/>
      <c r="B12" s="326" t="s">
        <v>142</v>
      </c>
      <c r="C12" s="327"/>
      <c r="D12" s="327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1:13" ht="15">
      <c r="A13" s="185"/>
      <c r="B13" s="187" t="s">
        <v>414</v>
      </c>
      <c r="C13" s="327">
        <f>('Classification 1'!I82)</f>
        <v>43459.54869765465</v>
      </c>
      <c r="D13" s="327"/>
      <c r="E13" s="327">
        <f>($C$13*' Energy &amp; Demand Allocations'!C90)</f>
        <v>28991.026426582488</v>
      </c>
      <c r="F13" s="327">
        <f>($C$13*' Energy &amp; Demand Allocations'!D90)</f>
        <v>0</v>
      </c>
      <c r="G13" s="327">
        <f>($C$13*' Energy &amp; Demand Allocations'!E90)</f>
        <v>1139.7872205637789</v>
      </c>
      <c r="H13" s="327">
        <f>($C$13*' Energy &amp; Demand Allocations'!F90)</f>
        <v>1166.134452014464</v>
      </c>
      <c r="I13" s="327">
        <f>($C$13*' Energy &amp; Demand Allocations'!G90)</f>
        <v>1789.456056073339</v>
      </c>
      <c r="J13" s="327">
        <f>($C$13*' Energy &amp; Demand Allocations'!H90)</f>
        <v>1219.9067562024527</v>
      </c>
      <c r="K13" s="327">
        <f>($C$13*' Energy &amp; Demand Allocations'!I90)</f>
        <v>8264.886985793955</v>
      </c>
      <c r="L13" s="327">
        <f>($C$13*' Energy &amp; Demand Allocations'!J90)</f>
        <v>888.3508004241742</v>
      </c>
      <c r="M13" s="329">
        <f>SUM(E13:L13)</f>
        <v>43459.54869765465</v>
      </c>
    </row>
    <row r="14" spans="1:13" ht="15">
      <c r="A14" s="185"/>
      <c r="B14" s="187" t="s">
        <v>25</v>
      </c>
      <c r="C14" s="327">
        <f>('Classification 1'!J82)</f>
        <v>3673764.620291369</v>
      </c>
      <c r="D14" s="327"/>
      <c r="E14" s="327">
        <f>($C$14*' Energy &amp; Demand Allocations'!C90)</f>
        <v>2450697.496489617</v>
      </c>
      <c r="F14" s="327">
        <f>($C$14*' Energy &amp; Demand Allocations'!D90)</f>
        <v>0</v>
      </c>
      <c r="G14" s="327">
        <f>($C$14*' Energy &amp; Demand Allocations'!E90)</f>
        <v>96349.59614280163</v>
      </c>
      <c r="H14" s="327">
        <f>($C$14*' Energy &amp; Demand Allocations'!F90)</f>
        <v>98576.80580435474</v>
      </c>
      <c r="I14" s="327">
        <f>($C$14*' Energy &amp; Demand Allocations'!G90)</f>
        <v>151268.0307405755</v>
      </c>
      <c r="J14" s="327">
        <f>($C$14*' Energy &amp; Demand Allocations'!H90)</f>
        <v>103122.33824997905</v>
      </c>
      <c r="K14" s="327">
        <f>($C$14*' Energy &amp; Demand Allocations'!I90)</f>
        <v>698655.4234686518</v>
      </c>
      <c r="L14" s="327">
        <f>($C$14*' Energy &amp; Demand Allocations'!J90)</f>
        <v>75094.92939538909</v>
      </c>
      <c r="M14" s="329">
        <f>SUM(E14:L14)</f>
        <v>3673764.6202913686</v>
      </c>
    </row>
    <row r="15" spans="1:13" ht="15">
      <c r="A15" s="185"/>
      <c r="B15" s="187" t="s">
        <v>124</v>
      </c>
      <c r="C15" s="327">
        <f>('Classification 1'!L82)</f>
        <v>383881.4672515223</v>
      </c>
      <c r="D15" s="327"/>
      <c r="E15" s="327">
        <f>($C$15*' Energy &amp; Demand Allocations'!C90)</f>
        <v>256079.92018483017</v>
      </c>
      <c r="F15" s="327">
        <f>($C$15*' Energy &amp; Demand Allocations'!D90)</f>
        <v>0</v>
      </c>
      <c r="G15" s="327">
        <f>($C$15*' Energy &amp; Demand Allocations'!E90)</f>
        <v>10067.826374096021</v>
      </c>
      <c r="H15" s="327">
        <f>($C$15*' Energy &amp; Demand Allocations'!F90)</f>
        <v>10300.553454114002</v>
      </c>
      <c r="I15" s="327">
        <f>($C$15*' Energy &amp; Demand Allocations'!G90)</f>
        <v>15806.400134675747</v>
      </c>
      <c r="J15" s="327">
        <f>($C$15*' Energy &amp; Demand Allocations'!H90)</f>
        <v>10775.528267423426</v>
      </c>
      <c r="K15" s="327">
        <f>($C$15*' Energy &amp; Demand Allocations'!I90)</f>
        <v>73004.36930091304</v>
      </c>
      <c r="L15" s="327">
        <f>($C$15*' Energy &amp; Demand Allocations'!J90)</f>
        <v>7846.869535469886</v>
      </c>
      <c r="M15" s="327">
        <f>($C$15*' Energy &amp; Demand Allocations'!K90)</f>
        <v>383881.4672515223</v>
      </c>
    </row>
    <row r="16" spans="1:13" ht="15">
      <c r="A16" s="185"/>
      <c r="B16" s="187" t="s">
        <v>443</v>
      </c>
      <c r="C16" s="327">
        <f>SUM(C13:C15)</f>
        <v>4101105.636240546</v>
      </c>
      <c r="D16" s="327"/>
      <c r="E16" s="327">
        <f aca="true" t="shared" si="1" ref="E16:L16">SUM(E13:E15)</f>
        <v>2735768.44310103</v>
      </c>
      <c r="F16" s="327">
        <f t="shared" si="1"/>
        <v>0</v>
      </c>
      <c r="G16" s="327">
        <f t="shared" si="1"/>
        <v>107557.20973746144</v>
      </c>
      <c r="H16" s="327">
        <f t="shared" si="1"/>
        <v>110043.4937104832</v>
      </c>
      <c r="I16" s="327">
        <f t="shared" si="1"/>
        <v>168863.88693132458</v>
      </c>
      <c r="J16" s="327">
        <f t="shared" si="1"/>
        <v>115117.77327360492</v>
      </c>
      <c r="K16" s="327">
        <f t="shared" si="1"/>
        <v>779924.6797553588</v>
      </c>
      <c r="L16" s="327">
        <f t="shared" si="1"/>
        <v>83830.14973128315</v>
      </c>
      <c r="M16" s="329">
        <f>SUM(E16:L16)</f>
        <v>4101105.636240546</v>
      </c>
    </row>
    <row r="17" spans="1:13" ht="15">
      <c r="A17" s="185"/>
      <c r="B17" s="189"/>
      <c r="C17" s="330"/>
      <c r="D17" s="330"/>
      <c r="E17" s="185"/>
      <c r="F17" s="185"/>
      <c r="G17" s="185"/>
      <c r="H17" s="185"/>
      <c r="I17" s="185"/>
      <c r="J17" s="185"/>
      <c r="K17" s="185"/>
      <c r="L17" s="185"/>
      <c r="M17" s="185"/>
    </row>
    <row r="18" spans="1:13" ht="15">
      <c r="A18" s="185"/>
      <c r="B18" s="189" t="s">
        <v>439</v>
      </c>
      <c r="C18" s="330"/>
      <c r="D18" s="330"/>
      <c r="E18" s="185"/>
      <c r="F18" s="185"/>
      <c r="G18" s="185"/>
      <c r="H18" s="185"/>
      <c r="I18" s="185"/>
      <c r="J18" s="185"/>
      <c r="K18" s="185"/>
      <c r="L18" s="185"/>
      <c r="M18" s="185"/>
    </row>
    <row r="19" spans="1:13" ht="15">
      <c r="A19" s="185"/>
      <c r="B19" s="187" t="s">
        <v>25</v>
      </c>
      <c r="C19" s="327">
        <f>('Classification 1'!K82)</f>
        <v>3104014.718066823</v>
      </c>
      <c r="D19" s="327"/>
      <c r="E19" s="327">
        <f>($C$19*'Consume Allocations'!$G9)</f>
        <v>2888489.094191254</v>
      </c>
      <c r="F19" s="327">
        <f>($C$19*'Consume Allocations'!$G11)</f>
        <v>0</v>
      </c>
      <c r="G19" s="327">
        <f>($C$19*'Consume Allocations'!$G12)</f>
        <v>174098.5574858614</v>
      </c>
      <c r="H19" s="327">
        <f>($C$19*'Consume Allocations'!$G13)</f>
        <v>18353.76359037696</v>
      </c>
      <c r="I19" s="327">
        <f>($C$19*'Consume Allocations'!$G14)</f>
        <v>6292.7189452721</v>
      </c>
      <c r="J19" s="327">
        <f>($C$19*'Consume Allocations'!$G15)</f>
        <v>131.0983113598354</v>
      </c>
      <c r="K19" s="327">
        <f>($C$19*'Consume Allocations'!$G16)</f>
        <v>10356.766597426998</v>
      </c>
      <c r="L19" s="327">
        <f>($C$19*'Consume Allocations'!$G17)</f>
        <v>6292.7189452721</v>
      </c>
      <c r="M19" s="329">
        <f>SUM(E19:L19)</f>
        <v>3104014.7180668237</v>
      </c>
    </row>
    <row r="20" spans="1:13" ht="15">
      <c r="A20" s="185"/>
      <c r="B20" s="187" t="s">
        <v>124</v>
      </c>
      <c r="C20" s="327">
        <f>('Classification 1'!M82)</f>
        <v>122125.05895638901</v>
      </c>
      <c r="D20" s="327"/>
      <c r="E20" s="327">
        <f>($C$20*'Consume Allocations'!$G25)</f>
        <v>105965.09600653412</v>
      </c>
      <c r="F20" s="327">
        <f>($C$20*'Consume Allocations'!$G27)</f>
        <v>0</v>
      </c>
      <c r="G20" s="327">
        <f>($C$20*'Consume Allocations'!$G28)</f>
        <v>8218.45490525884</v>
      </c>
      <c r="H20" s="327">
        <f>($C$20*'Consume Allocations'!$G29)</f>
        <v>1551.0256007387013</v>
      </c>
      <c r="I20" s="327">
        <f>($C$20*'Consume Allocations'!$G30)</f>
        <v>1685.7287729183467</v>
      </c>
      <c r="J20" s="327">
        <f>($C$20*'Consume Allocations'!$G31)</f>
        <v>406.02900652931714</v>
      </c>
      <c r="K20" s="327">
        <f>($C$20*'Consume Allocations'!$G32)</f>
        <v>4161.642908142168</v>
      </c>
      <c r="L20" s="327">
        <f>($C$20*'Consume Allocations'!$G33)</f>
        <v>137.0817562675432</v>
      </c>
      <c r="M20" s="329">
        <f>SUM(E20:L20)</f>
        <v>122125.05895638904</v>
      </c>
    </row>
    <row r="21" spans="1:13" ht="15">
      <c r="A21" s="185"/>
      <c r="B21" s="187" t="s">
        <v>13</v>
      </c>
      <c r="C21" s="327">
        <f>('Classification 1'!N82)</f>
        <v>916759.1713538511</v>
      </c>
      <c r="D21" s="327"/>
      <c r="E21" s="327">
        <f>($C$21*'Consume Allocations'!$G42)</f>
        <v>805365.5805427178</v>
      </c>
      <c r="F21" s="327">
        <f>($C$21*'Consume Allocations'!$G44)</f>
        <v>0</v>
      </c>
      <c r="G21" s="327">
        <f>($C$21*'Consume Allocations'!$G45)</f>
        <v>72341.11513117034</v>
      </c>
      <c r="H21" s="327">
        <f>($C$21*'Consume Allocations'!$G46)</f>
        <v>7626.32237828603</v>
      </c>
      <c r="I21" s="327">
        <f>($C$21*'Consume Allocations'!$G47)</f>
        <v>6226.241906604413</v>
      </c>
      <c r="J21" s="327">
        <f>($C$21*'Consume Allocations'!$G48)</f>
        <v>123.82309666851613</v>
      </c>
      <c r="K21" s="327">
        <f>($C$21*'Consume Allocations'!$G49)</f>
        <v>9782.024636812774</v>
      </c>
      <c r="L21" s="327">
        <f>($C$21*'Consume Allocations'!$G50)</f>
        <v>15294.063661591144</v>
      </c>
      <c r="M21" s="329">
        <f>SUM(E21:L21)</f>
        <v>916759.171353851</v>
      </c>
    </row>
    <row r="22" spans="1:13" ht="15">
      <c r="A22" s="185"/>
      <c r="B22" s="187" t="s">
        <v>14</v>
      </c>
      <c r="C22" s="327">
        <f>('Classification 1'!O82)</f>
        <v>1151862.2493166479</v>
      </c>
      <c r="D22" s="327"/>
      <c r="E22" s="327">
        <f>($C$22*'Consume Allocations'!$G58)</f>
        <v>1000580.3025579691</v>
      </c>
      <c r="F22" s="327">
        <f>($C$22*'Consume Allocations'!$G60)</f>
        <v>4041.7395237897354</v>
      </c>
      <c r="G22" s="327">
        <f>($C$22*'Consume Allocations'!$G61)</f>
        <v>60308.203231379426</v>
      </c>
      <c r="H22" s="327">
        <f>($C$22*'Consume Allocations'!$G62)</f>
        <v>53933.2114547427</v>
      </c>
      <c r="I22" s="327">
        <f>($C$22*'Consume Allocations'!$G63)</f>
        <v>2179.814574628172</v>
      </c>
      <c r="J22" s="327">
        <f>($C$22*'Consume Allocations'!$G64)</f>
        <v>385.23722467673355</v>
      </c>
      <c r="K22" s="327">
        <f>($C$22*'Consume Allocations'!$G65)</f>
        <v>30433.74074946195</v>
      </c>
      <c r="L22" s="327">
        <f>($C$22*'Consume Allocations'!$G66)</f>
        <v>0</v>
      </c>
      <c r="M22" s="329">
        <f>SUM(E22:L22)</f>
        <v>1151862.2493166476</v>
      </c>
    </row>
    <row r="23" spans="1:13" ht="15">
      <c r="A23" s="185"/>
      <c r="B23" s="187" t="s">
        <v>440</v>
      </c>
      <c r="C23" s="185"/>
      <c r="D23" s="185"/>
      <c r="E23" s="187"/>
      <c r="F23" s="185"/>
      <c r="G23" s="185"/>
      <c r="H23" s="185"/>
      <c r="I23" s="185"/>
      <c r="J23" s="185"/>
      <c r="K23" s="185"/>
      <c r="L23" s="185"/>
      <c r="M23" s="185"/>
    </row>
    <row r="24" spans="1:13" ht="15">
      <c r="A24" s="185"/>
      <c r="B24" s="187" t="s">
        <v>441</v>
      </c>
      <c r="C24" s="327">
        <f>('Classification 1'!P82)</f>
        <v>2756487.524264021</v>
      </c>
      <c r="D24" s="327"/>
      <c r="E24" s="327">
        <f>($C$24*'Consume Allocations'!$I76)</f>
        <v>2149034.666442496</v>
      </c>
      <c r="F24" s="327">
        <f>($C$24*'Consume Allocations'!$I78)</f>
        <v>5063.8005007400825</v>
      </c>
      <c r="G24" s="327">
        <f>($C$24*'Consume Allocations'!$I79)</f>
        <v>215882.08876349372</v>
      </c>
      <c r="H24" s="327">
        <f>($C$24*'Consume Allocations'!$I80)</f>
        <v>45517.307871820965</v>
      </c>
      <c r="I24" s="327">
        <f>($C$24*'Consume Allocations'!$I81)</f>
        <v>13265.044008359253</v>
      </c>
      <c r="J24" s="327">
        <f>($C$24*'Consume Allocations'!$I82)</f>
        <v>1040.3956084987651</v>
      </c>
      <c r="K24" s="327">
        <f>($C$24*'Consume Allocations'!$I83)</f>
        <v>56506.48648658917</v>
      </c>
      <c r="L24" s="327">
        <f>($C$24*'Consume Allocations'!$I84)</f>
        <v>270177.73458202305</v>
      </c>
      <c r="M24" s="329">
        <f>SUM(E24:L24)</f>
        <v>2756487.524264021</v>
      </c>
    </row>
    <row r="25" spans="1:13" ht="15">
      <c r="A25" s="185"/>
      <c r="B25" s="187" t="s">
        <v>447</v>
      </c>
      <c r="C25" s="327">
        <f>SUM(C19:C24)</f>
        <v>8051248.721957732</v>
      </c>
      <c r="D25" s="327"/>
      <c r="E25" s="327">
        <f aca="true" t="shared" si="2" ref="E25:M25">SUM(E19:E24)</f>
        <v>6949434.7397409715</v>
      </c>
      <c r="F25" s="327">
        <f t="shared" si="2"/>
        <v>9105.540024529819</v>
      </c>
      <c r="G25" s="327">
        <f t="shared" si="2"/>
        <v>530848.4195171638</v>
      </c>
      <c r="H25" s="327">
        <f t="shared" si="2"/>
        <v>126981.63089596535</v>
      </c>
      <c r="I25" s="327">
        <f t="shared" si="2"/>
        <v>29649.54820778229</v>
      </c>
      <c r="J25" s="327">
        <f t="shared" si="2"/>
        <v>2086.5832477331674</v>
      </c>
      <c r="K25" s="327">
        <f t="shared" si="2"/>
        <v>111240.66137843307</v>
      </c>
      <c r="L25" s="327">
        <f>SUM(L19:L24)</f>
        <v>291901.5989451538</v>
      </c>
      <c r="M25" s="327">
        <f t="shared" si="2"/>
        <v>8051248.721957732</v>
      </c>
    </row>
    <row r="26" spans="1:13" ht="12" customHeight="1">
      <c r="A26" s="185"/>
      <c r="B26" s="185"/>
      <c r="C26" s="185"/>
      <c r="D26" s="185"/>
      <c r="E26" s="187"/>
      <c r="F26" s="185"/>
      <c r="G26" s="185"/>
      <c r="H26" s="185"/>
      <c r="I26" s="185"/>
      <c r="J26" s="185"/>
      <c r="K26" s="185"/>
      <c r="L26" s="185"/>
      <c r="M26" s="185"/>
    </row>
    <row r="27" spans="1:13" ht="15">
      <c r="A27" s="185"/>
      <c r="B27" s="187" t="s">
        <v>192</v>
      </c>
      <c r="C27" s="327">
        <f>('Classification 1'!Q82)</f>
        <v>398156.9263375221</v>
      </c>
      <c r="D27" s="327"/>
      <c r="E27" s="187"/>
      <c r="F27" s="185"/>
      <c r="G27" s="185"/>
      <c r="H27" s="185"/>
      <c r="I27" s="185"/>
      <c r="J27" s="185"/>
      <c r="K27" s="185"/>
      <c r="L27" s="329">
        <f>(C27)</f>
        <v>398156.9263375221</v>
      </c>
      <c r="M27" s="329">
        <f>SUM(E27:L27)</f>
        <v>398156.9263375221</v>
      </c>
    </row>
    <row r="28" spans="1:13" ht="15">
      <c r="A28" s="185"/>
      <c r="B28" s="187"/>
      <c r="C28" s="327"/>
      <c r="D28" s="327"/>
      <c r="E28" s="187"/>
      <c r="F28" s="185"/>
      <c r="G28" s="185"/>
      <c r="H28" s="185"/>
      <c r="I28" s="185"/>
      <c r="J28" s="185"/>
      <c r="K28" s="185"/>
      <c r="L28" s="329"/>
      <c r="M28" s="329"/>
    </row>
    <row r="29" spans="1:13" ht="15">
      <c r="A29" s="185"/>
      <c r="B29" s="187" t="s">
        <v>55</v>
      </c>
      <c r="C29" s="327">
        <f aca="true" t="shared" si="3" ref="C29:M29">SUM(C7,C9,C16,C25,C27)</f>
        <v>43829604.41381779</v>
      </c>
      <c r="D29" s="327">
        <f t="shared" si="3"/>
        <v>656</v>
      </c>
      <c r="E29" s="327">
        <f t="shared" si="3"/>
        <v>30708293.63737704</v>
      </c>
      <c r="F29" s="327">
        <f t="shared" si="3"/>
        <v>47093.251467798735</v>
      </c>
      <c r="G29" s="327">
        <f t="shared" si="3"/>
        <v>1542727.6051355447</v>
      </c>
      <c r="H29" s="327">
        <f t="shared" si="3"/>
        <v>854957.6329506966</v>
      </c>
      <c r="I29" s="327">
        <f t="shared" si="3"/>
        <v>1286462.9687703878</v>
      </c>
      <c r="J29" s="327">
        <f t="shared" si="3"/>
        <v>1117153.1795813444</v>
      </c>
      <c r="K29" s="327">
        <f t="shared" si="3"/>
        <v>6813603.998801092</v>
      </c>
      <c r="L29" s="327">
        <f t="shared" si="3"/>
        <v>1458656.1397338924</v>
      </c>
      <c r="M29" s="327">
        <f t="shared" si="3"/>
        <v>43829604.41381781</v>
      </c>
    </row>
    <row r="30" spans="1:13" ht="15">
      <c r="A30" s="185"/>
      <c r="B30" s="187"/>
      <c r="C30" s="327"/>
      <c r="D30" s="327"/>
      <c r="E30" s="187"/>
      <c r="F30" s="185"/>
      <c r="G30" s="185"/>
      <c r="H30" s="185"/>
      <c r="I30" s="185"/>
      <c r="J30" s="185"/>
      <c r="K30" s="185"/>
      <c r="L30" s="329"/>
      <c r="M30" s="329"/>
    </row>
    <row r="31" spans="1:13" ht="15">
      <c r="A31" s="185"/>
      <c r="B31" s="187"/>
      <c r="C31" s="327"/>
      <c r="D31" s="327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1:13" ht="15">
      <c r="A32" s="185"/>
      <c r="B32" s="187" t="s">
        <v>448</v>
      </c>
      <c r="C32" s="327">
        <f>(C7)</f>
        <v>7691524.459999998</v>
      </c>
      <c r="D32" s="327" t="str">
        <f aca="true" t="shared" si="4" ref="D32:L32">(D7)</f>
        <v> </v>
      </c>
      <c r="E32" s="327">
        <f t="shared" si="4"/>
        <v>5529556.241692104</v>
      </c>
      <c r="F32" s="327">
        <f t="shared" si="4"/>
        <v>0</v>
      </c>
      <c r="G32" s="327">
        <f t="shared" si="4"/>
        <v>158151.1305869233</v>
      </c>
      <c r="H32" s="327">
        <f t="shared" si="4"/>
        <v>237188.44941704065</v>
      </c>
      <c r="I32" s="327">
        <f t="shared" si="4"/>
        <v>270784.41107263113</v>
      </c>
      <c r="J32" s="327">
        <f t="shared" si="4"/>
        <v>152769.88022264963</v>
      </c>
      <c r="K32" s="327">
        <f t="shared" si="4"/>
        <v>1241165.3975653</v>
      </c>
      <c r="L32" s="327">
        <f t="shared" si="4"/>
        <v>101908.94944334922</v>
      </c>
      <c r="M32" s="329">
        <f aca="true" t="shared" si="5" ref="M32:M38">SUM(D32:L32)</f>
        <v>7691524.459999999</v>
      </c>
    </row>
    <row r="33" spans="1:13" ht="15">
      <c r="A33" s="185"/>
      <c r="B33" s="187" t="s">
        <v>449</v>
      </c>
      <c r="C33" s="329">
        <f aca="true" t="shared" si="6" ref="C33:L33">(C9)</f>
        <v>23587568.669281997</v>
      </c>
      <c r="D33" s="329">
        <f t="shared" si="6"/>
        <v>656</v>
      </c>
      <c r="E33" s="329">
        <f t="shared" si="6"/>
        <v>15493534.212842934</v>
      </c>
      <c r="F33" s="329">
        <f t="shared" si="6"/>
        <v>37987.71144326891</v>
      </c>
      <c r="G33" s="329">
        <f t="shared" si="6"/>
        <v>746170.845293996</v>
      </c>
      <c r="H33" s="329">
        <f t="shared" si="6"/>
        <v>380744.05892720737</v>
      </c>
      <c r="I33" s="329">
        <f t="shared" si="6"/>
        <v>817165.1225586499</v>
      </c>
      <c r="J33" s="329">
        <f t="shared" si="6"/>
        <v>847178.9428373566</v>
      </c>
      <c r="K33" s="329">
        <f t="shared" si="6"/>
        <v>4681273.260102</v>
      </c>
      <c r="L33" s="329">
        <f t="shared" si="6"/>
        <v>582858.5152765842</v>
      </c>
      <c r="M33" s="329">
        <f t="shared" si="5"/>
        <v>23587568.669282</v>
      </c>
    </row>
    <row r="34" spans="1:13" ht="15">
      <c r="A34" s="185"/>
      <c r="B34" s="185" t="s">
        <v>268</v>
      </c>
      <c r="C34" s="329">
        <f>(C16)</f>
        <v>4101105.636240546</v>
      </c>
      <c r="D34" s="329"/>
      <c r="E34" s="329">
        <f aca="true" t="shared" si="7" ref="E34:L34">(E16)</f>
        <v>2735768.44310103</v>
      </c>
      <c r="F34" s="329">
        <f t="shared" si="7"/>
        <v>0</v>
      </c>
      <c r="G34" s="329">
        <f t="shared" si="7"/>
        <v>107557.20973746144</v>
      </c>
      <c r="H34" s="329">
        <f t="shared" si="7"/>
        <v>110043.4937104832</v>
      </c>
      <c r="I34" s="329">
        <f t="shared" si="7"/>
        <v>168863.88693132458</v>
      </c>
      <c r="J34" s="329">
        <f t="shared" si="7"/>
        <v>115117.77327360492</v>
      </c>
      <c r="K34" s="329">
        <f t="shared" si="7"/>
        <v>779924.6797553588</v>
      </c>
      <c r="L34" s="329">
        <f t="shared" si="7"/>
        <v>83830.14973128315</v>
      </c>
      <c r="M34" s="329">
        <f t="shared" si="5"/>
        <v>4101105.636240546</v>
      </c>
    </row>
    <row r="35" spans="1:13" ht="15">
      <c r="A35" s="185"/>
      <c r="B35" s="185" t="s">
        <v>450</v>
      </c>
      <c r="C35" s="329">
        <f>(C25)</f>
        <v>8051248.721957732</v>
      </c>
      <c r="D35" s="329"/>
      <c r="E35" s="329">
        <f aca="true" t="shared" si="8" ref="E35:L35">(E25)</f>
        <v>6949434.7397409715</v>
      </c>
      <c r="F35" s="329">
        <f t="shared" si="8"/>
        <v>9105.540024529819</v>
      </c>
      <c r="G35" s="329">
        <f t="shared" si="8"/>
        <v>530848.4195171638</v>
      </c>
      <c r="H35" s="329">
        <f t="shared" si="8"/>
        <v>126981.63089596535</v>
      </c>
      <c r="I35" s="329">
        <f t="shared" si="8"/>
        <v>29649.54820778229</v>
      </c>
      <c r="J35" s="329">
        <f t="shared" si="8"/>
        <v>2086.5832477331674</v>
      </c>
      <c r="K35" s="329">
        <f t="shared" si="8"/>
        <v>111240.66137843307</v>
      </c>
      <c r="L35" s="329">
        <f t="shared" si="8"/>
        <v>291901.5989451538</v>
      </c>
      <c r="M35" s="329">
        <f t="shared" si="5"/>
        <v>8051248.721957734</v>
      </c>
    </row>
    <row r="36" spans="1:13" ht="15">
      <c r="A36" s="185"/>
      <c r="B36" s="185" t="s">
        <v>451</v>
      </c>
      <c r="C36" s="329">
        <f>(C27)</f>
        <v>398156.9263375221</v>
      </c>
      <c r="D36" s="329"/>
      <c r="E36" s="185"/>
      <c r="F36" s="185"/>
      <c r="G36" s="185"/>
      <c r="H36" s="185"/>
      <c r="I36" s="185"/>
      <c r="J36" s="185"/>
      <c r="K36" s="185"/>
      <c r="L36" s="329">
        <f>(L27)</f>
        <v>398156.9263375221</v>
      </c>
      <c r="M36" s="329">
        <f t="shared" si="5"/>
        <v>398156.9263375221</v>
      </c>
    </row>
    <row r="37" spans="1:13" ht="1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329">
        <f t="shared" si="5"/>
        <v>0</v>
      </c>
    </row>
    <row r="38" spans="1:13" ht="15">
      <c r="A38" s="185"/>
      <c r="B38" s="185"/>
      <c r="C38" s="329">
        <f>SUM(C32:C36)</f>
        <v>43829604.41381779</v>
      </c>
      <c r="D38" s="329">
        <f>SUM(D32:D36)</f>
        <v>656</v>
      </c>
      <c r="E38" s="329">
        <f>SUM(E32:E35)</f>
        <v>30708293.63737704</v>
      </c>
      <c r="F38" s="329">
        <f aca="true" t="shared" si="9" ref="F38:K38">SUM(F32:F35)</f>
        <v>47093.251467798735</v>
      </c>
      <c r="G38" s="329">
        <f t="shared" si="9"/>
        <v>1542727.6051355447</v>
      </c>
      <c r="H38" s="329">
        <f t="shared" si="9"/>
        <v>854957.6329506966</v>
      </c>
      <c r="I38" s="329">
        <f t="shared" si="9"/>
        <v>1286462.9687703878</v>
      </c>
      <c r="J38" s="329">
        <f t="shared" si="9"/>
        <v>1117153.1795813444</v>
      </c>
      <c r="K38" s="329">
        <f t="shared" si="9"/>
        <v>6813603.998801092</v>
      </c>
      <c r="L38" s="329">
        <f>SUM(L32:L36)</f>
        <v>1458656.1397338924</v>
      </c>
      <c r="M38" s="329">
        <f t="shared" si="5"/>
        <v>43829604.41381779</v>
      </c>
    </row>
    <row r="41" spans="3:4" ht="15">
      <c r="C41" s="188" t="s">
        <v>24</v>
      </c>
      <c r="D41" s="188"/>
    </row>
    <row r="42" spans="3:13" ht="15">
      <c r="C42" s="188">
        <f>SUM(C34:C36)</f>
        <v>12550511.2845358</v>
      </c>
      <c r="D42" s="188">
        <f aca="true" t="shared" si="10" ref="D42:M42">SUM(D34:D36)</f>
        <v>0</v>
      </c>
      <c r="E42" s="188">
        <f t="shared" si="10"/>
        <v>9685203.182842001</v>
      </c>
      <c r="F42" s="188">
        <f t="shared" si="10"/>
        <v>9105.540024529819</v>
      </c>
      <c r="G42" s="188">
        <f t="shared" si="10"/>
        <v>638405.6292546252</v>
      </c>
      <c r="H42" s="188">
        <f>SUM(H34:H36)</f>
        <v>237025.12460644857</v>
      </c>
      <c r="I42" s="188">
        <f t="shared" si="10"/>
        <v>198513.43513910688</v>
      </c>
      <c r="J42" s="188">
        <f t="shared" si="10"/>
        <v>117204.3565213381</v>
      </c>
      <c r="K42" s="188">
        <f t="shared" si="10"/>
        <v>891165.341133792</v>
      </c>
      <c r="L42" s="188">
        <f t="shared" si="10"/>
        <v>773888.6750139591</v>
      </c>
      <c r="M42" s="188">
        <f t="shared" si="10"/>
        <v>12550511.284535801</v>
      </c>
    </row>
    <row r="43" spans="3:4" ht="15">
      <c r="C43" s="190" t="s">
        <v>24</v>
      </c>
      <c r="D43" s="190"/>
    </row>
    <row r="44" ht="15">
      <c r="C44" s="184" t="s">
        <v>24</v>
      </c>
    </row>
    <row r="45" spans="3:4" ht="15">
      <c r="C45" s="188" t="s">
        <v>24</v>
      </c>
      <c r="D45" s="188"/>
    </row>
  </sheetData>
  <sheetProtection/>
  <printOptions gridLines="1" headings="1" horizontalCentered="1" verticalCentered="1"/>
  <pageMargins left="0.7" right="0.7" top="0.75" bottom="0.75" header="0.3" footer="0.3"/>
  <pageSetup horizontalDpi="600" verticalDpi="600" orientation="portrait" scale="93" r:id="rId1"/>
  <headerFooter>
    <oddHeader>&amp;C&amp;"Calibri,Bold"&amp;12CUMBLERLAND VALLEY ELECTRIC
CASE NO. 2016-00169
REVENUE REQUIREMENTS FOR EACH RATE CLASS&amp;RRevision 2  Exhibit R_
PAGE ____ OF ____
WITNESS:  James Adkins
Schedule G</oddHeader>
  </headerFooter>
  <colBreaks count="2" manualBreakCount="2">
    <brk id="5" max="37" man="1"/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CHASEWOOD 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Adkins</dc:creator>
  <cp:keywords/>
  <dc:description/>
  <cp:lastModifiedBy>Brian Chaney</cp:lastModifiedBy>
  <cp:lastPrinted>2016-08-09T17:38:59Z</cp:lastPrinted>
  <dcterms:created xsi:type="dcterms:W3CDTF">2002-02-21T15:18:44Z</dcterms:created>
  <dcterms:modified xsi:type="dcterms:W3CDTF">2016-08-10T15:04:59Z</dcterms:modified>
  <cp:category/>
  <cp:version/>
  <cp:contentType/>
  <cp:contentStatus/>
</cp:coreProperties>
</file>