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30" yWindow="960" windowWidth="15195" windowHeight="9210" activeTab="3"/>
  </bookViews>
  <sheets>
    <sheet name="employees" sheetId="1" r:id="rId1"/>
    <sheet name="explanation" sheetId="2" r:id="rId2"/>
    <sheet name="allocations" sheetId="3" r:id="rId3"/>
    <sheet name="3 yr" sheetId="11" r:id="rId4"/>
    <sheet name="payroll taxes" sheetId="4" r:id="rId5"/>
    <sheet name="retirement" sheetId="6" r:id="rId6"/>
  </sheets>
  <definedNames>
    <definedName name="_Key1" hidden="1">employees!#REF!</definedName>
    <definedName name="_Order1" hidden="1">255</definedName>
    <definedName name="_Sort" hidden="1">employees!$B$26:$BQ$52</definedName>
    <definedName name="_xlnm.Print_Area" localSheetId="3">'3 yr'!$A$1:$M$48</definedName>
    <definedName name="_xlnm.Print_Area" localSheetId="2">allocations!$A$1:$H$34</definedName>
    <definedName name="_xlnm.Print_Area" localSheetId="0">employees!$B$1:$AB$63</definedName>
    <definedName name="_xlnm.Print_Area" localSheetId="1">explanation!$A$1:$H$42</definedName>
    <definedName name="_xlnm.Print_Area" localSheetId="4">'payroll taxes'!$A$1:$I$51</definedName>
    <definedName name="_xlnm.Print_Area" localSheetId="5">retirement!$A$1:$I$42</definedName>
    <definedName name="_xlnm.Print_Titles" localSheetId="0">employees!$1:$9</definedName>
    <definedName name="Print_Titles_MI" localSheetId="0">employees!$1:$9</definedName>
  </definedNames>
  <calcPr calcId="145621"/>
</workbook>
</file>

<file path=xl/calcChain.xml><?xml version="1.0" encoding="utf-8"?>
<calcChain xmlns="http://schemas.openxmlformats.org/spreadsheetml/2006/main">
  <c r="M43" i="6" l="1"/>
  <c r="L43" i="6"/>
  <c r="N41" i="6"/>
  <c r="N40" i="6"/>
  <c r="N39" i="6"/>
  <c r="N38" i="6"/>
  <c r="N37" i="6"/>
  <c r="N36" i="6"/>
  <c r="N35" i="6"/>
  <c r="N34" i="6"/>
  <c r="N33" i="6"/>
  <c r="N32" i="6"/>
  <c r="N31" i="6"/>
  <c r="N30" i="6"/>
  <c r="E23" i="6"/>
  <c r="F2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3" i="6"/>
  <c r="A2" i="6"/>
  <c r="C48" i="4"/>
  <c r="C49" i="4" s="1"/>
  <c r="C50" i="4" s="1"/>
  <c r="C47" i="4"/>
  <c r="C46" i="4"/>
  <c r="G26" i="4"/>
  <c r="F24" i="4"/>
  <c r="B4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2" i="4"/>
  <c r="A1" i="4"/>
  <c r="M47" i="11"/>
  <c r="K47" i="11"/>
  <c r="I47" i="11"/>
  <c r="G47" i="11"/>
  <c r="V37" i="11"/>
  <c r="Q37" i="11" s="1"/>
  <c r="U37" i="11"/>
  <c r="O37" i="11" s="1"/>
  <c r="T37" i="11" s="1"/>
  <c r="L37" i="11"/>
  <c r="J37" i="11"/>
  <c r="H37" i="11"/>
  <c r="G37" i="11"/>
  <c r="F37" i="11"/>
  <c r="L32" i="11"/>
  <c r="K32" i="11"/>
  <c r="J32" i="11"/>
  <c r="M32" i="11" s="1"/>
  <c r="I32" i="11"/>
  <c r="H32" i="11"/>
  <c r="H35" i="11" s="1"/>
  <c r="G32" i="11"/>
  <c r="F32" i="11"/>
  <c r="Q29" i="11"/>
  <c r="L29" i="11"/>
  <c r="J29" i="11"/>
  <c r="K29" i="11" s="1"/>
  <c r="H29" i="11"/>
  <c r="F29" i="11"/>
  <c r="F35" i="11" s="1"/>
  <c r="T27" i="11"/>
  <c r="M27" i="11"/>
  <c r="K27" i="11"/>
  <c r="I27" i="11"/>
  <c r="G27" i="11"/>
  <c r="T26" i="11"/>
  <c r="M26" i="11"/>
  <c r="K26" i="11"/>
  <c r="I26" i="11"/>
  <c r="G26" i="11"/>
  <c r="K25" i="11"/>
  <c r="I25" i="11"/>
  <c r="G25" i="11"/>
  <c r="M24" i="11"/>
  <c r="K24" i="11"/>
  <c r="I24" i="11"/>
  <c r="G24" i="11"/>
  <c r="T23" i="11"/>
  <c r="M23" i="11"/>
  <c r="K23" i="11"/>
  <c r="I23" i="11"/>
  <c r="G23" i="11"/>
  <c r="T22" i="11"/>
  <c r="K22" i="11"/>
  <c r="I22" i="11"/>
  <c r="G22" i="11"/>
  <c r="K21" i="11"/>
  <c r="I21" i="11"/>
  <c r="G21" i="11"/>
  <c r="M20" i="11"/>
  <c r="K20" i="11"/>
  <c r="I20" i="11"/>
  <c r="G20" i="11"/>
  <c r="V19" i="11"/>
  <c r="U19" i="11"/>
  <c r="O19" i="11" s="1"/>
  <c r="Q19" i="11"/>
  <c r="M19" i="11"/>
  <c r="K19" i="11"/>
  <c r="I19" i="11"/>
  <c r="G19" i="11"/>
  <c r="K18" i="11"/>
  <c r="I18" i="11"/>
  <c r="G18" i="11"/>
  <c r="V17" i="11"/>
  <c r="U17" i="11"/>
  <c r="T17" i="11"/>
  <c r="Q17" i="11"/>
  <c r="O17" i="11"/>
  <c r="M17" i="11"/>
  <c r="K17" i="11"/>
  <c r="I17" i="11"/>
  <c r="G17" i="11"/>
  <c r="V16" i="11"/>
  <c r="Q16" i="11" s="1"/>
  <c r="U16" i="11"/>
  <c r="O16" i="11" s="1"/>
  <c r="T16" i="11" s="1"/>
  <c r="M16" i="11"/>
  <c r="K16" i="11"/>
  <c r="I16" i="11"/>
  <c r="G16" i="11"/>
  <c r="V15" i="11"/>
  <c r="Q15" i="11" s="1"/>
  <c r="U15" i="11"/>
  <c r="O15" i="11"/>
  <c r="L15" i="11"/>
  <c r="M15" i="11" s="1"/>
  <c r="K15" i="11"/>
  <c r="J15" i="11"/>
  <c r="H15" i="11"/>
  <c r="F15" i="11"/>
  <c r="V14" i="11"/>
  <c r="Q14" i="11" s="1"/>
  <c r="U14" i="11"/>
  <c r="O14" i="11" s="1"/>
  <c r="T14" i="11" s="1"/>
  <c r="J14" i="11"/>
  <c r="I14" i="11"/>
  <c r="H14" i="11"/>
  <c r="F14" i="11"/>
  <c r="G14" i="11" s="1"/>
  <c r="J9" i="11"/>
  <c r="H9" i="11" s="1"/>
  <c r="F9" i="11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7" i="11"/>
  <c r="A6" i="11"/>
  <c r="A5" i="11"/>
  <c r="A1" i="11"/>
  <c r="A2" i="11" s="1"/>
  <c r="A3" i="11" s="1"/>
  <c r="A4" i="11" s="1"/>
  <c r="G79" i="3"/>
  <c r="G78" i="3"/>
  <c r="G77" i="3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F32" i="3"/>
  <c r="G25" i="3" s="1"/>
  <c r="F98" i="3" s="1"/>
  <c r="J25" i="3"/>
  <c r="J23" i="3"/>
  <c r="F15" i="3"/>
  <c r="F14" i="3"/>
  <c r="J11" i="3"/>
  <c r="B3" i="3"/>
  <c r="B4" i="6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B52" i="2"/>
  <c r="A52" i="2"/>
  <c r="A47" i="2"/>
  <c r="A48" i="2" s="1"/>
  <c r="A49" i="2" s="1"/>
  <c r="A50" i="2" s="1"/>
  <c r="A51" i="2" s="1"/>
  <c r="A46" i="2"/>
  <c r="A45" i="2"/>
  <c r="B28" i="2"/>
  <c r="B29" i="2" s="1"/>
  <c r="B30" i="2" s="1"/>
  <c r="B27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1" i="2"/>
  <c r="A6" i="2"/>
  <c r="A7" i="2" s="1"/>
  <c r="A8" i="2" s="1"/>
  <c r="A9" i="2" s="1"/>
  <c r="A10" i="2" s="1"/>
  <c r="B5" i="2"/>
  <c r="A5" i="2"/>
  <c r="B4" i="2"/>
  <c r="A4" i="2"/>
  <c r="B3" i="2"/>
  <c r="B49" i="2" s="1"/>
  <c r="A3" i="2"/>
  <c r="A2" i="2"/>
  <c r="I83" i="1"/>
  <c r="E83" i="1"/>
  <c r="U77" i="1"/>
  <c r="T77" i="1"/>
  <c r="S77" i="1"/>
  <c r="R77" i="1"/>
  <c r="Q77" i="1"/>
  <c r="P77" i="1"/>
  <c r="O77" i="1"/>
  <c r="N77" i="1"/>
  <c r="M77" i="1"/>
  <c r="L77" i="1"/>
  <c r="K77" i="1"/>
  <c r="H77" i="1"/>
  <c r="G77" i="1"/>
  <c r="F77" i="1"/>
  <c r="D77" i="1"/>
  <c r="C77" i="1"/>
  <c r="A77" i="1"/>
  <c r="I75" i="1"/>
  <c r="E75" i="1"/>
  <c r="I74" i="1"/>
  <c r="I77" i="1" s="1"/>
  <c r="E74" i="1"/>
  <c r="E77" i="1" s="1"/>
  <c r="H71" i="1"/>
  <c r="G71" i="1"/>
  <c r="F71" i="1"/>
  <c r="E71" i="1"/>
  <c r="D71" i="1"/>
  <c r="C71" i="1"/>
  <c r="A71" i="1"/>
  <c r="L69" i="1"/>
  <c r="K69" i="1"/>
  <c r="I69" i="1"/>
  <c r="E69" i="1"/>
  <c r="Q68" i="1"/>
  <c r="P68" i="1"/>
  <c r="N68" i="1"/>
  <c r="M68" i="1"/>
  <c r="L68" i="1"/>
  <c r="L71" i="1" s="1"/>
  <c r="K68" i="1"/>
  <c r="I68" i="1"/>
  <c r="E68" i="1"/>
  <c r="H65" i="1"/>
  <c r="G65" i="1"/>
  <c r="F65" i="1"/>
  <c r="D65" i="1"/>
  <c r="D79" i="1" s="1"/>
  <c r="D84" i="1" s="1"/>
  <c r="C65" i="1"/>
  <c r="A65" i="1"/>
  <c r="AF63" i="1"/>
  <c r="AE63" i="1"/>
  <c r="AA63" i="1"/>
  <c r="Y63" i="1"/>
  <c r="V63" i="1"/>
  <c r="Q63" i="1"/>
  <c r="P63" i="1"/>
  <c r="N63" i="1"/>
  <c r="M63" i="1"/>
  <c r="L63" i="1"/>
  <c r="K63" i="1"/>
  <c r="AG63" i="1" s="1"/>
  <c r="I63" i="1"/>
  <c r="E63" i="1"/>
  <c r="AF62" i="1"/>
  <c r="AE62" i="1"/>
  <c r="AA62" i="1"/>
  <c r="Y62" i="1"/>
  <c r="V62" i="1"/>
  <c r="L62" i="1"/>
  <c r="K62" i="1"/>
  <c r="I62" i="1"/>
  <c r="E62" i="1"/>
  <c r="AF61" i="1"/>
  <c r="AG61" i="1" s="1"/>
  <c r="AE61" i="1"/>
  <c r="AA61" i="1"/>
  <c r="Y61" i="1"/>
  <c r="V61" i="1"/>
  <c r="M61" i="1"/>
  <c r="P61" i="1" s="1"/>
  <c r="Q61" i="1" s="1"/>
  <c r="L61" i="1"/>
  <c r="K61" i="1"/>
  <c r="I61" i="1"/>
  <c r="E61" i="1"/>
  <c r="AF60" i="1"/>
  <c r="AG60" i="1" s="1"/>
  <c r="AE60" i="1"/>
  <c r="AA60" i="1"/>
  <c r="Y60" i="1"/>
  <c r="V60" i="1"/>
  <c r="M60" i="1"/>
  <c r="P60" i="1" s="1"/>
  <c r="Q60" i="1" s="1"/>
  <c r="L60" i="1"/>
  <c r="K60" i="1"/>
  <c r="I60" i="1"/>
  <c r="E60" i="1"/>
  <c r="AF59" i="1"/>
  <c r="AG59" i="1" s="1"/>
  <c r="AE59" i="1"/>
  <c r="AA59" i="1"/>
  <c r="Y59" i="1"/>
  <c r="V59" i="1"/>
  <c r="L59" i="1"/>
  <c r="M59" i="1" s="1"/>
  <c r="N59" i="1" s="1"/>
  <c r="R59" i="1" s="1"/>
  <c r="S59" i="1" s="1"/>
  <c r="K59" i="1"/>
  <c r="I59" i="1"/>
  <c r="E59" i="1"/>
  <c r="AF58" i="1"/>
  <c r="AE58" i="1"/>
  <c r="AA58" i="1"/>
  <c r="Y58" i="1"/>
  <c r="V58" i="1"/>
  <c r="L58" i="1"/>
  <c r="K58" i="1"/>
  <c r="M58" i="1" s="1"/>
  <c r="I58" i="1"/>
  <c r="E58" i="1"/>
  <c r="AF57" i="1"/>
  <c r="AE57" i="1"/>
  <c r="AA57" i="1"/>
  <c r="Y57" i="1"/>
  <c r="V57" i="1"/>
  <c r="N57" i="1"/>
  <c r="M57" i="1"/>
  <c r="P57" i="1" s="1"/>
  <c r="Q57" i="1" s="1"/>
  <c r="L57" i="1"/>
  <c r="K57" i="1"/>
  <c r="AG57" i="1" s="1"/>
  <c r="I57" i="1"/>
  <c r="E57" i="1"/>
  <c r="AG56" i="1"/>
  <c r="AF56" i="1"/>
  <c r="AE56" i="1"/>
  <c r="AA56" i="1"/>
  <c r="Y56" i="1"/>
  <c r="V56" i="1"/>
  <c r="M56" i="1"/>
  <c r="N56" i="1" s="1"/>
  <c r="L56" i="1"/>
  <c r="K56" i="1"/>
  <c r="I56" i="1"/>
  <c r="E56" i="1"/>
  <c r="AG55" i="1"/>
  <c r="AF55" i="1"/>
  <c r="AE55" i="1"/>
  <c r="AA55" i="1"/>
  <c r="Y55" i="1"/>
  <c r="V55" i="1"/>
  <c r="L55" i="1"/>
  <c r="M55" i="1" s="1"/>
  <c r="N55" i="1" s="1"/>
  <c r="K55" i="1"/>
  <c r="I55" i="1"/>
  <c r="E55" i="1"/>
  <c r="AF54" i="1"/>
  <c r="AG54" i="1" s="1"/>
  <c r="AE54" i="1"/>
  <c r="AA54" i="1"/>
  <c r="Y54" i="1"/>
  <c r="V54" i="1"/>
  <c r="L54" i="1"/>
  <c r="K54" i="1"/>
  <c r="M54" i="1" s="1"/>
  <c r="I54" i="1"/>
  <c r="E54" i="1"/>
  <c r="AG53" i="1"/>
  <c r="AF53" i="1"/>
  <c r="AE53" i="1"/>
  <c r="AA53" i="1"/>
  <c r="Y53" i="1"/>
  <c r="V53" i="1"/>
  <c r="L53" i="1"/>
  <c r="M53" i="1" s="1"/>
  <c r="K53" i="1"/>
  <c r="I53" i="1"/>
  <c r="E53" i="1"/>
  <c r="AF52" i="1"/>
  <c r="AE52" i="1"/>
  <c r="AA52" i="1"/>
  <c r="Y52" i="1"/>
  <c r="V52" i="1"/>
  <c r="N52" i="1"/>
  <c r="L52" i="1"/>
  <c r="K52" i="1"/>
  <c r="M52" i="1" s="1"/>
  <c r="P52" i="1" s="1"/>
  <c r="Q52" i="1" s="1"/>
  <c r="I52" i="1"/>
  <c r="E52" i="1"/>
  <c r="AF51" i="1"/>
  <c r="AG51" i="1" s="1"/>
  <c r="AE51" i="1"/>
  <c r="AA51" i="1"/>
  <c r="Y51" i="1"/>
  <c r="V51" i="1"/>
  <c r="L51" i="1"/>
  <c r="K51" i="1"/>
  <c r="M51" i="1" s="1"/>
  <c r="I51" i="1"/>
  <c r="E51" i="1"/>
  <c r="AF50" i="1"/>
  <c r="AE50" i="1"/>
  <c r="AA50" i="1"/>
  <c r="Y50" i="1"/>
  <c r="V50" i="1"/>
  <c r="M50" i="1"/>
  <c r="P50" i="1" s="1"/>
  <c r="Q50" i="1" s="1"/>
  <c r="L50" i="1"/>
  <c r="K50" i="1"/>
  <c r="AG50" i="1" s="1"/>
  <c r="I50" i="1"/>
  <c r="E50" i="1"/>
  <c r="AF49" i="1"/>
  <c r="AG49" i="1" s="1"/>
  <c r="AE49" i="1"/>
  <c r="AA49" i="1"/>
  <c r="Y49" i="1"/>
  <c r="V49" i="1"/>
  <c r="P49" i="1"/>
  <c r="Q49" i="1" s="1"/>
  <c r="O49" i="1"/>
  <c r="L49" i="1"/>
  <c r="M49" i="1" s="1"/>
  <c r="N49" i="1" s="1"/>
  <c r="T49" i="1" s="1"/>
  <c r="U49" i="1" s="1"/>
  <c r="K49" i="1"/>
  <c r="I49" i="1"/>
  <c r="E49" i="1"/>
  <c r="AF48" i="1"/>
  <c r="AG48" i="1" s="1"/>
  <c r="AE48" i="1"/>
  <c r="AA48" i="1"/>
  <c r="Y48" i="1"/>
  <c r="V48" i="1"/>
  <c r="L48" i="1"/>
  <c r="M48" i="1" s="1"/>
  <c r="K48" i="1"/>
  <c r="I48" i="1"/>
  <c r="E48" i="1"/>
  <c r="AF47" i="1"/>
  <c r="AG47" i="1" s="1"/>
  <c r="AE47" i="1"/>
  <c r="AA47" i="1"/>
  <c r="Y47" i="1"/>
  <c r="V47" i="1"/>
  <c r="M47" i="1"/>
  <c r="P47" i="1" s="1"/>
  <c r="Q47" i="1" s="1"/>
  <c r="L47" i="1"/>
  <c r="K47" i="1"/>
  <c r="I47" i="1"/>
  <c r="E47" i="1"/>
  <c r="AF46" i="1"/>
  <c r="AG46" i="1" s="1"/>
  <c r="AE46" i="1"/>
  <c r="AA46" i="1"/>
  <c r="Y46" i="1"/>
  <c r="V46" i="1"/>
  <c r="S46" i="1"/>
  <c r="R46" i="1"/>
  <c r="L46" i="1"/>
  <c r="K46" i="1"/>
  <c r="M46" i="1" s="1"/>
  <c r="N46" i="1" s="1"/>
  <c r="I46" i="1"/>
  <c r="E46" i="1"/>
  <c r="AG45" i="1"/>
  <c r="AF45" i="1"/>
  <c r="AE45" i="1"/>
  <c r="AA45" i="1"/>
  <c r="Y45" i="1"/>
  <c r="V45" i="1"/>
  <c r="L45" i="1"/>
  <c r="M45" i="1" s="1"/>
  <c r="K45" i="1"/>
  <c r="I45" i="1"/>
  <c r="E45" i="1"/>
  <c r="AF44" i="1"/>
  <c r="AE44" i="1"/>
  <c r="AA44" i="1"/>
  <c r="Y44" i="1"/>
  <c r="V44" i="1"/>
  <c r="N44" i="1"/>
  <c r="L44" i="1"/>
  <c r="K44" i="1"/>
  <c r="M44" i="1" s="1"/>
  <c r="P44" i="1" s="1"/>
  <c r="Q44" i="1" s="1"/>
  <c r="I44" i="1"/>
  <c r="E44" i="1"/>
  <c r="AF43" i="1"/>
  <c r="AG43" i="1" s="1"/>
  <c r="AE43" i="1"/>
  <c r="AA43" i="1"/>
  <c r="Y43" i="1"/>
  <c r="V43" i="1"/>
  <c r="L43" i="1"/>
  <c r="K43" i="1"/>
  <c r="M43" i="1" s="1"/>
  <c r="I43" i="1"/>
  <c r="E43" i="1"/>
  <c r="AF42" i="1"/>
  <c r="AE42" i="1"/>
  <c r="AA42" i="1"/>
  <c r="Y42" i="1"/>
  <c r="V42" i="1"/>
  <c r="M42" i="1"/>
  <c r="P42" i="1" s="1"/>
  <c r="Q42" i="1" s="1"/>
  <c r="L42" i="1"/>
  <c r="K42" i="1"/>
  <c r="AG42" i="1" s="1"/>
  <c r="I42" i="1"/>
  <c r="E42" i="1"/>
  <c r="AF41" i="1"/>
  <c r="AG41" i="1" s="1"/>
  <c r="AE41" i="1"/>
  <c r="AA41" i="1"/>
  <c r="Y41" i="1"/>
  <c r="V41" i="1"/>
  <c r="T41" i="1"/>
  <c r="U41" i="1" s="1"/>
  <c r="R41" i="1"/>
  <c r="S41" i="1" s="1"/>
  <c r="P41" i="1"/>
  <c r="Q41" i="1" s="1"/>
  <c r="O41" i="1"/>
  <c r="L41" i="1"/>
  <c r="M41" i="1" s="1"/>
  <c r="N41" i="1" s="1"/>
  <c r="K41" i="1"/>
  <c r="I41" i="1"/>
  <c r="E41" i="1"/>
  <c r="AF40" i="1"/>
  <c r="AG40" i="1" s="1"/>
  <c r="AE40" i="1"/>
  <c r="AA40" i="1"/>
  <c r="Y40" i="1"/>
  <c r="V40" i="1"/>
  <c r="M40" i="1"/>
  <c r="L40" i="1"/>
  <c r="K40" i="1"/>
  <c r="I40" i="1"/>
  <c r="E40" i="1"/>
  <c r="AF39" i="1"/>
  <c r="AG39" i="1" s="1"/>
  <c r="AE39" i="1"/>
  <c r="AA39" i="1"/>
  <c r="Y39" i="1"/>
  <c r="V39" i="1"/>
  <c r="M39" i="1"/>
  <c r="N39" i="1" s="1"/>
  <c r="L39" i="1"/>
  <c r="K39" i="1"/>
  <c r="I39" i="1"/>
  <c r="E39" i="1"/>
  <c r="AF38" i="1"/>
  <c r="AG38" i="1" s="1"/>
  <c r="AE38" i="1"/>
  <c r="AA38" i="1"/>
  <c r="Y38" i="1"/>
  <c r="V38" i="1"/>
  <c r="P38" i="1"/>
  <c r="Q38" i="1" s="1"/>
  <c r="O38" i="1"/>
  <c r="M38" i="1"/>
  <c r="N38" i="1" s="1"/>
  <c r="T38" i="1" s="1"/>
  <c r="U38" i="1" s="1"/>
  <c r="L38" i="1"/>
  <c r="K38" i="1"/>
  <c r="I38" i="1"/>
  <c r="E38" i="1"/>
  <c r="AF37" i="1"/>
  <c r="AG37" i="1" s="1"/>
  <c r="AE37" i="1"/>
  <c r="AA37" i="1"/>
  <c r="Y37" i="1"/>
  <c r="V37" i="1"/>
  <c r="L37" i="1"/>
  <c r="M37" i="1" s="1"/>
  <c r="K37" i="1"/>
  <c r="I37" i="1"/>
  <c r="E37" i="1"/>
  <c r="AG36" i="1"/>
  <c r="AF36" i="1"/>
  <c r="AE36" i="1"/>
  <c r="AA36" i="1"/>
  <c r="Y36" i="1"/>
  <c r="V36" i="1"/>
  <c r="L36" i="1"/>
  <c r="K36" i="1"/>
  <c r="M36" i="1" s="1"/>
  <c r="I36" i="1"/>
  <c r="E36" i="1"/>
  <c r="AG35" i="1"/>
  <c r="AF35" i="1"/>
  <c r="AE35" i="1"/>
  <c r="AA35" i="1"/>
  <c r="Y35" i="1"/>
  <c r="V35" i="1"/>
  <c r="L35" i="1"/>
  <c r="K35" i="1"/>
  <c r="M35" i="1" s="1"/>
  <c r="P35" i="1" s="1"/>
  <c r="Q35" i="1" s="1"/>
  <c r="I35" i="1"/>
  <c r="E35" i="1"/>
  <c r="AG34" i="1"/>
  <c r="AF34" i="1"/>
  <c r="AE34" i="1"/>
  <c r="AA34" i="1"/>
  <c r="Y34" i="1"/>
  <c r="V34" i="1"/>
  <c r="L34" i="1"/>
  <c r="K34" i="1"/>
  <c r="M34" i="1" s="1"/>
  <c r="I34" i="1"/>
  <c r="E34" i="1"/>
  <c r="AF33" i="1"/>
  <c r="AG33" i="1" s="1"/>
  <c r="AE33" i="1"/>
  <c r="AA33" i="1"/>
  <c r="Y33" i="1"/>
  <c r="V33" i="1"/>
  <c r="T33" i="1"/>
  <c r="U33" i="1" s="1"/>
  <c r="R33" i="1"/>
  <c r="S33" i="1" s="1"/>
  <c r="Q33" i="1"/>
  <c r="P33" i="1"/>
  <c r="N33" i="1"/>
  <c r="O33" i="1" s="1"/>
  <c r="L33" i="1"/>
  <c r="M33" i="1" s="1"/>
  <c r="K33" i="1"/>
  <c r="I33" i="1"/>
  <c r="E33" i="1"/>
  <c r="AG32" i="1"/>
  <c r="AF32" i="1"/>
  <c r="AE32" i="1"/>
  <c r="AA32" i="1"/>
  <c r="Y32" i="1"/>
  <c r="V32" i="1"/>
  <c r="L32" i="1"/>
  <c r="K32" i="1"/>
  <c r="M32" i="1" s="1"/>
  <c r="I32" i="1"/>
  <c r="E32" i="1"/>
  <c r="AF31" i="1"/>
  <c r="AG31" i="1" s="1"/>
  <c r="AE31" i="1"/>
  <c r="AA31" i="1"/>
  <c r="Y31" i="1"/>
  <c r="V31" i="1"/>
  <c r="L31" i="1"/>
  <c r="M31" i="1" s="1"/>
  <c r="K31" i="1"/>
  <c r="I31" i="1"/>
  <c r="E31" i="1"/>
  <c r="AF30" i="1"/>
  <c r="AE30" i="1"/>
  <c r="AA30" i="1"/>
  <c r="Y30" i="1"/>
  <c r="V30" i="1"/>
  <c r="L30" i="1"/>
  <c r="K30" i="1"/>
  <c r="AG30" i="1" s="1"/>
  <c r="I30" i="1"/>
  <c r="E30" i="1"/>
  <c r="AF29" i="1"/>
  <c r="AG29" i="1" s="1"/>
  <c r="AE29" i="1"/>
  <c r="AA29" i="1"/>
  <c r="Y29" i="1"/>
  <c r="V29" i="1"/>
  <c r="L29" i="1"/>
  <c r="K29" i="1"/>
  <c r="M29" i="1" s="1"/>
  <c r="I29" i="1"/>
  <c r="E29" i="1"/>
  <c r="AF28" i="1"/>
  <c r="AE28" i="1"/>
  <c r="AA28" i="1"/>
  <c r="Y28" i="1"/>
  <c r="V28" i="1"/>
  <c r="M28" i="1"/>
  <c r="N28" i="1" s="1"/>
  <c r="L28" i="1"/>
  <c r="K28" i="1"/>
  <c r="AG28" i="1" s="1"/>
  <c r="I28" i="1"/>
  <c r="E28" i="1"/>
  <c r="AF27" i="1"/>
  <c r="AG27" i="1" s="1"/>
  <c r="AE27" i="1"/>
  <c r="AA27" i="1"/>
  <c r="Y27" i="1"/>
  <c r="V27" i="1"/>
  <c r="L27" i="1"/>
  <c r="K27" i="1"/>
  <c r="I27" i="1"/>
  <c r="E27" i="1"/>
  <c r="E65" i="1" s="1"/>
  <c r="AF26" i="1"/>
  <c r="AE26" i="1"/>
  <c r="AA26" i="1"/>
  <c r="Y26" i="1"/>
  <c r="V26" i="1"/>
  <c r="M26" i="1"/>
  <c r="N26" i="1" s="1"/>
  <c r="L26" i="1"/>
  <c r="K26" i="1"/>
  <c r="AG26" i="1" s="1"/>
  <c r="I26" i="1"/>
  <c r="E26" i="1"/>
  <c r="L23" i="1"/>
  <c r="H23" i="1"/>
  <c r="G23" i="1"/>
  <c r="G79" i="1" s="1"/>
  <c r="G84" i="1" s="1"/>
  <c r="F23" i="1"/>
  <c r="F79" i="1" s="1"/>
  <c r="F84" i="1" s="1"/>
  <c r="D23" i="1"/>
  <c r="C23" i="1"/>
  <c r="C79" i="1" s="1"/>
  <c r="C84" i="1" s="1"/>
  <c r="A23" i="1"/>
  <c r="A79" i="1" s="1"/>
  <c r="AA21" i="1"/>
  <c r="Y21" i="1"/>
  <c r="V21" i="1"/>
  <c r="Q21" i="1"/>
  <c r="P21" i="1"/>
  <c r="M21" i="1"/>
  <c r="N21" i="1" s="1"/>
  <c r="K21" i="1"/>
  <c r="I21" i="1"/>
  <c r="E21" i="1"/>
  <c r="AA20" i="1"/>
  <c r="Y20" i="1"/>
  <c r="V20" i="1"/>
  <c r="K20" i="1"/>
  <c r="M20" i="1" s="1"/>
  <c r="I20" i="1"/>
  <c r="E20" i="1"/>
  <c r="AA19" i="1"/>
  <c r="Y19" i="1"/>
  <c r="V19" i="1"/>
  <c r="K19" i="1"/>
  <c r="M19" i="1" s="1"/>
  <c r="P19" i="1" s="1"/>
  <c r="Q19" i="1" s="1"/>
  <c r="I19" i="1"/>
  <c r="E19" i="1"/>
  <c r="AA18" i="1"/>
  <c r="Y18" i="1"/>
  <c r="V18" i="1"/>
  <c r="K18" i="1"/>
  <c r="M18" i="1" s="1"/>
  <c r="I18" i="1"/>
  <c r="E18" i="1"/>
  <c r="AA17" i="1"/>
  <c r="Y17" i="1"/>
  <c r="V17" i="1"/>
  <c r="M17" i="1"/>
  <c r="N17" i="1" s="1"/>
  <c r="K17" i="1"/>
  <c r="I17" i="1"/>
  <c r="E17" i="1"/>
  <c r="AA16" i="1"/>
  <c r="Y16" i="1"/>
  <c r="V16" i="1"/>
  <c r="K16" i="1"/>
  <c r="M16" i="1" s="1"/>
  <c r="I16" i="1"/>
  <c r="E16" i="1"/>
  <c r="AA15" i="1"/>
  <c r="Y15" i="1"/>
  <c r="V15" i="1"/>
  <c r="P15" i="1"/>
  <c r="Q15" i="1" s="1"/>
  <c r="M15" i="1"/>
  <c r="N15" i="1" s="1"/>
  <c r="K15" i="1"/>
  <c r="I15" i="1"/>
  <c r="E15" i="1"/>
  <c r="AA14" i="1"/>
  <c r="Y14" i="1"/>
  <c r="V14" i="1"/>
  <c r="U14" i="1"/>
  <c r="R14" i="1"/>
  <c r="S14" i="1" s="1"/>
  <c r="Q14" i="1"/>
  <c r="P14" i="1"/>
  <c r="N14" i="1"/>
  <c r="T14" i="1" s="1"/>
  <c r="M14" i="1"/>
  <c r="K14" i="1"/>
  <c r="I14" i="1"/>
  <c r="E14" i="1"/>
  <c r="AA13" i="1"/>
  <c r="Y13" i="1"/>
  <c r="V13" i="1"/>
  <c r="K13" i="1"/>
  <c r="M13" i="1" s="1"/>
  <c r="I13" i="1"/>
  <c r="E13" i="1"/>
  <c r="E23" i="1" s="1"/>
  <c r="E79" i="1" s="1"/>
  <c r="AA12" i="1"/>
  <c r="Y12" i="1"/>
  <c r="V12" i="1"/>
  <c r="K12" i="1"/>
  <c r="M12" i="1" s="1"/>
  <c r="I12" i="1"/>
  <c r="I23" i="1" s="1"/>
  <c r="E12" i="1"/>
  <c r="AD11" i="1"/>
  <c r="AE11" i="1" s="1"/>
  <c r="AA11" i="1"/>
  <c r="Y11" i="1"/>
  <c r="V11" i="1"/>
  <c r="P11" i="1"/>
  <c r="N11" i="1"/>
  <c r="K11" i="1"/>
  <c r="M11" i="1" s="1"/>
  <c r="I11" i="1"/>
  <c r="E11" i="1"/>
  <c r="U8" i="1"/>
  <c r="N29" i="1" l="1"/>
  <c r="P29" i="1"/>
  <c r="Q29" i="1" s="1"/>
  <c r="T39" i="1"/>
  <c r="U39" i="1" s="1"/>
  <c r="O39" i="1"/>
  <c r="R39" i="1"/>
  <c r="S39" i="1" s="1"/>
  <c r="N13" i="1"/>
  <c r="P13" i="1"/>
  <c r="Q13" i="1" s="1"/>
  <c r="N37" i="1"/>
  <c r="P37" i="1"/>
  <c r="Q37" i="1" s="1"/>
  <c r="T17" i="1"/>
  <c r="U17" i="1" s="1"/>
  <c r="O17" i="1"/>
  <c r="R17" i="1"/>
  <c r="S17" i="1" s="1"/>
  <c r="P31" i="1"/>
  <c r="Q31" i="1" s="1"/>
  <c r="N31" i="1"/>
  <c r="P32" i="1"/>
  <c r="Q32" i="1" s="1"/>
  <c r="N32" i="1"/>
  <c r="P34" i="1"/>
  <c r="Q34" i="1" s="1"/>
  <c r="N34" i="1"/>
  <c r="O56" i="1"/>
  <c r="T56" i="1"/>
  <c r="U56" i="1" s="1"/>
  <c r="R56" i="1"/>
  <c r="S56" i="1" s="1"/>
  <c r="T28" i="1"/>
  <c r="U28" i="1" s="1"/>
  <c r="R28" i="1"/>
  <c r="S28" i="1" s="1"/>
  <c r="O28" i="1"/>
  <c r="P48" i="1"/>
  <c r="Q48" i="1" s="1"/>
  <c r="N48" i="1"/>
  <c r="N36" i="1"/>
  <c r="P36" i="1"/>
  <c r="Q36" i="1" s="1"/>
  <c r="P18" i="1"/>
  <c r="Q18" i="1" s="1"/>
  <c r="N18" i="1"/>
  <c r="P12" i="1"/>
  <c r="Q12" i="1" s="1"/>
  <c r="N12" i="1"/>
  <c r="N16" i="1"/>
  <c r="P16" i="1"/>
  <c r="Q16" i="1" s="1"/>
  <c r="O21" i="1"/>
  <c r="T21" i="1"/>
  <c r="U21" i="1" s="1"/>
  <c r="R21" i="1"/>
  <c r="S21" i="1" s="1"/>
  <c r="O15" i="1"/>
  <c r="R15" i="1"/>
  <c r="S15" i="1" s="1"/>
  <c r="T15" i="1"/>
  <c r="U15" i="1" s="1"/>
  <c r="P20" i="1"/>
  <c r="Q20" i="1" s="1"/>
  <c r="N20" i="1"/>
  <c r="R26" i="1"/>
  <c r="T26" i="1"/>
  <c r="O26" i="1"/>
  <c r="P45" i="1"/>
  <c r="Q45" i="1" s="1"/>
  <c r="N45" i="1"/>
  <c r="P53" i="1"/>
  <c r="Q53" i="1" s="1"/>
  <c r="N53" i="1"/>
  <c r="F39" i="11"/>
  <c r="G39" i="11" s="1"/>
  <c r="F42" i="11"/>
  <c r="G35" i="11"/>
  <c r="T57" i="1"/>
  <c r="U57" i="1" s="1"/>
  <c r="R57" i="1"/>
  <c r="S57" i="1" s="1"/>
  <c r="O57" i="1"/>
  <c r="P43" i="1"/>
  <c r="Q43" i="1" s="1"/>
  <c r="N43" i="1"/>
  <c r="N60" i="1"/>
  <c r="G29" i="11"/>
  <c r="H79" i="1"/>
  <c r="H84" i="1" s="1"/>
  <c r="R55" i="1"/>
  <c r="S55" i="1" s="1"/>
  <c r="T55" i="1"/>
  <c r="U55" i="1" s="1"/>
  <c r="P58" i="1"/>
  <c r="Q58" i="1" s="1"/>
  <c r="N58" i="1"/>
  <c r="P59" i="1"/>
  <c r="Q59" i="1" s="1"/>
  <c r="H42" i="11"/>
  <c r="I35" i="11"/>
  <c r="H39" i="11"/>
  <c r="P17" i="1"/>
  <c r="Q17" i="1" s="1"/>
  <c r="R38" i="1"/>
  <c r="S38" i="1" s="1"/>
  <c r="P39" i="1"/>
  <c r="Q39" i="1" s="1"/>
  <c r="O46" i="1"/>
  <c r="T46" i="1"/>
  <c r="U46" i="1" s="1"/>
  <c r="R49" i="1"/>
  <c r="S49" i="1" s="1"/>
  <c r="P54" i="1"/>
  <c r="Q54" i="1" s="1"/>
  <c r="N54" i="1"/>
  <c r="O55" i="1"/>
  <c r="P56" i="1"/>
  <c r="Q56" i="1" s="1"/>
  <c r="G14" i="3"/>
  <c r="T19" i="11"/>
  <c r="O29" i="11"/>
  <c r="R11" i="1"/>
  <c r="AF11" i="1"/>
  <c r="AG11" i="1" s="1"/>
  <c r="AD12" i="1"/>
  <c r="K23" i="1"/>
  <c r="P28" i="1"/>
  <c r="Q28" i="1" s="1"/>
  <c r="N47" i="1"/>
  <c r="P55" i="1"/>
  <c r="Q55" i="1" s="1"/>
  <c r="M69" i="1"/>
  <c r="P51" i="1"/>
  <c r="Q51" i="1" s="1"/>
  <c r="N51" i="1"/>
  <c r="I15" i="11"/>
  <c r="G15" i="11"/>
  <c r="N19" i="1"/>
  <c r="L79" i="1"/>
  <c r="N35" i="1"/>
  <c r="P46" i="1"/>
  <c r="Q46" i="1" s="1"/>
  <c r="AG58" i="1"/>
  <c r="G15" i="3"/>
  <c r="M14" i="11"/>
  <c r="K14" i="11"/>
  <c r="Q35" i="11"/>
  <c r="Q39" i="11" s="1"/>
  <c r="E84" i="1"/>
  <c r="G26" i="3"/>
  <c r="F99" i="3" s="1"/>
  <c r="G11" i="3"/>
  <c r="K27" i="3"/>
  <c r="G19" i="3"/>
  <c r="F96" i="3" s="1"/>
  <c r="G30" i="3"/>
  <c r="F101" i="3" s="1"/>
  <c r="G12" i="3"/>
  <c r="G27" i="3"/>
  <c r="F100" i="3" s="1"/>
  <c r="K23" i="3"/>
  <c r="G10" i="3"/>
  <c r="G23" i="3"/>
  <c r="F97" i="3" s="1"/>
  <c r="G13" i="3"/>
  <c r="O11" i="1"/>
  <c r="T44" i="1"/>
  <c r="U44" i="1" s="1"/>
  <c r="R44" i="1"/>
  <c r="S44" i="1" s="1"/>
  <c r="T52" i="1"/>
  <c r="U52" i="1" s="1"/>
  <c r="R52" i="1"/>
  <c r="S52" i="1" s="1"/>
  <c r="O44" i="1"/>
  <c r="O52" i="1"/>
  <c r="Q11" i="1"/>
  <c r="M30" i="1"/>
  <c r="T11" i="1"/>
  <c r="O14" i="1"/>
  <c r="K65" i="1"/>
  <c r="N42" i="1"/>
  <c r="N50" i="1"/>
  <c r="N61" i="1"/>
  <c r="M71" i="1"/>
  <c r="K85" i="3"/>
  <c r="P26" i="1"/>
  <c r="M62" i="1"/>
  <c r="AG62" i="1"/>
  <c r="O59" i="1"/>
  <c r="T59" i="1"/>
  <c r="U59" i="1" s="1"/>
  <c r="M23" i="1"/>
  <c r="L65" i="1"/>
  <c r="M27" i="1"/>
  <c r="P40" i="1"/>
  <c r="Q40" i="1" s="1"/>
  <c r="N40" i="1"/>
  <c r="T68" i="1"/>
  <c r="R68" i="1"/>
  <c r="O68" i="1"/>
  <c r="B40" i="3"/>
  <c r="B1" i="11"/>
  <c r="B50" i="2"/>
  <c r="B5" i="4"/>
  <c r="B4" i="3"/>
  <c r="H45" i="11"/>
  <c r="I37" i="11"/>
  <c r="N43" i="6"/>
  <c r="G76" i="3" s="1"/>
  <c r="G81" i="3" s="1"/>
  <c r="K86" i="3" s="1"/>
  <c r="AG44" i="1"/>
  <c r="AG52" i="1"/>
  <c r="T63" i="1"/>
  <c r="U63" i="1" s="1"/>
  <c r="R63" i="1"/>
  <c r="S63" i="1" s="1"/>
  <c r="L35" i="11"/>
  <c r="M37" i="11"/>
  <c r="I65" i="1"/>
  <c r="I79" i="1" s="1"/>
  <c r="O63" i="1"/>
  <c r="I71" i="1"/>
  <c r="K37" i="11"/>
  <c r="K71" i="1"/>
  <c r="T15" i="11"/>
  <c r="J15" i="3"/>
  <c r="J35" i="11"/>
  <c r="F36" i="2" l="1"/>
  <c r="F35" i="3" s="1"/>
  <c r="I84" i="1"/>
  <c r="R42" i="1"/>
  <c r="S42" i="1" s="1"/>
  <c r="O42" i="1"/>
  <c r="T42" i="1"/>
  <c r="U42" i="1" s="1"/>
  <c r="T47" i="1"/>
  <c r="U47" i="1" s="1"/>
  <c r="R47" i="1"/>
  <c r="S47" i="1" s="1"/>
  <c r="O47" i="1"/>
  <c r="O43" i="1"/>
  <c r="T43" i="1"/>
  <c r="U43" i="1" s="1"/>
  <c r="R43" i="1"/>
  <c r="S43" i="1" s="1"/>
  <c r="S26" i="1"/>
  <c r="R31" i="1"/>
  <c r="S31" i="1" s="1"/>
  <c r="O31" i="1"/>
  <c r="T31" i="1"/>
  <c r="U31" i="1" s="1"/>
  <c r="K25" i="3"/>
  <c r="O58" i="1"/>
  <c r="T58" i="1"/>
  <c r="U58" i="1" s="1"/>
  <c r="R58" i="1"/>
  <c r="S58" i="1" s="1"/>
  <c r="L39" i="11"/>
  <c r="M35" i="11"/>
  <c r="L42" i="11"/>
  <c r="B2" i="11"/>
  <c r="B5" i="6"/>
  <c r="B41" i="3"/>
  <c r="K12" i="3"/>
  <c r="K79" i="1"/>
  <c r="R53" i="1"/>
  <c r="S53" i="1" s="1"/>
  <c r="O53" i="1"/>
  <c r="T53" i="1"/>
  <c r="U53" i="1" s="1"/>
  <c r="R20" i="1"/>
  <c r="S20" i="1" s="1"/>
  <c r="T20" i="1"/>
  <c r="U20" i="1" s="1"/>
  <c r="O20" i="1"/>
  <c r="T36" i="1"/>
  <c r="U36" i="1" s="1"/>
  <c r="R36" i="1"/>
  <c r="S36" i="1" s="1"/>
  <c r="O36" i="1"/>
  <c r="U11" i="1"/>
  <c r="K26" i="3"/>
  <c r="K10" i="3"/>
  <c r="K22" i="3"/>
  <c r="AE12" i="1"/>
  <c r="AD13" i="1"/>
  <c r="AF12" i="1"/>
  <c r="AG12" i="1" s="1"/>
  <c r="O54" i="1"/>
  <c r="R54" i="1"/>
  <c r="S54" i="1" s="1"/>
  <c r="T54" i="1"/>
  <c r="U54" i="1" s="1"/>
  <c r="F45" i="11"/>
  <c r="O48" i="1"/>
  <c r="R48" i="1"/>
  <c r="S48" i="1" s="1"/>
  <c r="T48" i="1"/>
  <c r="U48" i="1" s="1"/>
  <c r="S68" i="1"/>
  <c r="N30" i="1"/>
  <c r="P30" i="1"/>
  <c r="Q30" i="1" s="1"/>
  <c r="G32" i="3"/>
  <c r="F94" i="3"/>
  <c r="F95" i="3"/>
  <c r="K24" i="3"/>
  <c r="K15" i="3"/>
  <c r="O51" i="1"/>
  <c r="T51" i="1"/>
  <c r="U51" i="1" s="1"/>
  <c r="R51" i="1"/>
  <c r="S51" i="1" s="1"/>
  <c r="I39" i="11"/>
  <c r="R45" i="1"/>
  <c r="S45" i="1" s="1"/>
  <c r="O45" i="1"/>
  <c r="T45" i="1"/>
  <c r="U45" i="1" s="1"/>
  <c r="O16" i="1"/>
  <c r="R16" i="1"/>
  <c r="S16" i="1" s="1"/>
  <c r="T16" i="1"/>
  <c r="U16" i="1" s="1"/>
  <c r="R34" i="1"/>
  <c r="S34" i="1" s="1"/>
  <c r="O34" i="1"/>
  <c r="T34" i="1"/>
  <c r="U34" i="1" s="1"/>
  <c r="J42" i="11"/>
  <c r="K35" i="11"/>
  <c r="J39" i="11"/>
  <c r="P27" i="1"/>
  <c r="Q27" i="1" s="1"/>
  <c r="N27" i="1"/>
  <c r="K16" i="3"/>
  <c r="K21" i="3"/>
  <c r="R12" i="1"/>
  <c r="S12" i="1" s="1"/>
  <c r="T12" i="1"/>
  <c r="U12" i="1" s="1"/>
  <c r="O12" i="1"/>
  <c r="O23" i="1" s="1"/>
  <c r="N23" i="1"/>
  <c r="M65" i="1"/>
  <c r="M79" i="1" s="1"/>
  <c r="R19" i="1"/>
  <c r="S19" i="1" s="1"/>
  <c r="T19" i="1"/>
  <c r="U19" i="1" s="1"/>
  <c r="O19" i="1"/>
  <c r="O13" i="1"/>
  <c r="R13" i="1"/>
  <c r="S13" i="1" s="1"/>
  <c r="T13" i="1"/>
  <c r="U13" i="1" s="1"/>
  <c r="U68" i="1"/>
  <c r="Q23" i="1"/>
  <c r="K13" i="3"/>
  <c r="S11" i="1"/>
  <c r="K28" i="3"/>
  <c r="O40" i="1"/>
  <c r="R40" i="1"/>
  <c r="S40" i="1" s="1"/>
  <c r="T40" i="1"/>
  <c r="U40" i="1" s="1"/>
  <c r="P62" i="1"/>
  <c r="Q62" i="1" s="1"/>
  <c r="N62" i="1"/>
  <c r="T61" i="1"/>
  <c r="U61" i="1" s="1"/>
  <c r="R61" i="1"/>
  <c r="S61" i="1" s="1"/>
  <c r="O61" i="1"/>
  <c r="K20" i="3"/>
  <c r="K17" i="3"/>
  <c r="K30" i="3"/>
  <c r="P69" i="1"/>
  <c r="N69" i="1"/>
  <c r="O35" i="11"/>
  <c r="T29" i="11"/>
  <c r="R32" i="1"/>
  <c r="S32" i="1" s="1"/>
  <c r="O32" i="1"/>
  <c r="T32" i="1"/>
  <c r="U32" i="1" s="1"/>
  <c r="K19" i="3"/>
  <c r="Q26" i="1"/>
  <c r="R50" i="1"/>
  <c r="S50" i="1" s="1"/>
  <c r="O50" i="1"/>
  <c r="T50" i="1"/>
  <c r="U50" i="1" s="1"/>
  <c r="K29" i="3"/>
  <c r="K18" i="3"/>
  <c r="O35" i="1"/>
  <c r="R35" i="1"/>
  <c r="S35" i="1" s="1"/>
  <c r="T35" i="1"/>
  <c r="U35" i="1" s="1"/>
  <c r="K11" i="3"/>
  <c r="T60" i="1"/>
  <c r="U60" i="1" s="1"/>
  <c r="R60" i="1"/>
  <c r="S60" i="1" s="1"/>
  <c r="O60" i="1"/>
  <c r="U26" i="1"/>
  <c r="P23" i="1"/>
  <c r="T18" i="1"/>
  <c r="U18" i="1" s="1"/>
  <c r="R18" i="1"/>
  <c r="S18" i="1" s="1"/>
  <c r="O18" i="1"/>
  <c r="O37" i="1"/>
  <c r="R37" i="1"/>
  <c r="S37" i="1" s="1"/>
  <c r="T37" i="1"/>
  <c r="U37" i="1" s="1"/>
  <c r="O29" i="1"/>
  <c r="T29" i="1"/>
  <c r="U29" i="1" s="1"/>
  <c r="R29" i="1"/>
  <c r="S29" i="1" s="1"/>
  <c r="F34" i="2" l="1"/>
  <c r="F38" i="2" s="1"/>
  <c r="M83" i="1"/>
  <c r="S23" i="1"/>
  <c r="AD14" i="1"/>
  <c r="AF13" i="1"/>
  <c r="AG13" i="1" s="1"/>
  <c r="AE13" i="1"/>
  <c r="P79" i="1"/>
  <c r="Q65" i="1"/>
  <c r="Q79" i="1" s="1"/>
  <c r="F18" i="4" s="1"/>
  <c r="O39" i="11"/>
  <c r="T39" i="11" s="1"/>
  <c r="T35" i="11"/>
  <c r="R23" i="1"/>
  <c r="L45" i="11"/>
  <c r="M39" i="11"/>
  <c r="P65" i="1"/>
  <c r="O69" i="1"/>
  <c r="O71" i="1" s="1"/>
  <c r="T69" i="1"/>
  <c r="R69" i="1"/>
  <c r="N71" i="1"/>
  <c r="R62" i="1"/>
  <c r="S62" i="1" s="1"/>
  <c r="O62" i="1"/>
  <c r="T62" i="1"/>
  <c r="U62" i="1" s="1"/>
  <c r="F103" i="3"/>
  <c r="P71" i="1"/>
  <c r="Q69" i="1"/>
  <c r="Q71" i="1" s="1"/>
  <c r="K32" i="3"/>
  <c r="O27" i="1"/>
  <c r="T27" i="1"/>
  <c r="R27" i="1"/>
  <c r="N65" i="1"/>
  <c r="N79" i="1" s="1"/>
  <c r="T30" i="1"/>
  <c r="U30" i="1" s="1"/>
  <c r="R30" i="1"/>
  <c r="S30" i="1" s="1"/>
  <c r="O30" i="1"/>
  <c r="T23" i="1"/>
  <c r="K39" i="11"/>
  <c r="J45" i="11"/>
  <c r="U23" i="1"/>
  <c r="W27" i="11" l="1"/>
  <c r="W16" i="11"/>
  <c r="W37" i="11"/>
  <c r="W17" i="11"/>
  <c r="W14" i="11"/>
  <c r="W19" i="11"/>
  <c r="W15" i="11"/>
  <c r="U27" i="1"/>
  <c r="U65" i="1" s="1"/>
  <c r="U79" i="1" s="1"/>
  <c r="F21" i="4" s="1"/>
  <c r="T65" i="1"/>
  <c r="H19" i="3"/>
  <c r="G96" i="3" s="1"/>
  <c r="H14" i="3"/>
  <c r="H30" i="3"/>
  <c r="G101" i="3" s="1"/>
  <c r="H12" i="3"/>
  <c r="G95" i="3" s="1"/>
  <c r="H27" i="3"/>
  <c r="G100" i="3" s="1"/>
  <c r="H10" i="3"/>
  <c r="H23" i="3"/>
  <c r="G97" i="3" s="1"/>
  <c r="H13" i="3"/>
  <c r="H26" i="3"/>
  <c r="G99" i="3" s="1"/>
  <c r="H15" i="3"/>
  <c r="H25" i="3"/>
  <c r="G98" i="3" s="1"/>
  <c r="H11" i="3"/>
  <c r="O65" i="1"/>
  <c r="O79" i="1" s="1"/>
  <c r="F17" i="4" s="1"/>
  <c r="F19" i="4" s="1"/>
  <c r="L27" i="3"/>
  <c r="F38" i="4" s="1"/>
  <c r="F37" i="6" s="1"/>
  <c r="L15" i="3"/>
  <c r="F33" i="4" s="1"/>
  <c r="L25" i="3"/>
  <c r="F36" i="4" s="1"/>
  <c r="F35" i="6" s="1"/>
  <c r="L23" i="3"/>
  <c r="F35" i="4" s="1"/>
  <c r="F34" i="6" s="1"/>
  <c r="L26" i="3"/>
  <c r="F37" i="4" s="1"/>
  <c r="F36" i="6" s="1"/>
  <c r="L30" i="3"/>
  <c r="F39" i="4" s="1"/>
  <c r="F38" i="6" s="1"/>
  <c r="L11" i="3"/>
  <c r="L19" i="3"/>
  <c r="F34" i="4" s="1"/>
  <c r="F33" i="6" s="1"/>
  <c r="AD15" i="1"/>
  <c r="AE14" i="1"/>
  <c r="AF14" i="1"/>
  <c r="AG14" i="1" s="1"/>
  <c r="S69" i="1"/>
  <c r="S71" i="1" s="1"/>
  <c r="R71" i="1"/>
  <c r="R79" i="1"/>
  <c r="U69" i="1"/>
  <c r="U71" i="1" s="1"/>
  <c r="T71" i="1"/>
  <c r="T79" i="1" s="1"/>
  <c r="S27" i="1"/>
  <c r="S65" i="1" s="1"/>
  <c r="S79" i="1" s="1"/>
  <c r="F20" i="4" s="1"/>
  <c r="R65" i="1"/>
  <c r="F32" i="6" l="1"/>
  <c r="J33" i="4"/>
  <c r="G21" i="4"/>
  <c r="G28" i="4" s="1"/>
  <c r="L32" i="3"/>
  <c r="F32" i="4"/>
  <c r="W40" i="11"/>
  <c r="AD16" i="1"/>
  <c r="AE15" i="1"/>
  <c r="AF15" i="1"/>
  <c r="AG15" i="1" s="1"/>
  <c r="H32" i="3"/>
  <c r="G94" i="3"/>
  <c r="G103" i="3" s="1"/>
  <c r="F31" i="6" l="1"/>
  <c r="F41" i="4"/>
  <c r="J32" i="4"/>
  <c r="J39" i="4" s="1"/>
  <c r="G38" i="4"/>
  <c r="G33" i="4"/>
  <c r="G35" i="4"/>
  <c r="G37" i="4"/>
  <c r="G32" i="4"/>
  <c r="G41" i="4" s="1"/>
  <c r="G36" i="4"/>
  <c r="G34" i="4"/>
  <c r="G39" i="4"/>
  <c r="AD17" i="1"/>
  <c r="AF16" i="1"/>
  <c r="AG16" i="1" s="1"/>
  <c r="AE16" i="1"/>
  <c r="F40" i="6" l="1"/>
  <c r="AF17" i="1"/>
  <c r="AG17" i="1" s="1"/>
  <c r="AD18" i="1"/>
  <c r="AE17" i="1"/>
  <c r="AF18" i="1" l="1"/>
  <c r="AG18" i="1" s="1"/>
  <c r="AD19" i="1"/>
  <c r="AE18" i="1"/>
  <c r="AD20" i="1" l="1"/>
  <c r="AF19" i="1"/>
  <c r="AG19" i="1" s="1"/>
  <c r="AE19" i="1"/>
  <c r="AE20" i="1" l="1"/>
  <c r="AD21" i="1"/>
  <c r="AF20" i="1"/>
  <c r="AG20" i="1" s="1"/>
  <c r="AF21" i="1" l="1"/>
  <c r="AG21" i="1" s="1"/>
  <c r="AG67" i="1" s="1"/>
  <c r="E20" i="6" s="1"/>
  <c r="AE21" i="1"/>
  <c r="AE67" i="1" s="1"/>
  <c r="E19" i="6" s="1"/>
  <c r="F20" i="6" l="1"/>
  <c r="F26" i="6" s="1"/>
  <c r="G35" i="6" l="1"/>
  <c r="G34" i="6"/>
  <c r="G36" i="6"/>
  <c r="G37" i="6"/>
  <c r="G38" i="6"/>
  <c r="G33" i="6"/>
  <c r="G32" i="6"/>
  <c r="G31" i="6"/>
  <c r="G40" i="6" s="1"/>
</calcChain>
</file>

<file path=xl/comments1.xml><?xml version="1.0" encoding="utf-8"?>
<comments xmlns="http://schemas.openxmlformats.org/spreadsheetml/2006/main">
  <authors>
    <author>Brian Chaney</author>
  </authors>
  <commentList>
    <comment ref="W19" authorId="0">
      <text>
        <r>
          <rPr>
            <b/>
            <sz val="9"/>
            <color indexed="81"/>
            <rFont val="Tahoma"/>
            <family val="2"/>
          </rPr>
          <t>Brian Chaney:</t>
        </r>
        <r>
          <rPr>
            <sz val="9"/>
            <color indexed="81"/>
            <rFont val="Tahoma"/>
            <family val="2"/>
          </rPr>
          <t xml:space="preserve">
$2,500 Raise Effective 10/01/2013
</t>
        </r>
      </text>
    </comment>
    <comment ref="W20" authorId="0">
      <text>
        <r>
          <rPr>
            <b/>
            <sz val="9"/>
            <color indexed="81"/>
            <rFont val="Tahoma"/>
            <family val="2"/>
          </rPr>
          <t>Brian Chaney:</t>
        </r>
        <r>
          <rPr>
            <sz val="9"/>
            <color indexed="81"/>
            <rFont val="Tahoma"/>
            <family val="2"/>
          </rPr>
          <t xml:space="preserve">
$2,500 Raise Effective 10/01/2013</t>
        </r>
      </text>
    </comment>
  </commentList>
</comments>
</file>

<file path=xl/sharedStrings.xml><?xml version="1.0" encoding="utf-8"?>
<sst xmlns="http://schemas.openxmlformats.org/spreadsheetml/2006/main" count="390" uniqueCount="266">
  <si>
    <t>Exhibit  2</t>
  </si>
  <si>
    <t>Exhibit  1</t>
  </si>
  <si>
    <t xml:space="preserve">page    of      </t>
  </si>
  <si>
    <t>Employee Earnings and Hours</t>
  </si>
  <si>
    <t>Actual Test Year Wages</t>
  </si>
  <si>
    <t>Wage</t>
  </si>
  <si>
    <t>Normalized Wages</t>
  </si>
  <si>
    <t>Social Security Wages</t>
  </si>
  <si>
    <t>Medicare Wages</t>
  </si>
  <si>
    <t>Federal Unemployment</t>
  </si>
  <si>
    <t>State Unemployment</t>
  </si>
  <si>
    <t>Employment</t>
  </si>
  <si>
    <t/>
  </si>
  <si>
    <t>Employee</t>
  </si>
  <si>
    <t>Hours Worked Test Year</t>
  </si>
  <si>
    <t>Rate</t>
  </si>
  <si>
    <t>@ 2,080 Hours</t>
  </si>
  <si>
    <t>Up To</t>
  </si>
  <si>
    <t>@</t>
  </si>
  <si>
    <t>Up to</t>
  </si>
  <si>
    <t>Date</t>
  </si>
  <si>
    <t>Percent</t>
  </si>
  <si>
    <t>Number</t>
  </si>
  <si>
    <t>Regular</t>
  </si>
  <si>
    <t>Overtime</t>
  </si>
  <si>
    <t>Total</t>
  </si>
  <si>
    <t>Christmas</t>
  </si>
  <si>
    <t>All Wages</t>
  </si>
  <si>
    <t>Increase</t>
  </si>
  <si>
    <t>Reason for increase</t>
  </si>
  <si>
    <t xml:space="preserve">  Step increase</t>
  </si>
  <si>
    <t>Subtotal Salaried employees</t>
  </si>
  <si>
    <t>Subtotal hourly employees</t>
  </si>
  <si>
    <t>Subtotal summer</t>
  </si>
  <si>
    <t>Subtotal retirees</t>
  </si>
  <si>
    <t xml:space="preserve">page  of      </t>
  </si>
  <si>
    <t>Payroll Adjustment</t>
  </si>
  <si>
    <t>To reflect the increase granted by the Board of Directors, the step increases granted and</t>
  </si>
  <si>
    <t>promotions during the year.  To give recognition to employees terminated and employees</t>
  </si>
  <si>
    <t>continue into future years.  These employees were normalized at the same rate and hours</t>
  </si>
  <si>
    <t>during the test year.</t>
  </si>
  <si>
    <t>Wage and salary increases are as follows:</t>
  </si>
  <si>
    <t>The amount of increase was allocated based on the actual test year.</t>
  </si>
  <si>
    <t>Projected wages</t>
  </si>
  <si>
    <t>Actual wages for test year</t>
  </si>
  <si>
    <t xml:space="preserve">    Adjustment</t>
  </si>
  <si>
    <t>The allocation is on the following page:</t>
  </si>
  <si>
    <t>Exhibit    1</t>
  </si>
  <si>
    <t xml:space="preserve">page    of    </t>
  </si>
  <si>
    <t>Employee Information</t>
  </si>
  <si>
    <t>The following is a list of employees added during the test year, and the employees that were</t>
  </si>
  <si>
    <t>replaced, or reason for hiring the employees.</t>
  </si>
  <si>
    <t>Hired</t>
  </si>
  <si>
    <t>Reason</t>
  </si>
  <si>
    <t>The following is a list of employees terminated, and the date.</t>
  </si>
  <si>
    <t>Month</t>
  </si>
  <si>
    <t>Terminated</t>
  </si>
  <si>
    <t>page  2 of  __</t>
  </si>
  <si>
    <t>Allocation of increase in payroll:</t>
  </si>
  <si>
    <t>Labor</t>
  </si>
  <si>
    <t>Benefits</t>
  </si>
  <si>
    <t>Distribution</t>
  </si>
  <si>
    <t>Allocation</t>
  </si>
  <si>
    <t>107.20</t>
  </si>
  <si>
    <t>Construction work in progress</t>
  </si>
  <si>
    <t>108.80</t>
  </si>
  <si>
    <t>Retirement work in progress</t>
  </si>
  <si>
    <t>163.00</t>
  </si>
  <si>
    <t>Stores</t>
  </si>
  <si>
    <t>184.00</t>
  </si>
  <si>
    <t>Transportation</t>
  </si>
  <si>
    <t>242.52</t>
  </si>
  <si>
    <t>Employee sick leave</t>
  </si>
  <si>
    <t>416.00</t>
  </si>
  <si>
    <t>Non operating accounts</t>
  </si>
  <si>
    <t>Operations</t>
  </si>
  <si>
    <t>583.00</t>
  </si>
  <si>
    <t>Overhead line</t>
  </si>
  <si>
    <t>Underground</t>
  </si>
  <si>
    <t>586.00</t>
  </si>
  <si>
    <t>Meter</t>
  </si>
  <si>
    <t>588.00</t>
  </si>
  <si>
    <t>Miscellaneous distribution</t>
  </si>
  <si>
    <t>590.00</t>
  </si>
  <si>
    <t>Maintenance</t>
  </si>
  <si>
    <t>593.00</t>
  </si>
  <si>
    <t>594.00</t>
  </si>
  <si>
    <t>595.00</t>
  </si>
  <si>
    <t>Transformers</t>
  </si>
  <si>
    <t>598.00</t>
  </si>
  <si>
    <t>Miscellaneous maintenance</t>
  </si>
  <si>
    <t>901.00</t>
  </si>
  <si>
    <t>Supervision, customer accounts</t>
  </si>
  <si>
    <t>902.00</t>
  </si>
  <si>
    <t>Meter reading</t>
  </si>
  <si>
    <t>903.00</t>
  </si>
  <si>
    <t>Consumer records</t>
  </si>
  <si>
    <t>909.00</t>
  </si>
  <si>
    <t>Consumer information</t>
  </si>
  <si>
    <t>912.00</t>
  </si>
  <si>
    <t>Demonstration and selling</t>
  </si>
  <si>
    <t>920.00</t>
  </si>
  <si>
    <t>Administrative</t>
  </si>
  <si>
    <t>930.00</t>
  </si>
  <si>
    <t>Miscellaneous</t>
  </si>
  <si>
    <t>935.00</t>
  </si>
  <si>
    <t>Maintenance general plant</t>
  </si>
  <si>
    <t>Witness: Jim Adkins</t>
  </si>
  <si>
    <t>Capitalization Policies</t>
  </si>
  <si>
    <t>Benefits include the following:</t>
  </si>
  <si>
    <t xml:space="preserve">  Medical insurance</t>
  </si>
  <si>
    <t xml:space="preserve">  Life insurance</t>
  </si>
  <si>
    <t>Analysis of Salaries and Wages</t>
  </si>
  <si>
    <t>and the Test year</t>
  </si>
  <si>
    <t>Twelve Months Ended</t>
  </si>
  <si>
    <t>Test year</t>
  </si>
  <si>
    <t>Line</t>
  </si>
  <si>
    <t>Item</t>
  </si>
  <si>
    <t>Amount</t>
  </si>
  <si>
    <t>%</t>
  </si>
  <si>
    <t>No</t>
  </si>
  <si>
    <t>(a)</t>
  </si>
  <si>
    <t>(f)</t>
  </si>
  <si>
    <t>(g)</t>
  </si>
  <si>
    <t>(h)</t>
  </si>
  <si>
    <t>(i)</t>
  </si>
  <si>
    <t>(j)</t>
  </si>
  <si>
    <t>(k)</t>
  </si>
  <si>
    <t>(l)</t>
  </si>
  <si>
    <t>(m)</t>
  </si>
  <si>
    <t>Salary</t>
  </si>
  <si>
    <t>Trans</t>
  </si>
  <si>
    <t>Sick</t>
  </si>
  <si>
    <t>Wages charged to expense:</t>
  </si>
  <si>
    <t xml:space="preserve">  Distribution expense</t>
  </si>
  <si>
    <t xml:space="preserve">  Customer accounts expense</t>
  </si>
  <si>
    <t xml:space="preserve">  Customer service and and information</t>
  </si>
  <si>
    <t xml:space="preserve">  Sales expense</t>
  </si>
  <si>
    <t xml:space="preserve">  Administrative and general expenses:</t>
  </si>
  <si>
    <t xml:space="preserve">  (a) Administrative and general</t>
  </si>
  <si>
    <t xml:space="preserve">  (b) Office supplies and expense</t>
  </si>
  <si>
    <t xml:space="preserve">  (c) Outside services employed</t>
  </si>
  <si>
    <t xml:space="preserve">  (d) Property insurance</t>
  </si>
  <si>
    <t xml:space="preserve">  (e) Injuries and damages</t>
  </si>
  <si>
    <t xml:space="preserve">  (f) Employees hospitalization and benefits</t>
  </si>
  <si>
    <t xml:space="preserve">  (g) Retirement and security</t>
  </si>
  <si>
    <t xml:space="preserve">  (h) Miscellaneous general</t>
  </si>
  <si>
    <t xml:space="preserve">  (i) Maintenance of general plant</t>
  </si>
  <si>
    <t>Total administrative and general</t>
  </si>
  <si>
    <t xml:space="preserve">  expenses L6(a) to L6(i)</t>
  </si>
  <si>
    <t>Charged to clearing and others</t>
  </si>
  <si>
    <t>Total salaries and wages charged to expense</t>
  </si>
  <si>
    <t xml:space="preserve">   and other L2 to L6 + L7 + L8</t>
  </si>
  <si>
    <t>Wages capitalized</t>
  </si>
  <si>
    <t>Total salaries and wages</t>
  </si>
  <si>
    <t>Ratio of salaries and wages charged</t>
  </si>
  <si>
    <t xml:space="preserve">  to expense to total wages L9 / L11</t>
  </si>
  <si>
    <t>Ratio of salaries and wages capitalized</t>
  </si>
  <si>
    <t xml:space="preserve">  to total wages  L10 / L11</t>
  </si>
  <si>
    <t>Overtime wages</t>
  </si>
  <si>
    <t>Payroll Taxes</t>
  </si>
  <si>
    <t>Proposed FICA amounts</t>
  </si>
  <si>
    <t xml:space="preserve">    FICA</t>
  </si>
  <si>
    <t xml:space="preserve">    Medicare</t>
  </si>
  <si>
    <t>Proposed FUTA</t>
  </si>
  <si>
    <t>Proposed SUTA</t>
  </si>
  <si>
    <t>Test year amount</t>
  </si>
  <si>
    <t xml:space="preserve">    FICA and Medicare</t>
  </si>
  <si>
    <t>Test year FUTA</t>
  </si>
  <si>
    <t>Test year SUTA</t>
  </si>
  <si>
    <t xml:space="preserve">  Increase</t>
  </si>
  <si>
    <t>Adjustment:</t>
  </si>
  <si>
    <t>107</t>
  </si>
  <si>
    <t>Capitalized</t>
  </si>
  <si>
    <t>163 - 416</t>
  </si>
  <si>
    <t>Clearing and others</t>
  </si>
  <si>
    <t>580</t>
  </si>
  <si>
    <t>590</t>
  </si>
  <si>
    <t>Mainteneance</t>
  </si>
  <si>
    <t>901</t>
  </si>
  <si>
    <t>Consumer accounts</t>
  </si>
  <si>
    <t>908</t>
  </si>
  <si>
    <t>Customer service</t>
  </si>
  <si>
    <t>912</t>
  </si>
  <si>
    <t>Sales</t>
  </si>
  <si>
    <t>920</t>
  </si>
  <si>
    <t>Administrative and general</t>
  </si>
  <si>
    <t>Retirement and Security</t>
  </si>
  <si>
    <t>participation in the National Rural Electric Cooperative Association (NRECA)</t>
  </si>
  <si>
    <t>fund pension costs accrued.  R &amp; S contributions are based on base salary at a</t>
  </si>
  <si>
    <t>Proposed adjustment</t>
  </si>
  <si>
    <t>The adjustment is allocated as follows:</t>
  </si>
  <si>
    <t>R &amp; S Retirement</t>
  </si>
  <si>
    <t>Union</t>
  </si>
  <si>
    <t>142.00</t>
  </si>
  <si>
    <t>Other accounts receivable</t>
  </si>
  <si>
    <t>585.00</t>
  </si>
  <si>
    <t>926.00</t>
  </si>
  <si>
    <t>Employee benefits</t>
  </si>
  <si>
    <t>Page  1  of  1</t>
  </si>
  <si>
    <t xml:space="preserve">    the labor distribution for the month.  The above is the actual allocation for</t>
  </si>
  <si>
    <t>Witness: Carol Fraley</t>
  </si>
  <si>
    <t>State unemployment (SUTA) wage rates are as follows:</t>
  </si>
  <si>
    <t>904.00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</si>
  <si>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</si>
  <si>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</si>
  <si>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</si>
  <si>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</si>
  <si>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</si>
  <si>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</si>
  <si>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</si>
  <si>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</si>
  <si>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</si>
  <si>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</si>
  <si>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</si>
  <si>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</si>
  <si>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Relaced employee #221 who transferred from mechanic to lineman.</t>
  </si>
  <si>
    <t>Replaced #206</t>
  </si>
  <si>
    <t>As a general rule, outside employees are union and inside employees are non-union.</t>
  </si>
  <si>
    <t>hired during the test year. Increases are granted each May 31st to union employees. Non</t>
  </si>
  <si>
    <t>union employees are granted wage increases on their anniversary date. Overtime pay is</t>
  </si>
  <si>
    <t>calculated at 1-1/2 times regular pay for hours worked in excess of 8 hours per day.</t>
  </si>
  <si>
    <t>Grayson has always hired summer and part time employees, and aniticpates this to</t>
  </si>
  <si>
    <t>Non-Union</t>
  </si>
  <si>
    <t>Cumberland Valley Electric</t>
  </si>
  <si>
    <t>401(k)</t>
  </si>
  <si>
    <t xml:space="preserve">  plus 0.22% sucharge</t>
  </si>
  <si>
    <t>Health Ins</t>
  </si>
  <si>
    <t>EKPC</t>
  </si>
  <si>
    <t>Life, Dis, etc</t>
  </si>
  <si>
    <t>R &amp; S</t>
  </si>
  <si>
    <t>Cumberland Valley provides pension benefits for all non-union employees through</t>
  </si>
  <si>
    <t>Retirement and Security (R &amp; S) Program.  It is the policy of Cumberland Valley to</t>
  </si>
  <si>
    <t>rate determined by NRECA.  Contribution rates are as follows:</t>
  </si>
  <si>
    <t>Employer rate</t>
  </si>
  <si>
    <t>Administration fee</t>
  </si>
  <si>
    <t>Actual Test Year</t>
  </si>
  <si>
    <t>Normalized</t>
  </si>
  <si>
    <t>R &amp; S contributions</t>
  </si>
  <si>
    <t xml:space="preserve">  401(k)</t>
  </si>
  <si>
    <t>Employer 401(k) contributions</t>
  </si>
  <si>
    <t>Customer installations</t>
  </si>
  <si>
    <t>Maintenance of meters</t>
  </si>
  <si>
    <t xml:space="preserve">  R &amp; S retirement</t>
  </si>
  <si>
    <t>CVE accumulates all benefits, then allocates these to accounts based on</t>
  </si>
  <si>
    <t>Federal unemployment rates are 0.60% for the first $7,000 of wages and state unemployment</t>
  </si>
  <si>
    <t xml:space="preserve">  plus 0.21% sucharge</t>
  </si>
  <si>
    <t>$117,000 in 2014 to $118,500 in 2015.</t>
  </si>
  <si>
    <t>The employer's portion of FICA and medicare rates remain the same for 2015 as they were</t>
  </si>
  <si>
    <t xml:space="preserve">for 2014.  The FICA rate is 6.2% and medicare is 1.45%.  The wage limit increased from </t>
  </si>
  <si>
    <t>rate is 1.05% for the first $10,200 of wages, plus a surcharge of 0.21% in 2015. The state</t>
  </si>
  <si>
    <t>Hourly</t>
  </si>
  <si>
    <t>Summer and Part Time</t>
  </si>
  <si>
    <t>Retirees</t>
  </si>
  <si>
    <t>increase</t>
  </si>
  <si>
    <t xml:space="preserve">    NRECA    </t>
  </si>
  <si>
    <t xml:space="preserve">    employees is $27,298.</t>
  </si>
  <si>
    <t xml:space="preserve">    the test year for the above benefits. The average employee cost for 49</t>
  </si>
  <si>
    <t xml:space="preserve">  Promotion</t>
  </si>
  <si>
    <t>For the calendar years 2012 through 2014</t>
  </si>
  <si>
    <t>Case No. 2016-00169</t>
  </si>
  <si>
    <t>Exhibit  5</t>
  </si>
  <si>
    <t>unemployment limit increased from $9,600 in 2014 to $10,200 in 2015.</t>
  </si>
  <si>
    <t>Exhibit  18</t>
  </si>
  <si>
    <t>Exhibit 1</t>
  </si>
  <si>
    <t xml:space="preserve">page   of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</si>
</sst>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3" formatCode="_(* #,##0.00_);_(* \(#,##0.00\);_(* &quot;-&quot;??_);_(@_)"/>
    <numFmt numFmtId="164" formatCode="0.000%"/>
    <numFmt numFmtId="165" formatCode="dd\-mmm\-yy_)"/>
    <numFmt numFmtId="166" formatCode="0.0%"/>
    <numFmt numFmtId="167" formatCode="#,##0.0_);\(#,##0.0\)"/>
    <numFmt numFmtId="168" formatCode="0_)"/>
    <numFmt numFmtId="169" formatCode="[$-409]mmmm\ d\,\ yyyy;@"/>
    <numFmt numFmtId="170" formatCode="0;\-0;0"/>
    <numFmt numFmtId="171" formatCode="&quot;$&quot;#,##0.00"/>
    <numFmt numFmtId="172" formatCode="m/d/yy;@"/>
  </numFmts>
  <fonts count="15" x14ac:knownFonts="1">
    <font>
      <sz val="12"/>
      <name val="Times New Roman"/>
    </font>
    <font>
      <sz val="10"/>
      <name val="Arial"/>
      <family val="2"/>
    </font>
    <font>
      <sz val="14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u val="doub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0" fillId="0" borderId="12" xfId="0" applyBorder="1" applyProtection="1"/>
    <xf numFmtId="5" fontId="0" fillId="0" borderId="0" xfId="0" applyNumberFormat="1" applyProtection="1"/>
    <xf numFmtId="10" fontId="0" fillId="0" borderId="0" xfId="0" applyNumberFormat="1" applyProtection="1"/>
    <xf numFmtId="165" fontId="0" fillId="0" borderId="0" xfId="0" applyNumberFormat="1" applyProtection="1"/>
    <xf numFmtId="0" fontId="3" fillId="0" borderId="0" xfId="0" applyFont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5" fontId="0" fillId="0" borderId="13" xfId="0" applyNumberFormat="1" applyBorder="1" applyAlignment="1" applyProtection="1">
      <alignment horizontal="center"/>
    </xf>
    <xf numFmtId="10" fontId="0" fillId="0" borderId="15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0" fontId="0" fillId="0" borderId="15" xfId="0" applyNumberFormat="1" applyBorder="1" applyProtection="1"/>
    <xf numFmtId="0" fontId="3" fillId="0" borderId="0" xfId="0" applyFont="1" applyAlignment="1" applyProtection="1">
      <alignment horizontal="centerContinuous"/>
    </xf>
    <xf numFmtId="37" fontId="0" fillId="0" borderId="0" xfId="0" applyNumberFormat="1" applyProtection="1"/>
    <xf numFmtId="39" fontId="0" fillId="0" borderId="0" xfId="0" applyNumberFormat="1" applyProtection="1"/>
    <xf numFmtId="166" fontId="0" fillId="0" borderId="0" xfId="0" applyNumberFormat="1" applyProtection="1"/>
    <xf numFmtId="0" fontId="6" fillId="0" borderId="0" xfId="0" applyFont="1" applyAlignment="1" applyProtection="1">
      <alignment horizontal="left"/>
    </xf>
    <xf numFmtId="166" fontId="0" fillId="0" borderId="0" xfId="0" applyNumberFormat="1" applyAlignment="1" applyProtection="1">
      <alignment horizontal="right"/>
    </xf>
    <xf numFmtId="0" fontId="4" fillId="0" borderId="0" xfId="0" applyFont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10" fontId="0" fillId="0" borderId="0" xfId="0" applyNumberFormat="1" applyAlignment="1" applyProtection="1">
      <alignment horizontal="right"/>
    </xf>
    <xf numFmtId="39" fontId="6" fillId="0" borderId="0" xfId="0" applyNumberFormat="1" applyFont="1" applyAlignment="1" applyProtection="1">
      <alignment horizontal="center"/>
    </xf>
    <xf numFmtId="167" fontId="0" fillId="0" borderId="0" xfId="0" applyNumberForma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right"/>
    </xf>
    <xf numFmtId="37" fontId="0" fillId="0" borderId="10" xfId="0" applyNumberFormat="1" applyBorder="1" applyProtection="1"/>
    <xf numFmtId="5" fontId="0" fillId="0" borderId="17" xfId="0" applyNumberFormat="1" applyBorder="1" applyProtection="1"/>
    <xf numFmtId="0" fontId="6" fillId="0" borderId="0" xfId="0" applyFont="1" applyProtection="1"/>
    <xf numFmtId="37" fontId="3" fillId="0" borderId="0" xfId="0" applyNumberFormat="1" applyFont="1" applyProtection="1"/>
    <xf numFmtId="166" fontId="3" fillId="0" borderId="0" xfId="0" applyNumberFormat="1" applyFont="1" applyProtection="1"/>
    <xf numFmtId="37" fontId="9" fillId="0" borderId="0" xfId="0" applyNumberFormat="1" applyFont="1" applyProtection="1"/>
    <xf numFmtId="166" fontId="9" fillId="0" borderId="0" xfId="0" applyNumberFormat="1" applyFont="1" applyProtection="1"/>
    <xf numFmtId="10" fontId="3" fillId="0" borderId="0" xfId="0" applyNumberFormat="1" applyFont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Continuous"/>
    </xf>
    <xf numFmtId="0" fontId="0" fillId="0" borderId="21" xfId="0" applyBorder="1" applyAlignment="1" applyProtection="1">
      <alignment horizontal="centerContinuous"/>
    </xf>
    <xf numFmtId="0" fontId="0" fillId="0" borderId="18" xfId="0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</xf>
    <xf numFmtId="0" fontId="0" fillId="0" borderId="23" xfId="0" applyBorder="1" applyAlignment="1" applyProtection="1">
      <alignment horizontal="centerContinuous"/>
    </xf>
    <xf numFmtId="0" fontId="0" fillId="0" borderId="24" xfId="0" applyBorder="1" applyAlignment="1" applyProtection="1">
      <alignment horizontal="centerContinuous"/>
    </xf>
    <xf numFmtId="0" fontId="0" fillId="0" borderId="10" xfId="0" applyBorder="1" applyProtection="1"/>
    <xf numFmtId="168" fontId="8" fillId="0" borderId="0" xfId="0" applyNumberFormat="1" applyFont="1" applyAlignment="1" applyProtection="1">
      <alignment horizontal="center"/>
    </xf>
    <xf numFmtId="9" fontId="0" fillId="0" borderId="0" xfId="0" applyNumberFormat="1" applyProtection="1"/>
    <xf numFmtId="37" fontId="0" fillId="0" borderId="17" xfId="0" applyNumberFormat="1" applyBorder="1" applyProtection="1"/>
    <xf numFmtId="10" fontId="0" fillId="0" borderId="10" xfId="0" applyNumberFormat="1" applyBorder="1" applyProtection="1"/>
    <xf numFmtId="10" fontId="0" fillId="0" borderId="17" xfId="0" applyNumberFormat="1" applyBorder="1" applyProtection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2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0" fontId="0" fillId="0" borderId="0" xfId="0" applyNumberFormat="1"/>
    <xf numFmtId="37" fontId="0" fillId="0" borderId="0" xfId="0" applyNumberFormat="1"/>
    <xf numFmtId="37" fontId="0" fillId="0" borderId="0" xfId="0" applyNumberFormat="1" applyBorder="1"/>
    <xf numFmtId="0" fontId="0" fillId="0" borderId="0" xfId="0" quotePrefix="1" applyProtection="1"/>
    <xf numFmtId="39" fontId="0" fillId="0" borderId="0" xfId="0" applyNumberFormat="1"/>
    <xf numFmtId="169" fontId="0" fillId="0" borderId="0" xfId="0" applyNumberFormat="1" applyAlignment="1" applyProtection="1">
      <alignment horizontal="centerContinuous"/>
    </xf>
    <xf numFmtId="14" fontId="0" fillId="0" borderId="0" xfId="0" applyNumberFormat="1" applyAlignment="1" applyProtection="1">
      <alignment horizontal="center"/>
    </xf>
    <xf numFmtId="169" fontId="2" fillId="0" borderId="0" xfId="0" applyNumberFormat="1" applyFont="1" applyAlignment="1" applyProtection="1">
      <alignment horizontal="centerContinuous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/>
    <xf numFmtId="39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Protection="1"/>
    <xf numFmtId="0" fontId="0" fillId="0" borderId="0" xfId="0" applyAlignment="1" applyProtection="1"/>
    <xf numFmtId="9" fontId="0" fillId="0" borderId="0" xfId="0" applyNumberFormat="1"/>
    <xf numFmtId="4" fontId="0" fillId="0" borderId="0" xfId="0" applyNumberFormat="1" applyAlignment="1" applyProtection="1">
      <alignment horizontal="left"/>
    </xf>
    <xf numFmtId="4" fontId="0" fillId="0" borderId="0" xfId="0" quotePrefix="1" applyNumberFormat="1" applyAlignment="1" applyProtection="1">
      <alignment horizontal="left"/>
    </xf>
    <xf numFmtId="0" fontId="4" fillId="0" borderId="0" xfId="0" applyFont="1"/>
    <xf numFmtId="0" fontId="0" fillId="0" borderId="0" xfId="0" applyFont="1" applyAlignment="1">
      <alignment horizontal="center"/>
    </xf>
    <xf numFmtId="38" fontId="0" fillId="0" borderId="0" xfId="0" applyNumberFormat="1"/>
    <xf numFmtId="0" fontId="0" fillId="0" borderId="0" xfId="0" applyFont="1" applyProtection="1"/>
    <xf numFmtId="166" fontId="0" fillId="0" borderId="0" xfId="0" applyNumberFormat="1"/>
    <xf numFmtId="43" fontId="0" fillId="0" borderId="0" xfId="1" applyFont="1" applyProtection="1"/>
    <xf numFmtId="0" fontId="4" fillId="0" borderId="0" xfId="0" applyFont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Border="1" applyAlignment="1">
      <alignment horizontal="center"/>
    </xf>
    <xf numFmtId="170" fontId="4" fillId="0" borderId="0" xfId="0" applyNumberFormat="1" applyFont="1" applyFill="1" applyBorder="1" applyAlignment="1" applyProtection="1">
      <alignment horizontal="center" vertical="top"/>
    </xf>
    <xf numFmtId="171" fontId="0" fillId="0" borderId="0" xfId="0" applyNumberFormat="1" applyBorder="1" applyAlignment="1">
      <alignment horizontal="center"/>
    </xf>
    <xf numFmtId="172" fontId="5" fillId="0" borderId="0" xfId="0" applyNumberFormat="1" applyFont="1" applyAlignment="1" applyProtection="1">
      <alignment horizontal="center"/>
    </xf>
    <xf numFmtId="172" fontId="3" fillId="0" borderId="0" xfId="0" applyNumberFormat="1" applyFont="1" applyAlignment="1" applyProtection="1">
      <alignment horizontal="center"/>
    </xf>
    <xf numFmtId="171" fontId="0" fillId="0" borderId="0" xfId="0" applyNumberFormat="1" applyBorder="1" applyAlignment="1">
      <alignment horizontal="right"/>
    </xf>
    <xf numFmtId="39" fontId="0" fillId="0" borderId="0" xfId="0" applyNumberFormat="1" applyAlignment="1" applyProtection="1">
      <alignment horizontal="right"/>
    </xf>
    <xf numFmtId="37" fontId="0" fillId="0" borderId="0" xfId="0" applyNumberFormat="1" applyAlignment="1" applyProtection="1">
      <alignment horizontal="right"/>
    </xf>
    <xf numFmtId="39" fontId="4" fillId="0" borderId="0" xfId="0" applyNumberFormat="1" applyFont="1" applyProtection="1"/>
    <xf numFmtId="0" fontId="3" fillId="0" borderId="0" xfId="0" applyFont="1" applyAlignment="1">
      <alignment horizontal="center"/>
    </xf>
    <xf numFmtId="0" fontId="12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12" fillId="0" borderId="0" xfId="0" applyFont="1" applyAlignment="1" applyProtection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quotePrefix="1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G90"/>
  <sheetViews>
    <sheetView defaultGridColor="0" colorId="22" zoomScale="95" workbookViewId="0">
      <selection activeCell="B77" sqref="B77"/>
    </sheetView>
  </sheetViews>
  <sheetFormatPr defaultColWidth="9.625" defaultRowHeight="15.75" x14ac:dyDescent="0.25"/>
  <cols>
    <col min="1" max="1" width="3.625" style="87" customWidth="1"/>
    <col min="2" max="2" width="7.625" customWidth="1"/>
    <col min="3" max="3" width="11.625" customWidth="1"/>
    <col min="4" max="4" width="9.625" customWidth="1"/>
    <col min="5" max="5" width="10.625" customWidth="1"/>
    <col min="6" max="6" width="9.625" customWidth="1"/>
    <col min="7" max="8" width="8.625" customWidth="1"/>
    <col min="9" max="9" width="9.625" customWidth="1"/>
    <col min="10" max="10" width="10.625" customWidth="1"/>
    <col min="11" max="11" width="9.625" customWidth="1"/>
    <col min="12" max="12" width="8.625" customWidth="1"/>
    <col min="13" max="13" width="11.625" customWidth="1"/>
    <col min="14" max="14" width="10.625" customWidth="1"/>
    <col min="15" max="15" width="9.625" customWidth="1"/>
    <col min="16" max="16" width="10.625" customWidth="1"/>
    <col min="17" max="17" width="9.625" customWidth="1"/>
    <col min="18" max="18" width="10.625" customWidth="1"/>
    <col min="19" max="19" width="9.625" customWidth="1"/>
    <col min="20" max="20" width="10.625" customWidth="1"/>
    <col min="21" max="21" width="9.625" customWidth="1"/>
    <col min="22" max="22" width="10.625" customWidth="1"/>
    <col min="23" max="24" width="9.875" customWidth="1"/>
    <col min="25" max="27" width="9.625" customWidth="1"/>
    <col min="28" max="28" width="16.625" customWidth="1"/>
    <col min="29" max="29" width="9.625" customWidth="1"/>
  </cols>
  <sheetData>
    <row r="1" spans="1:33" ht="15.95" customHeight="1" x14ac:dyDescent="0.3">
      <c r="B1" s="88" t="s">
        <v>224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15"/>
      <c r="N1" s="88"/>
      <c r="O1" s="88"/>
      <c r="P1" s="88"/>
      <c r="Q1" s="88"/>
      <c r="R1" s="88"/>
      <c r="S1" s="88"/>
      <c r="T1" s="3"/>
      <c r="V1" s="1"/>
      <c r="W1" s="1"/>
      <c r="X1" s="3"/>
      <c r="Y1" s="3"/>
      <c r="Z1" s="3"/>
      <c r="AB1" s="101" t="s">
        <v>264</v>
      </c>
      <c r="AG1" s="101" t="s">
        <v>261</v>
      </c>
    </row>
    <row r="2" spans="1:33" ht="15.95" customHeight="1" x14ac:dyDescent="0.3">
      <c r="B2" s="88" t="s">
        <v>260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115"/>
      <c r="N2" s="88"/>
      <c r="O2" s="88"/>
      <c r="P2" s="88"/>
      <c r="Q2" s="88"/>
      <c r="R2" s="88"/>
      <c r="S2" s="88"/>
      <c r="T2" s="3"/>
      <c r="V2" s="1"/>
      <c r="W2" s="1"/>
      <c r="X2" s="3"/>
      <c r="Y2" s="3"/>
      <c r="Z2" s="3"/>
      <c r="AB2" s="101" t="s">
        <v>265</v>
      </c>
      <c r="AG2" s="4" t="s">
        <v>2</v>
      </c>
    </row>
    <row r="3" spans="1:33" ht="15.95" customHeight="1" x14ac:dyDescent="0.25"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15"/>
      <c r="N3" s="91"/>
      <c r="O3" s="91"/>
      <c r="P3" s="91"/>
      <c r="Q3" s="91"/>
      <c r="R3" s="91"/>
      <c r="S3" s="91"/>
      <c r="T3" s="3"/>
      <c r="V3" s="1"/>
      <c r="W3" s="1"/>
      <c r="X3" s="3"/>
      <c r="Y3" s="3"/>
      <c r="Z3" s="3"/>
      <c r="AB3" s="101" t="s">
        <v>107</v>
      </c>
      <c r="AG3" s="101" t="s">
        <v>107</v>
      </c>
    </row>
    <row r="4" spans="1:33" ht="15.95" customHeight="1" x14ac:dyDescent="0.25">
      <c r="B4" s="118">
        <v>42338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3"/>
      <c r="Y4" s="3"/>
      <c r="Z4" s="3"/>
      <c r="AA4" s="3"/>
    </row>
    <row r="5" spans="1:33" ht="9.9499999999999993" customHeight="1" thickBot="1" x14ac:dyDescent="0.3">
      <c r="B5" s="5"/>
    </row>
    <row r="6" spans="1:33" ht="18.95" customHeight="1" thickTop="1" thickBot="1" x14ac:dyDescent="0.3">
      <c r="B6" s="5"/>
      <c r="C6" s="1"/>
      <c r="D6" s="1"/>
      <c r="E6" s="1"/>
      <c r="F6" s="6" t="s">
        <v>4</v>
      </c>
      <c r="G6" s="7"/>
      <c r="H6" s="7"/>
      <c r="I6" s="8"/>
      <c r="J6" s="9" t="s">
        <v>5</v>
      </c>
      <c r="K6" s="10" t="s">
        <v>6</v>
      </c>
      <c r="L6" s="11"/>
      <c r="M6" s="12"/>
      <c r="N6" s="6" t="s">
        <v>7</v>
      </c>
      <c r="O6" s="8"/>
      <c r="P6" s="6" t="s">
        <v>8</v>
      </c>
      <c r="Q6" s="8"/>
      <c r="R6" s="6" t="s">
        <v>9</v>
      </c>
      <c r="S6" s="8"/>
      <c r="T6" s="6" t="s">
        <v>10</v>
      </c>
      <c r="U6" s="8"/>
      <c r="V6" s="12" t="s">
        <v>11</v>
      </c>
      <c r="W6" s="9" t="s">
        <v>5</v>
      </c>
      <c r="X6" s="9" t="s">
        <v>5</v>
      </c>
      <c r="Y6" s="4" t="s">
        <v>12</v>
      </c>
      <c r="Z6" s="9" t="s">
        <v>5</v>
      </c>
      <c r="AA6" s="4" t="s">
        <v>12</v>
      </c>
    </row>
    <row r="7" spans="1:33" ht="18.95" customHeight="1" thickTop="1" x14ac:dyDescent="0.25">
      <c r="B7" s="9" t="s">
        <v>13</v>
      </c>
      <c r="C7" s="6" t="s">
        <v>14</v>
      </c>
      <c r="D7" s="7"/>
      <c r="E7" s="8"/>
      <c r="F7" s="1"/>
      <c r="G7" s="13"/>
      <c r="H7" s="13"/>
      <c r="I7" s="15"/>
      <c r="J7" s="9" t="s">
        <v>15</v>
      </c>
      <c r="K7" s="16" t="s">
        <v>16</v>
      </c>
      <c r="L7" s="17"/>
      <c r="M7" s="18"/>
      <c r="N7" s="75" t="s">
        <v>17</v>
      </c>
      <c r="O7" s="113" t="s">
        <v>18</v>
      </c>
      <c r="P7" s="19"/>
      <c r="Q7" s="15"/>
      <c r="R7" s="75" t="s">
        <v>19</v>
      </c>
      <c r="S7" s="15"/>
      <c r="T7" s="75" t="s">
        <v>19</v>
      </c>
      <c r="U7" s="15"/>
      <c r="V7" s="27" t="s">
        <v>20</v>
      </c>
      <c r="W7" s="9" t="s">
        <v>15</v>
      </c>
      <c r="X7" s="9" t="s">
        <v>15</v>
      </c>
      <c r="Y7" s="9" t="s">
        <v>21</v>
      </c>
      <c r="Z7" s="9" t="s">
        <v>15</v>
      </c>
      <c r="AA7" s="9" t="s">
        <v>21</v>
      </c>
      <c r="AB7" s="3" t="s">
        <v>12</v>
      </c>
      <c r="AD7" s="116" t="s">
        <v>192</v>
      </c>
      <c r="AE7" s="116"/>
      <c r="AF7" s="117" t="s">
        <v>225</v>
      </c>
      <c r="AG7" s="117"/>
    </row>
    <row r="8" spans="1:33" ht="18.95" customHeight="1" thickBot="1" x14ac:dyDescent="0.3">
      <c r="B8" s="30" t="s">
        <v>22</v>
      </c>
      <c r="C8" s="24" t="s">
        <v>23</v>
      </c>
      <c r="D8" s="25" t="s">
        <v>24</v>
      </c>
      <c r="E8" s="26" t="s">
        <v>25</v>
      </c>
      <c r="F8" s="24" t="s">
        <v>23</v>
      </c>
      <c r="G8" s="28" t="s">
        <v>24</v>
      </c>
      <c r="H8" s="29" t="s">
        <v>26</v>
      </c>
      <c r="I8" s="26" t="s">
        <v>25</v>
      </c>
      <c r="J8" s="107">
        <v>42248</v>
      </c>
      <c r="K8" s="24" t="s">
        <v>23</v>
      </c>
      <c r="L8" s="25" t="s">
        <v>24</v>
      </c>
      <c r="M8" s="26" t="s">
        <v>25</v>
      </c>
      <c r="N8" s="31">
        <v>118500</v>
      </c>
      <c r="O8" s="32">
        <v>6.2E-2</v>
      </c>
      <c r="P8" s="24" t="s">
        <v>27</v>
      </c>
      <c r="Q8" s="32">
        <v>1.4500000000000001E-2</v>
      </c>
      <c r="R8" s="31">
        <v>7000</v>
      </c>
      <c r="S8" s="32">
        <v>6.0000000000000001E-3</v>
      </c>
      <c r="T8" s="31">
        <v>10200</v>
      </c>
      <c r="U8" s="33">
        <f>0.0105+0.0021</f>
        <v>1.26E-2</v>
      </c>
      <c r="V8" s="34"/>
      <c r="W8" s="106">
        <v>41518</v>
      </c>
      <c r="X8" s="106">
        <v>41883</v>
      </c>
      <c r="Y8" s="30" t="s">
        <v>28</v>
      </c>
      <c r="Z8" s="107">
        <v>42248</v>
      </c>
      <c r="AA8" s="30" t="s">
        <v>28</v>
      </c>
      <c r="AB8" s="35" t="s">
        <v>29</v>
      </c>
      <c r="AD8" s="72" t="s">
        <v>15</v>
      </c>
      <c r="AE8" s="72" t="s">
        <v>118</v>
      </c>
      <c r="AF8" s="72" t="s">
        <v>15</v>
      </c>
      <c r="AG8" s="72" t="s">
        <v>118</v>
      </c>
    </row>
    <row r="9" spans="1:33" ht="15.95" customHeight="1" thickTop="1" x14ac:dyDescent="0.25">
      <c r="B9" s="5"/>
    </row>
    <row r="10" spans="1:33" ht="15.95" customHeight="1" x14ac:dyDescent="0.25">
      <c r="B10" s="39" t="s">
        <v>130</v>
      </c>
      <c r="C10" s="36"/>
      <c r="D10" s="36"/>
      <c r="E10" s="36"/>
      <c r="F10" s="1"/>
      <c r="G10" s="1"/>
      <c r="H10" s="1"/>
      <c r="I10" s="1"/>
      <c r="J10" s="1"/>
      <c r="K10" s="1"/>
      <c r="L10" s="1"/>
      <c r="M10" s="1"/>
      <c r="N10" s="20"/>
      <c r="O10" s="1"/>
      <c r="P10" s="21"/>
      <c r="Q10" s="1"/>
      <c r="R10" s="21"/>
      <c r="S10" s="1"/>
      <c r="T10" s="1"/>
      <c r="U10" s="1"/>
      <c r="V10" s="1"/>
      <c r="W10" s="37"/>
      <c r="X10" s="1"/>
      <c r="Y10" s="38"/>
      <c r="Z10" s="1"/>
      <c r="AA10" s="38"/>
    </row>
    <row r="11" spans="1:33" ht="15.95" customHeight="1" x14ac:dyDescent="0.25">
      <c r="A11" s="87">
        <v>1</v>
      </c>
      <c r="B11" s="103">
        <v>1</v>
      </c>
      <c r="C11" s="89">
        <v>2088</v>
      </c>
      <c r="D11" s="89"/>
      <c r="E11" s="37">
        <f t="shared" ref="E11:E16" si="0">SUM(C11:D11)</f>
        <v>2088</v>
      </c>
      <c r="F11" s="102">
        <v>85144</v>
      </c>
      <c r="G11" s="102"/>
      <c r="H11" s="36">
        <v>200</v>
      </c>
      <c r="I11" s="36">
        <f t="shared" ref="I11:I16" si="1">SUM(F11:H11)</f>
        <v>85344</v>
      </c>
      <c r="J11" s="105">
        <v>42</v>
      </c>
      <c r="K11" s="36">
        <f t="shared" ref="K11:K16" si="2">IF(C11=2080,(J11*C11),2080*J11)</f>
        <v>87360</v>
      </c>
      <c r="L11" s="36"/>
      <c r="M11" s="36">
        <f t="shared" ref="M11:M16" si="3">SUM(K11:L11)</f>
        <v>87360</v>
      </c>
      <c r="N11" s="36">
        <f t="shared" ref="N11:N16" si="4">IF(M11&lt;$N$8,0+M11,+$N$8)</f>
        <v>87360</v>
      </c>
      <c r="O11" s="36">
        <f t="shared" ref="O11:O16" si="5">(N11*$O$8)</f>
        <v>5416.32</v>
      </c>
      <c r="P11" s="36">
        <f t="shared" ref="P11:P16" si="6">M11</f>
        <v>87360</v>
      </c>
      <c r="Q11" s="36">
        <f t="shared" ref="Q11:Q16" si="7">(P11*$Q$8)</f>
        <v>1266.72</v>
      </c>
      <c r="R11" s="36">
        <f t="shared" ref="R11:R16" si="8">IF($N11&lt;$R$8,+N11,+$R$8)</f>
        <v>7000</v>
      </c>
      <c r="S11" s="36">
        <f t="shared" ref="S11:S16" si="9">(R11*$S$8)</f>
        <v>42</v>
      </c>
      <c r="T11" s="36">
        <f t="shared" ref="T11:T16" si="10">IF($N11&lt;$T$8,+N11,+$T$8)</f>
        <v>10200</v>
      </c>
      <c r="U11" s="36">
        <f t="shared" ref="U11:U16" si="11">(T11*$U$8)</f>
        <v>128.52000000000001</v>
      </c>
      <c r="V11" s="22">
        <f>DATE(2003,7,7)</f>
        <v>37809</v>
      </c>
      <c r="W11" s="108">
        <v>39.21</v>
      </c>
      <c r="X11" s="108">
        <v>40.58</v>
      </c>
      <c r="Y11" s="40">
        <f t="shared" ref="Y11:Y16" si="12">(+X11-W11)/W11</f>
        <v>3.4940066309614826E-2</v>
      </c>
      <c r="Z11" s="108">
        <v>42</v>
      </c>
      <c r="AA11" s="40">
        <f t="shared" ref="AA11:AA16" si="13">(+Z11-X11)/X11</f>
        <v>3.4992607195662932E-2</v>
      </c>
      <c r="AB11" s="37"/>
      <c r="AD11" s="79">
        <f>0.2911+0.0111</f>
        <v>0.30220000000000002</v>
      </c>
      <c r="AE11" s="80">
        <f t="shared" ref="AE11:AE21" si="14">IF(+AD11=0," ",+K11*AD11)</f>
        <v>26400.192000000003</v>
      </c>
      <c r="AF11" s="92">
        <f t="shared" ref="AF11:AF16" si="15">IF(+AD11=0,0.1,0.05)</f>
        <v>0.05</v>
      </c>
      <c r="AG11" s="80">
        <f t="shared" ref="AG11:AG21" si="16">+AF11*K11</f>
        <v>4368</v>
      </c>
    </row>
    <row r="12" spans="1:33" ht="15.95" customHeight="1" x14ac:dyDescent="0.25">
      <c r="A12" s="87">
        <v>1</v>
      </c>
      <c r="B12" s="103">
        <v>2</v>
      </c>
      <c r="C12" s="89">
        <v>2088</v>
      </c>
      <c r="D12" s="89"/>
      <c r="E12" s="37">
        <f t="shared" si="0"/>
        <v>2088</v>
      </c>
      <c r="F12" s="102">
        <v>79896</v>
      </c>
      <c r="G12" s="102"/>
      <c r="H12" s="36">
        <v>200</v>
      </c>
      <c r="I12" s="36">
        <f t="shared" si="1"/>
        <v>80096</v>
      </c>
      <c r="J12" s="105">
        <v>39.409999999999997</v>
      </c>
      <c r="K12" s="36">
        <f t="shared" si="2"/>
        <v>81972.799999999988</v>
      </c>
      <c r="L12" s="36"/>
      <c r="M12" s="36">
        <f t="shared" si="3"/>
        <v>81972.799999999988</v>
      </c>
      <c r="N12" s="36">
        <f t="shared" si="4"/>
        <v>81972.799999999988</v>
      </c>
      <c r="O12" s="36">
        <f t="shared" si="5"/>
        <v>5082.3135999999995</v>
      </c>
      <c r="P12" s="36">
        <f t="shared" si="6"/>
        <v>81972.799999999988</v>
      </c>
      <c r="Q12" s="36">
        <f t="shared" si="7"/>
        <v>1188.6055999999999</v>
      </c>
      <c r="R12" s="36">
        <f t="shared" si="8"/>
        <v>7000</v>
      </c>
      <c r="S12" s="36">
        <f t="shared" si="9"/>
        <v>42</v>
      </c>
      <c r="T12" s="36">
        <f t="shared" si="10"/>
        <v>10200</v>
      </c>
      <c r="U12" s="36">
        <f t="shared" si="11"/>
        <v>128.52000000000001</v>
      </c>
      <c r="V12" s="22">
        <f>DATE(2004,7,28)</f>
        <v>38196</v>
      </c>
      <c r="W12" s="108">
        <v>36.79</v>
      </c>
      <c r="X12" s="108">
        <v>38.08</v>
      </c>
      <c r="Y12" s="40">
        <f t="shared" si="12"/>
        <v>3.5063876053275322E-2</v>
      </c>
      <c r="Z12" s="108">
        <v>39.409999999999997</v>
      </c>
      <c r="AA12" s="40">
        <f t="shared" si="13"/>
        <v>3.4926470588235253E-2</v>
      </c>
      <c r="AB12" s="37"/>
      <c r="AD12" s="79">
        <f>+AD11</f>
        <v>0.30220000000000002</v>
      </c>
      <c r="AE12" s="80">
        <f t="shared" si="14"/>
        <v>24772.18016</v>
      </c>
      <c r="AF12" s="92">
        <f t="shared" si="15"/>
        <v>0.05</v>
      </c>
      <c r="AG12" s="80">
        <f t="shared" si="16"/>
        <v>4098.6399999999994</v>
      </c>
    </row>
    <row r="13" spans="1:33" ht="15.95" customHeight="1" x14ac:dyDescent="0.25">
      <c r="A13" s="87">
        <v>1</v>
      </c>
      <c r="B13" s="103">
        <v>3</v>
      </c>
      <c r="C13" s="89">
        <v>2088</v>
      </c>
      <c r="D13" s="89"/>
      <c r="E13" s="37">
        <f t="shared" si="0"/>
        <v>2088</v>
      </c>
      <c r="F13" s="102">
        <v>181265</v>
      </c>
      <c r="G13" s="102"/>
      <c r="H13" s="36">
        <v>200</v>
      </c>
      <c r="I13" s="36">
        <f t="shared" si="1"/>
        <v>181465</v>
      </c>
      <c r="J13" s="105">
        <v>88.77</v>
      </c>
      <c r="K13" s="36">
        <f t="shared" si="2"/>
        <v>184641.6</v>
      </c>
      <c r="L13" s="36"/>
      <c r="M13" s="36">
        <f t="shared" si="3"/>
        <v>184641.6</v>
      </c>
      <c r="N13" s="36">
        <f t="shared" si="4"/>
        <v>118500</v>
      </c>
      <c r="O13" s="36">
        <f t="shared" si="5"/>
        <v>7347</v>
      </c>
      <c r="P13" s="36">
        <f t="shared" si="6"/>
        <v>184641.6</v>
      </c>
      <c r="Q13" s="36">
        <f t="shared" si="7"/>
        <v>2677.3032000000003</v>
      </c>
      <c r="R13" s="36">
        <f t="shared" si="8"/>
        <v>7000</v>
      </c>
      <c r="S13" s="36">
        <f t="shared" si="9"/>
        <v>42</v>
      </c>
      <c r="T13" s="36">
        <f t="shared" si="10"/>
        <v>10200</v>
      </c>
      <c r="U13" s="36">
        <f t="shared" si="11"/>
        <v>128.52000000000001</v>
      </c>
      <c r="V13" s="22">
        <f>DATE(1977,4,12)</f>
        <v>28227</v>
      </c>
      <c r="W13" s="108">
        <v>83.68</v>
      </c>
      <c r="X13" s="108">
        <v>86.61</v>
      </c>
      <c r="Y13" s="40">
        <f t="shared" si="12"/>
        <v>3.5014340344168171E-2</v>
      </c>
      <c r="Z13" s="108">
        <v>88.77</v>
      </c>
      <c r="AA13" s="40">
        <f t="shared" si="13"/>
        <v>2.4939383443020397E-2</v>
      </c>
      <c r="AB13" s="37"/>
      <c r="AD13" s="79">
        <f t="shared" ref="AD13:AD21" si="17">+AD12</f>
        <v>0.30220000000000002</v>
      </c>
      <c r="AE13" s="80">
        <f t="shared" si="14"/>
        <v>55798.691520000008</v>
      </c>
      <c r="AF13" s="92">
        <f t="shared" si="15"/>
        <v>0.05</v>
      </c>
      <c r="AG13" s="80">
        <f t="shared" si="16"/>
        <v>9232.08</v>
      </c>
    </row>
    <row r="14" spans="1:33" ht="15.95" customHeight="1" x14ac:dyDescent="0.25">
      <c r="A14" s="87">
        <v>1</v>
      </c>
      <c r="B14" s="103">
        <v>4</v>
      </c>
      <c r="C14" s="89">
        <v>2122</v>
      </c>
      <c r="D14" s="89"/>
      <c r="E14" s="37">
        <f t="shared" si="0"/>
        <v>2122</v>
      </c>
      <c r="F14" s="102">
        <v>101181</v>
      </c>
      <c r="G14" s="102"/>
      <c r="H14" s="36">
        <v>200</v>
      </c>
      <c r="I14" s="36">
        <f t="shared" si="1"/>
        <v>101381</v>
      </c>
      <c r="J14" s="105">
        <v>49.91</v>
      </c>
      <c r="K14" s="36">
        <f t="shared" si="2"/>
        <v>103812.79999999999</v>
      </c>
      <c r="L14" s="36"/>
      <c r="M14" s="36">
        <f t="shared" si="3"/>
        <v>103812.79999999999</v>
      </c>
      <c r="N14" s="36">
        <f t="shared" si="4"/>
        <v>103812.79999999999</v>
      </c>
      <c r="O14" s="36">
        <f t="shared" si="5"/>
        <v>6436.3935999999994</v>
      </c>
      <c r="P14" s="36">
        <f t="shared" si="6"/>
        <v>103812.79999999999</v>
      </c>
      <c r="Q14" s="36">
        <f t="shared" si="7"/>
        <v>1505.2855999999999</v>
      </c>
      <c r="R14" s="36">
        <f t="shared" si="8"/>
        <v>7000</v>
      </c>
      <c r="S14" s="36">
        <f t="shared" si="9"/>
        <v>42</v>
      </c>
      <c r="T14" s="36">
        <f t="shared" si="10"/>
        <v>10200</v>
      </c>
      <c r="U14" s="36">
        <f t="shared" si="11"/>
        <v>128.52000000000001</v>
      </c>
      <c r="V14" s="22">
        <f>DATE(2004,7,28)</f>
        <v>38196</v>
      </c>
      <c r="W14" s="108">
        <v>46.59</v>
      </c>
      <c r="X14" s="108">
        <v>48.22</v>
      </c>
      <c r="Y14" s="40">
        <f t="shared" si="12"/>
        <v>3.4986048508263479E-2</v>
      </c>
      <c r="Z14" s="108">
        <v>49.91</v>
      </c>
      <c r="AA14" s="40">
        <f t="shared" si="13"/>
        <v>3.5047698050601366E-2</v>
      </c>
      <c r="AB14" s="37"/>
      <c r="AD14" s="79">
        <f t="shared" si="17"/>
        <v>0.30220000000000002</v>
      </c>
      <c r="AE14" s="80">
        <f t="shared" si="14"/>
        <v>31372.228159999999</v>
      </c>
      <c r="AF14" s="92">
        <f t="shared" si="15"/>
        <v>0.05</v>
      </c>
      <c r="AG14" s="80">
        <f t="shared" si="16"/>
        <v>5190.6399999999994</v>
      </c>
    </row>
    <row r="15" spans="1:33" ht="15.95" customHeight="1" x14ac:dyDescent="0.25">
      <c r="A15" s="87">
        <v>1</v>
      </c>
      <c r="B15" s="103">
        <v>5</v>
      </c>
      <c r="C15" s="89">
        <v>2088</v>
      </c>
      <c r="D15" s="89"/>
      <c r="E15" s="37">
        <f t="shared" si="0"/>
        <v>2088</v>
      </c>
      <c r="F15" s="102">
        <v>105325</v>
      </c>
      <c r="G15" s="102"/>
      <c r="H15" s="36">
        <v>200</v>
      </c>
      <c r="I15" s="36">
        <f t="shared" si="1"/>
        <v>105525</v>
      </c>
      <c r="J15" s="105">
        <v>51.95</v>
      </c>
      <c r="K15" s="36">
        <f t="shared" si="2"/>
        <v>108056</v>
      </c>
      <c r="L15" s="36"/>
      <c r="M15" s="36">
        <f t="shared" si="3"/>
        <v>108056</v>
      </c>
      <c r="N15" s="36">
        <f t="shared" si="4"/>
        <v>108056</v>
      </c>
      <c r="O15" s="36">
        <f t="shared" si="5"/>
        <v>6699.4719999999998</v>
      </c>
      <c r="P15" s="36">
        <f t="shared" si="6"/>
        <v>108056</v>
      </c>
      <c r="Q15" s="36">
        <f t="shared" si="7"/>
        <v>1566.8120000000001</v>
      </c>
      <c r="R15" s="36">
        <f t="shared" si="8"/>
        <v>7000</v>
      </c>
      <c r="S15" s="36">
        <f t="shared" si="9"/>
        <v>42</v>
      </c>
      <c r="T15" s="36">
        <f t="shared" si="10"/>
        <v>10200</v>
      </c>
      <c r="U15" s="36">
        <f t="shared" si="11"/>
        <v>128.52000000000001</v>
      </c>
      <c r="V15" s="22">
        <f>DATE(2004,7,28)</f>
        <v>38196</v>
      </c>
      <c r="W15" s="108">
        <v>48.5</v>
      </c>
      <c r="X15" s="108">
        <v>50.2</v>
      </c>
      <c r="Y15" s="40">
        <f t="shared" si="12"/>
        <v>3.5051546391752633E-2</v>
      </c>
      <c r="Z15" s="108">
        <v>51.95</v>
      </c>
      <c r="AA15" s="40">
        <f t="shared" si="13"/>
        <v>3.48605577689243E-2</v>
      </c>
      <c r="AB15" s="37"/>
      <c r="AD15" s="79">
        <f t="shared" si="17"/>
        <v>0.30220000000000002</v>
      </c>
      <c r="AE15" s="80">
        <f t="shared" si="14"/>
        <v>32654.523200000003</v>
      </c>
      <c r="AF15" s="92">
        <f t="shared" si="15"/>
        <v>0.05</v>
      </c>
      <c r="AG15" s="80">
        <f t="shared" si="16"/>
        <v>5402.8</v>
      </c>
    </row>
    <row r="16" spans="1:33" ht="15.95" customHeight="1" x14ac:dyDescent="0.25">
      <c r="A16" s="87">
        <v>1</v>
      </c>
      <c r="B16" s="103">
        <v>6</v>
      </c>
      <c r="C16" s="89">
        <v>2081</v>
      </c>
      <c r="D16" s="89"/>
      <c r="E16" s="37">
        <f t="shared" si="0"/>
        <v>2081</v>
      </c>
      <c r="F16" s="102">
        <v>94579</v>
      </c>
      <c r="G16" s="102"/>
      <c r="H16" s="36">
        <v>200</v>
      </c>
      <c r="I16" s="36">
        <f t="shared" si="1"/>
        <v>94779</v>
      </c>
      <c r="J16" s="105">
        <v>46.65</v>
      </c>
      <c r="K16" s="36">
        <f t="shared" si="2"/>
        <v>97032</v>
      </c>
      <c r="L16" s="36"/>
      <c r="M16" s="36">
        <f t="shared" si="3"/>
        <v>97032</v>
      </c>
      <c r="N16" s="36">
        <f t="shared" si="4"/>
        <v>97032</v>
      </c>
      <c r="O16" s="36">
        <f t="shared" si="5"/>
        <v>6015.9840000000004</v>
      </c>
      <c r="P16" s="36">
        <f t="shared" si="6"/>
        <v>97032</v>
      </c>
      <c r="Q16" s="36">
        <f t="shared" si="7"/>
        <v>1406.9640000000002</v>
      </c>
      <c r="R16" s="36">
        <f t="shared" si="8"/>
        <v>7000</v>
      </c>
      <c r="S16" s="36">
        <f t="shared" si="9"/>
        <v>42</v>
      </c>
      <c r="T16" s="36">
        <f t="shared" si="10"/>
        <v>10200</v>
      </c>
      <c r="U16" s="36">
        <f t="shared" si="11"/>
        <v>128.52000000000001</v>
      </c>
      <c r="V16" s="22">
        <f>DATE(2004,7,28)</f>
        <v>38196</v>
      </c>
      <c r="W16" s="108">
        <v>43.55</v>
      </c>
      <c r="X16" s="108">
        <v>45.08</v>
      </c>
      <c r="Y16" s="40">
        <f t="shared" si="12"/>
        <v>3.5132032146957551E-2</v>
      </c>
      <c r="Z16" s="108">
        <v>46.65</v>
      </c>
      <c r="AA16" s="40">
        <f t="shared" si="13"/>
        <v>3.4826974267968061E-2</v>
      </c>
      <c r="AB16" s="37"/>
      <c r="AD16" s="79">
        <f t="shared" si="17"/>
        <v>0.30220000000000002</v>
      </c>
      <c r="AE16" s="80">
        <f t="shared" si="14"/>
        <v>29323.070400000004</v>
      </c>
      <c r="AF16" s="92">
        <f t="shared" si="15"/>
        <v>0.05</v>
      </c>
      <c r="AG16" s="80">
        <f t="shared" si="16"/>
        <v>4851.6000000000004</v>
      </c>
    </row>
    <row r="17" spans="1:33" ht="15.95" customHeight="1" x14ac:dyDescent="0.25">
      <c r="A17" s="87">
        <v>1</v>
      </c>
      <c r="B17" s="103">
        <v>7</v>
      </c>
      <c r="C17" s="89">
        <v>2088</v>
      </c>
      <c r="D17" s="89"/>
      <c r="E17" s="37">
        <f>SUM(C17:D17)</f>
        <v>2088</v>
      </c>
      <c r="F17" s="102">
        <v>97663</v>
      </c>
      <c r="G17" s="102"/>
      <c r="H17" s="36">
        <v>200</v>
      </c>
      <c r="I17" s="36">
        <f>SUM(F17:H17)</f>
        <v>97863</v>
      </c>
      <c r="J17" s="105">
        <v>48.18</v>
      </c>
      <c r="K17" s="36">
        <f>IF(C17=2080,(J17*C17),2080*J17)</f>
        <v>100214.39999999999</v>
      </c>
      <c r="L17" s="36"/>
      <c r="M17" s="36">
        <f>SUM(K17:L17)</f>
        <v>100214.39999999999</v>
      </c>
      <c r="N17" s="36">
        <f>IF(M17&lt;$N$8,0+M17,+$N$8)</f>
        <v>100214.39999999999</v>
      </c>
      <c r="O17" s="36">
        <f>(N17*$O$8)</f>
        <v>6213.2927999999993</v>
      </c>
      <c r="P17" s="36">
        <f>M17</f>
        <v>100214.39999999999</v>
      </c>
      <c r="Q17" s="36">
        <f>(P17*$Q$8)</f>
        <v>1453.1088</v>
      </c>
      <c r="R17" s="36">
        <f>IF($N17&lt;$R$8,+N17,+$R$8)</f>
        <v>7000</v>
      </c>
      <c r="S17" s="36">
        <f>(R17*$S$8)</f>
        <v>42</v>
      </c>
      <c r="T17" s="36">
        <f>IF($N17&lt;$T$8,+N17,+$T$8)</f>
        <v>10200</v>
      </c>
      <c r="U17" s="36">
        <f>(T17*$U$8)</f>
        <v>128.52000000000001</v>
      </c>
      <c r="V17" s="22">
        <f t="shared" ref="V17:V40" si="18">DATE(1999,5,17)</f>
        <v>36297</v>
      </c>
      <c r="W17" s="108">
        <v>44.97</v>
      </c>
      <c r="X17" s="108">
        <v>46.55</v>
      </c>
      <c r="Y17" s="40">
        <f>(+X17-W17)/W17</f>
        <v>3.5134534133866982E-2</v>
      </c>
      <c r="Z17" s="108">
        <v>48.18</v>
      </c>
      <c r="AA17" s="40">
        <f>(+Z17-X17)/X17</f>
        <v>3.5016111707841087E-2</v>
      </c>
      <c r="AB17" s="37"/>
      <c r="AD17" s="79">
        <f t="shared" si="17"/>
        <v>0.30220000000000002</v>
      </c>
      <c r="AE17" s="80">
        <f t="shared" si="14"/>
        <v>30284.791680000002</v>
      </c>
      <c r="AF17" s="92">
        <f>IF(+AD17=0,0.1,0.05)</f>
        <v>0.05</v>
      </c>
      <c r="AG17" s="80">
        <f t="shared" si="16"/>
        <v>5010.72</v>
      </c>
    </row>
    <row r="18" spans="1:33" ht="15.95" customHeight="1" x14ac:dyDescent="0.25">
      <c r="A18" s="87">
        <v>1</v>
      </c>
      <c r="B18" s="103">
        <v>8</v>
      </c>
      <c r="C18" s="89">
        <v>2088</v>
      </c>
      <c r="D18" s="89"/>
      <c r="E18" s="37">
        <f>SUM(C18:D18)</f>
        <v>2088</v>
      </c>
      <c r="F18" s="102">
        <v>97800</v>
      </c>
      <c r="G18" s="102"/>
      <c r="H18" s="36">
        <v>200</v>
      </c>
      <c r="I18" s="36">
        <f>SUM(F18:H18)</f>
        <v>98000</v>
      </c>
      <c r="J18" s="105">
        <v>48.24</v>
      </c>
      <c r="K18" s="36">
        <f>IF(C18=2080,(J18*C18),2080*J18)</f>
        <v>100339.2</v>
      </c>
      <c r="L18" s="36"/>
      <c r="M18" s="36">
        <f>SUM(K18:L18)</f>
        <v>100339.2</v>
      </c>
      <c r="N18" s="36">
        <f>IF(M18&lt;$N$8,0+M18,+$N$8)</f>
        <v>100339.2</v>
      </c>
      <c r="O18" s="36">
        <f>(N18*$O$8)</f>
        <v>6221.0303999999996</v>
      </c>
      <c r="P18" s="36">
        <f>M18</f>
        <v>100339.2</v>
      </c>
      <c r="Q18" s="36">
        <f>(P18*$Q$8)</f>
        <v>1454.9184</v>
      </c>
      <c r="R18" s="36">
        <f>IF($N18&lt;$R$8,+N18,+$R$8)</f>
        <v>7000</v>
      </c>
      <c r="S18" s="36">
        <f>(R18*$S$8)</f>
        <v>42</v>
      </c>
      <c r="T18" s="36">
        <f>IF($N18&lt;$T$8,+N18,+$T$8)</f>
        <v>10200</v>
      </c>
      <c r="U18" s="36">
        <f>(T18*$U$8)</f>
        <v>128.52000000000001</v>
      </c>
      <c r="V18" s="22">
        <f t="shared" si="18"/>
        <v>36297</v>
      </c>
      <c r="W18" s="108">
        <v>45.03</v>
      </c>
      <c r="X18" s="108">
        <v>46.61</v>
      </c>
      <c r="Y18" s="40">
        <f>(+X18-W18)/W18</f>
        <v>3.5087719298245577E-2</v>
      </c>
      <c r="Z18" s="108">
        <v>48.24</v>
      </c>
      <c r="AA18" s="40">
        <f>(+Z18-X18)/X18</f>
        <v>3.4971036258313722E-2</v>
      </c>
      <c r="AB18" s="37"/>
      <c r="AD18" s="79">
        <f t="shared" si="17"/>
        <v>0.30220000000000002</v>
      </c>
      <c r="AE18" s="80">
        <f t="shared" si="14"/>
        <v>30322.506240000002</v>
      </c>
      <c r="AF18" s="92">
        <f>IF(+AD18=0,0.1,0.05)</f>
        <v>0.05</v>
      </c>
      <c r="AG18" s="80">
        <f t="shared" si="16"/>
        <v>5016.96</v>
      </c>
    </row>
    <row r="19" spans="1:33" ht="15.95" customHeight="1" x14ac:dyDescent="0.25">
      <c r="A19" s="87">
        <v>1</v>
      </c>
      <c r="B19" s="103">
        <v>9</v>
      </c>
      <c r="C19" s="89">
        <v>2088</v>
      </c>
      <c r="D19" s="89"/>
      <c r="E19" s="37">
        <f>SUM(C19:D19)</f>
        <v>2088</v>
      </c>
      <c r="F19" s="102">
        <v>64325</v>
      </c>
      <c r="G19" s="102"/>
      <c r="H19" s="36">
        <v>200</v>
      </c>
      <c r="I19" s="36">
        <f>SUM(F19:H19)</f>
        <v>64525</v>
      </c>
      <c r="J19" s="105">
        <v>31.73</v>
      </c>
      <c r="K19" s="36">
        <f>IF(C19=2080,(J19*C19),2080*J19)</f>
        <v>65998.399999999994</v>
      </c>
      <c r="L19" s="36"/>
      <c r="M19" s="36">
        <f>SUM(K19:L19)</f>
        <v>65998.399999999994</v>
      </c>
      <c r="N19" s="36">
        <f>IF(M19&lt;$N$8,0+M19,+$N$8)</f>
        <v>65998.399999999994</v>
      </c>
      <c r="O19" s="36">
        <f>(N19*$O$8)</f>
        <v>4091.9007999999994</v>
      </c>
      <c r="P19" s="36">
        <f>M19</f>
        <v>65998.399999999994</v>
      </c>
      <c r="Q19" s="36">
        <f>(P19*$Q$8)</f>
        <v>956.97679999999991</v>
      </c>
      <c r="R19" s="36">
        <f>IF($N19&lt;$R$8,+N19,+$R$8)</f>
        <v>7000</v>
      </c>
      <c r="S19" s="36">
        <f>(R19*$S$8)</f>
        <v>42</v>
      </c>
      <c r="T19" s="36">
        <f>IF($N19&lt;$T$8,+N19,+$T$8)</f>
        <v>10200</v>
      </c>
      <c r="U19" s="36">
        <f>(T19*$U$8)</f>
        <v>128.52000000000001</v>
      </c>
      <c r="V19" s="22">
        <f>DATE(1999,5,17)</f>
        <v>36297</v>
      </c>
      <c r="W19" s="108">
        <v>28.42</v>
      </c>
      <c r="X19" s="108">
        <v>30.66</v>
      </c>
      <c r="Y19" s="40">
        <f>(+X19-W19)/W19</f>
        <v>7.8817733990147729E-2</v>
      </c>
      <c r="Z19" s="108">
        <v>31.73</v>
      </c>
      <c r="AA19" s="40">
        <f>(+Z19-X19)/X19</f>
        <v>3.4898891063274637E-2</v>
      </c>
      <c r="AB19" s="37"/>
      <c r="AD19" s="79">
        <f t="shared" si="17"/>
        <v>0.30220000000000002</v>
      </c>
      <c r="AE19" s="80">
        <f t="shared" si="14"/>
        <v>19944.716479999999</v>
      </c>
      <c r="AF19" s="92">
        <f>IF(+AD19=0,0.1,0.05)</f>
        <v>0.05</v>
      </c>
      <c r="AG19" s="80">
        <f t="shared" si="16"/>
        <v>3299.92</v>
      </c>
    </row>
    <row r="20" spans="1:33" ht="15.95" customHeight="1" x14ac:dyDescent="0.25">
      <c r="A20" s="87">
        <v>1</v>
      </c>
      <c r="B20" s="103">
        <v>10</v>
      </c>
      <c r="C20" s="89">
        <v>2088</v>
      </c>
      <c r="D20" s="89"/>
      <c r="E20" s="37">
        <f>SUM(C20:D20)</f>
        <v>2088</v>
      </c>
      <c r="F20" s="102">
        <v>58928</v>
      </c>
      <c r="G20" s="102"/>
      <c r="H20" s="36">
        <v>200</v>
      </c>
      <c r="I20" s="36">
        <f>SUM(F20:H20)</f>
        <v>59128</v>
      </c>
      <c r="J20" s="105">
        <v>29.07</v>
      </c>
      <c r="K20" s="36">
        <f>IF(C20=2080,(J20*C20),2080*J20)</f>
        <v>60465.599999999999</v>
      </c>
      <c r="L20" s="36"/>
      <c r="M20" s="36">
        <f>SUM(K20:L20)</f>
        <v>60465.599999999999</v>
      </c>
      <c r="N20" s="36">
        <f>IF(M20&lt;$N$8,0+M20,+$N$8)</f>
        <v>60465.599999999999</v>
      </c>
      <c r="O20" s="36">
        <f>(N20*$O$8)</f>
        <v>3748.8671999999997</v>
      </c>
      <c r="P20" s="36">
        <f>M20</f>
        <v>60465.599999999999</v>
      </c>
      <c r="Q20" s="36">
        <f>(P20*$Q$8)</f>
        <v>876.75120000000004</v>
      </c>
      <c r="R20" s="36">
        <f>IF($N20&lt;$R$8,+N20,+$R$8)</f>
        <v>7000</v>
      </c>
      <c r="S20" s="36">
        <f>(R20*$S$8)</f>
        <v>42</v>
      </c>
      <c r="T20" s="36">
        <f>IF($N20&lt;$T$8,+N20,+$T$8)</f>
        <v>10200</v>
      </c>
      <c r="U20" s="36">
        <f>(T20*$U$8)</f>
        <v>128.52000000000001</v>
      </c>
      <c r="V20" s="22">
        <f>DATE(1979,8,16)</f>
        <v>29083</v>
      </c>
      <c r="W20" s="108">
        <v>25.93</v>
      </c>
      <c r="X20" s="108">
        <v>28.08</v>
      </c>
      <c r="Y20" s="40">
        <f>(+X20-W20)/W20</f>
        <v>8.2915541843424548E-2</v>
      </c>
      <c r="Z20" s="108">
        <v>29.07</v>
      </c>
      <c r="AA20" s="40">
        <f>(+Z20-X20)/X20</f>
        <v>3.5256410256410332E-2</v>
      </c>
      <c r="AB20" s="37"/>
      <c r="AD20" s="79">
        <f t="shared" si="17"/>
        <v>0.30220000000000002</v>
      </c>
      <c r="AE20" s="80">
        <f t="shared" si="14"/>
        <v>18272.704320000001</v>
      </c>
      <c r="AF20" s="92">
        <f>IF(+AD20=0,0.1,0.05)</f>
        <v>0.05</v>
      </c>
      <c r="AG20" s="80">
        <f t="shared" si="16"/>
        <v>3023.28</v>
      </c>
    </row>
    <row r="21" spans="1:33" ht="15.95" customHeight="1" x14ac:dyDescent="0.25">
      <c r="A21" s="87">
        <v>1</v>
      </c>
      <c r="B21" s="103">
        <v>11</v>
      </c>
      <c r="C21" s="89">
        <v>2088</v>
      </c>
      <c r="D21" s="89"/>
      <c r="E21" s="37">
        <f>SUM(C21:D21)</f>
        <v>2088</v>
      </c>
      <c r="F21" s="102">
        <v>66458</v>
      </c>
      <c r="G21" s="102"/>
      <c r="H21" s="36">
        <v>200</v>
      </c>
      <c r="I21" s="36">
        <f>SUM(F21:H21)</f>
        <v>66658</v>
      </c>
      <c r="J21" s="105">
        <v>32.78</v>
      </c>
      <c r="K21" s="36">
        <f>IF(C21=2080,(J21*C21),2080*J21)</f>
        <v>68182.400000000009</v>
      </c>
      <c r="L21" s="36"/>
      <c r="M21" s="36">
        <f>SUM(K21:L21)</f>
        <v>68182.400000000009</v>
      </c>
      <c r="N21" s="36">
        <f>IF(M21&lt;$N$8,0+M21,+$N$8)</f>
        <v>68182.400000000009</v>
      </c>
      <c r="O21" s="36">
        <f>(N21*$O$8)</f>
        <v>4227.3088000000007</v>
      </c>
      <c r="P21" s="36">
        <f>M21</f>
        <v>68182.400000000009</v>
      </c>
      <c r="Q21" s="36">
        <f>(P21*$Q$8)</f>
        <v>988.64480000000015</v>
      </c>
      <c r="R21" s="36">
        <f>IF($N21&lt;$R$8,+N21,+$R$8)</f>
        <v>7000</v>
      </c>
      <c r="S21" s="36">
        <f>(R21*$S$8)</f>
        <v>42</v>
      </c>
      <c r="T21" s="36">
        <f>IF($N21&lt;$T$8,+N21,+$T$8)</f>
        <v>10200</v>
      </c>
      <c r="U21" s="36">
        <f>(T21*$U$8)</f>
        <v>128.52000000000001</v>
      </c>
      <c r="V21" s="22">
        <f>DATE(1979,8,16)</f>
        <v>29083</v>
      </c>
      <c r="W21" s="108">
        <v>30.6</v>
      </c>
      <c r="X21" s="108">
        <v>31.67</v>
      </c>
      <c r="Y21" s="40">
        <f>(+X21-W21)/W21</f>
        <v>3.4967320261437916E-2</v>
      </c>
      <c r="Z21" s="108">
        <v>32.78</v>
      </c>
      <c r="AA21" s="40">
        <f>(+Z21-X21)/X21</f>
        <v>3.5048942216608758E-2</v>
      </c>
      <c r="AB21" s="37"/>
      <c r="AD21" s="79">
        <f t="shared" si="17"/>
        <v>0.30220000000000002</v>
      </c>
      <c r="AE21" s="80">
        <f t="shared" si="14"/>
        <v>20604.721280000005</v>
      </c>
      <c r="AF21" s="92">
        <f>IF(+AD21=0,0.1,0.05)</f>
        <v>0.05</v>
      </c>
      <c r="AG21" s="80">
        <f t="shared" si="16"/>
        <v>3409.1200000000008</v>
      </c>
    </row>
    <row r="22" spans="1:33" ht="9.9499999999999993" customHeight="1" x14ac:dyDescent="0.25">
      <c r="B22" s="5"/>
      <c r="C22" s="37"/>
      <c r="D22" s="37"/>
      <c r="E22" s="37"/>
      <c r="F22" s="36"/>
      <c r="G22" s="36"/>
      <c r="H22" s="36"/>
      <c r="I22" s="36"/>
      <c r="J22" s="3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09"/>
      <c r="X22" s="109"/>
      <c r="Y22" s="40"/>
      <c r="Z22" s="109"/>
      <c r="AA22" s="42"/>
      <c r="AB22" s="37"/>
    </row>
    <row r="23" spans="1:33" ht="15.95" customHeight="1" x14ac:dyDescent="0.25">
      <c r="A23" s="87">
        <f>SUM(A11:A22)</f>
        <v>11</v>
      </c>
      <c r="B23" s="5" t="s">
        <v>31</v>
      </c>
      <c r="C23" s="37">
        <f t="shared" ref="C23:I23" si="19">SUM(C10:C22)</f>
        <v>22995</v>
      </c>
      <c r="D23" s="37">
        <f t="shared" si="19"/>
        <v>0</v>
      </c>
      <c r="E23" s="37">
        <f t="shared" si="19"/>
        <v>22995</v>
      </c>
      <c r="F23" s="36">
        <f t="shared" si="19"/>
        <v>1032564</v>
      </c>
      <c r="G23" s="36">
        <f t="shared" si="19"/>
        <v>0</v>
      </c>
      <c r="H23" s="36">
        <f t="shared" si="19"/>
        <v>2200</v>
      </c>
      <c r="I23" s="36">
        <f t="shared" si="19"/>
        <v>1034764</v>
      </c>
      <c r="J23" s="36"/>
      <c r="K23" s="36">
        <f t="shared" ref="K23:U23" si="20">SUM(K10:K22)</f>
        <v>1058075.2</v>
      </c>
      <c r="L23" s="36">
        <f t="shared" si="20"/>
        <v>0</v>
      </c>
      <c r="M23" s="36">
        <f t="shared" si="20"/>
        <v>1058075.2</v>
      </c>
      <c r="N23" s="36">
        <f t="shared" si="20"/>
        <v>991933.6</v>
      </c>
      <c r="O23" s="36">
        <f t="shared" si="20"/>
        <v>61499.883200000004</v>
      </c>
      <c r="P23" s="36">
        <f t="shared" si="20"/>
        <v>1058075.2</v>
      </c>
      <c r="Q23" s="36">
        <f t="shared" si="20"/>
        <v>15342.090400000003</v>
      </c>
      <c r="R23" s="36">
        <f t="shared" si="20"/>
        <v>77000</v>
      </c>
      <c r="S23" s="36">
        <f t="shared" si="20"/>
        <v>462</v>
      </c>
      <c r="T23" s="36">
        <f t="shared" si="20"/>
        <v>112200</v>
      </c>
      <c r="U23" s="36">
        <f t="shared" si="20"/>
        <v>1413.72</v>
      </c>
      <c r="V23" s="36"/>
      <c r="W23" s="110"/>
      <c r="X23" s="110"/>
      <c r="Y23" s="40"/>
      <c r="Z23" s="110"/>
      <c r="AA23" s="42"/>
      <c r="AB23" s="37"/>
      <c r="AE23" s="80"/>
    </row>
    <row r="24" spans="1:33" ht="9.9499999999999993" customHeight="1" x14ac:dyDescent="0.25">
      <c r="B24" s="5"/>
      <c r="C24" s="37"/>
      <c r="D24" s="37"/>
      <c r="E24" s="37"/>
      <c r="F24" s="36"/>
      <c r="G24" s="36"/>
      <c r="H24" s="36"/>
      <c r="I24" s="36"/>
      <c r="J24" s="37"/>
      <c r="K24" s="36"/>
      <c r="L24" s="36"/>
      <c r="M24" s="36"/>
      <c r="N24" s="36"/>
      <c r="O24" s="1"/>
      <c r="P24" s="1"/>
      <c r="Q24" s="1"/>
      <c r="R24" s="1"/>
      <c r="S24" s="1"/>
      <c r="T24" s="1"/>
      <c r="U24" s="1"/>
      <c r="V24" s="1"/>
      <c r="W24" s="109"/>
      <c r="X24" s="109"/>
      <c r="Y24" s="40"/>
      <c r="Z24" s="109"/>
      <c r="AA24" s="42"/>
      <c r="AB24" s="37"/>
    </row>
    <row r="25" spans="1:33" ht="15.95" customHeight="1" x14ac:dyDescent="0.25">
      <c r="B25" s="39" t="s">
        <v>251</v>
      </c>
      <c r="C25" s="37"/>
      <c r="D25" s="37"/>
      <c r="E25" s="37"/>
      <c r="F25" s="36"/>
      <c r="G25" s="36"/>
      <c r="H25" s="36"/>
      <c r="I25" s="36"/>
      <c r="J25" s="37"/>
      <c r="K25" s="36"/>
      <c r="L25" s="36"/>
      <c r="M25" s="36"/>
      <c r="N25" s="36"/>
      <c r="O25" s="1"/>
      <c r="P25" s="1"/>
      <c r="Q25" s="1"/>
      <c r="R25" s="1"/>
      <c r="S25" s="1"/>
      <c r="T25" s="1"/>
      <c r="U25" s="1"/>
      <c r="V25" s="1"/>
      <c r="W25" s="109"/>
      <c r="X25" s="109"/>
      <c r="Y25" s="40"/>
      <c r="Z25" s="109"/>
      <c r="AA25" s="42"/>
      <c r="AB25" s="37"/>
    </row>
    <row r="26" spans="1:33" ht="15.95" customHeight="1" x14ac:dyDescent="0.25">
      <c r="A26" s="87">
        <v>1</v>
      </c>
      <c r="B26" s="104">
        <v>12</v>
      </c>
      <c r="C26" s="89">
        <v>2088</v>
      </c>
      <c r="D26" s="89">
        <v>298.75</v>
      </c>
      <c r="E26" s="37">
        <f t="shared" ref="E26:E63" si="21">SUM(C26:D26)</f>
        <v>2386.75</v>
      </c>
      <c r="F26" s="102">
        <v>47010</v>
      </c>
      <c r="G26" s="102">
        <v>10098</v>
      </c>
      <c r="H26" s="36">
        <v>200</v>
      </c>
      <c r="I26" s="36">
        <f t="shared" ref="I26:I63" si="22">SUM(F26:H26)</f>
        <v>57308</v>
      </c>
      <c r="J26" s="105">
        <v>23.1</v>
      </c>
      <c r="K26" s="36">
        <f t="shared" ref="K26:K63" si="23">IF(C26=2080,(J26*C26),2080*J26)</f>
        <v>48048</v>
      </c>
      <c r="L26" s="36">
        <f t="shared" ref="L26:L63" si="24">(+D26*J26)*1.5</f>
        <v>10351.6875</v>
      </c>
      <c r="M26" s="36">
        <f t="shared" ref="M26:M63" si="25">SUM(K26:L26)</f>
        <v>58399.6875</v>
      </c>
      <c r="N26" s="36">
        <f t="shared" ref="N26:N52" si="26">IF(M26&lt;$N$8,0+M26,+$N$8)</f>
        <v>58399.6875</v>
      </c>
      <c r="O26" s="36">
        <f t="shared" ref="O26:O52" si="27">(N26*$O$8)</f>
        <v>3620.7806249999999</v>
      </c>
      <c r="P26" s="36">
        <f t="shared" ref="P26:P52" si="28">M26</f>
        <v>58399.6875</v>
      </c>
      <c r="Q26" s="36">
        <f t="shared" ref="Q26:Q52" si="29">(P26*$Q$8)</f>
        <v>846.79546875000005</v>
      </c>
      <c r="R26" s="36">
        <f t="shared" ref="R26:R52" si="30">IF($N26&lt;$R$8,+N26,+$R$8)</f>
        <v>7000</v>
      </c>
      <c r="S26" s="36">
        <f t="shared" ref="S26:S52" si="31">(R26*$S$8)</f>
        <v>42</v>
      </c>
      <c r="T26" s="36">
        <f t="shared" ref="T26:T52" si="32">IF($N26&lt;$T$8,+N26,+$T$8)</f>
        <v>10200</v>
      </c>
      <c r="U26" s="36">
        <f t="shared" ref="U26:U52" si="33">(T26*$U$8)</f>
        <v>128.52000000000001</v>
      </c>
      <c r="V26" s="22">
        <f>DATE(2004,1,5)</f>
        <v>37991</v>
      </c>
      <c r="W26" s="108">
        <v>21.57</v>
      </c>
      <c r="X26" s="108">
        <v>22.32</v>
      </c>
      <c r="Y26" s="40">
        <f>(+X26-W26)/W26</f>
        <v>3.4770514603616132E-2</v>
      </c>
      <c r="Z26" s="108">
        <v>23.1</v>
      </c>
      <c r="AA26" s="40">
        <f t="shared" ref="AA26:AA52" si="34">(+Z26-X26)/X26</f>
        <v>3.4946236559139837E-2</v>
      </c>
      <c r="AB26" s="37"/>
      <c r="AD26" s="79"/>
      <c r="AE26" s="80" t="str">
        <f t="shared" ref="AE26:AE63" si="35">IF(+AD26=0," ",+K26*AD26)</f>
        <v xml:space="preserve"> </v>
      </c>
      <c r="AF26" s="92">
        <f t="shared" ref="AF26:AF63" si="36">IF(+AD26=0,0.1,0.05)</f>
        <v>0.1</v>
      </c>
      <c r="AG26" s="80">
        <f t="shared" ref="AG26:AG63" si="37">+AF26*K26</f>
        <v>4804.8</v>
      </c>
    </row>
    <row r="27" spans="1:33" ht="15.95" customHeight="1" x14ac:dyDescent="0.25">
      <c r="A27" s="87">
        <v>1</v>
      </c>
      <c r="B27" s="104">
        <v>13</v>
      </c>
      <c r="C27" s="89">
        <v>2088</v>
      </c>
      <c r="D27" s="89">
        <v>8</v>
      </c>
      <c r="E27" s="37">
        <f t="shared" si="21"/>
        <v>2096</v>
      </c>
      <c r="F27" s="102">
        <v>45454</v>
      </c>
      <c r="G27" s="102">
        <v>260</v>
      </c>
      <c r="H27" s="36">
        <v>200</v>
      </c>
      <c r="I27" s="36">
        <f t="shared" si="22"/>
        <v>45914</v>
      </c>
      <c r="J27" s="105">
        <v>22.34</v>
      </c>
      <c r="K27" s="36">
        <f t="shared" si="23"/>
        <v>46467.199999999997</v>
      </c>
      <c r="L27" s="36">
        <f t="shared" si="24"/>
        <v>268.08</v>
      </c>
      <c r="M27" s="36">
        <f t="shared" si="25"/>
        <v>46735.28</v>
      </c>
      <c r="N27" s="36">
        <f t="shared" si="26"/>
        <v>46735.28</v>
      </c>
      <c r="O27" s="36">
        <f t="shared" si="27"/>
        <v>2897.58736</v>
      </c>
      <c r="P27" s="36">
        <f t="shared" si="28"/>
        <v>46735.28</v>
      </c>
      <c r="Q27" s="36">
        <f t="shared" si="29"/>
        <v>677.66156000000001</v>
      </c>
      <c r="R27" s="36">
        <f t="shared" si="30"/>
        <v>7000</v>
      </c>
      <c r="S27" s="36">
        <f t="shared" si="31"/>
        <v>42</v>
      </c>
      <c r="T27" s="36">
        <f t="shared" si="32"/>
        <v>10200</v>
      </c>
      <c r="U27" s="36">
        <f t="shared" si="33"/>
        <v>128.52000000000001</v>
      </c>
      <c r="V27" s="22">
        <f>DATE(1999,5,17)</f>
        <v>36297</v>
      </c>
      <c r="W27" s="108">
        <v>20.85</v>
      </c>
      <c r="X27" s="108">
        <v>21.58</v>
      </c>
      <c r="Y27" s="40">
        <f>(+X27-W27)/W27</f>
        <v>3.5011990407673707E-2</v>
      </c>
      <c r="Z27" s="108">
        <v>22.34</v>
      </c>
      <c r="AA27" s="40">
        <f t="shared" si="34"/>
        <v>3.5217794253938908E-2</v>
      </c>
      <c r="AB27" s="37"/>
      <c r="AD27" s="79"/>
      <c r="AE27" s="80" t="str">
        <f t="shared" si="35"/>
        <v xml:space="preserve"> </v>
      </c>
      <c r="AF27" s="92">
        <f t="shared" si="36"/>
        <v>0.1</v>
      </c>
      <c r="AG27" s="80">
        <f t="shared" si="37"/>
        <v>4646.72</v>
      </c>
    </row>
    <row r="28" spans="1:33" ht="15.95" customHeight="1" x14ac:dyDescent="0.25">
      <c r="A28" s="87">
        <v>1</v>
      </c>
      <c r="B28" s="104">
        <v>14</v>
      </c>
      <c r="C28" s="89">
        <v>2090</v>
      </c>
      <c r="D28" s="89">
        <v>8</v>
      </c>
      <c r="E28" s="37">
        <f t="shared" si="21"/>
        <v>2098</v>
      </c>
      <c r="F28" s="102">
        <v>45498</v>
      </c>
      <c r="G28" s="102">
        <v>268</v>
      </c>
      <c r="H28" s="36">
        <v>200</v>
      </c>
      <c r="I28" s="36">
        <f t="shared" si="22"/>
        <v>45966</v>
      </c>
      <c r="J28" s="105">
        <v>22.34</v>
      </c>
      <c r="K28" s="36">
        <f t="shared" si="23"/>
        <v>46467.199999999997</v>
      </c>
      <c r="L28" s="36">
        <f t="shared" si="24"/>
        <v>268.08</v>
      </c>
      <c r="M28" s="36">
        <f t="shared" si="25"/>
        <v>46735.28</v>
      </c>
      <c r="N28" s="36">
        <f t="shared" si="26"/>
        <v>46735.28</v>
      </c>
      <c r="O28" s="36">
        <f t="shared" si="27"/>
        <v>2897.58736</v>
      </c>
      <c r="P28" s="36">
        <f t="shared" si="28"/>
        <v>46735.28</v>
      </c>
      <c r="Q28" s="36">
        <f t="shared" si="29"/>
        <v>677.66156000000001</v>
      </c>
      <c r="R28" s="36">
        <f t="shared" si="30"/>
        <v>7000</v>
      </c>
      <c r="S28" s="36">
        <f t="shared" si="31"/>
        <v>42</v>
      </c>
      <c r="T28" s="36">
        <f t="shared" si="32"/>
        <v>10200</v>
      </c>
      <c r="U28" s="36">
        <f t="shared" si="33"/>
        <v>128.52000000000001</v>
      </c>
      <c r="V28" s="22">
        <f>DATE(2004,7,28)</f>
        <v>38196</v>
      </c>
      <c r="W28" s="108">
        <v>20.85</v>
      </c>
      <c r="X28" s="108">
        <v>21.58</v>
      </c>
      <c r="Y28" s="40">
        <f>(+X28-W28)/W28</f>
        <v>3.5011990407673707E-2</v>
      </c>
      <c r="Z28" s="108">
        <v>22.34</v>
      </c>
      <c r="AA28" s="40">
        <f t="shared" si="34"/>
        <v>3.5217794253938908E-2</v>
      </c>
      <c r="AB28" s="37"/>
      <c r="AD28" s="79"/>
      <c r="AE28" s="80" t="str">
        <f t="shared" si="35"/>
        <v xml:space="preserve"> </v>
      </c>
      <c r="AF28" s="92">
        <f t="shared" si="36"/>
        <v>0.1</v>
      </c>
      <c r="AG28" s="80">
        <f t="shared" si="37"/>
        <v>4646.72</v>
      </c>
    </row>
    <row r="29" spans="1:33" ht="15.95" customHeight="1" x14ac:dyDescent="0.25">
      <c r="A29" s="87">
        <v>1</v>
      </c>
      <c r="B29" s="104">
        <v>15</v>
      </c>
      <c r="C29" s="89">
        <v>2088</v>
      </c>
      <c r="D29" s="89">
        <v>16.5</v>
      </c>
      <c r="E29" s="37">
        <f t="shared" si="21"/>
        <v>2104.5</v>
      </c>
      <c r="F29" s="102">
        <v>45454</v>
      </c>
      <c r="G29" s="102">
        <v>536</v>
      </c>
      <c r="H29" s="36">
        <v>200</v>
      </c>
      <c r="I29" s="36">
        <f t="shared" si="22"/>
        <v>46190</v>
      </c>
      <c r="J29" s="105">
        <v>22.34</v>
      </c>
      <c r="K29" s="36">
        <f t="shared" si="23"/>
        <v>46467.199999999997</v>
      </c>
      <c r="L29" s="36">
        <f t="shared" si="24"/>
        <v>552.91499999999996</v>
      </c>
      <c r="M29" s="36">
        <f t="shared" si="25"/>
        <v>47020.114999999998</v>
      </c>
      <c r="N29" s="36">
        <f t="shared" si="26"/>
        <v>47020.114999999998</v>
      </c>
      <c r="O29" s="36">
        <f t="shared" si="27"/>
        <v>2915.2471299999997</v>
      </c>
      <c r="P29" s="36">
        <f t="shared" si="28"/>
        <v>47020.114999999998</v>
      </c>
      <c r="Q29" s="36">
        <f t="shared" si="29"/>
        <v>681.79166750000002</v>
      </c>
      <c r="R29" s="36">
        <f t="shared" si="30"/>
        <v>7000</v>
      </c>
      <c r="S29" s="36">
        <f t="shared" si="31"/>
        <v>42</v>
      </c>
      <c r="T29" s="36">
        <f t="shared" si="32"/>
        <v>10200</v>
      </c>
      <c r="U29" s="36">
        <f t="shared" si="33"/>
        <v>128.52000000000001</v>
      </c>
      <c r="V29" s="22">
        <f>DATE(76,4,5)</f>
        <v>27855</v>
      </c>
      <c r="W29" s="108">
        <v>20.85</v>
      </c>
      <c r="X29" s="108">
        <v>21.58</v>
      </c>
      <c r="Y29" s="40">
        <f>(+X29-W29)/W29</f>
        <v>3.5011990407673707E-2</v>
      </c>
      <c r="Z29" s="108">
        <v>22.34</v>
      </c>
      <c r="AA29" s="40">
        <f t="shared" si="34"/>
        <v>3.5217794253938908E-2</v>
      </c>
      <c r="AB29" s="37"/>
      <c r="AD29" s="79"/>
      <c r="AE29" s="80" t="str">
        <f t="shared" si="35"/>
        <v xml:space="preserve"> </v>
      </c>
      <c r="AF29" s="92">
        <f t="shared" si="36"/>
        <v>0.1</v>
      </c>
      <c r="AG29" s="80">
        <f t="shared" si="37"/>
        <v>4646.72</v>
      </c>
    </row>
    <row r="30" spans="1:33" ht="15.95" customHeight="1" x14ac:dyDescent="0.25">
      <c r="A30" s="87">
        <v>1</v>
      </c>
      <c r="B30" s="104">
        <v>16</v>
      </c>
      <c r="C30" s="89">
        <v>2088</v>
      </c>
      <c r="D30" s="89">
        <v>198</v>
      </c>
      <c r="E30" s="37">
        <f t="shared" si="21"/>
        <v>2286</v>
      </c>
      <c r="F30" s="102">
        <v>61249</v>
      </c>
      <c r="G30" s="102">
        <v>8702</v>
      </c>
      <c r="H30" s="36">
        <v>200</v>
      </c>
      <c r="I30" s="36">
        <f t="shared" si="22"/>
        <v>70151</v>
      </c>
      <c r="J30" s="105">
        <v>30.1</v>
      </c>
      <c r="K30" s="36">
        <f t="shared" si="23"/>
        <v>62608</v>
      </c>
      <c r="L30" s="36">
        <f t="shared" si="24"/>
        <v>8939.7000000000007</v>
      </c>
      <c r="M30" s="36">
        <f t="shared" si="25"/>
        <v>71547.7</v>
      </c>
      <c r="N30" s="36">
        <f t="shared" si="26"/>
        <v>71547.7</v>
      </c>
      <c r="O30" s="36">
        <f t="shared" si="27"/>
        <v>4435.9574000000002</v>
      </c>
      <c r="P30" s="36">
        <f t="shared" si="28"/>
        <v>71547.7</v>
      </c>
      <c r="Q30" s="36">
        <f t="shared" si="29"/>
        <v>1037.44165</v>
      </c>
      <c r="R30" s="36">
        <f t="shared" si="30"/>
        <v>7000</v>
      </c>
      <c r="S30" s="36">
        <f t="shared" si="31"/>
        <v>42</v>
      </c>
      <c r="T30" s="36">
        <f t="shared" si="32"/>
        <v>10200</v>
      </c>
      <c r="U30" s="36">
        <f t="shared" si="33"/>
        <v>128.52000000000001</v>
      </c>
      <c r="V30" s="22">
        <f t="shared" si="18"/>
        <v>36297</v>
      </c>
      <c r="W30" s="108">
        <v>28.1</v>
      </c>
      <c r="X30" s="108">
        <v>29.08</v>
      </c>
      <c r="Y30" s="40">
        <f>(+X30-W30)/W30</f>
        <v>3.4875444839857536E-2</v>
      </c>
      <c r="Z30" s="108">
        <v>30.1</v>
      </c>
      <c r="AA30" s="40">
        <f t="shared" si="34"/>
        <v>3.5075653370013865E-2</v>
      </c>
      <c r="AB30" s="37"/>
      <c r="AD30" s="79"/>
      <c r="AE30" s="80" t="str">
        <f t="shared" si="35"/>
        <v xml:space="preserve"> </v>
      </c>
      <c r="AF30" s="92">
        <f t="shared" si="36"/>
        <v>0.1</v>
      </c>
      <c r="AG30" s="80">
        <f t="shared" si="37"/>
        <v>6260.8</v>
      </c>
    </row>
    <row r="31" spans="1:33" ht="15.95" customHeight="1" x14ac:dyDescent="0.25">
      <c r="A31" s="87">
        <v>1</v>
      </c>
      <c r="B31" s="104">
        <v>17</v>
      </c>
      <c r="C31" s="89">
        <v>2088</v>
      </c>
      <c r="D31" s="89">
        <v>1373</v>
      </c>
      <c r="E31" s="37">
        <f t="shared" si="21"/>
        <v>3461</v>
      </c>
      <c r="F31" s="102">
        <v>61693</v>
      </c>
      <c r="G31" s="102">
        <v>60824</v>
      </c>
      <c r="H31" s="36">
        <v>200</v>
      </c>
      <c r="I31" s="36">
        <f t="shared" si="22"/>
        <v>122717</v>
      </c>
      <c r="J31" s="105">
        <v>30.32</v>
      </c>
      <c r="K31" s="36">
        <f t="shared" si="23"/>
        <v>63065.599999999999</v>
      </c>
      <c r="L31" s="36">
        <f t="shared" si="24"/>
        <v>62444.04</v>
      </c>
      <c r="M31" s="36">
        <f t="shared" si="25"/>
        <v>125509.64</v>
      </c>
      <c r="N31" s="36">
        <f t="shared" si="26"/>
        <v>118500</v>
      </c>
      <c r="O31" s="36">
        <f t="shared" si="27"/>
        <v>7347</v>
      </c>
      <c r="P31" s="36">
        <f t="shared" si="28"/>
        <v>125509.64</v>
      </c>
      <c r="Q31" s="36">
        <f t="shared" si="29"/>
        <v>1819.88978</v>
      </c>
      <c r="R31" s="36">
        <f t="shared" si="30"/>
        <v>7000</v>
      </c>
      <c r="S31" s="36">
        <f t="shared" si="31"/>
        <v>42</v>
      </c>
      <c r="T31" s="36">
        <f t="shared" si="32"/>
        <v>10200</v>
      </c>
      <c r="U31" s="36">
        <f t="shared" si="33"/>
        <v>128.52000000000001</v>
      </c>
      <c r="V31" s="22">
        <f t="shared" si="18"/>
        <v>36297</v>
      </c>
      <c r="W31" s="108">
        <v>28.3</v>
      </c>
      <c r="X31" s="108">
        <v>29.29</v>
      </c>
      <c r="Y31" s="40">
        <f>IF(W31=0,0,(+X31-W31)/W31)</f>
        <v>3.4982332155476976E-2</v>
      </c>
      <c r="Z31" s="108">
        <v>30.32</v>
      </c>
      <c r="AA31" s="40">
        <f t="shared" si="34"/>
        <v>3.516558552406969E-2</v>
      </c>
      <c r="AB31" s="37"/>
      <c r="AD31" s="79"/>
      <c r="AE31" s="80" t="str">
        <f t="shared" si="35"/>
        <v xml:space="preserve"> </v>
      </c>
      <c r="AF31" s="92">
        <f t="shared" si="36"/>
        <v>0.1</v>
      </c>
      <c r="AG31" s="80">
        <f t="shared" si="37"/>
        <v>6306.56</v>
      </c>
    </row>
    <row r="32" spans="1:33" ht="15.95" customHeight="1" x14ac:dyDescent="0.25">
      <c r="A32" s="87">
        <v>1</v>
      </c>
      <c r="B32" s="104">
        <v>18</v>
      </c>
      <c r="C32" s="89">
        <v>2088</v>
      </c>
      <c r="D32" s="89">
        <v>774.5</v>
      </c>
      <c r="E32" s="37">
        <f t="shared" si="21"/>
        <v>2862.5</v>
      </c>
      <c r="F32" s="102">
        <v>61693</v>
      </c>
      <c r="G32" s="102">
        <v>34330</v>
      </c>
      <c r="H32" s="36">
        <v>200</v>
      </c>
      <c r="I32" s="36">
        <f t="shared" si="22"/>
        <v>96223</v>
      </c>
      <c r="J32" s="105">
        <v>30.32</v>
      </c>
      <c r="K32" s="36">
        <f t="shared" si="23"/>
        <v>63065.599999999999</v>
      </c>
      <c r="L32" s="36">
        <f t="shared" si="24"/>
        <v>35224.26</v>
      </c>
      <c r="M32" s="36">
        <f t="shared" si="25"/>
        <v>98289.86</v>
      </c>
      <c r="N32" s="36">
        <f t="shared" si="26"/>
        <v>98289.86</v>
      </c>
      <c r="O32" s="36">
        <f t="shared" si="27"/>
        <v>6093.9713199999997</v>
      </c>
      <c r="P32" s="36">
        <f t="shared" si="28"/>
        <v>98289.86</v>
      </c>
      <c r="Q32" s="36">
        <f t="shared" si="29"/>
        <v>1425.2029700000001</v>
      </c>
      <c r="R32" s="36">
        <f t="shared" si="30"/>
        <v>7000</v>
      </c>
      <c r="S32" s="36">
        <f t="shared" si="31"/>
        <v>42</v>
      </c>
      <c r="T32" s="36">
        <f t="shared" si="32"/>
        <v>10200</v>
      </c>
      <c r="U32" s="36">
        <f t="shared" si="33"/>
        <v>128.52000000000001</v>
      </c>
      <c r="V32" s="22">
        <f t="shared" si="18"/>
        <v>36297</v>
      </c>
      <c r="W32" s="108">
        <v>28.3</v>
      </c>
      <c r="X32" s="108">
        <v>29.29</v>
      </c>
      <c r="Y32" s="40">
        <f>(+X32-W32)/W32</f>
        <v>3.4982332155476976E-2</v>
      </c>
      <c r="Z32" s="108">
        <v>30.32</v>
      </c>
      <c r="AA32" s="40">
        <f t="shared" si="34"/>
        <v>3.516558552406969E-2</v>
      </c>
      <c r="AB32" s="37"/>
      <c r="AD32" s="79"/>
      <c r="AE32" s="80" t="str">
        <f t="shared" si="35"/>
        <v xml:space="preserve"> </v>
      </c>
      <c r="AF32" s="92">
        <f t="shared" si="36"/>
        <v>0.1</v>
      </c>
      <c r="AG32" s="80">
        <f t="shared" si="37"/>
        <v>6306.56</v>
      </c>
    </row>
    <row r="33" spans="1:33" ht="15.95" customHeight="1" x14ac:dyDescent="0.25">
      <c r="A33" s="87">
        <v>1</v>
      </c>
      <c r="B33" s="104">
        <v>19</v>
      </c>
      <c r="C33" s="89">
        <v>2088</v>
      </c>
      <c r="D33" s="89">
        <v>624.5</v>
      </c>
      <c r="E33" s="37">
        <f t="shared" si="21"/>
        <v>2712.5</v>
      </c>
      <c r="F33" s="102">
        <v>61693</v>
      </c>
      <c r="G33" s="102">
        <v>27674</v>
      </c>
      <c r="H33" s="36">
        <v>200</v>
      </c>
      <c r="I33" s="36">
        <f t="shared" si="22"/>
        <v>89567</v>
      </c>
      <c r="J33" s="105">
        <v>30.32</v>
      </c>
      <c r="K33" s="36">
        <f t="shared" si="23"/>
        <v>63065.599999999999</v>
      </c>
      <c r="L33" s="36">
        <f t="shared" si="24"/>
        <v>28402.260000000002</v>
      </c>
      <c r="M33" s="36">
        <f t="shared" si="25"/>
        <v>91467.86</v>
      </c>
      <c r="N33" s="36">
        <f t="shared" si="26"/>
        <v>91467.86</v>
      </c>
      <c r="O33" s="36">
        <f t="shared" si="27"/>
        <v>5671.0073199999997</v>
      </c>
      <c r="P33" s="36">
        <f t="shared" si="28"/>
        <v>91467.86</v>
      </c>
      <c r="Q33" s="36">
        <f t="shared" si="29"/>
        <v>1326.2839700000002</v>
      </c>
      <c r="R33" s="36">
        <f t="shared" si="30"/>
        <v>7000</v>
      </c>
      <c r="S33" s="36">
        <f t="shared" si="31"/>
        <v>42</v>
      </c>
      <c r="T33" s="36">
        <f t="shared" si="32"/>
        <v>10200</v>
      </c>
      <c r="U33" s="36">
        <f t="shared" si="33"/>
        <v>128.52000000000001</v>
      </c>
      <c r="V33" s="22">
        <f t="shared" si="18"/>
        <v>36297</v>
      </c>
      <c r="W33" s="108">
        <v>28.3</v>
      </c>
      <c r="X33" s="108">
        <v>29.29</v>
      </c>
      <c r="Y33" s="40">
        <f>(+X33-W33)/W33</f>
        <v>3.4982332155476976E-2</v>
      </c>
      <c r="Z33" s="108">
        <v>30.32</v>
      </c>
      <c r="AA33" s="40">
        <f t="shared" si="34"/>
        <v>3.516558552406969E-2</v>
      </c>
      <c r="AB33" s="37"/>
      <c r="AD33" s="79"/>
      <c r="AE33" s="80" t="str">
        <f t="shared" si="35"/>
        <v xml:space="preserve"> </v>
      </c>
      <c r="AF33" s="92">
        <f t="shared" si="36"/>
        <v>0.1</v>
      </c>
      <c r="AG33" s="80">
        <f t="shared" si="37"/>
        <v>6306.56</v>
      </c>
    </row>
    <row r="34" spans="1:33" ht="15.95" customHeight="1" x14ac:dyDescent="0.25">
      <c r="A34" s="87">
        <v>1</v>
      </c>
      <c r="B34" s="104">
        <v>20</v>
      </c>
      <c r="C34" s="89">
        <v>2088</v>
      </c>
      <c r="D34" s="89">
        <v>874.5</v>
      </c>
      <c r="E34" s="37">
        <f t="shared" si="21"/>
        <v>2962.5</v>
      </c>
      <c r="F34" s="102">
        <v>61693</v>
      </c>
      <c r="G34" s="102">
        <v>38736</v>
      </c>
      <c r="H34" s="36">
        <v>200</v>
      </c>
      <c r="I34" s="36">
        <f t="shared" si="22"/>
        <v>100629</v>
      </c>
      <c r="J34" s="105">
        <v>30.32</v>
      </c>
      <c r="K34" s="36">
        <f t="shared" si="23"/>
        <v>63065.599999999999</v>
      </c>
      <c r="L34" s="36">
        <f t="shared" si="24"/>
        <v>39772.26</v>
      </c>
      <c r="M34" s="36">
        <f t="shared" si="25"/>
        <v>102837.86</v>
      </c>
      <c r="N34" s="36">
        <f t="shared" si="26"/>
        <v>102837.86</v>
      </c>
      <c r="O34" s="36">
        <f t="shared" si="27"/>
        <v>6375.9473200000002</v>
      </c>
      <c r="P34" s="36">
        <f t="shared" si="28"/>
        <v>102837.86</v>
      </c>
      <c r="Q34" s="36">
        <f t="shared" si="29"/>
        <v>1491.1489700000002</v>
      </c>
      <c r="R34" s="36">
        <f t="shared" si="30"/>
        <v>7000</v>
      </c>
      <c r="S34" s="36">
        <f t="shared" si="31"/>
        <v>42</v>
      </c>
      <c r="T34" s="36">
        <f t="shared" si="32"/>
        <v>10200</v>
      </c>
      <c r="U34" s="36">
        <f t="shared" si="33"/>
        <v>128.52000000000001</v>
      </c>
      <c r="V34" s="22">
        <f t="shared" si="18"/>
        <v>36297</v>
      </c>
      <c r="W34" s="108">
        <v>28.3</v>
      </c>
      <c r="X34" s="108">
        <v>29.29</v>
      </c>
      <c r="Y34" s="40">
        <f>(+X34-W34)/W34</f>
        <v>3.4982332155476976E-2</v>
      </c>
      <c r="Z34" s="108">
        <v>30.32</v>
      </c>
      <c r="AA34" s="40">
        <f t="shared" si="34"/>
        <v>3.516558552406969E-2</v>
      </c>
      <c r="AB34" s="37"/>
      <c r="AD34" s="79"/>
      <c r="AE34" s="80" t="str">
        <f t="shared" si="35"/>
        <v xml:space="preserve"> </v>
      </c>
      <c r="AF34" s="92">
        <f t="shared" si="36"/>
        <v>0.1</v>
      </c>
      <c r="AG34" s="80">
        <f t="shared" si="37"/>
        <v>6306.56</v>
      </c>
    </row>
    <row r="35" spans="1:33" ht="15.95" customHeight="1" x14ac:dyDescent="0.25">
      <c r="A35" s="87">
        <v>1</v>
      </c>
      <c r="B35" s="104">
        <v>21</v>
      </c>
      <c r="C35" s="89">
        <v>2088</v>
      </c>
      <c r="D35" s="89">
        <v>1188</v>
      </c>
      <c r="E35" s="37">
        <f t="shared" si="21"/>
        <v>3276</v>
      </c>
      <c r="F35" s="102">
        <v>61693</v>
      </c>
      <c r="G35" s="102">
        <v>52595</v>
      </c>
      <c r="H35" s="36">
        <v>200</v>
      </c>
      <c r="I35" s="36">
        <f t="shared" si="22"/>
        <v>114488</v>
      </c>
      <c r="J35" s="105">
        <v>30.32</v>
      </c>
      <c r="K35" s="36">
        <f t="shared" si="23"/>
        <v>63065.599999999999</v>
      </c>
      <c r="L35" s="36">
        <f t="shared" si="24"/>
        <v>54030.240000000005</v>
      </c>
      <c r="M35" s="36">
        <f t="shared" si="25"/>
        <v>117095.84</v>
      </c>
      <c r="N35" s="36">
        <f t="shared" si="26"/>
        <v>117095.84</v>
      </c>
      <c r="O35" s="36">
        <f t="shared" si="27"/>
        <v>7259.9420799999998</v>
      </c>
      <c r="P35" s="36">
        <f t="shared" si="28"/>
        <v>117095.84</v>
      </c>
      <c r="Q35" s="36">
        <f t="shared" si="29"/>
        <v>1697.88968</v>
      </c>
      <c r="R35" s="36">
        <f t="shared" si="30"/>
        <v>7000</v>
      </c>
      <c r="S35" s="36">
        <f t="shared" si="31"/>
        <v>42</v>
      </c>
      <c r="T35" s="36">
        <f t="shared" si="32"/>
        <v>10200</v>
      </c>
      <c r="U35" s="36">
        <f t="shared" si="33"/>
        <v>128.52000000000001</v>
      </c>
      <c r="V35" s="22">
        <f t="shared" si="18"/>
        <v>36297</v>
      </c>
      <c r="W35" s="108">
        <v>28.3</v>
      </c>
      <c r="X35" s="108">
        <v>29.29</v>
      </c>
      <c r="Y35" s="40">
        <f>(+X35-W35)/W35</f>
        <v>3.4982332155476976E-2</v>
      </c>
      <c r="Z35" s="108">
        <v>30.32</v>
      </c>
      <c r="AA35" s="40">
        <f t="shared" si="34"/>
        <v>3.516558552406969E-2</v>
      </c>
      <c r="AB35" s="37"/>
      <c r="AD35" s="79"/>
      <c r="AE35" s="80" t="str">
        <f t="shared" si="35"/>
        <v xml:space="preserve"> </v>
      </c>
      <c r="AF35" s="92">
        <f t="shared" si="36"/>
        <v>0.1</v>
      </c>
      <c r="AG35" s="80">
        <f t="shared" si="37"/>
        <v>6306.56</v>
      </c>
    </row>
    <row r="36" spans="1:33" ht="15.95" customHeight="1" x14ac:dyDescent="0.25">
      <c r="A36" s="87">
        <v>1</v>
      </c>
      <c r="B36" s="104">
        <v>22</v>
      </c>
      <c r="C36" s="89">
        <v>2086</v>
      </c>
      <c r="D36" s="89">
        <v>6.75</v>
      </c>
      <c r="E36" s="37">
        <f t="shared" si="21"/>
        <v>2092.75</v>
      </c>
      <c r="F36" s="102">
        <v>45411</v>
      </c>
      <c r="G36" s="102">
        <v>222</v>
      </c>
      <c r="H36" s="36">
        <v>200</v>
      </c>
      <c r="I36" s="36">
        <f t="shared" si="22"/>
        <v>45833</v>
      </c>
      <c r="J36" s="105">
        <v>22.34</v>
      </c>
      <c r="K36" s="36">
        <f t="shared" si="23"/>
        <v>46467.199999999997</v>
      </c>
      <c r="L36" s="36">
        <f t="shared" si="24"/>
        <v>226.1925</v>
      </c>
      <c r="M36" s="36">
        <f t="shared" si="25"/>
        <v>46693.392499999994</v>
      </c>
      <c r="N36" s="36">
        <f t="shared" si="26"/>
        <v>46693.392499999994</v>
      </c>
      <c r="O36" s="36">
        <f t="shared" si="27"/>
        <v>2894.9903349999995</v>
      </c>
      <c r="P36" s="36">
        <f t="shared" si="28"/>
        <v>46693.392499999994</v>
      </c>
      <c r="Q36" s="36">
        <f t="shared" si="29"/>
        <v>677.05419124999992</v>
      </c>
      <c r="R36" s="36">
        <f t="shared" si="30"/>
        <v>7000</v>
      </c>
      <c r="S36" s="36">
        <f t="shared" si="31"/>
        <v>42</v>
      </c>
      <c r="T36" s="36">
        <f t="shared" si="32"/>
        <v>10200</v>
      </c>
      <c r="U36" s="36">
        <f t="shared" si="33"/>
        <v>128.52000000000001</v>
      </c>
      <c r="V36" s="22">
        <f t="shared" si="18"/>
        <v>36297</v>
      </c>
      <c r="W36" s="108">
        <v>20.85</v>
      </c>
      <c r="X36" s="108">
        <v>21.58</v>
      </c>
      <c r="Y36" s="40">
        <f>IF(W36=0,0,(+X36-W36)/W36)</f>
        <v>3.5011990407673707E-2</v>
      </c>
      <c r="Z36" s="108">
        <v>22.34</v>
      </c>
      <c r="AA36" s="40">
        <f t="shared" si="34"/>
        <v>3.5217794253938908E-2</v>
      </c>
      <c r="AB36" s="37"/>
      <c r="AD36" s="79"/>
      <c r="AE36" s="80" t="str">
        <f t="shared" si="35"/>
        <v xml:space="preserve"> </v>
      </c>
      <c r="AF36" s="92">
        <f t="shared" si="36"/>
        <v>0.1</v>
      </c>
      <c r="AG36" s="80">
        <f t="shared" si="37"/>
        <v>4646.72</v>
      </c>
    </row>
    <row r="37" spans="1:33" ht="15.95" customHeight="1" x14ac:dyDescent="0.25">
      <c r="A37" s="87">
        <v>1</v>
      </c>
      <c r="B37" s="104">
        <v>23</v>
      </c>
      <c r="C37" s="89">
        <v>2088</v>
      </c>
      <c r="D37" s="89">
        <v>682.5</v>
      </c>
      <c r="E37" s="37">
        <f t="shared" si="21"/>
        <v>2770.5</v>
      </c>
      <c r="F37" s="102">
        <v>61693</v>
      </c>
      <c r="G37" s="102">
        <v>30214</v>
      </c>
      <c r="H37" s="36">
        <v>200</v>
      </c>
      <c r="I37" s="36">
        <f t="shared" si="22"/>
        <v>92107</v>
      </c>
      <c r="J37" s="105">
        <v>30.32</v>
      </c>
      <c r="K37" s="36">
        <f t="shared" si="23"/>
        <v>63065.599999999999</v>
      </c>
      <c r="L37" s="36">
        <f t="shared" si="24"/>
        <v>31040.100000000002</v>
      </c>
      <c r="M37" s="36">
        <f t="shared" si="25"/>
        <v>94105.7</v>
      </c>
      <c r="N37" s="36">
        <f t="shared" si="26"/>
        <v>94105.7</v>
      </c>
      <c r="O37" s="36">
        <f t="shared" si="27"/>
        <v>5834.5533999999998</v>
      </c>
      <c r="P37" s="36">
        <f t="shared" si="28"/>
        <v>94105.7</v>
      </c>
      <c r="Q37" s="36">
        <f t="shared" si="29"/>
        <v>1364.5326500000001</v>
      </c>
      <c r="R37" s="36">
        <f t="shared" si="30"/>
        <v>7000</v>
      </c>
      <c r="S37" s="36">
        <f t="shared" si="31"/>
        <v>42</v>
      </c>
      <c r="T37" s="36">
        <f t="shared" si="32"/>
        <v>10200</v>
      </c>
      <c r="U37" s="36">
        <f t="shared" si="33"/>
        <v>128.52000000000001</v>
      </c>
      <c r="V37" s="22">
        <f t="shared" si="18"/>
        <v>36297</v>
      </c>
      <c r="W37" s="108">
        <v>28.3</v>
      </c>
      <c r="X37" s="108">
        <v>29.29</v>
      </c>
      <c r="Y37" s="40">
        <f>IF(W37=0,0,(+X37-W37)/W37)</f>
        <v>3.4982332155476976E-2</v>
      </c>
      <c r="Z37" s="108">
        <v>30.32</v>
      </c>
      <c r="AA37" s="40">
        <f t="shared" si="34"/>
        <v>3.516558552406969E-2</v>
      </c>
      <c r="AB37" s="37"/>
      <c r="AD37" s="79"/>
      <c r="AE37" s="80" t="str">
        <f t="shared" si="35"/>
        <v xml:space="preserve"> </v>
      </c>
      <c r="AF37" s="92">
        <f t="shared" si="36"/>
        <v>0.1</v>
      </c>
      <c r="AG37" s="80">
        <f t="shared" si="37"/>
        <v>6306.56</v>
      </c>
    </row>
    <row r="38" spans="1:33" ht="15.95" customHeight="1" x14ac:dyDescent="0.25">
      <c r="A38" s="87">
        <v>1</v>
      </c>
      <c r="B38" s="104">
        <v>24</v>
      </c>
      <c r="C38" s="89">
        <v>2090</v>
      </c>
      <c r="D38" s="89">
        <v>105.5</v>
      </c>
      <c r="E38" s="37">
        <f t="shared" si="21"/>
        <v>2195.5</v>
      </c>
      <c r="F38" s="102">
        <v>61308</v>
      </c>
      <c r="G38" s="102">
        <v>4634</v>
      </c>
      <c r="H38" s="36">
        <v>200</v>
      </c>
      <c r="I38" s="36">
        <f t="shared" si="22"/>
        <v>66142</v>
      </c>
      <c r="J38" s="105">
        <v>30.1</v>
      </c>
      <c r="K38" s="36">
        <f t="shared" si="23"/>
        <v>62608</v>
      </c>
      <c r="L38" s="36">
        <f t="shared" si="24"/>
        <v>4763.3250000000007</v>
      </c>
      <c r="M38" s="36">
        <f t="shared" si="25"/>
        <v>67371.324999999997</v>
      </c>
      <c r="N38" s="36">
        <f t="shared" si="26"/>
        <v>67371.324999999997</v>
      </c>
      <c r="O38" s="36">
        <f t="shared" si="27"/>
        <v>4177.0221499999998</v>
      </c>
      <c r="P38" s="36">
        <f t="shared" si="28"/>
        <v>67371.324999999997</v>
      </c>
      <c r="Q38" s="36">
        <f t="shared" si="29"/>
        <v>976.88421249999999</v>
      </c>
      <c r="R38" s="36">
        <f t="shared" si="30"/>
        <v>7000</v>
      </c>
      <c r="S38" s="36">
        <f t="shared" si="31"/>
        <v>42</v>
      </c>
      <c r="T38" s="36">
        <f t="shared" si="32"/>
        <v>10200</v>
      </c>
      <c r="U38" s="36">
        <f t="shared" si="33"/>
        <v>128.52000000000001</v>
      </c>
      <c r="V38" s="22">
        <f t="shared" si="18"/>
        <v>36297</v>
      </c>
      <c r="W38" s="108">
        <v>28.1</v>
      </c>
      <c r="X38" s="108">
        <v>29.08</v>
      </c>
      <c r="Y38" s="40">
        <f>(+X38-W38)/W38</f>
        <v>3.4875444839857536E-2</v>
      </c>
      <c r="Z38" s="108">
        <v>30.1</v>
      </c>
      <c r="AA38" s="40">
        <f t="shared" si="34"/>
        <v>3.5075653370013865E-2</v>
      </c>
      <c r="AB38" s="37"/>
      <c r="AD38" s="79"/>
      <c r="AE38" s="80" t="str">
        <f t="shared" si="35"/>
        <v xml:space="preserve"> </v>
      </c>
      <c r="AF38" s="92">
        <f t="shared" si="36"/>
        <v>0.1</v>
      </c>
      <c r="AG38" s="80">
        <f t="shared" si="37"/>
        <v>6260.8</v>
      </c>
    </row>
    <row r="39" spans="1:33" ht="15.95" customHeight="1" x14ac:dyDescent="0.25">
      <c r="A39" s="87">
        <v>1</v>
      </c>
      <c r="B39" s="104">
        <v>25</v>
      </c>
      <c r="C39" s="89">
        <v>2080</v>
      </c>
      <c r="D39" s="89">
        <v>212.5</v>
      </c>
      <c r="E39" s="37">
        <f t="shared" si="21"/>
        <v>2292.5</v>
      </c>
      <c r="F39" s="102">
        <v>61007</v>
      </c>
      <c r="G39" s="102">
        <v>9346</v>
      </c>
      <c r="H39" s="36">
        <v>200</v>
      </c>
      <c r="I39" s="36">
        <f t="shared" si="22"/>
        <v>70553</v>
      </c>
      <c r="J39" s="105">
        <v>30.1</v>
      </c>
      <c r="K39" s="36">
        <f t="shared" si="23"/>
        <v>62608</v>
      </c>
      <c r="L39" s="36">
        <f t="shared" si="24"/>
        <v>9594.375</v>
      </c>
      <c r="M39" s="36">
        <f t="shared" si="25"/>
        <v>72202.375</v>
      </c>
      <c r="N39" s="36">
        <f t="shared" si="26"/>
        <v>72202.375</v>
      </c>
      <c r="O39" s="36">
        <f t="shared" si="27"/>
        <v>4476.5472499999996</v>
      </c>
      <c r="P39" s="36">
        <f t="shared" si="28"/>
        <v>72202.375</v>
      </c>
      <c r="Q39" s="36">
        <f t="shared" si="29"/>
        <v>1046.9344375000001</v>
      </c>
      <c r="R39" s="36">
        <f t="shared" si="30"/>
        <v>7000</v>
      </c>
      <c r="S39" s="36">
        <f t="shared" si="31"/>
        <v>42</v>
      </c>
      <c r="T39" s="36">
        <f t="shared" si="32"/>
        <v>10200</v>
      </c>
      <c r="U39" s="36">
        <f t="shared" si="33"/>
        <v>128.52000000000001</v>
      </c>
      <c r="V39" s="22">
        <f t="shared" si="18"/>
        <v>36297</v>
      </c>
      <c r="W39" s="108">
        <v>28.1</v>
      </c>
      <c r="X39" s="108">
        <v>29.08</v>
      </c>
      <c r="Y39" s="40">
        <f>(+X39-W39)/W39</f>
        <v>3.4875444839857536E-2</v>
      </c>
      <c r="Z39" s="108">
        <v>30.1</v>
      </c>
      <c r="AA39" s="40">
        <f t="shared" si="34"/>
        <v>3.5075653370013865E-2</v>
      </c>
      <c r="AB39" s="37"/>
      <c r="AD39" s="79"/>
      <c r="AE39" s="80" t="str">
        <f t="shared" si="35"/>
        <v xml:space="preserve"> </v>
      </c>
      <c r="AF39" s="92">
        <f t="shared" si="36"/>
        <v>0.1</v>
      </c>
      <c r="AG39" s="80">
        <f t="shared" si="37"/>
        <v>6260.8</v>
      </c>
    </row>
    <row r="40" spans="1:33" ht="15.95" customHeight="1" x14ac:dyDescent="0.25">
      <c r="A40" s="87">
        <v>1</v>
      </c>
      <c r="B40" s="104">
        <v>26</v>
      </c>
      <c r="C40" s="89">
        <v>2088</v>
      </c>
      <c r="D40" s="89">
        <v>8.5</v>
      </c>
      <c r="E40" s="37">
        <f t="shared" si="21"/>
        <v>2096.5</v>
      </c>
      <c r="F40" s="102">
        <v>42208</v>
      </c>
      <c r="G40" s="102">
        <v>256</v>
      </c>
      <c r="H40" s="36">
        <v>200</v>
      </c>
      <c r="I40" s="36">
        <f t="shared" si="22"/>
        <v>42664</v>
      </c>
      <c r="J40" s="105">
        <v>20.74</v>
      </c>
      <c r="K40" s="36">
        <f t="shared" si="23"/>
        <v>43139.199999999997</v>
      </c>
      <c r="L40" s="36">
        <f t="shared" si="24"/>
        <v>264.435</v>
      </c>
      <c r="M40" s="36">
        <f t="shared" si="25"/>
        <v>43403.634999999995</v>
      </c>
      <c r="N40" s="36">
        <f t="shared" si="26"/>
        <v>43403.634999999995</v>
      </c>
      <c r="O40" s="36">
        <f t="shared" si="27"/>
        <v>2691.0253699999998</v>
      </c>
      <c r="P40" s="36">
        <f t="shared" si="28"/>
        <v>43403.634999999995</v>
      </c>
      <c r="Q40" s="36">
        <f t="shared" si="29"/>
        <v>629.35270749999995</v>
      </c>
      <c r="R40" s="36">
        <f t="shared" si="30"/>
        <v>7000</v>
      </c>
      <c r="S40" s="36">
        <f t="shared" si="31"/>
        <v>42</v>
      </c>
      <c r="T40" s="36">
        <f t="shared" si="32"/>
        <v>10200</v>
      </c>
      <c r="U40" s="36">
        <f t="shared" si="33"/>
        <v>128.52000000000001</v>
      </c>
      <c r="V40" s="22">
        <f t="shared" si="18"/>
        <v>36297</v>
      </c>
      <c r="W40" s="108">
        <v>19.36</v>
      </c>
      <c r="X40" s="108">
        <v>20.04</v>
      </c>
      <c r="Y40" s="40">
        <f>(+X40-W40)/W40</f>
        <v>3.5123966942148747E-2</v>
      </c>
      <c r="Z40" s="108">
        <v>20.74</v>
      </c>
      <c r="AA40" s="40">
        <f t="shared" si="34"/>
        <v>3.4930139720558848E-2</v>
      </c>
      <c r="AB40" s="37"/>
      <c r="AD40" s="79"/>
      <c r="AE40" s="80" t="str">
        <f t="shared" si="35"/>
        <v xml:space="preserve"> </v>
      </c>
      <c r="AF40" s="92">
        <f t="shared" si="36"/>
        <v>0.1</v>
      </c>
      <c r="AG40" s="80">
        <f t="shared" si="37"/>
        <v>4313.92</v>
      </c>
    </row>
    <row r="41" spans="1:33" ht="15.95" customHeight="1" x14ac:dyDescent="0.25">
      <c r="A41" s="87">
        <v>1</v>
      </c>
      <c r="B41" s="104">
        <v>27</v>
      </c>
      <c r="C41" s="89">
        <v>2088</v>
      </c>
      <c r="D41" s="89">
        <v>23.5</v>
      </c>
      <c r="E41" s="37">
        <f t="shared" si="21"/>
        <v>2111.5</v>
      </c>
      <c r="F41" s="102">
        <v>45454</v>
      </c>
      <c r="G41" s="102">
        <v>771</v>
      </c>
      <c r="H41" s="36">
        <v>200</v>
      </c>
      <c r="I41" s="36">
        <f t="shared" si="22"/>
        <v>46425</v>
      </c>
      <c r="J41" s="105">
        <v>22.34</v>
      </c>
      <c r="K41" s="36">
        <f t="shared" si="23"/>
        <v>46467.199999999997</v>
      </c>
      <c r="L41" s="36">
        <f t="shared" si="24"/>
        <v>787.48500000000001</v>
      </c>
      <c r="M41" s="36">
        <f t="shared" si="25"/>
        <v>47254.684999999998</v>
      </c>
      <c r="N41" s="36">
        <f t="shared" si="26"/>
        <v>47254.684999999998</v>
      </c>
      <c r="O41" s="36">
        <f t="shared" si="27"/>
        <v>2929.7904699999999</v>
      </c>
      <c r="P41" s="36">
        <f t="shared" si="28"/>
        <v>47254.684999999998</v>
      </c>
      <c r="Q41" s="36">
        <f t="shared" si="29"/>
        <v>685.19293249999998</v>
      </c>
      <c r="R41" s="36">
        <f t="shared" si="30"/>
        <v>7000</v>
      </c>
      <c r="S41" s="36">
        <f t="shared" si="31"/>
        <v>42</v>
      </c>
      <c r="T41" s="36">
        <f t="shared" si="32"/>
        <v>10200</v>
      </c>
      <c r="U41" s="36">
        <f t="shared" si="33"/>
        <v>128.52000000000001</v>
      </c>
      <c r="V41" s="22">
        <f>DATE(2004,7,28)</f>
        <v>38196</v>
      </c>
      <c r="W41" s="108">
        <v>20.85</v>
      </c>
      <c r="X41" s="108">
        <v>21.58</v>
      </c>
      <c r="Y41" s="40">
        <f>(+X41-W41)/W41</f>
        <v>3.5011990407673707E-2</v>
      </c>
      <c r="Z41" s="108">
        <v>22.34</v>
      </c>
      <c r="AA41" s="40">
        <f t="shared" si="34"/>
        <v>3.5217794253938908E-2</v>
      </c>
      <c r="AB41" s="37"/>
      <c r="AD41" s="79"/>
      <c r="AE41" s="80" t="str">
        <f t="shared" si="35"/>
        <v xml:space="preserve"> </v>
      </c>
      <c r="AF41" s="92">
        <f t="shared" si="36"/>
        <v>0.1</v>
      </c>
      <c r="AG41" s="80">
        <f t="shared" si="37"/>
        <v>4646.72</v>
      </c>
    </row>
    <row r="42" spans="1:33" ht="15.95" customHeight="1" x14ac:dyDescent="0.25">
      <c r="A42" s="87">
        <v>1</v>
      </c>
      <c r="B42" s="104">
        <v>28</v>
      </c>
      <c r="C42" s="89">
        <v>2083</v>
      </c>
      <c r="D42" s="89">
        <v>904.5</v>
      </c>
      <c r="E42" s="37">
        <f t="shared" si="21"/>
        <v>2987.5</v>
      </c>
      <c r="F42" s="102">
        <v>61546</v>
      </c>
      <c r="G42" s="102">
        <v>40118</v>
      </c>
      <c r="H42" s="36">
        <v>200</v>
      </c>
      <c r="I42" s="36">
        <f t="shared" si="22"/>
        <v>101864</v>
      </c>
      <c r="J42" s="105">
        <v>30.32</v>
      </c>
      <c r="K42" s="36">
        <f t="shared" si="23"/>
        <v>63065.599999999999</v>
      </c>
      <c r="L42" s="36">
        <f t="shared" si="24"/>
        <v>41136.659999999996</v>
      </c>
      <c r="M42" s="36">
        <f t="shared" si="25"/>
        <v>104202.26</v>
      </c>
      <c r="N42" s="36">
        <f t="shared" si="26"/>
        <v>104202.26</v>
      </c>
      <c r="O42" s="36">
        <f t="shared" si="27"/>
        <v>6460.5401199999997</v>
      </c>
      <c r="P42" s="36">
        <f t="shared" si="28"/>
        <v>104202.26</v>
      </c>
      <c r="Q42" s="36">
        <f t="shared" si="29"/>
        <v>1510.9327699999999</v>
      </c>
      <c r="R42" s="36">
        <f t="shared" si="30"/>
        <v>7000</v>
      </c>
      <c r="S42" s="36">
        <f t="shared" si="31"/>
        <v>42</v>
      </c>
      <c r="T42" s="36">
        <f t="shared" si="32"/>
        <v>10200</v>
      </c>
      <c r="U42" s="36">
        <f t="shared" si="33"/>
        <v>128.52000000000001</v>
      </c>
      <c r="V42" s="22">
        <f>DATE(1999,5,17)</f>
        <v>36297</v>
      </c>
      <c r="W42" s="108">
        <v>28.3</v>
      </c>
      <c r="X42" s="108">
        <v>29.29</v>
      </c>
      <c r="Y42" s="40">
        <f>IF(W42=0,0,(+X42-W42)/W42)</f>
        <v>3.4982332155476976E-2</v>
      </c>
      <c r="Z42" s="108">
        <v>30.32</v>
      </c>
      <c r="AA42" s="40">
        <f t="shared" si="34"/>
        <v>3.516558552406969E-2</v>
      </c>
      <c r="AB42" s="37"/>
      <c r="AD42" s="79"/>
      <c r="AE42" s="80" t="str">
        <f t="shared" si="35"/>
        <v xml:space="preserve"> </v>
      </c>
      <c r="AF42" s="92">
        <f t="shared" si="36"/>
        <v>0.1</v>
      </c>
      <c r="AG42" s="80">
        <f t="shared" si="37"/>
        <v>6306.56</v>
      </c>
    </row>
    <row r="43" spans="1:33" ht="15.95" customHeight="1" x14ac:dyDescent="0.25">
      <c r="A43" s="87">
        <v>1</v>
      </c>
      <c r="B43" s="104">
        <v>29</v>
      </c>
      <c r="C43" s="89">
        <v>2088</v>
      </c>
      <c r="D43" s="89">
        <v>22.5</v>
      </c>
      <c r="E43" s="37">
        <f t="shared" si="21"/>
        <v>2110.5</v>
      </c>
      <c r="F43" s="102">
        <v>45454</v>
      </c>
      <c r="G43" s="102">
        <v>731</v>
      </c>
      <c r="H43" s="36">
        <v>200</v>
      </c>
      <c r="I43" s="36">
        <f t="shared" si="22"/>
        <v>46385</v>
      </c>
      <c r="J43" s="105">
        <v>22.34</v>
      </c>
      <c r="K43" s="36">
        <f t="shared" si="23"/>
        <v>46467.199999999997</v>
      </c>
      <c r="L43" s="36">
        <f t="shared" si="24"/>
        <v>753.97499999999991</v>
      </c>
      <c r="M43" s="36">
        <f t="shared" si="25"/>
        <v>47221.174999999996</v>
      </c>
      <c r="N43" s="36">
        <f t="shared" si="26"/>
        <v>47221.174999999996</v>
      </c>
      <c r="O43" s="36">
        <f t="shared" si="27"/>
        <v>2927.7128499999999</v>
      </c>
      <c r="P43" s="36">
        <f t="shared" si="28"/>
        <v>47221.174999999996</v>
      </c>
      <c r="Q43" s="36">
        <f t="shared" si="29"/>
        <v>684.70703749999996</v>
      </c>
      <c r="R43" s="36">
        <f t="shared" si="30"/>
        <v>7000</v>
      </c>
      <c r="S43" s="36">
        <f t="shared" si="31"/>
        <v>42</v>
      </c>
      <c r="T43" s="36">
        <f t="shared" si="32"/>
        <v>10200</v>
      </c>
      <c r="U43" s="36">
        <f t="shared" si="33"/>
        <v>128.52000000000001</v>
      </c>
      <c r="V43" s="22">
        <f>DATE(1999,5,17)</f>
        <v>36297</v>
      </c>
      <c r="W43" s="108">
        <v>20.85</v>
      </c>
      <c r="X43" s="108">
        <v>21.58</v>
      </c>
      <c r="Y43" s="40">
        <f t="shared" ref="Y43:Y52" si="38">(+X43-W43)/W43</f>
        <v>3.5011990407673707E-2</v>
      </c>
      <c r="Z43" s="108">
        <v>22.34</v>
      </c>
      <c r="AA43" s="40">
        <f t="shared" si="34"/>
        <v>3.5217794253938908E-2</v>
      </c>
      <c r="AB43" s="37"/>
      <c r="AD43" s="79"/>
      <c r="AE43" s="80" t="str">
        <f t="shared" si="35"/>
        <v xml:space="preserve"> </v>
      </c>
      <c r="AF43" s="92">
        <f t="shared" si="36"/>
        <v>0.1</v>
      </c>
      <c r="AG43" s="80">
        <f t="shared" si="37"/>
        <v>4646.72</v>
      </c>
    </row>
    <row r="44" spans="1:33" ht="15.95" customHeight="1" x14ac:dyDescent="0.25">
      <c r="A44" s="87">
        <v>1</v>
      </c>
      <c r="B44" s="104">
        <v>30</v>
      </c>
      <c r="C44" s="89">
        <v>2088</v>
      </c>
      <c r="D44" s="89">
        <v>871.3</v>
      </c>
      <c r="E44" s="37">
        <f t="shared" si="21"/>
        <v>2959.3</v>
      </c>
      <c r="F44" s="102">
        <v>61693</v>
      </c>
      <c r="G44" s="102">
        <v>38594</v>
      </c>
      <c r="H44" s="36">
        <v>200</v>
      </c>
      <c r="I44" s="36">
        <f t="shared" si="22"/>
        <v>100487</v>
      </c>
      <c r="J44" s="105">
        <v>30.32</v>
      </c>
      <c r="K44" s="36">
        <f t="shared" si="23"/>
        <v>63065.599999999999</v>
      </c>
      <c r="L44" s="36">
        <f t="shared" si="24"/>
        <v>39626.724000000002</v>
      </c>
      <c r="M44" s="36">
        <f t="shared" si="25"/>
        <v>102692.32399999999</v>
      </c>
      <c r="N44" s="36">
        <f t="shared" si="26"/>
        <v>102692.32399999999</v>
      </c>
      <c r="O44" s="36">
        <f t="shared" si="27"/>
        <v>6366.9240879999998</v>
      </c>
      <c r="P44" s="36">
        <f t="shared" si="28"/>
        <v>102692.32399999999</v>
      </c>
      <c r="Q44" s="36">
        <f t="shared" si="29"/>
        <v>1489.0386980000001</v>
      </c>
      <c r="R44" s="36">
        <f t="shared" si="30"/>
        <v>7000</v>
      </c>
      <c r="S44" s="36">
        <f t="shared" si="31"/>
        <v>42</v>
      </c>
      <c r="T44" s="36">
        <f t="shared" si="32"/>
        <v>10200</v>
      </c>
      <c r="U44" s="36">
        <f t="shared" si="33"/>
        <v>128.52000000000001</v>
      </c>
      <c r="V44" s="22">
        <f>DATE(1999,5,17)</f>
        <v>36297</v>
      </c>
      <c r="W44" s="108">
        <v>28.3</v>
      </c>
      <c r="X44" s="108">
        <v>29.29</v>
      </c>
      <c r="Y44" s="40">
        <f t="shared" si="38"/>
        <v>3.4982332155476976E-2</v>
      </c>
      <c r="Z44" s="108">
        <v>30.32</v>
      </c>
      <c r="AA44" s="40">
        <f t="shared" si="34"/>
        <v>3.516558552406969E-2</v>
      </c>
      <c r="AB44" s="37"/>
      <c r="AD44" s="79"/>
      <c r="AE44" s="80" t="str">
        <f t="shared" si="35"/>
        <v xml:space="preserve"> </v>
      </c>
      <c r="AF44" s="92">
        <f t="shared" si="36"/>
        <v>0.1</v>
      </c>
      <c r="AG44" s="80">
        <f t="shared" si="37"/>
        <v>6306.56</v>
      </c>
    </row>
    <row r="45" spans="1:33" ht="15.95" customHeight="1" x14ac:dyDescent="0.25">
      <c r="A45" s="87">
        <v>1</v>
      </c>
      <c r="B45" s="104">
        <v>31</v>
      </c>
      <c r="C45" s="89">
        <v>2012</v>
      </c>
      <c r="D45" s="89">
        <v>356.5</v>
      </c>
      <c r="E45" s="37">
        <f t="shared" si="21"/>
        <v>2368.5</v>
      </c>
      <c r="F45" s="102">
        <v>60478</v>
      </c>
      <c r="G45" s="102">
        <v>15980</v>
      </c>
      <c r="H45" s="36">
        <v>200</v>
      </c>
      <c r="I45" s="36">
        <f t="shared" si="22"/>
        <v>76658</v>
      </c>
      <c r="J45" s="105">
        <v>30.83</v>
      </c>
      <c r="K45" s="36">
        <f t="shared" si="23"/>
        <v>64126.399999999994</v>
      </c>
      <c r="L45" s="36">
        <f t="shared" si="24"/>
        <v>16486.342499999999</v>
      </c>
      <c r="M45" s="36">
        <f t="shared" si="25"/>
        <v>80612.742499999993</v>
      </c>
      <c r="N45" s="36">
        <f t="shared" si="26"/>
        <v>80612.742499999993</v>
      </c>
      <c r="O45" s="36">
        <f t="shared" si="27"/>
        <v>4997.9900349999998</v>
      </c>
      <c r="P45" s="36">
        <f t="shared" si="28"/>
        <v>80612.742499999993</v>
      </c>
      <c r="Q45" s="36">
        <f t="shared" si="29"/>
        <v>1168.88476625</v>
      </c>
      <c r="R45" s="36">
        <f t="shared" si="30"/>
        <v>7000</v>
      </c>
      <c r="S45" s="36">
        <f t="shared" si="31"/>
        <v>42</v>
      </c>
      <c r="T45" s="36">
        <f t="shared" si="32"/>
        <v>10200</v>
      </c>
      <c r="U45" s="36">
        <f t="shared" si="33"/>
        <v>128.52000000000001</v>
      </c>
      <c r="V45" s="22">
        <f>DATE(1999,5,17)</f>
        <v>36297</v>
      </c>
      <c r="W45" s="108">
        <v>28.78</v>
      </c>
      <c r="X45" s="108">
        <v>29.79</v>
      </c>
      <c r="Y45" s="40">
        <f t="shared" si="38"/>
        <v>3.5093815149409242E-2</v>
      </c>
      <c r="Z45" s="108">
        <v>30.83</v>
      </c>
      <c r="AA45" s="40">
        <f t="shared" si="34"/>
        <v>3.4911043974488055E-2</v>
      </c>
      <c r="AB45" s="37"/>
      <c r="AD45" s="79"/>
      <c r="AE45" s="80" t="str">
        <f t="shared" si="35"/>
        <v xml:space="preserve"> </v>
      </c>
      <c r="AF45" s="92">
        <f t="shared" si="36"/>
        <v>0.1</v>
      </c>
      <c r="AG45" s="80">
        <f t="shared" si="37"/>
        <v>6412.6399999999994</v>
      </c>
    </row>
    <row r="46" spans="1:33" ht="15.95" customHeight="1" x14ac:dyDescent="0.25">
      <c r="A46" s="87">
        <v>1</v>
      </c>
      <c r="B46" s="104">
        <v>32</v>
      </c>
      <c r="C46" s="89">
        <v>2020</v>
      </c>
      <c r="D46" s="89">
        <v>559.5</v>
      </c>
      <c r="E46" s="37">
        <f t="shared" si="21"/>
        <v>2579.5</v>
      </c>
      <c r="F46" s="102">
        <v>60717</v>
      </c>
      <c r="G46" s="102">
        <v>25101</v>
      </c>
      <c r="H46" s="36">
        <v>200</v>
      </c>
      <c r="I46" s="36">
        <f t="shared" si="22"/>
        <v>86018</v>
      </c>
      <c r="J46" s="105">
        <v>30.83</v>
      </c>
      <c r="K46" s="36">
        <f t="shared" si="23"/>
        <v>64126.399999999994</v>
      </c>
      <c r="L46" s="36">
        <f t="shared" si="24"/>
        <v>25874.077499999999</v>
      </c>
      <c r="M46" s="36">
        <f t="shared" si="25"/>
        <v>90000.477499999994</v>
      </c>
      <c r="N46" s="36">
        <f t="shared" si="26"/>
        <v>90000.477499999994</v>
      </c>
      <c r="O46" s="36">
        <f t="shared" si="27"/>
        <v>5580.0296049999997</v>
      </c>
      <c r="P46" s="36">
        <f t="shared" si="28"/>
        <v>90000.477499999994</v>
      </c>
      <c r="Q46" s="36">
        <f t="shared" si="29"/>
        <v>1305.0069237499999</v>
      </c>
      <c r="R46" s="36">
        <f t="shared" si="30"/>
        <v>7000</v>
      </c>
      <c r="S46" s="36">
        <f t="shared" si="31"/>
        <v>42</v>
      </c>
      <c r="T46" s="36">
        <f t="shared" si="32"/>
        <v>10200</v>
      </c>
      <c r="U46" s="36">
        <f t="shared" si="33"/>
        <v>128.52000000000001</v>
      </c>
      <c r="V46" s="22">
        <f>DATE(1999,5,17)</f>
        <v>36297</v>
      </c>
      <c r="W46" s="108">
        <v>28.78</v>
      </c>
      <c r="X46" s="108">
        <v>29.79</v>
      </c>
      <c r="Y46" s="40">
        <f t="shared" si="38"/>
        <v>3.5093815149409242E-2</v>
      </c>
      <c r="Z46" s="108">
        <v>30.83</v>
      </c>
      <c r="AA46" s="40">
        <f t="shared" si="34"/>
        <v>3.4911043974488055E-2</v>
      </c>
      <c r="AB46" s="37"/>
      <c r="AD46" s="79"/>
      <c r="AE46" s="80" t="str">
        <f t="shared" si="35"/>
        <v xml:space="preserve"> </v>
      </c>
      <c r="AF46" s="92">
        <f t="shared" si="36"/>
        <v>0.1</v>
      </c>
      <c r="AG46" s="80">
        <f t="shared" si="37"/>
        <v>6412.6399999999994</v>
      </c>
    </row>
    <row r="47" spans="1:33" ht="15.95" customHeight="1" x14ac:dyDescent="0.25">
      <c r="A47" s="87">
        <v>1</v>
      </c>
      <c r="B47" s="104">
        <v>33</v>
      </c>
      <c r="C47" s="89">
        <v>2088</v>
      </c>
      <c r="D47" s="89">
        <v>544</v>
      </c>
      <c r="E47" s="37">
        <f t="shared" si="21"/>
        <v>2632</v>
      </c>
      <c r="F47" s="102">
        <v>61693</v>
      </c>
      <c r="G47" s="102">
        <v>24113</v>
      </c>
      <c r="H47" s="36">
        <v>200</v>
      </c>
      <c r="I47" s="36">
        <f t="shared" si="22"/>
        <v>86006</v>
      </c>
      <c r="J47" s="105">
        <v>30.32</v>
      </c>
      <c r="K47" s="36">
        <f t="shared" si="23"/>
        <v>63065.599999999999</v>
      </c>
      <c r="L47" s="36">
        <f t="shared" si="24"/>
        <v>24741.120000000003</v>
      </c>
      <c r="M47" s="36">
        <f t="shared" si="25"/>
        <v>87806.720000000001</v>
      </c>
      <c r="N47" s="36">
        <f t="shared" si="26"/>
        <v>87806.720000000001</v>
      </c>
      <c r="O47" s="36">
        <f t="shared" si="27"/>
        <v>5444.0166399999998</v>
      </c>
      <c r="P47" s="36">
        <f t="shared" si="28"/>
        <v>87806.720000000001</v>
      </c>
      <c r="Q47" s="36">
        <f t="shared" si="29"/>
        <v>1273.1974400000001</v>
      </c>
      <c r="R47" s="36">
        <f t="shared" si="30"/>
        <v>7000</v>
      </c>
      <c r="S47" s="36">
        <f t="shared" si="31"/>
        <v>42</v>
      </c>
      <c r="T47" s="36">
        <f t="shared" si="32"/>
        <v>10200</v>
      </c>
      <c r="U47" s="36">
        <f t="shared" si="33"/>
        <v>128.52000000000001</v>
      </c>
      <c r="V47" s="22">
        <f>DATE(2003,12,15)</f>
        <v>37970</v>
      </c>
      <c r="W47" s="108">
        <v>28.3</v>
      </c>
      <c r="X47" s="108">
        <v>29.29</v>
      </c>
      <c r="Y47" s="40">
        <f t="shared" si="38"/>
        <v>3.4982332155476976E-2</v>
      </c>
      <c r="Z47" s="108">
        <v>30.32</v>
      </c>
      <c r="AA47" s="40">
        <f t="shared" si="34"/>
        <v>3.516558552406969E-2</v>
      </c>
      <c r="AB47" s="37"/>
      <c r="AD47" s="79"/>
      <c r="AE47" s="80" t="str">
        <f t="shared" si="35"/>
        <v xml:space="preserve"> </v>
      </c>
      <c r="AF47" s="92">
        <f t="shared" si="36"/>
        <v>0.1</v>
      </c>
      <c r="AG47" s="80">
        <f t="shared" si="37"/>
        <v>6306.56</v>
      </c>
    </row>
    <row r="48" spans="1:33" ht="15.95" customHeight="1" x14ac:dyDescent="0.25">
      <c r="A48" s="87">
        <v>1</v>
      </c>
      <c r="B48" s="104">
        <v>34</v>
      </c>
      <c r="C48" s="89">
        <v>1977.5</v>
      </c>
      <c r="D48" s="89">
        <v>135.5</v>
      </c>
      <c r="E48" s="37">
        <f t="shared" si="21"/>
        <v>2113</v>
      </c>
      <c r="F48" s="102">
        <v>46989</v>
      </c>
      <c r="G48" s="102">
        <v>4801</v>
      </c>
      <c r="H48" s="36">
        <v>200</v>
      </c>
      <c r="I48" s="36">
        <f t="shared" si="22"/>
        <v>51990</v>
      </c>
      <c r="J48" s="105">
        <v>24.38</v>
      </c>
      <c r="K48" s="36">
        <f t="shared" si="23"/>
        <v>50710.400000000001</v>
      </c>
      <c r="L48" s="36">
        <f t="shared" si="24"/>
        <v>4955.2349999999997</v>
      </c>
      <c r="M48" s="36">
        <f t="shared" si="25"/>
        <v>55665.635000000002</v>
      </c>
      <c r="N48" s="36">
        <f t="shared" si="26"/>
        <v>55665.635000000002</v>
      </c>
      <c r="O48" s="36">
        <f t="shared" si="27"/>
        <v>3451.26937</v>
      </c>
      <c r="P48" s="36">
        <f t="shared" si="28"/>
        <v>55665.635000000002</v>
      </c>
      <c r="Q48" s="36">
        <f t="shared" si="29"/>
        <v>807.15170750000004</v>
      </c>
      <c r="R48" s="36">
        <f t="shared" si="30"/>
        <v>7000</v>
      </c>
      <c r="S48" s="36">
        <f t="shared" si="31"/>
        <v>42</v>
      </c>
      <c r="T48" s="36">
        <f t="shared" si="32"/>
        <v>10200</v>
      </c>
      <c r="U48" s="36">
        <f t="shared" si="33"/>
        <v>128.52000000000001</v>
      </c>
      <c r="V48" s="22">
        <f>DATE(1986,9,16)</f>
        <v>31671</v>
      </c>
      <c r="W48" s="108">
        <v>22.76</v>
      </c>
      <c r="X48" s="108">
        <v>23.56</v>
      </c>
      <c r="Y48" s="40">
        <f t="shared" si="38"/>
        <v>3.514938488576437E-2</v>
      </c>
      <c r="Z48" s="108">
        <v>24.38</v>
      </c>
      <c r="AA48" s="40">
        <f t="shared" si="34"/>
        <v>3.4804753820033972E-2</v>
      </c>
      <c r="AB48" s="37"/>
      <c r="AD48" s="79"/>
      <c r="AE48" s="80" t="str">
        <f t="shared" si="35"/>
        <v xml:space="preserve"> </v>
      </c>
      <c r="AF48" s="92">
        <f t="shared" si="36"/>
        <v>0.1</v>
      </c>
      <c r="AG48" s="80">
        <f t="shared" si="37"/>
        <v>5071.0400000000009</v>
      </c>
    </row>
    <row r="49" spans="1:33" ht="15.95" customHeight="1" x14ac:dyDescent="0.25">
      <c r="A49" s="87">
        <v>1</v>
      </c>
      <c r="B49" s="104">
        <v>35</v>
      </c>
      <c r="C49" s="89">
        <v>2026</v>
      </c>
      <c r="D49" s="89">
        <v>463.5</v>
      </c>
      <c r="E49" s="37">
        <f t="shared" si="21"/>
        <v>2489.5</v>
      </c>
      <c r="F49" s="102">
        <v>60097</v>
      </c>
      <c r="G49" s="102">
        <v>20516</v>
      </c>
      <c r="H49" s="36">
        <v>200</v>
      </c>
      <c r="I49" s="36">
        <f t="shared" si="22"/>
        <v>80813</v>
      </c>
      <c r="J49" s="105">
        <v>30.83</v>
      </c>
      <c r="K49" s="36">
        <f t="shared" si="23"/>
        <v>64126.399999999994</v>
      </c>
      <c r="L49" s="36">
        <f t="shared" si="24"/>
        <v>21434.557499999999</v>
      </c>
      <c r="M49" s="36">
        <f t="shared" si="25"/>
        <v>85560.95749999999</v>
      </c>
      <c r="N49" s="36">
        <f t="shared" si="26"/>
        <v>85560.95749999999</v>
      </c>
      <c r="O49" s="36">
        <f t="shared" si="27"/>
        <v>5304.7793649999994</v>
      </c>
      <c r="P49" s="36">
        <f t="shared" si="28"/>
        <v>85560.95749999999</v>
      </c>
      <c r="Q49" s="36">
        <f t="shared" si="29"/>
        <v>1240.63388375</v>
      </c>
      <c r="R49" s="36">
        <f t="shared" si="30"/>
        <v>7000</v>
      </c>
      <c r="S49" s="36">
        <f t="shared" si="31"/>
        <v>42</v>
      </c>
      <c r="T49" s="36">
        <f t="shared" si="32"/>
        <v>10200</v>
      </c>
      <c r="U49" s="36">
        <f t="shared" si="33"/>
        <v>128.52000000000001</v>
      </c>
      <c r="V49" s="22">
        <f>DATE(1999,5,17)</f>
        <v>36297</v>
      </c>
      <c r="W49" s="108">
        <v>28.3</v>
      </c>
      <c r="X49" s="108">
        <v>29.29</v>
      </c>
      <c r="Y49" s="40">
        <f t="shared" si="38"/>
        <v>3.4982332155476976E-2</v>
      </c>
      <c r="Z49" s="108">
        <v>30.83</v>
      </c>
      <c r="AA49" s="40">
        <f t="shared" si="34"/>
        <v>5.2577671560259449E-2</v>
      </c>
      <c r="AB49" s="37" t="s">
        <v>258</v>
      </c>
      <c r="AD49" s="79"/>
      <c r="AE49" s="80" t="str">
        <f t="shared" si="35"/>
        <v xml:space="preserve"> </v>
      </c>
      <c r="AF49" s="92">
        <f t="shared" si="36"/>
        <v>0.1</v>
      </c>
      <c r="AG49" s="80">
        <f t="shared" si="37"/>
        <v>6412.6399999999994</v>
      </c>
    </row>
    <row r="50" spans="1:33" ht="15.95" customHeight="1" x14ac:dyDescent="0.25">
      <c r="A50" s="87">
        <v>1</v>
      </c>
      <c r="B50" s="104">
        <v>36</v>
      </c>
      <c r="C50" s="89">
        <v>2088.25</v>
      </c>
      <c r="D50" s="89">
        <v>34.75</v>
      </c>
      <c r="E50" s="37">
        <f t="shared" si="21"/>
        <v>2123</v>
      </c>
      <c r="F50" s="102">
        <v>45460</v>
      </c>
      <c r="G50" s="102">
        <v>1144</v>
      </c>
      <c r="H50" s="36">
        <v>200</v>
      </c>
      <c r="I50" s="36">
        <f t="shared" si="22"/>
        <v>46804</v>
      </c>
      <c r="J50" s="105">
        <v>22.34</v>
      </c>
      <c r="K50" s="36">
        <f t="shared" si="23"/>
        <v>46467.199999999997</v>
      </c>
      <c r="L50" s="36">
        <f t="shared" si="24"/>
        <v>1164.4724999999999</v>
      </c>
      <c r="M50" s="36">
        <f t="shared" si="25"/>
        <v>47631.672500000001</v>
      </c>
      <c r="N50" s="36">
        <f t="shared" si="26"/>
        <v>47631.672500000001</v>
      </c>
      <c r="O50" s="36">
        <f t="shared" si="27"/>
        <v>2953.1636950000002</v>
      </c>
      <c r="P50" s="36">
        <f t="shared" si="28"/>
        <v>47631.672500000001</v>
      </c>
      <c r="Q50" s="36">
        <f t="shared" si="29"/>
        <v>690.65925125000001</v>
      </c>
      <c r="R50" s="36">
        <f t="shared" si="30"/>
        <v>7000</v>
      </c>
      <c r="S50" s="36">
        <f t="shared" si="31"/>
        <v>42</v>
      </c>
      <c r="T50" s="36">
        <f t="shared" si="32"/>
        <v>10200</v>
      </c>
      <c r="U50" s="36">
        <f t="shared" si="33"/>
        <v>128.52000000000001</v>
      </c>
      <c r="V50" s="22">
        <f>DATE(1999,5,17)</f>
        <v>36297</v>
      </c>
      <c r="W50" s="108">
        <v>20.85</v>
      </c>
      <c r="X50" s="108">
        <v>21.58</v>
      </c>
      <c r="Y50" s="40">
        <f t="shared" si="38"/>
        <v>3.5011990407673707E-2</v>
      </c>
      <c r="Z50" s="108">
        <v>22.34</v>
      </c>
      <c r="AA50" s="40">
        <f t="shared" si="34"/>
        <v>3.5217794253938908E-2</v>
      </c>
      <c r="AB50" s="37"/>
      <c r="AD50" s="79"/>
      <c r="AE50" s="80" t="str">
        <f t="shared" si="35"/>
        <v xml:space="preserve"> </v>
      </c>
      <c r="AF50" s="92">
        <f t="shared" si="36"/>
        <v>0.1</v>
      </c>
      <c r="AG50" s="80">
        <f t="shared" si="37"/>
        <v>4646.72</v>
      </c>
    </row>
    <row r="51" spans="1:33" ht="15.95" customHeight="1" x14ac:dyDescent="0.25">
      <c r="A51" s="87">
        <v>1</v>
      </c>
      <c r="B51" s="104">
        <v>37</v>
      </c>
      <c r="C51" s="89">
        <v>2032</v>
      </c>
      <c r="D51" s="89">
        <v>551.5</v>
      </c>
      <c r="E51" s="37">
        <f t="shared" si="21"/>
        <v>2583.5</v>
      </c>
      <c r="F51" s="102">
        <v>60053</v>
      </c>
      <c r="G51" s="102">
        <v>24352</v>
      </c>
      <c r="H51" s="36">
        <v>200</v>
      </c>
      <c r="I51" s="36">
        <f t="shared" si="22"/>
        <v>84605</v>
      </c>
      <c r="J51" s="105">
        <v>30.32</v>
      </c>
      <c r="K51" s="36">
        <f t="shared" si="23"/>
        <v>63065.599999999999</v>
      </c>
      <c r="L51" s="36">
        <f t="shared" si="24"/>
        <v>25082.22</v>
      </c>
      <c r="M51" s="36">
        <f t="shared" si="25"/>
        <v>88147.82</v>
      </c>
      <c r="N51" s="36">
        <f t="shared" si="26"/>
        <v>88147.82</v>
      </c>
      <c r="O51" s="36">
        <f t="shared" si="27"/>
        <v>5465.1648400000004</v>
      </c>
      <c r="P51" s="36">
        <f t="shared" si="28"/>
        <v>88147.82</v>
      </c>
      <c r="Q51" s="36">
        <f t="shared" si="29"/>
        <v>1278.1433900000002</v>
      </c>
      <c r="R51" s="36">
        <f t="shared" si="30"/>
        <v>7000</v>
      </c>
      <c r="S51" s="36">
        <f t="shared" si="31"/>
        <v>42</v>
      </c>
      <c r="T51" s="36">
        <f t="shared" si="32"/>
        <v>10200</v>
      </c>
      <c r="U51" s="36">
        <f t="shared" si="33"/>
        <v>128.52000000000001</v>
      </c>
      <c r="V51" s="22">
        <f>DATE(1999,5,17)</f>
        <v>36297</v>
      </c>
      <c r="W51" s="108">
        <v>28.3</v>
      </c>
      <c r="X51" s="108">
        <v>29.29</v>
      </c>
      <c r="Y51" s="40">
        <f t="shared" si="38"/>
        <v>3.4982332155476976E-2</v>
      </c>
      <c r="Z51" s="108">
        <v>30.32</v>
      </c>
      <c r="AA51" s="40">
        <f t="shared" si="34"/>
        <v>3.516558552406969E-2</v>
      </c>
      <c r="AB51" s="37"/>
      <c r="AD51" s="79"/>
      <c r="AE51" s="80" t="str">
        <f t="shared" si="35"/>
        <v xml:space="preserve"> </v>
      </c>
      <c r="AF51" s="92">
        <f t="shared" si="36"/>
        <v>0.1</v>
      </c>
      <c r="AG51" s="80">
        <f t="shared" si="37"/>
        <v>6306.56</v>
      </c>
    </row>
    <row r="52" spans="1:33" ht="15.95" customHeight="1" x14ac:dyDescent="0.25">
      <c r="A52" s="87">
        <v>1</v>
      </c>
      <c r="B52" s="104">
        <v>38</v>
      </c>
      <c r="C52" s="89">
        <v>2088</v>
      </c>
      <c r="D52" s="89">
        <v>19.25</v>
      </c>
      <c r="E52" s="37">
        <f t="shared" si="21"/>
        <v>2107.25</v>
      </c>
      <c r="F52" s="102">
        <v>45454</v>
      </c>
      <c r="G52" s="102">
        <v>633</v>
      </c>
      <c r="H52" s="36">
        <v>200</v>
      </c>
      <c r="I52" s="36">
        <f t="shared" si="22"/>
        <v>46287</v>
      </c>
      <c r="J52" s="105">
        <v>22.34</v>
      </c>
      <c r="K52" s="36">
        <f t="shared" si="23"/>
        <v>46467.199999999997</v>
      </c>
      <c r="L52" s="36">
        <f t="shared" si="24"/>
        <v>645.0675</v>
      </c>
      <c r="M52" s="36">
        <f t="shared" si="25"/>
        <v>47112.267499999994</v>
      </c>
      <c r="N52" s="36">
        <f t="shared" si="26"/>
        <v>47112.267499999994</v>
      </c>
      <c r="O52" s="36">
        <f t="shared" si="27"/>
        <v>2920.9605849999998</v>
      </c>
      <c r="P52" s="36">
        <f t="shared" si="28"/>
        <v>47112.267499999994</v>
      </c>
      <c r="Q52" s="36">
        <f t="shared" si="29"/>
        <v>683.12787874999992</v>
      </c>
      <c r="R52" s="36">
        <f t="shared" si="30"/>
        <v>7000</v>
      </c>
      <c r="S52" s="36">
        <f t="shared" si="31"/>
        <v>42</v>
      </c>
      <c r="T52" s="36">
        <f t="shared" si="32"/>
        <v>10200</v>
      </c>
      <c r="U52" s="36">
        <f t="shared" si="33"/>
        <v>128.52000000000001</v>
      </c>
      <c r="V52" s="22">
        <f t="shared" ref="V52:V63" si="39">DATE(1979,8,16)</f>
        <v>29083</v>
      </c>
      <c r="W52" s="108">
        <v>20.85</v>
      </c>
      <c r="X52" s="108">
        <v>21.58</v>
      </c>
      <c r="Y52" s="40">
        <f t="shared" si="38"/>
        <v>3.5011990407673707E-2</v>
      </c>
      <c r="Z52" s="108">
        <v>22.34</v>
      </c>
      <c r="AA52" s="40">
        <f t="shared" si="34"/>
        <v>3.5217794253938908E-2</v>
      </c>
      <c r="AB52" s="37"/>
      <c r="AD52" s="79"/>
      <c r="AE52" s="80" t="str">
        <f t="shared" si="35"/>
        <v xml:space="preserve"> </v>
      </c>
      <c r="AF52" s="92">
        <f t="shared" si="36"/>
        <v>0.1</v>
      </c>
      <c r="AG52" s="80">
        <f t="shared" si="37"/>
        <v>4646.72</v>
      </c>
    </row>
    <row r="53" spans="1:33" ht="15.95" customHeight="1" x14ac:dyDescent="0.25">
      <c r="A53" s="87">
        <v>1</v>
      </c>
      <c r="B53" s="104">
        <v>39</v>
      </c>
      <c r="C53" s="89">
        <v>2088</v>
      </c>
      <c r="D53" s="89">
        <v>83.5</v>
      </c>
      <c r="E53" s="37">
        <f t="shared" si="21"/>
        <v>2171.5</v>
      </c>
      <c r="F53" s="102">
        <v>45454</v>
      </c>
      <c r="G53" s="102">
        <v>2731</v>
      </c>
      <c r="H53" s="36">
        <v>200</v>
      </c>
      <c r="I53" s="36">
        <f t="shared" si="22"/>
        <v>48385</v>
      </c>
      <c r="J53" s="105">
        <v>22.34</v>
      </c>
      <c r="K53" s="36">
        <f t="shared" si="23"/>
        <v>46467.199999999997</v>
      </c>
      <c r="L53" s="36">
        <f t="shared" si="24"/>
        <v>2798.085</v>
      </c>
      <c r="M53" s="36">
        <f t="shared" si="25"/>
        <v>49265.284999999996</v>
      </c>
      <c r="N53" s="36">
        <f t="shared" ref="N53:N62" si="40">IF(M53&lt;$N$8,0+M53,+$N$8)</f>
        <v>49265.284999999996</v>
      </c>
      <c r="O53" s="36">
        <f t="shared" ref="O53:O62" si="41">(N53*$O$8)</f>
        <v>3054.4476699999996</v>
      </c>
      <c r="P53" s="36">
        <f t="shared" ref="P53:P62" si="42">M53</f>
        <v>49265.284999999996</v>
      </c>
      <c r="Q53" s="36">
        <f t="shared" ref="Q53:Q62" si="43">(P53*$Q$8)</f>
        <v>714.34663249999994</v>
      </c>
      <c r="R53" s="36">
        <f t="shared" ref="R53:R62" si="44">IF($N53&lt;$R$8,+N53,+$R$8)</f>
        <v>7000</v>
      </c>
      <c r="S53" s="36">
        <f t="shared" ref="S53:S62" si="45">(R53*$S$8)</f>
        <v>42</v>
      </c>
      <c r="T53" s="36">
        <f t="shared" ref="T53:T62" si="46">IF($N53&lt;$T$8,+N53,+$T$8)</f>
        <v>10200</v>
      </c>
      <c r="U53" s="36">
        <f t="shared" ref="U53:U62" si="47">(T53*$U$8)</f>
        <v>128.52000000000001</v>
      </c>
      <c r="V53" s="22">
        <f t="shared" si="39"/>
        <v>29083</v>
      </c>
      <c r="W53" s="108">
        <v>20.85</v>
      </c>
      <c r="X53" s="108">
        <v>21.58</v>
      </c>
      <c r="Y53" s="40">
        <f t="shared" ref="Y53:Y62" si="48">(+X53-W53)/W53</f>
        <v>3.5011990407673707E-2</v>
      </c>
      <c r="Z53" s="108">
        <v>22.34</v>
      </c>
      <c r="AA53" s="40">
        <f t="shared" ref="AA53:AA62" si="49">(+Z53-X53)/X53</f>
        <v>3.5217794253938908E-2</v>
      </c>
      <c r="AB53" s="37"/>
      <c r="AD53" s="79"/>
      <c r="AE53" s="80" t="str">
        <f t="shared" si="35"/>
        <v xml:space="preserve"> </v>
      </c>
      <c r="AF53" s="92">
        <f t="shared" si="36"/>
        <v>0.1</v>
      </c>
      <c r="AG53" s="80">
        <f t="shared" si="37"/>
        <v>4646.72</v>
      </c>
    </row>
    <row r="54" spans="1:33" ht="15.95" customHeight="1" x14ac:dyDescent="0.25">
      <c r="A54" s="87">
        <v>1</v>
      </c>
      <c r="B54" s="104">
        <v>40</v>
      </c>
      <c r="C54" s="89">
        <v>2088</v>
      </c>
      <c r="D54" s="89">
        <v>20</v>
      </c>
      <c r="E54" s="37">
        <f t="shared" si="21"/>
        <v>2108</v>
      </c>
      <c r="F54" s="102">
        <v>45454</v>
      </c>
      <c r="G54" s="102">
        <v>657</v>
      </c>
      <c r="H54" s="36">
        <v>200</v>
      </c>
      <c r="I54" s="36">
        <f t="shared" si="22"/>
        <v>46311</v>
      </c>
      <c r="J54" s="105">
        <v>22.34</v>
      </c>
      <c r="K54" s="36">
        <f t="shared" si="23"/>
        <v>46467.199999999997</v>
      </c>
      <c r="L54" s="36">
        <f t="shared" si="24"/>
        <v>670.2</v>
      </c>
      <c r="M54" s="36">
        <f t="shared" si="25"/>
        <v>47137.399999999994</v>
      </c>
      <c r="N54" s="36">
        <f t="shared" si="40"/>
        <v>47137.399999999994</v>
      </c>
      <c r="O54" s="36">
        <f t="shared" si="41"/>
        <v>2922.5187999999998</v>
      </c>
      <c r="P54" s="36">
        <f t="shared" si="42"/>
        <v>47137.399999999994</v>
      </c>
      <c r="Q54" s="36">
        <f t="shared" si="43"/>
        <v>683.4923</v>
      </c>
      <c r="R54" s="36">
        <f t="shared" si="44"/>
        <v>7000</v>
      </c>
      <c r="S54" s="36">
        <f t="shared" si="45"/>
        <v>42</v>
      </c>
      <c r="T54" s="36">
        <f t="shared" si="46"/>
        <v>10200</v>
      </c>
      <c r="U54" s="36">
        <f t="shared" si="47"/>
        <v>128.52000000000001</v>
      </c>
      <c r="V54" s="22">
        <f t="shared" si="39"/>
        <v>29083</v>
      </c>
      <c r="W54" s="108">
        <v>20.85</v>
      </c>
      <c r="X54" s="108">
        <v>21.58</v>
      </c>
      <c r="Y54" s="40">
        <f t="shared" si="48"/>
        <v>3.5011990407673707E-2</v>
      </c>
      <c r="Z54" s="108">
        <v>22.34</v>
      </c>
      <c r="AA54" s="40">
        <f t="shared" si="49"/>
        <v>3.5217794253938908E-2</v>
      </c>
      <c r="AB54" s="37"/>
      <c r="AD54" s="79"/>
      <c r="AE54" s="80" t="str">
        <f t="shared" si="35"/>
        <v xml:space="preserve"> </v>
      </c>
      <c r="AF54" s="92">
        <f t="shared" si="36"/>
        <v>0.1</v>
      </c>
      <c r="AG54" s="80">
        <f t="shared" si="37"/>
        <v>4646.72</v>
      </c>
    </row>
    <row r="55" spans="1:33" ht="15.95" customHeight="1" x14ac:dyDescent="0.25">
      <c r="A55" s="87">
        <v>1</v>
      </c>
      <c r="B55" s="104">
        <v>41</v>
      </c>
      <c r="C55" s="89">
        <v>2050</v>
      </c>
      <c r="D55" s="89">
        <v>367</v>
      </c>
      <c r="E55" s="37">
        <f t="shared" si="21"/>
        <v>2417</v>
      </c>
      <c r="F55" s="102">
        <v>60580</v>
      </c>
      <c r="G55" s="102">
        <v>16210</v>
      </c>
      <c r="H55" s="36">
        <v>200</v>
      </c>
      <c r="I55" s="36">
        <f t="shared" si="22"/>
        <v>76990</v>
      </c>
      <c r="J55" s="105">
        <v>30.32</v>
      </c>
      <c r="K55" s="36">
        <f t="shared" si="23"/>
        <v>63065.599999999999</v>
      </c>
      <c r="L55" s="36">
        <f t="shared" si="24"/>
        <v>16691.16</v>
      </c>
      <c r="M55" s="36">
        <f t="shared" si="25"/>
        <v>79756.759999999995</v>
      </c>
      <c r="N55" s="36">
        <f t="shared" si="40"/>
        <v>79756.759999999995</v>
      </c>
      <c r="O55" s="36">
        <f t="shared" si="41"/>
        <v>4944.9191199999996</v>
      </c>
      <c r="P55" s="36">
        <f t="shared" si="42"/>
        <v>79756.759999999995</v>
      </c>
      <c r="Q55" s="36">
        <f t="shared" si="43"/>
        <v>1156.4730199999999</v>
      </c>
      <c r="R55" s="36">
        <f t="shared" si="44"/>
        <v>7000</v>
      </c>
      <c r="S55" s="36">
        <f t="shared" si="45"/>
        <v>42</v>
      </c>
      <c r="T55" s="36">
        <f t="shared" si="46"/>
        <v>10200</v>
      </c>
      <c r="U55" s="36">
        <f t="shared" si="47"/>
        <v>128.52000000000001</v>
      </c>
      <c r="V55" s="22">
        <f t="shared" si="39"/>
        <v>29083</v>
      </c>
      <c r="W55" s="108">
        <v>28.3</v>
      </c>
      <c r="X55" s="108">
        <v>29.29</v>
      </c>
      <c r="Y55" s="40">
        <f t="shared" si="48"/>
        <v>3.4982332155476976E-2</v>
      </c>
      <c r="Z55" s="108">
        <v>30.32</v>
      </c>
      <c r="AA55" s="40">
        <f t="shared" si="49"/>
        <v>3.516558552406969E-2</v>
      </c>
      <c r="AB55" s="37"/>
      <c r="AD55" s="79"/>
      <c r="AE55" s="80" t="str">
        <f t="shared" si="35"/>
        <v xml:space="preserve"> </v>
      </c>
      <c r="AF55" s="92">
        <f t="shared" si="36"/>
        <v>0.1</v>
      </c>
      <c r="AG55" s="80">
        <f t="shared" si="37"/>
        <v>6306.56</v>
      </c>
    </row>
    <row r="56" spans="1:33" ht="15.95" customHeight="1" x14ac:dyDescent="0.25">
      <c r="A56" s="87">
        <v>1</v>
      </c>
      <c r="B56" s="104">
        <v>42</v>
      </c>
      <c r="C56" s="89">
        <v>2044</v>
      </c>
      <c r="D56" s="89">
        <v>244</v>
      </c>
      <c r="E56" s="37">
        <f t="shared" si="21"/>
        <v>2288</v>
      </c>
      <c r="F56" s="102">
        <v>60404</v>
      </c>
      <c r="G56" s="102">
        <v>10767</v>
      </c>
      <c r="H56" s="36">
        <v>200</v>
      </c>
      <c r="I56" s="36">
        <f t="shared" si="22"/>
        <v>71371</v>
      </c>
      <c r="J56" s="105">
        <v>30.32</v>
      </c>
      <c r="K56" s="36">
        <f t="shared" si="23"/>
        <v>63065.599999999999</v>
      </c>
      <c r="L56" s="36">
        <f t="shared" si="24"/>
        <v>11097.119999999999</v>
      </c>
      <c r="M56" s="36">
        <f t="shared" si="25"/>
        <v>74162.720000000001</v>
      </c>
      <c r="N56" s="36">
        <f t="shared" si="40"/>
        <v>74162.720000000001</v>
      </c>
      <c r="O56" s="36">
        <f t="shared" si="41"/>
        <v>4598.0886399999999</v>
      </c>
      <c r="P56" s="36">
        <f t="shared" si="42"/>
        <v>74162.720000000001</v>
      </c>
      <c r="Q56" s="36">
        <f t="shared" si="43"/>
        <v>1075.3594400000002</v>
      </c>
      <c r="R56" s="36">
        <f t="shared" si="44"/>
        <v>7000</v>
      </c>
      <c r="S56" s="36">
        <f t="shared" si="45"/>
        <v>42</v>
      </c>
      <c r="T56" s="36">
        <f t="shared" si="46"/>
        <v>10200</v>
      </c>
      <c r="U56" s="36">
        <f t="shared" si="47"/>
        <v>128.52000000000001</v>
      </c>
      <c r="V56" s="22">
        <f t="shared" si="39"/>
        <v>29083</v>
      </c>
      <c r="W56" s="108">
        <v>28.3</v>
      </c>
      <c r="X56" s="108">
        <v>29.29</v>
      </c>
      <c r="Y56" s="40">
        <f t="shared" si="48"/>
        <v>3.4982332155476976E-2</v>
      </c>
      <c r="Z56" s="108">
        <v>30.32</v>
      </c>
      <c r="AA56" s="40">
        <f t="shared" si="49"/>
        <v>3.516558552406969E-2</v>
      </c>
      <c r="AB56" s="37"/>
      <c r="AD56" s="79"/>
      <c r="AE56" s="80" t="str">
        <f t="shared" si="35"/>
        <v xml:space="preserve"> </v>
      </c>
      <c r="AF56" s="92">
        <f t="shared" si="36"/>
        <v>0.1</v>
      </c>
      <c r="AG56" s="80">
        <f t="shared" si="37"/>
        <v>6306.56</v>
      </c>
    </row>
    <row r="57" spans="1:33" ht="15.95" customHeight="1" x14ac:dyDescent="0.25">
      <c r="A57" s="87">
        <v>1</v>
      </c>
      <c r="B57" s="104">
        <v>43</v>
      </c>
      <c r="C57" s="89">
        <v>2070</v>
      </c>
      <c r="D57" s="89">
        <v>16</v>
      </c>
      <c r="E57" s="37">
        <f t="shared" si="21"/>
        <v>2086</v>
      </c>
      <c r="F57" s="102">
        <v>61166</v>
      </c>
      <c r="G57" s="102">
        <v>703</v>
      </c>
      <c r="H57" s="36">
        <v>200</v>
      </c>
      <c r="I57" s="36">
        <f t="shared" si="22"/>
        <v>62069</v>
      </c>
      <c r="J57" s="105">
        <v>30.32</v>
      </c>
      <c r="K57" s="36">
        <f t="shared" si="23"/>
        <v>63065.599999999999</v>
      </c>
      <c r="L57" s="36">
        <f t="shared" si="24"/>
        <v>727.68000000000006</v>
      </c>
      <c r="M57" s="36">
        <f t="shared" si="25"/>
        <v>63793.279999999999</v>
      </c>
      <c r="N57" s="36">
        <f t="shared" si="40"/>
        <v>63793.279999999999</v>
      </c>
      <c r="O57" s="36">
        <f t="shared" si="41"/>
        <v>3955.18336</v>
      </c>
      <c r="P57" s="36">
        <f t="shared" si="42"/>
        <v>63793.279999999999</v>
      </c>
      <c r="Q57" s="36">
        <f t="shared" si="43"/>
        <v>925.00256000000002</v>
      </c>
      <c r="R57" s="36">
        <f t="shared" si="44"/>
        <v>7000</v>
      </c>
      <c r="S57" s="36">
        <f t="shared" si="45"/>
        <v>42</v>
      </c>
      <c r="T57" s="36">
        <f t="shared" si="46"/>
        <v>10200</v>
      </c>
      <c r="U57" s="36">
        <f t="shared" si="47"/>
        <v>128.52000000000001</v>
      </c>
      <c r="V57" s="22">
        <f t="shared" si="39"/>
        <v>29083</v>
      </c>
      <c r="W57" s="108">
        <v>28.3</v>
      </c>
      <c r="X57" s="108">
        <v>29.29</v>
      </c>
      <c r="Y57" s="40">
        <f t="shared" si="48"/>
        <v>3.4982332155476976E-2</v>
      </c>
      <c r="Z57" s="108">
        <v>30.32</v>
      </c>
      <c r="AA57" s="40">
        <f t="shared" si="49"/>
        <v>3.516558552406969E-2</v>
      </c>
      <c r="AB57" s="37"/>
      <c r="AD57" s="79"/>
      <c r="AE57" s="80" t="str">
        <f t="shared" si="35"/>
        <v xml:space="preserve"> </v>
      </c>
      <c r="AF57" s="92">
        <f t="shared" si="36"/>
        <v>0.1</v>
      </c>
      <c r="AG57" s="80">
        <f t="shared" si="37"/>
        <v>6306.56</v>
      </c>
    </row>
    <row r="58" spans="1:33" ht="15.95" customHeight="1" x14ac:dyDescent="0.25">
      <c r="A58" s="87">
        <v>1</v>
      </c>
      <c r="B58" s="104">
        <v>44</v>
      </c>
      <c r="C58" s="89">
        <v>2088</v>
      </c>
      <c r="D58" s="89">
        <v>253.5</v>
      </c>
      <c r="E58" s="37">
        <f t="shared" si="21"/>
        <v>2341.5</v>
      </c>
      <c r="F58" s="102">
        <v>62742</v>
      </c>
      <c r="G58" s="102">
        <v>11404</v>
      </c>
      <c r="H58" s="36">
        <v>200</v>
      </c>
      <c r="I58" s="36">
        <f t="shared" si="22"/>
        <v>74346</v>
      </c>
      <c r="J58" s="105">
        <v>30.83</v>
      </c>
      <c r="K58" s="36">
        <f t="shared" si="23"/>
        <v>64126.399999999994</v>
      </c>
      <c r="L58" s="36">
        <f t="shared" si="24"/>
        <v>11723.1075</v>
      </c>
      <c r="M58" s="36">
        <f t="shared" si="25"/>
        <v>75849.507499999992</v>
      </c>
      <c r="N58" s="36">
        <f t="shared" si="40"/>
        <v>75849.507499999992</v>
      </c>
      <c r="O58" s="36">
        <f t="shared" si="41"/>
        <v>4702.6694649999999</v>
      </c>
      <c r="P58" s="36">
        <f t="shared" si="42"/>
        <v>75849.507499999992</v>
      </c>
      <c r="Q58" s="36">
        <f t="shared" si="43"/>
        <v>1099.8178587499999</v>
      </c>
      <c r="R58" s="36">
        <f t="shared" si="44"/>
        <v>7000</v>
      </c>
      <c r="S58" s="36">
        <f t="shared" si="45"/>
        <v>42</v>
      </c>
      <c r="T58" s="36">
        <f t="shared" si="46"/>
        <v>10200</v>
      </c>
      <c r="U58" s="36">
        <f t="shared" si="47"/>
        <v>128.52000000000001</v>
      </c>
      <c r="V58" s="22">
        <f t="shared" si="39"/>
        <v>29083</v>
      </c>
      <c r="W58" s="108">
        <v>28.78</v>
      </c>
      <c r="X58" s="108">
        <v>29.79</v>
      </c>
      <c r="Y58" s="40">
        <f t="shared" si="48"/>
        <v>3.5093815149409242E-2</v>
      </c>
      <c r="Z58" s="108">
        <v>30.83</v>
      </c>
      <c r="AA58" s="40">
        <f t="shared" si="49"/>
        <v>3.4911043974488055E-2</v>
      </c>
      <c r="AB58" s="37"/>
      <c r="AD58" s="79"/>
      <c r="AE58" s="80" t="str">
        <f t="shared" si="35"/>
        <v xml:space="preserve"> </v>
      </c>
      <c r="AF58" s="92">
        <f t="shared" si="36"/>
        <v>0.1</v>
      </c>
      <c r="AG58" s="80">
        <f t="shared" si="37"/>
        <v>6412.6399999999994</v>
      </c>
    </row>
    <row r="59" spans="1:33" ht="15.95" customHeight="1" x14ac:dyDescent="0.25">
      <c r="A59" s="87">
        <v>1</v>
      </c>
      <c r="B59" s="104">
        <v>45</v>
      </c>
      <c r="C59" s="89">
        <v>2088</v>
      </c>
      <c r="D59" s="89">
        <v>114.5</v>
      </c>
      <c r="E59" s="37">
        <f t="shared" si="21"/>
        <v>2202.5</v>
      </c>
      <c r="F59" s="102">
        <v>53707</v>
      </c>
      <c r="G59" s="102">
        <v>4411</v>
      </c>
      <c r="H59" s="36">
        <v>200</v>
      </c>
      <c r="I59" s="36">
        <f t="shared" si="22"/>
        <v>58318</v>
      </c>
      <c r="J59" s="105">
        <v>30.32</v>
      </c>
      <c r="K59" s="36">
        <f t="shared" si="23"/>
        <v>63065.599999999999</v>
      </c>
      <c r="L59" s="36">
        <f t="shared" si="24"/>
        <v>5207.46</v>
      </c>
      <c r="M59" s="36">
        <f t="shared" si="25"/>
        <v>68273.06</v>
      </c>
      <c r="N59" s="36">
        <f t="shared" si="40"/>
        <v>68273.06</v>
      </c>
      <c r="O59" s="36">
        <f t="shared" si="41"/>
        <v>4232.9297200000001</v>
      </c>
      <c r="P59" s="36">
        <f t="shared" si="42"/>
        <v>68273.06</v>
      </c>
      <c r="Q59" s="36">
        <f t="shared" si="43"/>
        <v>989.95937000000004</v>
      </c>
      <c r="R59" s="36">
        <f t="shared" si="44"/>
        <v>7000</v>
      </c>
      <c r="S59" s="36">
        <f t="shared" si="45"/>
        <v>42</v>
      </c>
      <c r="T59" s="36">
        <f t="shared" si="46"/>
        <v>10200</v>
      </c>
      <c r="U59" s="36">
        <f t="shared" si="47"/>
        <v>128.52000000000001</v>
      </c>
      <c r="V59" s="22">
        <f t="shared" si="39"/>
        <v>29083</v>
      </c>
      <c r="W59" s="108">
        <v>24.64</v>
      </c>
      <c r="X59" s="108">
        <v>25.5</v>
      </c>
      <c r="Y59" s="40">
        <f t="shared" si="48"/>
        <v>3.490259740259738E-2</v>
      </c>
      <c r="Z59" s="108">
        <v>30.32</v>
      </c>
      <c r="AA59" s="40">
        <f t="shared" si="49"/>
        <v>0.18901960784313726</v>
      </c>
      <c r="AB59" s="111" t="s">
        <v>30</v>
      </c>
      <c r="AD59" s="79"/>
      <c r="AE59" s="80" t="str">
        <f t="shared" si="35"/>
        <v xml:space="preserve"> </v>
      </c>
      <c r="AF59" s="92">
        <f t="shared" si="36"/>
        <v>0.1</v>
      </c>
      <c r="AG59" s="80">
        <f t="shared" si="37"/>
        <v>6306.56</v>
      </c>
    </row>
    <row r="60" spans="1:33" ht="15.95" customHeight="1" x14ac:dyDescent="0.25">
      <c r="A60" s="87">
        <v>1</v>
      </c>
      <c r="B60" s="104">
        <v>46</v>
      </c>
      <c r="C60" s="89">
        <v>2016</v>
      </c>
      <c r="D60" s="89">
        <v>361</v>
      </c>
      <c r="E60" s="37">
        <f t="shared" si="21"/>
        <v>2377</v>
      </c>
      <c r="F60" s="102">
        <v>59584</v>
      </c>
      <c r="G60" s="102">
        <v>15902</v>
      </c>
      <c r="H60" s="36">
        <v>200</v>
      </c>
      <c r="I60" s="36">
        <f t="shared" si="22"/>
        <v>75686</v>
      </c>
      <c r="J60" s="105">
        <v>30.32</v>
      </c>
      <c r="K60" s="36">
        <f t="shared" si="23"/>
        <v>63065.599999999999</v>
      </c>
      <c r="L60" s="36">
        <f t="shared" si="24"/>
        <v>16418.28</v>
      </c>
      <c r="M60" s="36">
        <f t="shared" si="25"/>
        <v>79483.88</v>
      </c>
      <c r="N60" s="36">
        <f t="shared" si="40"/>
        <v>79483.88</v>
      </c>
      <c r="O60" s="36">
        <f t="shared" si="41"/>
        <v>4928.0005600000004</v>
      </c>
      <c r="P60" s="36">
        <f t="shared" si="42"/>
        <v>79483.88</v>
      </c>
      <c r="Q60" s="36">
        <f t="shared" si="43"/>
        <v>1152.5162600000001</v>
      </c>
      <c r="R60" s="36">
        <f t="shared" si="44"/>
        <v>7000</v>
      </c>
      <c r="S60" s="36">
        <f t="shared" si="45"/>
        <v>42</v>
      </c>
      <c r="T60" s="36">
        <f t="shared" si="46"/>
        <v>10200</v>
      </c>
      <c r="U60" s="36">
        <f t="shared" si="47"/>
        <v>128.52000000000001</v>
      </c>
      <c r="V60" s="22">
        <f t="shared" si="39"/>
        <v>29083</v>
      </c>
      <c r="W60" s="108">
        <v>28.3</v>
      </c>
      <c r="X60" s="108">
        <v>29.29</v>
      </c>
      <c r="Y60" s="40">
        <f t="shared" si="48"/>
        <v>3.4982332155476976E-2</v>
      </c>
      <c r="Z60" s="108">
        <v>30.32</v>
      </c>
      <c r="AA60" s="40">
        <f t="shared" si="49"/>
        <v>3.516558552406969E-2</v>
      </c>
      <c r="AB60" s="37"/>
      <c r="AD60" s="79"/>
      <c r="AE60" s="80" t="str">
        <f t="shared" si="35"/>
        <v xml:space="preserve"> </v>
      </c>
      <c r="AF60" s="92">
        <f t="shared" si="36"/>
        <v>0.1</v>
      </c>
      <c r="AG60" s="80">
        <f t="shared" si="37"/>
        <v>6306.56</v>
      </c>
    </row>
    <row r="61" spans="1:33" ht="15.95" customHeight="1" x14ac:dyDescent="0.25">
      <c r="A61" s="87">
        <v>1</v>
      </c>
      <c r="B61" s="104">
        <v>47</v>
      </c>
      <c r="C61" s="89">
        <v>2088</v>
      </c>
      <c r="D61" s="89">
        <v>12.8</v>
      </c>
      <c r="E61" s="37">
        <f t="shared" si="21"/>
        <v>2100.8000000000002</v>
      </c>
      <c r="F61" s="102">
        <v>45454</v>
      </c>
      <c r="G61" s="102">
        <v>421</v>
      </c>
      <c r="H61" s="36">
        <v>200</v>
      </c>
      <c r="I61" s="36">
        <f t="shared" si="22"/>
        <v>46075</v>
      </c>
      <c r="J61" s="105">
        <v>22.34</v>
      </c>
      <c r="K61" s="36">
        <f t="shared" si="23"/>
        <v>46467.199999999997</v>
      </c>
      <c r="L61" s="36">
        <f t="shared" si="24"/>
        <v>428.928</v>
      </c>
      <c r="M61" s="36">
        <f t="shared" si="25"/>
        <v>46896.127999999997</v>
      </c>
      <c r="N61" s="36">
        <f t="shared" si="40"/>
        <v>46896.127999999997</v>
      </c>
      <c r="O61" s="36">
        <f t="shared" si="41"/>
        <v>2907.5599359999997</v>
      </c>
      <c r="P61" s="36">
        <f t="shared" si="42"/>
        <v>46896.127999999997</v>
      </c>
      <c r="Q61" s="36">
        <f t="shared" si="43"/>
        <v>679.99385599999994</v>
      </c>
      <c r="R61" s="36">
        <f t="shared" si="44"/>
        <v>7000</v>
      </c>
      <c r="S61" s="36">
        <f t="shared" si="45"/>
        <v>42</v>
      </c>
      <c r="T61" s="36">
        <f t="shared" si="46"/>
        <v>10200</v>
      </c>
      <c r="U61" s="36">
        <f t="shared" si="47"/>
        <v>128.52000000000001</v>
      </c>
      <c r="V61" s="22">
        <f t="shared" si="39"/>
        <v>29083</v>
      </c>
      <c r="W61" s="108">
        <v>20.85</v>
      </c>
      <c r="X61" s="108">
        <v>21.58</v>
      </c>
      <c r="Y61" s="40">
        <f t="shared" si="48"/>
        <v>3.5011990407673707E-2</v>
      </c>
      <c r="Z61" s="108">
        <v>22.34</v>
      </c>
      <c r="AA61" s="40">
        <f t="shared" si="49"/>
        <v>3.5217794253938908E-2</v>
      </c>
      <c r="AB61" s="37"/>
      <c r="AD61" s="79"/>
      <c r="AE61" s="80" t="str">
        <f t="shared" si="35"/>
        <v xml:space="preserve"> </v>
      </c>
      <c r="AF61" s="92">
        <f t="shared" si="36"/>
        <v>0.1</v>
      </c>
      <c r="AG61" s="80">
        <f t="shared" si="37"/>
        <v>4646.72</v>
      </c>
    </row>
    <row r="62" spans="1:33" ht="15.95" customHeight="1" x14ac:dyDescent="0.25">
      <c r="A62" s="87">
        <v>1</v>
      </c>
      <c r="B62" s="104">
        <v>48</v>
      </c>
      <c r="C62" s="89">
        <v>2040</v>
      </c>
      <c r="D62" s="89">
        <v>141</v>
      </c>
      <c r="E62" s="37">
        <f t="shared" si="21"/>
        <v>2181</v>
      </c>
      <c r="F62" s="102">
        <v>55436</v>
      </c>
      <c r="G62" s="102">
        <v>5758</v>
      </c>
      <c r="H62" s="36">
        <v>200</v>
      </c>
      <c r="I62" s="36">
        <f t="shared" si="22"/>
        <v>61394</v>
      </c>
      <c r="J62" s="105">
        <v>30.32</v>
      </c>
      <c r="K62" s="36">
        <f t="shared" si="23"/>
        <v>63065.599999999999</v>
      </c>
      <c r="L62" s="36">
        <f t="shared" si="24"/>
        <v>6412.68</v>
      </c>
      <c r="M62" s="36">
        <f t="shared" si="25"/>
        <v>69478.28</v>
      </c>
      <c r="N62" s="36">
        <f t="shared" si="40"/>
        <v>69478.28</v>
      </c>
      <c r="O62" s="36">
        <f t="shared" si="41"/>
        <v>4307.6533600000002</v>
      </c>
      <c r="P62" s="36">
        <f t="shared" si="42"/>
        <v>69478.28</v>
      </c>
      <c r="Q62" s="36">
        <f t="shared" si="43"/>
        <v>1007.43506</v>
      </c>
      <c r="R62" s="36">
        <f t="shared" si="44"/>
        <v>7000</v>
      </c>
      <c r="S62" s="36">
        <f t="shared" si="45"/>
        <v>42</v>
      </c>
      <c r="T62" s="36">
        <f t="shared" si="46"/>
        <v>10200</v>
      </c>
      <c r="U62" s="36">
        <f t="shared" si="47"/>
        <v>128.52000000000001</v>
      </c>
      <c r="V62" s="22">
        <f t="shared" si="39"/>
        <v>29083</v>
      </c>
      <c r="W62" s="108">
        <v>24.64</v>
      </c>
      <c r="X62" s="108">
        <v>29.29</v>
      </c>
      <c r="Y62" s="40">
        <f t="shared" si="48"/>
        <v>0.1887175324675324</v>
      </c>
      <c r="Z62" s="108">
        <v>30.32</v>
      </c>
      <c r="AA62" s="40">
        <f t="shared" si="49"/>
        <v>3.516558552406969E-2</v>
      </c>
      <c r="AB62" s="37"/>
      <c r="AD62" s="79"/>
      <c r="AE62" s="80" t="str">
        <f t="shared" si="35"/>
        <v xml:space="preserve"> </v>
      </c>
      <c r="AF62" s="92">
        <f t="shared" si="36"/>
        <v>0.1</v>
      </c>
      <c r="AG62" s="80">
        <f t="shared" si="37"/>
        <v>6306.56</v>
      </c>
    </row>
    <row r="63" spans="1:33" ht="15.95" customHeight="1" x14ac:dyDescent="0.25">
      <c r="A63" s="87">
        <v>1</v>
      </c>
      <c r="B63" s="104">
        <v>49</v>
      </c>
      <c r="C63" s="89">
        <v>2088</v>
      </c>
      <c r="D63" s="89">
        <v>111.25</v>
      </c>
      <c r="E63" s="37">
        <f t="shared" si="21"/>
        <v>2199.25</v>
      </c>
      <c r="F63" s="102">
        <v>45454</v>
      </c>
      <c r="G63" s="102">
        <v>3634</v>
      </c>
      <c r="H63" s="36">
        <v>200</v>
      </c>
      <c r="I63" s="36">
        <f t="shared" si="22"/>
        <v>49288</v>
      </c>
      <c r="J63" s="105">
        <v>22.34</v>
      </c>
      <c r="K63" s="36">
        <f t="shared" si="23"/>
        <v>46467.199999999997</v>
      </c>
      <c r="L63" s="36">
        <f t="shared" si="24"/>
        <v>3727.9874999999997</v>
      </c>
      <c r="M63" s="36">
        <f t="shared" si="25"/>
        <v>50195.1875</v>
      </c>
      <c r="N63" s="36">
        <f>IF(M63&lt;$N$8,0+M63,+$N$8)</f>
        <v>50195.1875</v>
      </c>
      <c r="O63" s="36">
        <f>(N63*$O$8)</f>
        <v>3112.1016249999998</v>
      </c>
      <c r="P63" s="36">
        <f>M63</f>
        <v>50195.1875</v>
      </c>
      <c r="Q63" s="36">
        <f>(P63*$Q$8)</f>
        <v>727.83021875000009</v>
      </c>
      <c r="R63" s="36">
        <f>IF($N63&lt;$R$8,+N63,+$R$8)</f>
        <v>7000</v>
      </c>
      <c r="S63" s="36">
        <f>(R63*$S$8)</f>
        <v>42</v>
      </c>
      <c r="T63" s="36">
        <f>IF($N63&lt;$T$8,+N63,+$T$8)</f>
        <v>10200</v>
      </c>
      <c r="U63" s="36">
        <f>(T63*$U$8)</f>
        <v>128.52000000000001</v>
      </c>
      <c r="V63" s="22">
        <f t="shared" si="39"/>
        <v>29083</v>
      </c>
      <c r="W63" s="108">
        <v>20.85</v>
      </c>
      <c r="X63" s="108">
        <v>21.58</v>
      </c>
      <c r="Y63" s="40">
        <f>(+X63-W63)/W63</f>
        <v>3.5011990407673707E-2</v>
      </c>
      <c r="Z63" s="108">
        <v>22.34</v>
      </c>
      <c r="AA63" s="40">
        <f>(+Z63-X63)/X63</f>
        <v>3.5217794253938908E-2</v>
      </c>
      <c r="AB63" s="37"/>
      <c r="AD63" s="79"/>
      <c r="AE63" s="80" t="str">
        <f t="shared" si="35"/>
        <v xml:space="preserve"> </v>
      </c>
      <c r="AF63" s="92">
        <f t="shared" si="36"/>
        <v>0.1</v>
      </c>
      <c r="AG63" s="80">
        <f t="shared" si="37"/>
        <v>4646.72</v>
      </c>
    </row>
    <row r="64" spans="1:33" ht="15.95" customHeight="1" x14ac:dyDescent="0.25">
      <c r="B64" s="9"/>
      <c r="C64" s="37"/>
      <c r="D64" s="37"/>
      <c r="E64" s="37"/>
      <c r="F64" s="36"/>
      <c r="G64" s="36"/>
      <c r="H64" s="36"/>
      <c r="I64" s="36"/>
      <c r="J64" s="37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109"/>
      <c r="X64" s="109"/>
      <c r="Y64" s="40"/>
      <c r="Z64" s="109"/>
      <c r="AA64" s="42"/>
      <c r="AB64" s="37"/>
    </row>
    <row r="65" spans="1:33" ht="15.95" customHeight="1" x14ac:dyDescent="0.25">
      <c r="A65" s="87">
        <f>SUM(A26:A64)</f>
        <v>38</v>
      </c>
      <c r="B65" s="5" t="s">
        <v>32</v>
      </c>
      <c r="C65" s="37">
        <f t="shared" ref="C65:I65" si="50">SUM(C26:C64)</f>
        <v>78740.75</v>
      </c>
      <c r="D65" s="37">
        <f t="shared" si="50"/>
        <v>12590.349999999999</v>
      </c>
      <c r="E65" s="37">
        <f t="shared" si="50"/>
        <v>91331.1</v>
      </c>
      <c r="F65" s="36">
        <f t="shared" si="50"/>
        <v>2075280</v>
      </c>
      <c r="G65" s="36">
        <f t="shared" si="50"/>
        <v>548147</v>
      </c>
      <c r="H65" s="36">
        <f t="shared" si="50"/>
        <v>7600</v>
      </c>
      <c r="I65" s="36">
        <f t="shared" si="50"/>
        <v>2631027</v>
      </c>
      <c r="J65" s="36"/>
      <c r="K65" s="36">
        <f t="shared" ref="K65:U65" si="51">SUM(K26:K64)</f>
        <v>2152883.1999999997</v>
      </c>
      <c r="L65" s="36">
        <f t="shared" si="51"/>
        <v>564732.57449999999</v>
      </c>
      <c r="M65" s="36">
        <f t="shared" si="51"/>
        <v>2717615.7744999994</v>
      </c>
      <c r="N65" s="36">
        <f t="shared" si="51"/>
        <v>2710606.1344999997</v>
      </c>
      <c r="O65" s="36">
        <f t="shared" si="51"/>
        <v>168057.58033900001</v>
      </c>
      <c r="P65" s="36">
        <f t="shared" si="51"/>
        <v>2717615.7744999994</v>
      </c>
      <c r="Q65" s="36">
        <f t="shared" si="51"/>
        <v>39405.428730250009</v>
      </c>
      <c r="R65" s="36">
        <f t="shared" si="51"/>
        <v>266000</v>
      </c>
      <c r="S65" s="36">
        <f t="shared" si="51"/>
        <v>1596</v>
      </c>
      <c r="T65" s="36">
        <f t="shared" si="51"/>
        <v>387600</v>
      </c>
      <c r="U65" s="36">
        <f t="shared" si="51"/>
        <v>4883.7600000000029</v>
      </c>
      <c r="V65" s="36"/>
      <c r="W65" s="110"/>
      <c r="X65" s="110"/>
      <c r="Y65" s="40"/>
      <c r="Z65" s="110"/>
      <c r="AA65" s="42"/>
      <c r="AB65" s="37"/>
      <c r="AE65" s="80"/>
    </row>
    <row r="66" spans="1:33" ht="15.95" customHeight="1" x14ac:dyDescent="0.25">
      <c r="B66" s="5"/>
      <c r="C66" s="37"/>
      <c r="D66" s="37"/>
      <c r="E66" s="37"/>
      <c r="F66" s="36"/>
      <c r="G66" s="36"/>
      <c r="H66" s="36"/>
      <c r="I66" s="36"/>
      <c r="J66" s="37"/>
      <c r="K66" s="1"/>
      <c r="L66" s="1"/>
      <c r="M66" s="36"/>
      <c r="N66" s="36"/>
      <c r="O66" s="1"/>
      <c r="P66" s="1"/>
      <c r="Q66" s="1"/>
      <c r="R66" s="1"/>
      <c r="S66" s="1"/>
      <c r="T66" s="1"/>
      <c r="U66" s="1"/>
      <c r="V66" s="1"/>
      <c r="W66" s="109"/>
      <c r="X66" s="109"/>
      <c r="Y66" s="4"/>
      <c r="Z66" s="109"/>
      <c r="AA66" s="9"/>
      <c r="AB66" s="37"/>
    </row>
    <row r="67" spans="1:33" ht="15.95" customHeight="1" x14ac:dyDescent="0.25">
      <c r="B67" s="39" t="s">
        <v>252</v>
      </c>
      <c r="C67" s="37"/>
      <c r="D67" s="37"/>
      <c r="E67" s="37"/>
      <c r="F67" s="36"/>
      <c r="G67" s="36"/>
      <c r="H67" s="36"/>
      <c r="I67" s="36"/>
      <c r="J67" s="37"/>
      <c r="K67" s="1"/>
      <c r="L67" s="1"/>
      <c r="M67" s="36"/>
      <c r="N67" s="36"/>
      <c r="O67" s="1"/>
      <c r="P67" s="1"/>
      <c r="Q67" s="1"/>
      <c r="R67" s="1"/>
      <c r="S67" s="1"/>
      <c r="T67" s="1"/>
      <c r="U67" s="1"/>
      <c r="V67" s="1"/>
      <c r="W67" s="109"/>
      <c r="X67" s="109"/>
      <c r="Y67" s="4"/>
      <c r="Z67" s="109"/>
      <c r="AA67" s="9"/>
      <c r="AB67" s="37"/>
      <c r="AC67" t="s">
        <v>25</v>
      </c>
      <c r="AE67" s="81">
        <f>SUM(AE10:AE66)</f>
        <v>319750.32544000004</v>
      </c>
      <c r="AG67" s="81">
        <f>SUM(AG10:AG66)</f>
        <v>268192.08</v>
      </c>
    </row>
    <row r="68" spans="1:33" ht="15.95" customHeight="1" x14ac:dyDescent="0.25">
      <c r="A68" s="87">
        <v>1</v>
      </c>
      <c r="B68" s="104">
        <v>50</v>
      </c>
      <c r="C68" s="89">
        <v>1125</v>
      </c>
      <c r="D68" s="89">
        <v>3</v>
      </c>
      <c r="E68" s="37">
        <f>SUM(C68:D68)</f>
        <v>1128</v>
      </c>
      <c r="F68" s="102">
        <v>21638</v>
      </c>
      <c r="G68" s="102">
        <v>88</v>
      </c>
      <c r="H68" s="36">
        <v>100</v>
      </c>
      <c r="I68" s="36">
        <f>SUM(F68:H68)</f>
        <v>21826</v>
      </c>
      <c r="J68" s="105">
        <v>19.73</v>
      </c>
      <c r="K68" s="36">
        <f>(J68*C68)</f>
        <v>22196.25</v>
      </c>
      <c r="L68" s="36">
        <f>(+D68*J68)*1.5</f>
        <v>88.784999999999997</v>
      </c>
      <c r="M68" s="36">
        <f>SUM(K68:L68)</f>
        <v>22285.035</v>
      </c>
      <c r="N68" s="36">
        <f>IF(M68&lt;$N$8,0+M68,+$N$8)</f>
        <v>22285.035</v>
      </c>
      <c r="O68" s="36">
        <f>(N68*$O$8)</f>
        <v>1381.6721700000001</v>
      </c>
      <c r="P68" s="36">
        <f>M68</f>
        <v>22285.035</v>
      </c>
      <c r="Q68" s="36">
        <f>(P68*$Q$8)</f>
        <v>323.13300750000002</v>
      </c>
      <c r="R68" s="36">
        <f>IF($N68&lt;$R$8,+N68,+$R$8)</f>
        <v>7000</v>
      </c>
      <c r="S68" s="36">
        <f>(R68*$S$8)</f>
        <v>42</v>
      </c>
      <c r="T68" s="36">
        <f>IF($N68&lt;$T$8,+N68,+$T$8)</f>
        <v>10200</v>
      </c>
      <c r="U68" s="36">
        <f>(T68*$U$8)</f>
        <v>128.52000000000001</v>
      </c>
      <c r="V68" s="22"/>
      <c r="W68" s="109"/>
      <c r="X68" s="109"/>
      <c r="Y68" s="43"/>
      <c r="Z68" s="109"/>
      <c r="AA68" s="43"/>
      <c r="AB68" s="37"/>
    </row>
    <row r="69" spans="1:33" ht="15.95" customHeight="1" x14ac:dyDescent="0.25">
      <c r="A69" s="87">
        <v>1</v>
      </c>
      <c r="B69" s="104">
        <v>51</v>
      </c>
      <c r="C69" s="89">
        <v>1151.5</v>
      </c>
      <c r="D69" s="89">
        <v>2</v>
      </c>
      <c r="E69" s="37">
        <f>SUM(C69:D69)</f>
        <v>1153.5</v>
      </c>
      <c r="F69" s="102">
        <v>22160</v>
      </c>
      <c r="G69" s="102">
        <v>59</v>
      </c>
      <c r="H69" s="36">
        <v>100</v>
      </c>
      <c r="I69" s="36">
        <f>SUM(F69:H69)</f>
        <v>22319</v>
      </c>
      <c r="J69" s="105">
        <v>19.73</v>
      </c>
      <c r="K69" s="36">
        <f>(J69*C69)</f>
        <v>22719.095000000001</v>
      </c>
      <c r="L69" s="36">
        <f>(+D69*J69)*1.5</f>
        <v>59.19</v>
      </c>
      <c r="M69" s="36">
        <f>SUM(K69:L69)</f>
        <v>22778.285</v>
      </c>
      <c r="N69" s="36">
        <f>IF(M69&lt;$N$8,0+M69,+$N$8)</f>
        <v>22778.285</v>
      </c>
      <c r="O69" s="36">
        <f>(N69*$O$8)</f>
        <v>1412.2536700000001</v>
      </c>
      <c r="P69" s="36">
        <f>M69</f>
        <v>22778.285</v>
      </c>
      <c r="Q69" s="36">
        <f>(P69*$Q$8)</f>
        <v>330.28513250000003</v>
      </c>
      <c r="R69" s="36">
        <f>IF($N69&lt;$R$8,+N69,+$R$8)</f>
        <v>7000</v>
      </c>
      <c r="S69" s="36">
        <f>(R69*$S$8)</f>
        <v>42</v>
      </c>
      <c r="T69" s="36">
        <f>IF($N69&lt;$T$8,+N69,+$T$8)</f>
        <v>10200</v>
      </c>
      <c r="U69" s="36">
        <f>(T69*$U$8)</f>
        <v>128.52000000000001</v>
      </c>
      <c r="V69" s="22"/>
      <c r="W69" s="109"/>
      <c r="X69" s="109"/>
      <c r="Y69" s="43"/>
      <c r="Z69" s="109"/>
      <c r="AA69" s="43"/>
      <c r="AB69" s="37"/>
    </row>
    <row r="70" spans="1:33" ht="15.95" customHeight="1" x14ac:dyDescent="0.25">
      <c r="B70" s="41"/>
      <c r="C70" s="37"/>
      <c r="D70" s="37"/>
      <c r="E70" s="37"/>
      <c r="F70" s="36"/>
      <c r="G70" s="36"/>
      <c r="H70" s="36"/>
      <c r="I70" s="36"/>
      <c r="J70" s="37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22"/>
      <c r="W70" s="109"/>
      <c r="X70" s="109"/>
      <c r="Y70" s="4"/>
      <c r="Z70" s="109"/>
      <c r="AA70" s="9"/>
      <c r="AB70" s="37"/>
    </row>
    <row r="71" spans="1:33" ht="15.95" customHeight="1" x14ac:dyDescent="0.25">
      <c r="A71" s="87">
        <f>SUM(A68:A70)</f>
        <v>2</v>
      </c>
      <c r="B71" s="5" t="s">
        <v>33</v>
      </c>
      <c r="C71" s="37">
        <f t="shared" ref="C71:I71" si="52">SUM(C67:C70)</f>
        <v>2276.5</v>
      </c>
      <c r="D71" s="37">
        <f t="shared" si="52"/>
        <v>5</v>
      </c>
      <c r="E71" s="37">
        <f t="shared" si="52"/>
        <v>2281.5</v>
      </c>
      <c r="F71" s="36">
        <f t="shared" si="52"/>
        <v>43798</v>
      </c>
      <c r="G71" s="36">
        <f t="shared" si="52"/>
        <v>147</v>
      </c>
      <c r="H71" s="36">
        <f t="shared" si="52"/>
        <v>200</v>
      </c>
      <c r="I71" s="36">
        <f t="shared" si="52"/>
        <v>44145</v>
      </c>
      <c r="J71" s="37"/>
      <c r="K71" s="36">
        <f t="shared" ref="K71:U71" si="53">SUM(K67:K70)</f>
        <v>44915.345000000001</v>
      </c>
      <c r="L71" s="36">
        <f t="shared" si="53"/>
        <v>147.97499999999999</v>
      </c>
      <c r="M71" s="36">
        <f t="shared" si="53"/>
        <v>45063.32</v>
      </c>
      <c r="N71" s="36">
        <f t="shared" si="53"/>
        <v>45063.32</v>
      </c>
      <c r="O71" s="36">
        <f t="shared" si="53"/>
        <v>2793.9258399999999</v>
      </c>
      <c r="P71" s="36">
        <f t="shared" si="53"/>
        <v>45063.32</v>
      </c>
      <c r="Q71" s="36">
        <f t="shared" si="53"/>
        <v>653.41813999999999</v>
      </c>
      <c r="R71" s="36">
        <f t="shared" si="53"/>
        <v>14000</v>
      </c>
      <c r="S71" s="36">
        <f t="shared" si="53"/>
        <v>84</v>
      </c>
      <c r="T71" s="36">
        <f t="shared" si="53"/>
        <v>20400</v>
      </c>
      <c r="U71" s="36">
        <f t="shared" si="53"/>
        <v>257.04000000000002</v>
      </c>
      <c r="V71" s="36"/>
      <c r="W71" s="109"/>
      <c r="X71" s="109"/>
      <c r="Y71" s="4"/>
      <c r="Z71" s="109"/>
      <c r="AA71" s="9"/>
      <c r="AB71" s="37"/>
    </row>
    <row r="72" spans="1:33" ht="15.95" customHeight="1" x14ac:dyDescent="0.25">
      <c r="B72" s="5"/>
      <c r="C72" s="37"/>
      <c r="D72" s="37"/>
      <c r="E72" s="37"/>
      <c r="F72" s="36"/>
      <c r="G72" s="36"/>
      <c r="H72" s="36"/>
      <c r="I72" s="36"/>
      <c r="J72" s="37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109"/>
      <c r="X72" s="109"/>
      <c r="Y72" s="4"/>
      <c r="Z72" s="109"/>
      <c r="AA72" s="9"/>
      <c r="AB72" s="37"/>
    </row>
    <row r="73" spans="1:33" ht="15.95" customHeight="1" x14ac:dyDescent="0.25">
      <c r="B73" s="39" t="s">
        <v>253</v>
      </c>
      <c r="C73" s="37"/>
      <c r="D73" s="37"/>
      <c r="E73" s="37"/>
      <c r="F73" s="36"/>
      <c r="G73" s="36"/>
      <c r="H73" s="36"/>
      <c r="I73" s="36"/>
      <c r="J73" s="37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109"/>
      <c r="X73" s="109"/>
      <c r="Y73" s="4"/>
      <c r="Z73" s="109"/>
      <c r="AA73" s="9"/>
      <c r="AB73" s="37"/>
    </row>
    <row r="74" spans="1:33" ht="15.95" customHeight="1" x14ac:dyDescent="0.25">
      <c r="A74" s="87">
        <v>1</v>
      </c>
      <c r="B74" s="104">
        <v>53</v>
      </c>
      <c r="C74" s="89">
        <v>1072.5</v>
      </c>
      <c r="D74" s="89">
        <v>6.5</v>
      </c>
      <c r="E74" s="37">
        <f t="shared" ref="E74:E75" si="54">SUM(C74:D74)</f>
        <v>1079</v>
      </c>
      <c r="F74" s="102">
        <v>31950</v>
      </c>
      <c r="G74" s="102">
        <v>291</v>
      </c>
      <c r="H74" s="36">
        <v>200</v>
      </c>
      <c r="I74" s="36">
        <f t="shared" ref="I74:I75" si="55">SUM(F74:H74)</f>
        <v>32441</v>
      </c>
      <c r="J74" s="3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7"/>
      <c r="Y74" s="4"/>
      <c r="Z74" s="37"/>
      <c r="AA74" s="9"/>
      <c r="AB74" s="37"/>
    </row>
    <row r="75" spans="1:33" ht="15.95" customHeight="1" x14ac:dyDescent="0.25">
      <c r="A75" s="87">
        <v>1</v>
      </c>
      <c r="B75" s="104">
        <v>54</v>
      </c>
      <c r="C75" s="89">
        <v>665</v>
      </c>
      <c r="D75" s="89"/>
      <c r="E75" s="37">
        <f t="shared" si="54"/>
        <v>665</v>
      </c>
      <c r="F75" s="102">
        <v>18234</v>
      </c>
      <c r="G75" s="102"/>
      <c r="H75" s="36">
        <v>200</v>
      </c>
      <c r="I75" s="36">
        <f t="shared" si="55"/>
        <v>18434</v>
      </c>
      <c r="J75" s="3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7"/>
      <c r="Y75" s="4"/>
      <c r="Z75" s="37"/>
      <c r="AA75" s="9"/>
      <c r="AB75" s="37"/>
    </row>
    <row r="76" spans="1:33" ht="15.95" customHeight="1" x14ac:dyDescent="0.25">
      <c r="B76" s="5"/>
      <c r="C76" s="37"/>
      <c r="D76" s="37"/>
      <c r="E76" s="37"/>
      <c r="F76" s="36"/>
      <c r="G76" s="36"/>
      <c r="H76" s="36"/>
      <c r="I76" s="36"/>
      <c r="J76" s="37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37"/>
      <c r="Y76" s="4"/>
      <c r="Z76" s="37"/>
      <c r="AA76" s="9"/>
      <c r="AB76" s="37"/>
    </row>
    <row r="77" spans="1:33" ht="15.95" customHeight="1" x14ac:dyDescent="0.25">
      <c r="A77" s="87">
        <f>SUM(A74:A76)</f>
        <v>2</v>
      </c>
      <c r="B77" s="5" t="s">
        <v>34</v>
      </c>
      <c r="C77" s="37">
        <f t="shared" ref="C77:I77" si="56">SUM(C73:C76)</f>
        <v>1737.5</v>
      </c>
      <c r="D77" s="37">
        <f t="shared" si="56"/>
        <v>6.5</v>
      </c>
      <c r="E77" s="37">
        <f t="shared" si="56"/>
        <v>1744</v>
      </c>
      <c r="F77" s="37">
        <f t="shared" si="56"/>
        <v>50184</v>
      </c>
      <c r="G77" s="37">
        <f t="shared" si="56"/>
        <v>291</v>
      </c>
      <c r="H77" s="37">
        <f t="shared" si="56"/>
        <v>400</v>
      </c>
      <c r="I77" s="37">
        <f t="shared" si="56"/>
        <v>50875</v>
      </c>
      <c r="J77" s="37"/>
      <c r="K77" s="36">
        <f t="shared" ref="K77:U77" si="57">SUM(K76)</f>
        <v>0</v>
      </c>
      <c r="L77" s="36">
        <f t="shared" si="57"/>
        <v>0</v>
      </c>
      <c r="M77" s="36">
        <f t="shared" si="57"/>
        <v>0</v>
      </c>
      <c r="N77" s="36">
        <f t="shared" si="57"/>
        <v>0</v>
      </c>
      <c r="O77" s="36">
        <f t="shared" si="57"/>
        <v>0</v>
      </c>
      <c r="P77" s="36">
        <f t="shared" si="57"/>
        <v>0</v>
      </c>
      <c r="Q77" s="36">
        <f t="shared" si="57"/>
        <v>0</v>
      </c>
      <c r="R77" s="36">
        <f t="shared" si="57"/>
        <v>0</v>
      </c>
      <c r="S77" s="36">
        <f t="shared" si="57"/>
        <v>0</v>
      </c>
      <c r="T77" s="36">
        <f t="shared" si="57"/>
        <v>0</v>
      </c>
      <c r="U77" s="36">
        <f t="shared" si="57"/>
        <v>0</v>
      </c>
      <c r="V77" s="36"/>
      <c r="W77" s="37"/>
      <c r="X77" s="37"/>
      <c r="Y77" s="4"/>
      <c r="Z77" s="37"/>
      <c r="AA77" s="9"/>
      <c r="AB77" s="37"/>
    </row>
    <row r="78" spans="1:33" ht="20.100000000000001" customHeight="1" x14ac:dyDescent="0.25">
      <c r="B78" s="5"/>
      <c r="C78" s="37"/>
      <c r="D78" s="37"/>
      <c r="E78" s="37"/>
      <c r="F78" s="36"/>
      <c r="G78" s="36"/>
      <c r="H78" s="36"/>
      <c r="I78" s="36"/>
      <c r="J78" s="37"/>
      <c r="K78" s="1"/>
      <c r="L78" s="1"/>
      <c r="M78" s="36"/>
      <c r="N78" s="36"/>
      <c r="O78" s="1"/>
      <c r="P78" s="1"/>
      <c r="Q78" s="1"/>
      <c r="R78" s="1"/>
      <c r="S78" s="1"/>
      <c r="T78" s="1"/>
      <c r="U78" s="1"/>
      <c r="V78" s="1"/>
      <c r="W78" s="37"/>
      <c r="X78" s="37"/>
      <c r="Y78" s="1"/>
      <c r="Z78" s="37"/>
      <c r="AA78" s="9"/>
      <c r="AB78" s="37"/>
    </row>
    <row r="79" spans="1:33" ht="20.100000000000001" customHeight="1" x14ac:dyDescent="0.25">
      <c r="A79" s="87">
        <f>+A23+A65+A71+A77</f>
        <v>53</v>
      </c>
      <c r="B79" s="39" t="s">
        <v>25</v>
      </c>
      <c r="C79" s="100">
        <f t="shared" ref="C79:I79" si="58">(+C23+C65+C71+C77)</f>
        <v>105749.75</v>
      </c>
      <c r="D79" s="37">
        <f t="shared" si="58"/>
        <v>12601.849999999999</v>
      </c>
      <c r="E79" s="37">
        <f t="shared" si="58"/>
        <v>118351.6</v>
      </c>
      <c r="F79" s="36">
        <f t="shared" si="58"/>
        <v>3201826</v>
      </c>
      <c r="G79" s="36">
        <f t="shared" si="58"/>
        <v>548585</v>
      </c>
      <c r="H79" s="36">
        <f t="shared" si="58"/>
        <v>10400</v>
      </c>
      <c r="I79" s="36">
        <f t="shared" si="58"/>
        <v>3760811</v>
      </c>
      <c r="J79" s="36"/>
      <c r="K79" s="36">
        <f t="shared" ref="K79:U79" si="59">(+K23+K65+K71+K77)</f>
        <v>3255873.7449999996</v>
      </c>
      <c r="L79" s="36">
        <f t="shared" si="59"/>
        <v>564880.54949999996</v>
      </c>
      <c r="M79" s="36">
        <f t="shared" si="59"/>
        <v>3820754.2944999994</v>
      </c>
      <c r="N79" s="36">
        <f t="shared" si="59"/>
        <v>3747603.0544999996</v>
      </c>
      <c r="O79" s="36">
        <f t="shared" si="59"/>
        <v>232351.38937900003</v>
      </c>
      <c r="P79" s="36">
        <f t="shared" si="59"/>
        <v>3820754.2944999994</v>
      </c>
      <c r="Q79" s="36">
        <f t="shared" si="59"/>
        <v>55400.937270250011</v>
      </c>
      <c r="R79" s="36">
        <f t="shared" si="59"/>
        <v>357000</v>
      </c>
      <c r="S79" s="36">
        <f t="shared" si="59"/>
        <v>2142</v>
      </c>
      <c r="T79" s="36">
        <f t="shared" si="59"/>
        <v>520200</v>
      </c>
      <c r="U79" s="36">
        <f t="shared" si="59"/>
        <v>6554.5200000000032</v>
      </c>
      <c r="V79" s="36"/>
      <c r="W79" s="37"/>
      <c r="X79" s="37"/>
      <c r="Y79" s="1"/>
      <c r="Z79" s="37"/>
      <c r="AA79" s="1"/>
      <c r="AB79" s="37"/>
    </row>
    <row r="80" spans="1:33" ht="20.100000000000001" customHeight="1" x14ac:dyDescent="0.25">
      <c r="B80" s="5"/>
      <c r="C80" s="37"/>
      <c r="D80" s="37"/>
      <c r="E80" s="37"/>
      <c r="F80" s="36"/>
      <c r="G80" s="36"/>
      <c r="H80" s="36"/>
      <c r="I80" s="36"/>
      <c r="J80" s="37"/>
      <c r="K80" s="1"/>
      <c r="L80" s="1"/>
      <c r="M80" s="36"/>
      <c r="N80" s="36"/>
      <c r="O80" s="1"/>
      <c r="P80" s="1"/>
      <c r="Q80" s="1"/>
      <c r="R80" s="1"/>
      <c r="S80" s="1"/>
      <c r="T80" s="1"/>
      <c r="U80" s="1"/>
      <c r="V80" s="1"/>
      <c r="W80" s="37"/>
      <c r="X80" s="37"/>
      <c r="Y80" s="1"/>
      <c r="Z80" s="37"/>
      <c r="AA80" s="1"/>
      <c r="AB80" s="37"/>
    </row>
    <row r="81" spans="2:28" ht="20.100000000000001" customHeight="1" x14ac:dyDescent="0.25">
      <c r="B81" s="5"/>
      <c r="C81" s="37"/>
      <c r="D81" s="37"/>
      <c r="E81" s="37"/>
      <c r="F81" s="36"/>
      <c r="G81" s="36"/>
      <c r="H81" s="36"/>
      <c r="I81" s="36"/>
      <c r="J81" s="37"/>
      <c r="K81" s="1"/>
      <c r="L81" s="1"/>
      <c r="M81" s="36"/>
      <c r="N81" s="36"/>
      <c r="O81" s="1"/>
      <c r="P81" s="1"/>
      <c r="Q81" s="1"/>
      <c r="R81" s="1"/>
      <c r="S81" s="1"/>
      <c r="T81" s="1"/>
      <c r="U81" s="1"/>
      <c r="V81" s="1"/>
      <c r="W81" s="37"/>
      <c r="X81" s="37"/>
      <c r="Y81" s="1"/>
      <c r="Z81" s="37"/>
      <c r="AA81" s="1"/>
      <c r="AB81" s="37"/>
    </row>
    <row r="82" spans="2:28" ht="20.100000000000001" customHeight="1" x14ac:dyDescent="0.25">
      <c r="B82" s="1"/>
      <c r="C82" s="37"/>
      <c r="D82" s="37"/>
      <c r="E82" s="37"/>
      <c r="F82" s="36"/>
      <c r="G82" s="3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4"/>
      <c r="X82" s="44"/>
      <c r="Y82" s="1"/>
      <c r="Z82" s="37"/>
      <c r="AA82" s="1"/>
      <c r="AB82" s="37"/>
    </row>
    <row r="83" spans="2:28" ht="20.100000000000001" customHeight="1" x14ac:dyDescent="0.25">
      <c r="B83" s="1"/>
      <c r="C83" s="37">
        <v>105749.75</v>
      </c>
      <c r="D83" s="37">
        <v>12601.85</v>
      </c>
      <c r="E83" s="37">
        <f>SUM(C83:D83)</f>
        <v>118351.6</v>
      </c>
      <c r="F83" s="36">
        <v>3201826</v>
      </c>
      <c r="G83" s="36">
        <v>548585</v>
      </c>
      <c r="H83" s="36">
        <v>10400</v>
      </c>
      <c r="I83" s="36">
        <f>SUM(F83:H83)</f>
        <v>3760811</v>
      </c>
      <c r="J83" s="1"/>
      <c r="K83" s="1"/>
      <c r="L83" s="1" t="s">
        <v>254</v>
      </c>
      <c r="M83" s="36">
        <f>+M79-I79</f>
        <v>59943.294499999378</v>
      </c>
      <c r="N83" s="1"/>
      <c r="O83" s="1"/>
      <c r="P83" s="1"/>
      <c r="Q83" s="1"/>
      <c r="R83" s="1"/>
      <c r="S83" s="1"/>
      <c r="T83" s="1"/>
      <c r="U83" s="1"/>
      <c r="V83" s="1"/>
      <c r="W83" s="44"/>
      <c r="X83" s="44"/>
    </row>
    <row r="84" spans="2:28" ht="15.95" customHeight="1" x14ac:dyDescent="0.25">
      <c r="B84" s="1"/>
      <c r="C84" s="100">
        <f t="shared" ref="C84:I84" si="60">C83-C79</f>
        <v>0</v>
      </c>
      <c r="D84" s="100">
        <f t="shared" si="60"/>
        <v>0</v>
      </c>
      <c r="E84" s="100">
        <f t="shared" si="60"/>
        <v>0</v>
      </c>
      <c r="F84" s="100">
        <f t="shared" si="60"/>
        <v>0</v>
      </c>
      <c r="G84" s="100">
        <f t="shared" si="60"/>
        <v>0</v>
      </c>
      <c r="H84" s="100">
        <f t="shared" si="60"/>
        <v>0</v>
      </c>
      <c r="I84" s="100">
        <f t="shared" si="60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37"/>
      <c r="X84" s="37"/>
    </row>
    <row r="85" spans="2:28" ht="15.95" customHeight="1" x14ac:dyDescent="0.25">
      <c r="B85" s="1"/>
      <c r="C85" s="45"/>
      <c r="D85" s="45"/>
      <c r="E85" s="1"/>
      <c r="F85" s="36"/>
      <c r="G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37"/>
      <c r="X85" s="37"/>
    </row>
    <row r="86" spans="2:28" ht="15.95" customHeight="1" x14ac:dyDescent="0.25">
      <c r="B86" s="1"/>
      <c r="C86" s="45"/>
      <c r="D86" s="45"/>
      <c r="E86" s="1"/>
      <c r="F86" s="36"/>
      <c r="G86" s="36"/>
    </row>
    <row r="87" spans="2:28" x14ac:dyDescent="0.25">
      <c r="B87" s="1"/>
      <c r="C87" s="45"/>
      <c r="D87" s="45"/>
      <c r="E87" s="1"/>
      <c r="F87" s="36"/>
      <c r="G87" s="36"/>
    </row>
    <row r="88" spans="2:28" x14ac:dyDescent="0.25">
      <c r="B88" s="1"/>
      <c r="C88" s="45"/>
      <c r="D88" s="45"/>
      <c r="E88" s="1"/>
      <c r="F88" s="36"/>
      <c r="G88" s="36"/>
    </row>
    <row r="89" spans="2:28" x14ac:dyDescent="0.25">
      <c r="B89" s="1"/>
      <c r="C89" s="45"/>
      <c r="D89" s="45"/>
      <c r="E89" s="1"/>
      <c r="F89" s="36"/>
      <c r="G89" s="36"/>
    </row>
    <row r="90" spans="2:28" x14ac:dyDescent="0.25">
      <c r="B90" s="1"/>
      <c r="C90" s="45"/>
      <c r="D90" s="45"/>
      <c r="E90" s="1"/>
      <c r="F90" s="36"/>
      <c r="G90" s="36"/>
    </row>
  </sheetData>
  <mergeCells count="3">
    <mergeCell ref="AD7:AE7"/>
    <mergeCell ref="AF7:AG7"/>
    <mergeCell ref="B4:W4"/>
  </mergeCells>
  <phoneticPr fontId="10" type="noConversion"/>
  <pageMargins left="1" right="0.5" top="0.25" bottom="0.25" header="0.5" footer="0.5"/>
  <pageSetup scale="28" fitToHeight="3" orientation="portrait" r:id="rId1"/>
  <headerFooter alignWithMargins="0"/>
  <rowBreaks count="1" manualBreakCount="1"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82"/>
  <sheetViews>
    <sheetView defaultGridColor="0" colorId="22" workbookViewId="0"/>
  </sheetViews>
  <sheetFormatPr defaultColWidth="9.625" defaultRowHeight="15.75" x14ac:dyDescent="0.25"/>
  <cols>
    <col min="1" max="1" width="4.625" style="46" customWidth="1"/>
    <col min="5" max="7" width="12.625" customWidth="1"/>
  </cols>
  <sheetData>
    <row r="1" spans="1:8" ht="18.75" x14ac:dyDescent="0.3">
      <c r="A1" s="46">
        <v>1</v>
      </c>
      <c r="B1" s="1"/>
      <c r="C1" s="2"/>
      <c r="D1" s="2"/>
      <c r="E1" s="2"/>
      <c r="F1" s="2"/>
      <c r="G1" s="2"/>
      <c r="H1" s="2" t="s">
        <v>1</v>
      </c>
    </row>
    <row r="2" spans="1:8" ht="18.75" x14ac:dyDescent="0.3">
      <c r="A2" s="46">
        <f t="shared" ref="A2:A42" si="0">A1+1</f>
        <v>2</v>
      </c>
      <c r="B2" s="1"/>
      <c r="C2" s="2"/>
      <c r="D2" s="2"/>
      <c r="E2" s="2"/>
      <c r="F2" s="2"/>
      <c r="G2" s="2"/>
      <c r="H2" s="2" t="s">
        <v>35</v>
      </c>
    </row>
    <row r="3" spans="1:8" ht="18.75" x14ac:dyDescent="0.3">
      <c r="A3" s="46">
        <f t="shared" si="0"/>
        <v>3</v>
      </c>
      <c r="B3" s="2" t="str">
        <f>employees!B1</f>
        <v>Cumberland Valley Electric</v>
      </c>
      <c r="C3" s="2"/>
      <c r="D3" s="2"/>
      <c r="E3" s="2"/>
      <c r="F3" s="2"/>
      <c r="G3" s="2"/>
      <c r="H3" s="2"/>
    </row>
    <row r="4" spans="1:8" ht="18.75" x14ac:dyDescent="0.3">
      <c r="A4" s="46">
        <f t="shared" si="0"/>
        <v>4</v>
      </c>
      <c r="B4" s="2" t="str">
        <f>employees!B2</f>
        <v>Case No. 2016-00169</v>
      </c>
      <c r="C4" s="2"/>
      <c r="D4" s="2"/>
      <c r="E4" s="2"/>
      <c r="F4" s="2"/>
      <c r="G4" s="2"/>
      <c r="H4" s="2"/>
    </row>
    <row r="5" spans="1:8" ht="18.75" x14ac:dyDescent="0.3">
      <c r="A5" s="46">
        <f t="shared" si="0"/>
        <v>5</v>
      </c>
      <c r="B5" s="86">
        <f>employees!B4</f>
        <v>42338</v>
      </c>
      <c r="C5" s="2"/>
      <c r="D5" s="2"/>
      <c r="E5" s="2"/>
      <c r="F5" s="2"/>
      <c r="G5" s="2"/>
      <c r="H5" s="2"/>
    </row>
    <row r="6" spans="1:8" x14ac:dyDescent="0.25">
      <c r="A6" s="46">
        <f t="shared" si="0"/>
        <v>6</v>
      </c>
    </row>
    <row r="7" spans="1:8" x14ac:dyDescent="0.25">
      <c r="A7" s="46">
        <f t="shared" si="0"/>
        <v>7</v>
      </c>
      <c r="B7" s="47" t="s">
        <v>36</v>
      </c>
      <c r="C7" s="48"/>
      <c r="D7" s="48"/>
      <c r="E7" s="48"/>
      <c r="F7" s="48"/>
      <c r="G7" s="48"/>
      <c r="H7" s="48"/>
    </row>
    <row r="8" spans="1:8" x14ac:dyDescent="0.25">
      <c r="A8" s="46">
        <f t="shared" si="0"/>
        <v>8</v>
      </c>
    </row>
    <row r="9" spans="1:8" x14ac:dyDescent="0.25">
      <c r="A9" s="46">
        <f t="shared" si="0"/>
        <v>9</v>
      </c>
      <c r="B9" t="s">
        <v>37</v>
      </c>
    </row>
    <row r="10" spans="1:8" x14ac:dyDescent="0.25">
      <c r="A10" s="46">
        <f t="shared" si="0"/>
        <v>10</v>
      </c>
      <c r="B10" t="s">
        <v>38</v>
      </c>
    </row>
    <row r="11" spans="1:8" x14ac:dyDescent="0.25">
      <c r="A11" s="46">
        <f t="shared" si="0"/>
        <v>11</v>
      </c>
      <c r="B11" t="s">
        <v>219</v>
      </c>
    </row>
    <row r="12" spans="1:8" x14ac:dyDescent="0.25">
      <c r="A12" s="46">
        <f t="shared" si="0"/>
        <v>12</v>
      </c>
      <c r="B12" t="s">
        <v>220</v>
      </c>
    </row>
    <row r="13" spans="1:8" x14ac:dyDescent="0.25">
      <c r="A13" s="46">
        <f t="shared" si="0"/>
        <v>13</v>
      </c>
      <c r="B13" t="s">
        <v>221</v>
      </c>
    </row>
    <row r="14" spans="1:8" x14ac:dyDescent="0.25">
      <c r="A14" s="46">
        <f t="shared" si="0"/>
        <v>14</v>
      </c>
    </row>
    <row r="15" spans="1:8" x14ac:dyDescent="0.25">
      <c r="A15" s="46">
        <f t="shared" si="0"/>
        <v>15</v>
      </c>
      <c r="B15" t="s">
        <v>222</v>
      </c>
    </row>
    <row r="16" spans="1:8" x14ac:dyDescent="0.25">
      <c r="A16" s="46">
        <f t="shared" si="0"/>
        <v>16</v>
      </c>
      <c r="B16" t="s">
        <v>39</v>
      </c>
    </row>
    <row r="17" spans="1:6" x14ac:dyDescent="0.25">
      <c r="A17" s="46">
        <f t="shared" si="0"/>
        <v>17</v>
      </c>
      <c r="B17" t="s">
        <v>40</v>
      </c>
    </row>
    <row r="18" spans="1:6" x14ac:dyDescent="0.25">
      <c r="A18" s="46">
        <f t="shared" si="0"/>
        <v>18</v>
      </c>
    </row>
    <row r="19" spans="1:6" x14ac:dyDescent="0.25">
      <c r="A19" s="46">
        <f t="shared" si="0"/>
        <v>19</v>
      </c>
      <c r="B19" t="s">
        <v>218</v>
      </c>
    </row>
    <row r="20" spans="1:6" x14ac:dyDescent="0.25">
      <c r="A20" s="46">
        <f t="shared" si="0"/>
        <v>20</v>
      </c>
    </row>
    <row r="21" spans="1:6" x14ac:dyDescent="0.25">
      <c r="A21" s="46">
        <f t="shared" si="0"/>
        <v>21</v>
      </c>
      <c r="B21" t="s">
        <v>41</v>
      </c>
    </row>
    <row r="22" spans="1:6" x14ac:dyDescent="0.25">
      <c r="A22" s="46">
        <f t="shared" si="0"/>
        <v>22</v>
      </c>
    </row>
    <row r="23" spans="1:6" x14ac:dyDescent="0.25">
      <c r="A23" s="46">
        <f t="shared" si="0"/>
        <v>23</v>
      </c>
      <c r="B23" s="1"/>
      <c r="C23" s="4"/>
      <c r="D23" s="4"/>
      <c r="E23" s="4"/>
      <c r="F23" s="4"/>
    </row>
    <row r="24" spans="1:6" x14ac:dyDescent="0.25">
      <c r="A24" s="46">
        <f t="shared" si="0"/>
        <v>24</v>
      </c>
      <c r="B24" s="1"/>
      <c r="C24" s="49"/>
      <c r="E24" s="49" t="s">
        <v>193</v>
      </c>
      <c r="F24" s="49" t="s">
        <v>223</v>
      </c>
    </row>
    <row r="25" spans="1:6" x14ac:dyDescent="0.25">
      <c r="A25" s="46">
        <f t="shared" si="0"/>
        <v>25</v>
      </c>
    </row>
    <row r="26" spans="1:6" x14ac:dyDescent="0.25">
      <c r="A26" s="46">
        <f t="shared" si="0"/>
        <v>26</v>
      </c>
      <c r="B26" s="1">
        <v>2015</v>
      </c>
      <c r="C26" s="21"/>
      <c r="E26" s="21">
        <v>3.5000000000000003E-2</v>
      </c>
      <c r="F26" s="21">
        <v>3.5000000000000003E-2</v>
      </c>
    </row>
    <row r="27" spans="1:6" x14ac:dyDescent="0.25">
      <c r="A27" s="46">
        <f t="shared" si="0"/>
        <v>27</v>
      </c>
      <c r="B27" s="1">
        <f>B26-1</f>
        <v>2014</v>
      </c>
      <c r="C27" s="21"/>
      <c r="E27" s="21">
        <v>3.5000000000000003E-2</v>
      </c>
      <c r="F27" s="21">
        <v>3.5000000000000003E-2</v>
      </c>
    </row>
    <row r="28" spans="1:6" x14ac:dyDescent="0.25">
      <c r="A28" s="46">
        <f t="shared" si="0"/>
        <v>28</v>
      </c>
      <c r="B28" s="1">
        <f>B27-1</f>
        <v>2013</v>
      </c>
      <c r="C28" s="21"/>
      <c r="E28" s="21">
        <v>0.03</v>
      </c>
      <c r="F28" s="21">
        <v>0.03</v>
      </c>
    </row>
    <row r="29" spans="1:6" x14ac:dyDescent="0.25">
      <c r="A29" s="46">
        <f t="shared" si="0"/>
        <v>29</v>
      </c>
      <c r="B29" s="1">
        <f>B28-1</f>
        <v>2012</v>
      </c>
      <c r="C29" s="21"/>
      <c r="E29" s="21">
        <v>0.03</v>
      </c>
      <c r="F29" s="21">
        <v>0.03</v>
      </c>
    </row>
    <row r="30" spans="1:6" x14ac:dyDescent="0.25">
      <c r="A30" s="46">
        <f t="shared" si="0"/>
        <v>30</v>
      </c>
      <c r="B30" s="1">
        <f>B29-1</f>
        <v>2011</v>
      </c>
      <c r="C30" s="21"/>
      <c r="E30" s="21">
        <v>3.5000000000000003E-2</v>
      </c>
      <c r="F30" s="21">
        <v>3.5000000000000003E-2</v>
      </c>
    </row>
    <row r="31" spans="1:6" x14ac:dyDescent="0.25">
      <c r="A31" s="46">
        <f t="shared" si="0"/>
        <v>31</v>
      </c>
    </row>
    <row r="32" spans="1:6" x14ac:dyDescent="0.25">
      <c r="A32" s="46">
        <f t="shared" si="0"/>
        <v>32</v>
      </c>
      <c r="B32" t="s">
        <v>42</v>
      </c>
    </row>
    <row r="33" spans="1:8" x14ac:dyDescent="0.25">
      <c r="A33" s="46">
        <f t="shared" si="0"/>
        <v>33</v>
      </c>
    </row>
    <row r="34" spans="1:8" x14ac:dyDescent="0.25">
      <c r="A34" s="46">
        <f t="shared" si="0"/>
        <v>34</v>
      </c>
      <c r="B34" s="1" t="s">
        <v>43</v>
      </c>
      <c r="C34" s="1"/>
      <c r="D34" s="1"/>
      <c r="F34" s="20">
        <f>employees!M79</f>
        <v>3820754.2944999994</v>
      </c>
    </row>
    <row r="35" spans="1:8" x14ac:dyDescent="0.25">
      <c r="A35" s="46">
        <f t="shared" si="0"/>
        <v>35</v>
      </c>
    </row>
    <row r="36" spans="1:8" x14ac:dyDescent="0.25">
      <c r="A36" s="46">
        <f t="shared" si="0"/>
        <v>36</v>
      </c>
      <c r="B36" s="1" t="s">
        <v>44</v>
      </c>
      <c r="C36" s="1"/>
      <c r="D36" s="1"/>
      <c r="F36" s="50">
        <f>employees!I79</f>
        <v>3760811</v>
      </c>
    </row>
    <row r="37" spans="1:8" x14ac:dyDescent="0.25">
      <c r="A37" s="46">
        <f t="shared" si="0"/>
        <v>37</v>
      </c>
    </row>
    <row r="38" spans="1:8" ht="16.5" thickBot="1" x14ac:dyDescent="0.3">
      <c r="A38" s="46">
        <f t="shared" si="0"/>
        <v>38</v>
      </c>
      <c r="B38" s="1" t="s">
        <v>45</v>
      </c>
      <c r="C38" s="1"/>
      <c r="D38" s="1"/>
      <c r="F38" s="51">
        <f>F34-F36</f>
        <v>59943.294499999378</v>
      </c>
    </row>
    <row r="39" spans="1:8" ht="16.5" thickTop="1" x14ac:dyDescent="0.25">
      <c r="A39" s="46">
        <f t="shared" si="0"/>
        <v>39</v>
      </c>
    </row>
    <row r="40" spans="1:8" x14ac:dyDescent="0.25">
      <c r="A40" s="46">
        <f t="shared" si="0"/>
        <v>40</v>
      </c>
    </row>
    <row r="41" spans="1:8" x14ac:dyDescent="0.25">
      <c r="A41" s="46">
        <f t="shared" si="0"/>
        <v>41</v>
      </c>
      <c r="B41" t="s">
        <v>46</v>
      </c>
    </row>
    <row r="42" spans="1:8" x14ac:dyDescent="0.25">
      <c r="A42" s="46">
        <f t="shared" si="0"/>
        <v>42</v>
      </c>
    </row>
    <row r="45" spans="1:8" x14ac:dyDescent="0.25">
      <c r="A45" s="46">
        <f t="shared" ref="A45:A82" si="1">A44+1</f>
        <v>1</v>
      </c>
      <c r="B45" s="1"/>
      <c r="C45" s="1"/>
      <c r="D45" s="1"/>
      <c r="E45" s="1"/>
      <c r="F45" s="1"/>
      <c r="G45" s="1"/>
      <c r="H45" s="4" t="s">
        <v>47</v>
      </c>
    </row>
    <row r="46" spans="1:8" x14ac:dyDescent="0.25">
      <c r="A46" s="46">
        <f t="shared" si="1"/>
        <v>2</v>
      </c>
      <c r="B46" s="1"/>
      <c r="C46" s="1"/>
      <c r="D46" s="1"/>
      <c r="E46" s="1"/>
      <c r="F46" s="1"/>
      <c r="G46" s="1"/>
      <c r="H46" s="4" t="s">
        <v>48</v>
      </c>
    </row>
    <row r="47" spans="1:8" x14ac:dyDescent="0.25">
      <c r="A47" s="46">
        <f t="shared" si="1"/>
        <v>3</v>
      </c>
      <c r="B47" s="1"/>
      <c r="C47" s="1"/>
      <c r="D47" s="1"/>
      <c r="E47" s="1"/>
      <c r="F47" s="1"/>
      <c r="G47" s="1"/>
      <c r="H47" s="4" t="s">
        <v>201</v>
      </c>
    </row>
    <row r="48" spans="1:8" x14ac:dyDescent="0.25">
      <c r="A48" s="46">
        <f t="shared" si="1"/>
        <v>4</v>
      </c>
    </row>
    <row r="49" spans="1:8" ht="18.75" x14ac:dyDescent="0.3">
      <c r="A49" s="46">
        <f t="shared" si="1"/>
        <v>5</v>
      </c>
      <c r="B49" s="2" t="str">
        <f>B3</f>
        <v>Cumberland Valley Electric</v>
      </c>
      <c r="C49" s="3"/>
      <c r="D49" s="3"/>
      <c r="E49" s="3"/>
      <c r="F49" s="3"/>
      <c r="G49" s="3"/>
      <c r="H49" s="3"/>
    </row>
    <row r="50" spans="1:8" ht="18.75" x14ac:dyDescent="0.3">
      <c r="A50" s="46">
        <f t="shared" si="1"/>
        <v>6</v>
      </c>
      <c r="B50" s="2" t="str">
        <f>B4</f>
        <v>Case No. 2016-00169</v>
      </c>
      <c r="C50" s="3"/>
      <c r="D50" s="3"/>
      <c r="E50" s="3"/>
      <c r="F50" s="3"/>
      <c r="G50" s="3"/>
      <c r="H50" s="3"/>
    </row>
    <row r="51" spans="1:8" x14ac:dyDescent="0.25">
      <c r="A51" s="46">
        <f t="shared" si="1"/>
        <v>7</v>
      </c>
      <c r="B51" s="3" t="s">
        <v>49</v>
      </c>
      <c r="C51" s="3"/>
      <c r="D51" s="3"/>
      <c r="E51" s="3"/>
      <c r="F51" s="3"/>
      <c r="G51" s="3"/>
      <c r="H51" s="3"/>
    </row>
    <row r="52" spans="1:8" x14ac:dyDescent="0.25">
      <c r="A52" s="46">
        <f t="shared" si="1"/>
        <v>8</v>
      </c>
      <c r="B52" s="84">
        <f>B5</f>
        <v>42338</v>
      </c>
      <c r="C52" s="3"/>
      <c r="D52" s="3"/>
      <c r="E52" s="3"/>
      <c r="F52" s="3"/>
      <c r="G52" s="3"/>
      <c r="H52" s="3"/>
    </row>
    <row r="53" spans="1:8" x14ac:dyDescent="0.25">
      <c r="A53" s="46">
        <f t="shared" si="1"/>
        <v>9</v>
      </c>
    </row>
    <row r="54" spans="1:8" x14ac:dyDescent="0.25">
      <c r="A54" s="46">
        <f t="shared" si="1"/>
        <v>10</v>
      </c>
    </row>
    <row r="55" spans="1:8" x14ac:dyDescent="0.25">
      <c r="A55" s="46">
        <f t="shared" si="1"/>
        <v>11</v>
      </c>
      <c r="B55" t="s">
        <v>50</v>
      </c>
    </row>
    <row r="56" spans="1:8" x14ac:dyDescent="0.25">
      <c r="A56" s="46">
        <f t="shared" si="1"/>
        <v>12</v>
      </c>
      <c r="B56" t="s">
        <v>51</v>
      </c>
    </row>
    <row r="57" spans="1:8" x14ac:dyDescent="0.25">
      <c r="A57" s="46">
        <f t="shared" si="1"/>
        <v>13</v>
      </c>
    </row>
    <row r="58" spans="1:8" x14ac:dyDescent="0.25">
      <c r="A58" s="46">
        <f t="shared" si="1"/>
        <v>14</v>
      </c>
    </row>
    <row r="59" spans="1:8" x14ac:dyDescent="0.25">
      <c r="A59" s="46">
        <f t="shared" si="1"/>
        <v>15</v>
      </c>
      <c r="B59" s="9" t="s">
        <v>13</v>
      </c>
    </row>
    <row r="60" spans="1:8" x14ac:dyDescent="0.25">
      <c r="A60" s="46">
        <f t="shared" si="1"/>
        <v>16</v>
      </c>
      <c r="B60" s="30" t="s">
        <v>52</v>
      </c>
      <c r="C60" s="1"/>
      <c r="D60" s="35" t="s">
        <v>53</v>
      </c>
      <c r="E60" s="35"/>
    </row>
    <row r="61" spans="1:8" x14ac:dyDescent="0.25">
      <c r="A61" s="46">
        <f t="shared" si="1"/>
        <v>17</v>
      </c>
      <c r="B61" s="9"/>
    </row>
    <row r="62" spans="1:8" x14ac:dyDescent="0.25">
      <c r="A62" s="46">
        <f t="shared" si="1"/>
        <v>18</v>
      </c>
      <c r="B62" s="9">
        <v>253</v>
      </c>
      <c r="D62" t="s">
        <v>216</v>
      </c>
    </row>
    <row r="63" spans="1:8" x14ac:dyDescent="0.25">
      <c r="A63" s="46">
        <f t="shared" si="1"/>
        <v>19</v>
      </c>
      <c r="B63" s="9">
        <v>254</v>
      </c>
      <c r="D63" t="s">
        <v>217</v>
      </c>
    </row>
    <row r="64" spans="1:8" x14ac:dyDescent="0.25">
      <c r="A64" s="46">
        <f t="shared" si="1"/>
        <v>20</v>
      </c>
      <c r="B64" s="9"/>
    </row>
    <row r="65" spans="1:5" x14ac:dyDescent="0.25">
      <c r="A65" s="46">
        <f t="shared" si="1"/>
        <v>21</v>
      </c>
    </row>
    <row r="66" spans="1:5" x14ac:dyDescent="0.25">
      <c r="A66" s="46">
        <f t="shared" si="1"/>
        <v>22</v>
      </c>
      <c r="B66" t="s">
        <v>54</v>
      </c>
    </row>
    <row r="67" spans="1:5" x14ac:dyDescent="0.25">
      <c r="A67" s="46">
        <f t="shared" si="1"/>
        <v>23</v>
      </c>
    </row>
    <row r="68" spans="1:5" x14ac:dyDescent="0.25">
      <c r="A68" s="46">
        <f t="shared" si="1"/>
        <v>24</v>
      </c>
      <c r="B68" s="1"/>
      <c r="C68" s="9" t="s">
        <v>13</v>
      </c>
      <c r="D68" s="9"/>
      <c r="E68" s="9" t="s">
        <v>55</v>
      </c>
    </row>
    <row r="69" spans="1:5" x14ac:dyDescent="0.25">
      <c r="A69" s="46">
        <f t="shared" si="1"/>
        <v>25</v>
      </c>
      <c r="B69" s="1"/>
      <c r="C69" s="30" t="s">
        <v>22</v>
      </c>
      <c r="D69" s="30"/>
      <c r="E69" s="30" t="s">
        <v>56</v>
      </c>
    </row>
    <row r="70" spans="1:5" x14ac:dyDescent="0.25">
      <c r="A70" s="46">
        <f t="shared" si="1"/>
        <v>26</v>
      </c>
      <c r="B70" s="1"/>
      <c r="C70" s="9"/>
      <c r="D70" s="9"/>
      <c r="E70" s="9"/>
    </row>
    <row r="71" spans="1:5" x14ac:dyDescent="0.25">
      <c r="A71" s="46">
        <f t="shared" si="1"/>
        <v>27</v>
      </c>
      <c r="B71" s="1"/>
      <c r="C71" s="9"/>
      <c r="D71" s="9"/>
      <c r="E71" s="9"/>
    </row>
    <row r="72" spans="1:5" x14ac:dyDescent="0.25">
      <c r="A72" s="46">
        <f t="shared" si="1"/>
        <v>28</v>
      </c>
      <c r="B72" s="1"/>
      <c r="C72" s="9">
        <v>206</v>
      </c>
      <c r="D72" s="9"/>
      <c r="E72" s="85">
        <v>41060</v>
      </c>
    </row>
    <row r="73" spans="1:5" x14ac:dyDescent="0.25">
      <c r="A73" s="46">
        <f t="shared" si="1"/>
        <v>29</v>
      </c>
      <c r="B73" s="1"/>
      <c r="C73" s="9">
        <v>901</v>
      </c>
      <c r="D73" s="9"/>
      <c r="E73" s="85">
        <v>40725</v>
      </c>
    </row>
    <row r="74" spans="1:5" x14ac:dyDescent="0.25">
      <c r="A74" s="46">
        <f t="shared" si="1"/>
        <v>30</v>
      </c>
      <c r="B74" s="1"/>
      <c r="C74" s="9"/>
      <c r="D74" s="9"/>
      <c r="E74" s="9"/>
    </row>
    <row r="75" spans="1:5" x14ac:dyDescent="0.25">
      <c r="A75" s="46">
        <f t="shared" si="1"/>
        <v>31</v>
      </c>
      <c r="B75" s="1"/>
      <c r="C75" s="9"/>
      <c r="D75" s="9"/>
      <c r="E75" s="9"/>
    </row>
    <row r="76" spans="1:5" x14ac:dyDescent="0.25">
      <c r="A76" s="46">
        <f t="shared" si="1"/>
        <v>32</v>
      </c>
      <c r="B76" s="1"/>
      <c r="C76" s="9"/>
      <c r="D76" s="9"/>
      <c r="E76" s="9"/>
    </row>
    <row r="77" spans="1:5" x14ac:dyDescent="0.25">
      <c r="A77" s="46">
        <f t="shared" si="1"/>
        <v>33</v>
      </c>
      <c r="B77" s="1"/>
      <c r="C77" s="9"/>
      <c r="D77" s="9"/>
      <c r="E77" s="9"/>
    </row>
    <row r="78" spans="1:5" x14ac:dyDescent="0.25">
      <c r="A78" s="46">
        <f t="shared" si="1"/>
        <v>34</v>
      </c>
      <c r="B78" s="1"/>
      <c r="C78" s="9"/>
      <c r="D78" s="9"/>
      <c r="E78" s="9"/>
    </row>
    <row r="79" spans="1:5" x14ac:dyDescent="0.25">
      <c r="A79" s="46">
        <f t="shared" si="1"/>
        <v>35</v>
      </c>
      <c r="B79" s="1"/>
      <c r="C79" s="9"/>
      <c r="D79" s="9"/>
      <c r="E79" s="9"/>
    </row>
    <row r="80" spans="1:5" x14ac:dyDescent="0.25">
      <c r="A80" s="46">
        <f t="shared" si="1"/>
        <v>36</v>
      </c>
      <c r="B80" s="1"/>
      <c r="C80" s="9"/>
      <c r="D80" s="9"/>
      <c r="E80" s="9"/>
    </row>
    <row r="81" spans="1:5" x14ac:dyDescent="0.25">
      <c r="A81" s="46">
        <f t="shared" si="1"/>
        <v>37</v>
      </c>
      <c r="B81" s="1"/>
      <c r="C81" s="9"/>
      <c r="D81" s="9"/>
      <c r="E81" s="9"/>
    </row>
    <row r="82" spans="1:5" x14ac:dyDescent="0.25">
      <c r="A82" s="46">
        <f t="shared" si="1"/>
        <v>38</v>
      </c>
      <c r="B82" s="1"/>
      <c r="C82" s="9"/>
      <c r="D82" s="9"/>
      <c r="E82" s="9"/>
    </row>
  </sheetData>
  <phoneticPr fontId="10" type="noConversion"/>
  <pageMargins left="0.65" right="0.5" top="0.5" bottom="0.25" header="0.5" footer="0.5"/>
  <pageSetup orientation="portrait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103"/>
  <sheetViews>
    <sheetView defaultGridColor="0" colorId="22" zoomScale="95" workbookViewId="0"/>
  </sheetViews>
  <sheetFormatPr defaultColWidth="9.625" defaultRowHeight="15.75" x14ac:dyDescent="0.25"/>
  <cols>
    <col min="1" max="1" width="4.625" customWidth="1"/>
  </cols>
  <sheetData>
    <row r="1" spans="1:13" x14ac:dyDescent="0.25">
      <c r="A1" s="46">
        <v>1</v>
      </c>
      <c r="B1" s="1"/>
      <c r="C1" s="1"/>
      <c r="D1" s="1"/>
      <c r="E1" s="1"/>
      <c r="F1" s="1"/>
      <c r="G1" s="1"/>
      <c r="H1" s="4" t="s">
        <v>1</v>
      </c>
    </row>
    <row r="2" spans="1:13" x14ac:dyDescent="0.25">
      <c r="A2" s="46">
        <f t="shared" ref="A2:A33" si="0">(A1+1)</f>
        <v>2</v>
      </c>
      <c r="B2" s="52"/>
      <c r="C2" s="1"/>
      <c r="D2" s="1"/>
      <c r="E2" s="1"/>
      <c r="F2" s="1"/>
      <c r="G2" s="1"/>
      <c r="H2" s="4" t="s">
        <v>57</v>
      </c>
    </row>
    <row r="3" spans="1:13" ht="18.75" x14ac:dyDescent="0.3">
      <c r="A3" s="46">
        <f t="shared" si="0"/>
        <v>3</v>
      </c>
      <c r="B3" s="2" t="str">
        <f>explanation!B3</f>
        <v>Cumberland Valley Electric</v>
      </c>
      <c r="C3" s="2"/>
      <c r="D3" s="2"/>
      <c r="E3" s="2"/>
      <c r="F3" s="2"/>
      <c r="G3" s="2"/>
      <c r="H3" s="2"/>
    </row>
    <row r="4" spans="1:13" ht="18.75" x14ac:dyDescent="0.3">
      <c r="A4" s="46">
        <f t="shared" si="0"/>
        <v>4</v>
      </c>
      <c r="B4" s="2" t="str">
        <f>explanation!B4</f>
        <v>Case No. 2016-00169</v>
      </c>
      <c r="C4" s="2"/>
      <c r="D4" s="2"/>
      <c r="E4" s="2"/>
      <c r="F4" s="2"/>
      <c r="G4" s="2"/>
      <c r="H4" s="2"/>
    </row>
    <row r="5" spans="1:13" x14ac:dyDescent="0.25">
      <c r="A5" s="46">
        <f t="shared" si="0"/>
        <v>5</v>
      </c>
    </row>
    <row r="6" spans="1:13" x14ac:dyDescent="0.25">
      <c r="A6" s="46">
        <f t="shared" si="0"/>
        <v>6</v>
      </c>
      <c r="B6" t="s">
        <v>58</v>
      </c>
    </row>
    <row r="7" spans="1:13" x14ac:dyDescent="0.25">
      <c r="A7" s="46">
        <f t="shared" si="0"/>
        <v>7</v>
      </c>
      <c r="B7" s="1"/>
      <c r="C7" s="1"/>
      <c r="D7" s="1"/>
      <c r="E7" s="1"/>
      <c r="F7" s="9" t="s">
        <v>59</v>
      </c>
      <c r="G7" s="1"/>
      <c r="H7" s="1"/>
      <c r="I7" s="1"/>
      <c r="J7" s="1"/>
      <c r="K7" s="9" t="s">
        <v>60</v>
      </c>
    </row>
    <row r="8" spans="1:13" x14ac:dyDescent="0.25">
      <c r="A8" s="46">
        <f t="shared" si="0"/>
        <v>8</v>
      </c>
      <c r="B8" s="1"/>
      <c r="C8" s="1"/>
      <c r="D8" s="1"/>
      <c r="E8" s="1"/>
      <c r="F8" s="30" t="s">
        <v>61</v>
      </c>
      <c r="G8" s="30" t="s">
        <v>21</v>
      </c>
      <c r="H8" s="30" t="s">
        <v>62</v>
      </c>
      <c r="I8" s="1"/>
      <c r="J8" s="1"/>
      <c r="K8" s="30" t="s">
        <v>61</v>
      </c>
    </row>
    <row r="9" spans="1:13" x14ac:dyDescent="0.25">
      <c r="A9" s="46">
        <f t="shared" si="0"/>
        <v>9</v>
      </c>
    </row>
    <row r="10" spans="1:13" ht="18" customHeight="1" x14ac:dyDescent="0.25">
      <c r="A10" s="46">
        <f t="shared" si="0"/>
        <v>10</v>
      </c>
      <c r="B10" s="93" t="s">
        <v>63</v>
      </c>
      <c r="C10" s="1" t="s">
        <v>64</v>
      </c>
      <c r="D10" s="1"/>
      <c r="E10" s="1"/>
      <c r="F10" s="36">
        <v>944538</v>
      </c>
      <c r="G10" s="38">
        <f t="shared" ref="G10:G15" si="1">F10/$F$32</f>
        <v>0.25115274338433918</v>
      </c>
      <c r="H10" s="36">
        <f>ROUND((explanation!$F$38*G10),0)</f>
        <v>15055</v>
      </c>
      <c r="I10" s="1"/>
      <c r="J10" s="1"/>
      <c r="K10" s="36">
        <f>(+F10/(F$32-$F$14)*G$81)</f>
        <v>345729.7694533965</v>
      </c>
      <c r="L10" s="1"/>
      <c r="M10" s="36"/>
    </row>
    <row r="11" spans="1:13" ht="18" customHeight="1" x14ac:dyDescent="0.25">
      <c r="A11" s="46">
        <f t="shared" si="0"/>
        <v>11</v>
      </c>
      <c r="B11" s="93" t="s">
        <v>65</v>
      </c>
      <c r="C11" s="1" t="s">
        <v>66</v>
      </c>
      <c r="D11" s="1"/>
      <c r="E11" s="1"/>
      <c r="F11" s="36">
        <v>69361</v>
      </c>
      <c r="G11" s="38">
        <f t="shared" si="1"/>
        <v>1.8443096449143548E-2</v>
      </c>
      <c r="H11" s="36">
        <f>ROUND((explanation!$F$38*G11),0)</f>
        <v>1106</v>
      </c>
      <c r="I11" s="1"/>
      <c r="J11" s="36">
        <f>SUM(F10:F11)</f>
        <v>1013899</v>
      </c>
      <c r="K11" s="36">
        <f>(+F11/(F$32-$F$14)*G$81)</f>
        <v>25388.245405750786</v>
      </c>
      <c r="L11" s="21">
        <f>SUM(K10:K11)/$K$32</f>
        <v>0.27744715528135233</v>
      </c>
      <c r="M11" s="36"/>
    </row>
    <row r="12" spans="1:13" ht="18" customHeight="1" x14ac:dyDescent="0.25">
      <c r="A12" s="46">
        <f t="shared" si="0"/>
        <v>12</v>
      </c>
      <c r="B12" s="93" t="s">
        <v>67</v>
      </c>
      <c r="C12" s="1" t="s">
        <v>68</v>
      </c>
      <c r="D12" s="1"/>
      <c r="E12" s="1"/>
      <c r="F12" s="36">
        <v>75157</v>
      </c>
      <c r="G12" s="38">
        <f t="shared" si="1"/>
        <v>1.9984253396408382E-2</v>
      </c>
      <c r="H12" s="36">
        <f>ROUND((explanation!$F$38*G12),0)</f>
        <v>1198</v>
      </c>
      <c r="I12" s="1"/>
      <c r="J12" s="1"/>
      <c r="K12" s="36">
        <f>(+F12/(F$32-$F$14)*G$81)</f>
        <v>27509.758509248884</v>
      </c>
      <c r="L12" s="1"/>
      <c r="M12" s="36"/>
    </row>
    <row r="13" spans="1:13" ht="18" customHeight="1" x14ac:dyDescent="0.25">
      <c r="A13" s="46">
        <f t="shared" si="0"/>
        <v>13</v>
      </c>
      <c r="B13" s="93" t="s">
        <v>69</v>
      </c>
      <c r="C13" s="1" t="s">
        <v>70</v>
      </c>
      <c r="D13" s="1"/>
      <c r="E13" s="1"/>
      <c r="F13" s="36">
        <v>16606</v>
      </c>
      <c r="G13" s="38">
        <f t="shared" si="1"/>
        <v>4.4155369679571774E-3</v>
      </c>
      <c r="H13" s="36">
        <f>ROUND((explanation!$F$38*G13),0)</f>
        <v>265</v>
      </c>
      <c r="I13" s="1"/>
      <c r="J13" s="1"/>
      <c r="K13" s="36">
        <f>(+F13/(F$32-$F$14)*G$81)</f>
        <v>6078.3034155778832</v>
      </c>
      <c r="L13" s="1"/>
      <c r="M13" s="36"/>
    </row>
    <row r="14" spans="1:13" ht="18" customHeight="1" x14ac:dyDescent="0.25">
      <c r="A14" s="46">
        <f t="shared" si="0"/>
        <v>14</v>
      </c>
      <c r="B14" s="93" t="s">
        <v>71</v>
      </c>
      <c r="C14" s="1" t="s">
        <v>72</v>
      </c>
      <c r="D14" s="1"/>
      <c r="E14" s="1"/>
      <c r="F14" s="36">
        <f>101471+4954</f>
        <v>106425</v>
      </c>
      <c r="G14" s="38">
        <f t="shared" si="1"/>
        <v>2.8298417548768072E-2</v>
      </c>
      <c r="H14" s="36">
        <f>ROUND((explanation!$F$38*G14),0)</f>
        <v>1696</v>
      </c>
      <c r="I14" s="1"/>
      <c r="J14" s="1"/>
      <c r="K14" s="36"/>
      <c r="L14" s="1"/>
      <c r="M14" s="36"/>
    </row>
    <row r="15" spans="1:13" ht="18" customHeight="1" x14ac:dyDescent="0.25">
      <c r="A15" s="46">
        <f t="shared" si="0"/>
        <v>15</v>
      </c>
      <c r="B15" s="93" t="s">
        <v>73</v>
      </c>
      <c r="C15" s="1" t="s">
        <v>74</v>
      </c>
      <c r="D15" s="1"/>
      <c r="E15" s="1"/>
      <c r="F15" s="36">
        <f>7249+21713+9511</f>
        <v>38473</v>
      </c>
      <c r="G15" s="38">
        <f t="shared" si="1"/>
        <v>1.0229974332663885E-2</v>
      </c>
      <c r="H15" s="36">
        <f>ROUND((explanation!$F$38*G15),0)</f>
        <v>613</v>
      </c>
      <c r="I15" s="1"/>
      <c r="J15" s="36">
        <f>SUM(F12:F15)</f>
        <v>236661</v>
      </c>
      <c r="K15" s="36">
        <f t="shared" ref="K15:K30" si="2">(+F15/(F$32-$F$14)*G$81)</f>
        <v>14082.29358710875</v>
      </c>
      <c r="L15" s="21">
        <f>SUM(K12:K15)/$K$32</f>
        <v>3.5638271381293607E-2</v>
      </c>
      <c r="M15" s="36"/>
    </row>
    <row r="16" spans="1:13" ht="18" customHeight="1" x14ac:dyDescent="0.25">
      <c r="A16" s="46">
        <f t="shared" si="0"/>
        <v>16</v>
      </c>
      <c r="B16" s="93" t="s">
        <v>76</v>
      </c>
      <c r="C16" s="1" t="s">
        <v>77</v>
      </c>
      <c r="D16" s="1"/>
      <c r="E16" s="1"/>
      <c r="F16" s="36">
        <v>53644</v>
      </c>
      <c r="G16" s="1"/>
      <c r="H16" s="1"/>
      <c r="I16" s="1"/>
      <c r="J16" s="1"/>
      <c r="K16" s="36">
        <f t="shared" si="2"/>
        <v>19635.343154598337</v>
      </c>
      <c r="L16" s="1"/>
      <c r="M16" s="36"/>
    </row>
    <row r="17" spans="1:13" ht="18" customHeight="1" x14ac:dyDescent="0.25">
      <c r="A17" s="46">
        <f t="shared" si="0"/>
        <v>17</v>
      </c>
      <c r="B17" s="93" t="s">
        <v>79</v>
      </c>
      <c r="C17" s="1" t="s">
        <v>80</v>
      </c>
      <c r="D17" s="1"/>
      <c r="E17" s="1"/>
      <c r="F17" s="36">
        <v>216931</v>
      </c>
      <c r="G17" s="1"/>
      <c r="H17" s="1"/>
      <c r="I17" s="1"/>
      <c r="J17" s="1"/>
      <c r="K17" s="36">
        <f t="shared" si="2"/>
        <v>79403.37457814801</v>
      </c>
      <c r="L17" s="1"/>
      <c r="M17" s="36"/>
    </row>
    <row r="18" spans="1:13" ht="18" customHeight="1" x14ac:dyDescent="0.25">
      <c r="A18" s="46">
        <f t="shared" si="0"/>
        <v>18</v>
      </c>
      <c r="B18" s="93">
        <v>587</v>
      </c>
      <c r="C18" s="98" t="s">
        <v>241</v>
      </c>
      <c r="D18" s="1"/>
      <c r="E18" s="1"/>
      <c r="F18" s="36">
        <v>483</v>
      </c>
      <c r="G18" s="1"/>
      <c r="H18" s="1"/>
      <c r="I18" s="1"/>
      <c r="J18" s="1"/>
      <c r="K18" s="36">
        <f t="shared" si="2"/>
        <v>176.79275862484147</v>
      </c>
      <c r="L18" s="1"/>
      <c r="M18" s="36"/>
    </row>
    <row r="19" spans="1:13" ht="18" customHeight="1" x14ac:dyDescent="0.25">
      <c r="A19" s="46">
        <f t="shared" si="0"/>
        <v>19</v>
      </c>
      <c r="B19" s="93" t="s">
        <v>81</v>
      </c>
      <c r="C19" s="1" t="s">
        <v>82</v>
      </c>
      <c r="D19" s="1"/>
      <c r="E19" s="1"/>
      <c r="F19" s="36">
        <v>0</v>
      </c>
      <c r="G19" s="38">
        <f>SUM(F16:F19)/$F$32</f>
        <v>7.2074347793600904E-2</v>
      </c>
      <c r="H19" s="36">
        <f>ROUND((explanation!$F$38*G19),0)</f>
        <v>4320</v>
      </c>
      <c r="I19" s="1"/>
      <c r="J19" s="1"/>
      <c r="K19" s="36">
        <f t="shared" si="2"/>
        <v>0</v>
      </c>
      <c r="L19" s="21">
        <f>SUM(K16:K19)/$K$32</f>
        <v>7.4173335821667449E-2</v>
      </c>
      <c r="M19" s="36"/>
    </row>
    <row r="20" spans="1:13" ht="18" customHeight="1" x14ac:dyDescent="0.25">
      <c r="A20" s="46">
        <f t="shared" si="0"/>
        <v>20</v>
      </c>
      <c r="B20" s="93" t="s">
        <v>85</v>
      </c>
      <c r="C20" s="1" t="s">
        <v>77</v>
      </c>
      <c r="D20" s="1"/>
      <c r="E20" s="1"/>
      <c r="F20" s="36">
        <v>722147</v>
      </c>
      <c r="G20" s="1"/>
      <c r="H20" s="1"/>
      <c r="I20" s="1"/>
      <c r="J20" s="1"/>
      <c r="K20" s="36">
        <f t="shared" si="2"/>
        <v>264327.86803861987</v>
      </c>
      <c r="L20" s="1"/>
      <c r="M20" s="36"/>
    </row>
    <row r="21" spans="1:13" ht="18" customHeight="1" x14ac:dyDescent="0.25">
      <c r="A21" s="46">
        <f t="shared" si="0"/>
        <v>21</v>
      </c>
      <c r="B21" s="93" t="s">
        <v>87</v>
      </c>
      <c r="C21" s="1" t="s">
        <v>88</v>
      </c>
      <c r="D21" s="1"/>
      <c r="E21" s="1"/>
      <c r="F21" s="36">
        <v>879</v>
      </c>
      <c r="G21" s="1"/>
      <c r="H21" s="1"/>
      <c r="I21" s="1"/>
      <c r="J21" s="1"/>
      <c r="K21" s="36">
        <f t="shared" si="2"/>
        <v>321.74085886384199</v>
      </c>
      <c r="L21" s="1"/>
      <c r="M21" s="36"/>
    </row>
    <row r="22" spans="1:13" ht="18" customHeight="1" x14ac:dyDescent="0.25">
      <c r="A22" s="46">
        <f t="shared" si="0"/>
        <v>22</v>
      </c>
      <c r="B22" s="93">
        <v>597</v>
      </c>
      <c r="C22" s="98" t="s">
        <v>242</v>
      </c>
      <c r="D22" s="1"/>
      <c r="E22" s="1"/>
      <c r="F22" s="36">
        <v>51377</v>
      </c>
      <c r="G22" s="1"/>
      <c r="H22" s="1"/>
      <c r="I22" s="1"/>
      <c r="J22" s="1"/>
      <c r="K22" s="36">
        <f t="shared" si="2"/>
        <v>18805.551883785676</v>
      </c>
      <c r="L22" s="1"/>
      <c r="M22" s="36"/>
    </row>
    <row r="23" spans="1:13" ht="18" customHeight="1" x14ac:dyDescent="0.25">
      <c r="A23" s="46">
        <f t="shared" si="0"/>
        <v>23</v>
      </c>
      <c r="B23" s="93" t="s">
        <v>89</v>
      </c>
      <c r="C23" s="1" t="s">
        <v>90</v>
      </c>
      <c r="D23" s="1"/>
      <c r="E23" s="1"/>
      <c r="F23" s="36">
        <v>95173</v>
      </c>
      <c r="G23" s="38">
        <f>SUM(F20:F23)/$F$32</f>
        <v>0.23122034050634291</v>
      </c>
      <c r="H23" s="36">
        <f>ROUND((explanation!$F$38*G23),0)</f>
        <v>13860</v>
      </c>
      <c r="I23" s="1"/>
      <c r="J23" s="36">
        <f>SUM(F16:F23)</f>
        <v>1140634</v>
      </c>
      <c r="K23" s="36">
        <f t="shared" si="2"/>
        <v>34836.226121329273</v>
      </c>
      <c r="L23" s="21">
        <f>SUM(K20:K23)/$K$32</f>
        <v>0.2379540639658756</v>
      </c>
      <c r="M23" s="36"/>
    </row>
    <row r="24" spans="1:13" ht="18" customHeight="1" x14ac:dyDescent="0.25">
      <c r="A24" s="46">
        <f t="shared" si="0"/>
        <v>24</v>
      </c>
      <c r="B24" s="93" t="s">
        <v>93</v>
      </c>
      <c r="C24" s="1" t="s">
        <v>94</v>
      </c>
      <c r="D24" s="1"/>
      <c r="E24" s="1"/>
      <c r="F24" s="36">
        <v>65800</v>
      </c>
      <c r="G24" s="1"/>
      <c r="H24" s="1"/>
      <c r="I24" s="1"/>
      <c r="J24" s="1"/>
      <c r="K24" s="36">
        <f t="shared" si="2"/>
        <v>24084.81059526826</v>
      </c>
      <c r="L24" s="1"/>
      <c r="M24" s="36"/>
    </row>
    <row r="25" spans="1:13" ht="18" customHeight="1" x14ac:dyDescent="0.25">
      <c r="A25" s="46">
        <f t="shared" si="0"/>
        <v>25</v>
      </c>
      <c r="B25" s="94" t="s">
        <v>95</v>
      </c>
      <c r="C25" s="1" t="s">
        <v>96</v>
      </c>
      <c r="D25" s="1"/>
      <c r="E25" s="1"/>
      <c r="F25" s="36">
        <v>695074</v>
      </c>
      <c r="G25" s="38">
        <f>SUM(F24:F25)/$F$32</f>
        <v>0.20231646844257795</v>
      </c>
      <c r="H25" s="36">
        <f>ROUND((explanation!$F$38*G25),0)</f>
        <v>12128</v>
      </c>
      <c r="I25" s="1"/>
      <c r="J25" s="36">
        <f>SUM(F24:F25)</f>
        <v>760874</v>
      </c>
      <c r="K25" s="36">
        <f t="shared" si="2"/>
        <v>254418.32279172476</v>
      </c>
      <c r="L25" s="21">
        <f>SUM(K24:K25)/$K$32</f>
        <v>0.20820843775123921</v>
      </c>
      <c r="M25" s="36"/>
    </row>
    <row r="26" spans="1:13" ht="18" customHeight="1" x14ac:dyDescent="0.25">
      <c r="A26" s="46">
        <f t="shared" si="0"/>
        <v>26</v>
      </c>
      <c r="B26" s="93">
        <v>908</v>
      </c>
      <c r="C26" s="1" t="s">
        <v>98</v>
      </c>
      <c r="D26" s="1"/>
      <c r="E26" s="1"/>
      <c r="F26" s="36">
        <v>66458</v>
      </c>
      <c r="G26" s="38">
        <f>SUM(F26:F26)/$F$32</f>
        <v>1.7671188475039026E-2</v>
      </c>
      <c r="H26" s="36">
        <f>ROUND((explanation!$F$38*G26),0)</f>
        <v>1059</v>
      </c>
      <c r="I26" s="1"/>
      <c r="J26" s="1"/>
      <c r="K26" s="36">
        <f t="shared" si="2"/>
        <v>24325.658701220946</v>
      </c>
      <c r="L26" s="21">
        <f>SUM(K26:K26)/$K$32</f>
        <v>1.8185818356353165E-2</v>
      </c>
      <c r="M26" s="36"/>
    </row>
    <row r="27" spans="1:13" ht="18" customHeight="1" x14ac:dyDescent="0.25">
      <c r="A27" s="46">
        <f t="shared" si="0"/>
        <v>27</v>
      </c>
      <c r="B27" s="93" t="s">
        <v>99</v>
      </c>
      <c r="C27" s="1" t="s">
        <v>100</v>
      </c>
      <c r="D27" s="1"/>
      <c r="E27" s="1"/>
      <c r="F27" s="36">
        <v>0</v>
      </c>
      <c r="G27" s="38">
        <f>SUM(F27:F27)/$F$32</f>
        <v>0</v>
      </c>
      <c r="H27" s="36">
        <f>ROUND((explanation!$F$38*G27),0)</f>
        <v>0</v>
      </c>
      <c r="I27" s="1"/>
      <c r="J27" s="1"/>
      <c r="K27" s="36">
        <f t="shared" si="2"/>
        <v>0</v>
      </c>
      <c r="L27" s="21">
        <f>SUM(K27:K27)/$K$32</f>
        <v>0</v>
      </c>
      <c r="M27" s="36"/>
    </row>
    <row r="28" spans="1:13" ht="18" customHeight="1" x14ac:dyDescent="0.25">
      <c r="A28" s="46">
        <f t="shared" si="0"/>
        <v>28</v>
      </c>
      <c r="B28" s="93" t="s">
        <v>101</v>
      </c>
      <c r="C28" s="1" t="s">
        <v>102</v>
      </c>
      <c r="D28" s="1"/>
      <c r="E28" s="1"/>
      <c r="F28" s="36">
        <v>522287</v>
      </c>
      <c r="G28" s="1"/>
      <c r="H28" s="1"/>
      <c r="I28" s="1"/>
      <c r="J28" s="1"/>
      <c r="K28" s="36">
        <f t="shared" si="2"/>
        <v>191173.00108466373</v>
      </c>
      <c r="L28" s="1"/>
      <c r="M28" s="36"/>
    </row>
    <row r="29" spans="1:13" ht="18" customHeight="1" x14ac:dyDescent="0.25">
      <c r="A29" s="46">
        <f t="shared" si="0"/>
        <v>29</v>
      </c>
      <c r="B29" s="93" t="s">
        <v>103</v>
      </c>
      <c r="C29" s="1" t="s">
        <v>104</v>
      </c>
      <c r="D29" s="1"/>
      <c r="E29" s="1"/>
      <c r="F29" s="36">
        <v>4400</v>
      </c>
      <c r="G29" s="1"/>
      <c r="H29" s="1"/>
      <c r="I29" s="1"/>
      <c r="J29" s="1"/>
      <c r="K29" s="36">
        <f t="shared" si="2"/>
        <v>1610.5344471000053</v>
      </c>
      <c r="L29" s="1"/>
      <c r="M29" s="36"/>
    </row>
    <row r="30" spans="1:13" ht="18" customHeight="1" x14ac:dyDescent="0.25">
      <c r="A30" s="46">
        <f t="shared" si="0"/>
        <v>30</v>
      </c>
      <c r="B30" s="93" t="s">
        <v>105</v>
      </c>
      <c r="C30" s="1" t="s">
        <v>106</v>
      </c>
      <c r="D30" s="1"/>
      <c r="E30" s="1"/>
      <c r="F30" s="53">
        <v>15598</v>
      </c>
      <c r="G30" s="54">
        <f>SUM(F28:F30)/$F$32</f>
        <v>0.14419363270315896</v>
      </c>
      <c r="H30" s="53">
        <f>ROUND((explanation!$F$38*G30),0)</f>
        <v>8643</v>
      </c>
      <c r="I30" s="1"/>
      <c r="J30" s="1"/>
      <c r="K30" s="53">
        <f t="shared" si="2"/>
        <v>5709.3446149695183</v>
      </c>
      <c r="L30" s="21">
        <f>SUM(K28:K30)/$K$32</f>
        <v>0.14839291744221877</v>
      </c>
      <c r="M30" s="53"/>
    </row>
    <row r="31" spans="1:13" ht="18" customHeight="1" x14ac:dyDescent="0.25">
      <c r="A31" s="46">
        <f t="shared" si="0"/>
        <v>31</v>
      </c>
      <c r="B31" s="93"/>
      <c r="C31" s="1"/>
      <c r="D31" s="1"/>
      <c r="E31" s="1"/>
      <c r="F31" s="1"/>
      <c r="G31" s="1"/>
      <c r="H31" s="1"/>
      <c r="I31" s="1"/>
      <c r="J31" s="1"/>
      <c r="K31" s="36"/>
    </row>
    <row r="32" spans="1:13" ht="18" customHeight="1" x14ac:dyDescent="0.25">
      <c r="A32" s="46">
        <f t="shared" si="0"/>
        <v>32</v>
      </c>
      <c r="B32" s="1"/>
      <c r="C32" s="1" t="s">
        <v>25</v>
      </c>
      <c r="D32" s="1"/>
      <c r="E32" s="1"/>
      <c r="F32" s="55">
        <f>SUM(F10:F31)</f>
        <v>3760811</v>
      </c>
      <c r="G32" s="56">
        <f>SUM(G10:G31)</f>
        <v>0.99999999999999989</v>
      </c>
      <c r="H32" s="55">
        <f>SUM(H10:H30)</f>
        <v>59943</v>
      </c>
      <c r="I32" s="1"/>
      <c r="J32" s="1"/>
      <c r="K32" s="55">
        <f>SUM(K10:K31)</f>
        <v>1337616.9399999997</v>
      </c>
      <c r="L32" s="56">
        <f>SUM(L10:L31)</f>
        <v>1.0000000000000002</v>
      </c>
      <c r="M32" s="55"/>
    </row>
    <row r="33" spans="1:26" x14ac:dyDescent="0.25">
      <c r="A33" s="46">
        <f t="shared" si="0"/>
        <v>33</v>
      </c>
      <c r="B33" s="1"/>
      <c r="C33" s="1"/>
      <c r="D33" s="1"/>
      <c r="E33" s="1"/>
      <c r="F33" s="1"/>
      <c r="G33" s="1"/>
      <c r="H33" s="1"/>
      <c r="I33" s="1"/>
      <c r="J33" s="1"/>
      <c r="K33" s="36"/>
    </row>
    <row r="34" spans="1:26" x14ac:dyDescent="0.25">
      <c r="A34" s="46"/>
      <c r="B34" s="1"/>
      <c r="C34" s="1"/>
      <c r="D34" s="1"/>
      <c r="E34" s="1"/>
      <c r="F34" s="1"/>
      <c r="G34" s="1"/>
      <c r="H34" s="1"/>
      <c r="I34" s="1"/>
      <c r="J34" s="1"/>
      <c r="K34" s="36"/>
    </row>
    <row r="35" spans="1:26" x14ac:dyDescent="0.25">
      <c r="A35" s="46"/>
      <c r="B35" s="1"/>
      <c r="C35" s="1"/>
      <c r="D35" s="1"/>
      <c r="E35" s="1"/>
      <c r="F35" s="100">
        <f>explanation!F36-F32</f>
        <v>0</v>
      </c>
      <c r="G35" s="1"/>
      <c r="H35" s="1"/>
      <c r="I35" s="1"/>
      <c r="J35" s="1"/>
      <c r="K35" s="36"/>
    </row>
    <row r="37" spans="1:26" x14ac:dyDescent="0.25">
      <c r="A37" s="46">
        <f t="shared" ref="A37:A68" si="3">(A36+1)</f>
        <v>1</v>
      </c>
      <c r="B37" s="1"/>
      <c r="C37" s="1"/>
      <c r="D37" s="1"/>
      <c r="E37" s="1"/>
      <c r="F37" s="1"/>
      <c r="G37" s="1"/>
      <c r="H37" s="101" t="s">
        <v>263</v>
      </c>
    </row>
    <row r="38" spans="1:26" x14ac:dyDescent="0.25">
      <c r="A38" s="46">
        <f t="shared" si="3"/>
        <v>2</v>
      </c>
      <c r="B38" s="1"/>
      <c r="C38" s="1"/>
      <c r="D38" s="1"/>
      <c r="E38" s="1"/>
      <c r="F38" s="1"/>
      <c r="G38" s="1"/>
      <c r="H38" s="4" t="s">
        <v>199</v>
      </c>
    </row>
    <row r="39" spans="1:26" x14ac:dyDescent="0.25">
      <c r="A39" s="46">
        <f t="shared" si="3"/>
        <v>3</v>
      </c>
      <c r="B39" s="1"/>
      <c r="C39" s="1"/>
      <c r="D39" s="1"/>
      <c r="E39" s="1"/>
      <c r="F39" s="1"/>
      <c r="G39" s="1"/>
      <c r="H39" s="4" t="s">
        <v>107</v>
      </c>
    </row>
    <row r="40" spans="1:26" ht="18.75" x14ac:dyDescent="0.3">
      <c r="A40" s="46">
        <f t="shared" si="3"/>
        <v>4</v>
      </c>
      <c r="B40" s="119" t="str">
        <f>B3</f>
        <v>Cumberland Valley Electric</v>
      </c>
      <c r="C40" s="119"/>
      <c r="D40" s="119"/>
      <c r="E40" s="119"/>
      <c r="F40" s="119"/>
      <c r="G40" s="119"/>
      <c r="H40" s="119"/>
    </row>
    <row r="41" spans="1:26" ht="18.75" x14ac:dyDescent="0.3">
      <c r="A41" s="46">
        <f t="shared" si="3"/>
        <v>5</v>
      </c>
      <c r="B41" s="119" t="str">
        <f>B4</f>
        <v>Case No. 2016-00169</v>
      </c>
      <c r="C41" s="119"/>
      <c r="D41" s="119"/>
      <c r="E41" s="119"/>
      <c r="F41" s="119"/>
      <c r="G41" s="119"/>
      <c r="H41" s="119"/>
    </row>
    <row r="42" spans="1:26" x14ac:dyDescent="0.25">
      <c r="A42" s="46">
        <f t="shared" si="3"/>
        <v>6</v>
      </c>
      <c r="B42" s="120" t="s">
        <v>108</v>
      </c>
      <c r="C42" s="120"/>
      <c r="D42" s="120"/>
      <c r="E42" s="120"/>
      <c r="F42" s="120"/>
      <c r="G42" s="120"/>
      <c r="H42" s="120"/>
    </row>
    <row r="43" spans="1:26" x14ac:dyDescent="0.25">
      <c r="A43" s="46">
        <f t="shared" si="3"/>
        <v>7</v>
      </c>
      <c r="B43" s="1"/>
      <c r="C43" s="1"/>
      <c r="D43" s="1"/>
      <c r="E43" s="1"/>
      <c r="F43" s="1"/>
      <c r="G43" s="9" t="s">
        <v>60</v>
      </c>
      <c r="H43" s="9"/>
      <c r="I43" s="9"/>
      <c r="J43" s="9"/>
      <c r="K43" s="9"/>
      <c r="L43" s="9"/>
      <c r="M43" s="1"/>
      <c r="N43" s="1"/>
      <c r="O43" s="3"/>
      <c r="P43" s="1"/>
      <c r="Q43" s="3"/>
      <c r="R43" s="1"/>
      <c r="S43" s="3"/>
      <c r="T43" s="1"/>
      <c r="U43" s="3"/>
      <c r="V43" s="1"/>
      <c r="W43" s="1"/>
      <c r="X43" s="3"/>
      <c r="Y43" s="1"/>
      <c r="Z43" s="3"/>
    </row>
    <row r="44" spans="1:26" x14ac:dyDescent="0.25">
      <c r="A44" s="46">
        <f t="shared" si="3"/>
        <v>8</v>
      </c>
      <c r="B44" s="1"/>
      <c r="C44" s="1"/>
      <c r="D44" s="23"/>
      <c r="E44" s="30"/>
      <c r="F44" s="1"/>
      <c r="G44" s="30" t="s">
        <v>61</v>
      </c>
      <c r="H44" s="30"/>
      <c r="I44" s="30"/>
      <c r="J44" s="30"/>
      <c r="K44" s="30"/>
      <c r="L44" s="30"/>
      <c r="M44" s="23"/>
      <c r="N44" s="1"/>
      <c r="O44" s="30"/>
      <c r="P44" s="30"/>
      <c r="Q44" s="30"/>
      <c r="R44" s="30"/>
      <c r="S44" s="30"/>
      <c r="T44" s="30"/>
      <c r="U44" s="30"/>
      <c r="V44" s="30"/>
      <c r="W44" s="1"/>
      <c r="X44" s="30"/>
      <c r="Y44" s="30"/>
      <c r="Z44" s="30"/>
    </row>
    <row r="45" spans="1:26" x14ac:dyDescent="0.25">
      <c r="A45" s="46">
        <f t="shared" si="3"/>
        <v>9</v>
      </c>
    </row>
    <row r="46" spans="1:26" x14ac:dyDescent="0.25">
      <c r="A46" s="46">
        <f t="shared" si="3"/>
        <v>10</v>
      </c>
      <c r="B46" s="1" t="s">
        <v>63</v>
      </c>
      <c r="C46" s="1" t="s">
        <v>64</v>
      </c>
      <c r="D46" s="1"/>
      <c r="E46" s="38"/>
      <c r="F46" s="1"/>
      <c r="G46" s="36">
        <v>313064.80390132917</v>
      </c>
      <c r="H46" s="36"/>
      <c r="I46" s="36"/>
      <c r="J46" s="36"/>
      <c r="K46" s="36"/>
      <c r="L46" s="36"/>
      <c r="M46" s="38"/>
      <c r="N46" s="1"/>
      <c r="O46" s="36"/>
      <c r="P46" s="21"/>
      <c r="Q46" s="36"/>
      <c r="R46" s="38"/>
      <c r="S46" s="36"/>
      <c r="T46" s="21"/>
      <c r="U46" s="36"/>
      <c r="V46" s="38"/>
      <c r="W46" s="1"/>
      <c r="X46" s="36"/>
      <c r="Y46" s="38"/>
      <c r="Z46" s="36"/>
    </row>
    <row r="47" spans="1:26" x14ac:dyDescent="0.25">
      <c r="A47" s="46">
        <f t="shared" si="3"/>
        <v>11</v>
      </c>
      <c r="B47" s="1" t="s">
        <v>65</v>
      </c>
      <c r="C47" s="1" t="s">
        <v>66</v>
      </c>
      <c r="D47" s="1"/>
      <c r="E47" s="38"/>
      <c r="F47" s="1"/>
      <c r="G47" s="36">
        <v>96467.934758868447</v>
      </c>
      <c r="H47" s="36"/>
      <c r="I47" s="36"/>
      <c r="J47" s="1"/>
      <c r="K47" s="36"/>
      <c r="L47" s="36"/>
      <c r="M47" s="38"/>
      <c r="N47" s="1"/>
      <c r="O47" s="36"/>
      <c r="P47" s="21"/>
      <c r="Q47" s="36"/>
      <c r="R47" s="38"/>
      <c r="S47" s="36"/>
      <c r="T47" s="21"/>
      <c r="U47" s="1"/>
      <c r="V47" s="1"/>
      <c r="W47" s="1"/>
      <c r="X47" s="36"/>
      <c r="Y47" s="38"/>
      <c r="Z47" s="36"/>
    </row>
    <row r="48" spans="1:26" x14ac:dyDescent="0.25">
      <c r="A48" s="46">
        <f t="shared" si="3"/>
        <v>12</v>
      </c>
      <c r="B48" s="82" t="s">
        <v>194</v>
      </c>
      <c r="C48" s="1" t="s">
        <v>195</v>
      </c>
      <c r="D48" s="1"/>
      <c r="E48" s="38"/>
      <c r="F48" s="1"/>
      <c r="G48" s="36">
        <v>1504.3807747304318</v>
      </c>
      <c r="H48" s="36"/>
      <c r="I48" s="36"/>
      <c r="J48" s="36"/>
      <c r="K48" s="36"/>
      <c r="L48" s="36"/>
      <c r="M48" s="1"/>
      <c r="N48" s="1"/>
      <c r="O48" s="36"/>
      <c r="P48" s="21"/>
      <c r="Q48" s="36"/>
      <c r="R48" s="38"/>
      <c r="S48" s="36"/>
      <c r="T48" s="21"/>
      <c r="U48" s="1"/>
      <c r="V48" s="1"/>
      <c r="W48" s="1"/>
      <c r="X48" s="36"/>
      <c r="Y48" s="1"/>
      <c r="Z48" s="36"/>
    </row>
    <row r="49" spans="1:26" x14ac:dyDescent="0.25">
      <c r="A49" s="46">
        <f t="shared" si="3"/>
        <v>13</v>
      </c>
      <c r="B49" s="1" t="s">
        <v>67</v>
      </c>
      <c r="C49" s="1" t="s">
        <v>68</v>
      </c>
      <c r="D49" s="1"/>
      <c r="E49" s="38"/>
      <c r="F49" s="1"/>
      <c r="G49" s="36">
        <v>151446.91568370129</v>
      </c>
      <c r="H49" s="36"/>
      <c r="I49" s="36"/>
      <c r="J49" s="1"/>
      <c r="K49" s="36"/>
      <c r="L49" s="36"/>
      <c r="M49" s="1"/>
      <c r="N49" s="1"/>
      <c r="O49" s="36"/>
      <c r="P49" s="21"/>
      <c r="Q49" s="1"/>
      <c r="R49" s="38"/>
      <c r="S49" s="36"/>
      <c r="T49" s="21"/>
      <c r="U49" s="1"/>
      <c r="V49" s="1"/>
      <c r="W49" s="1"/>
      <c r="X49" s="36"/>
      <c r="Y49" s="1"/>
      <c r="Z49" s="36"/>
    </row>
    <row r="50" spans="1:26" x14ac:dyDescent="0.25">
      <c r="A50" s="46">
        <f t="shared" si="3"/>
        <v>14</v>
      </c>
      <c r="B50" s="1" t="s">
        <v>69</v>
      </c>
      <c r="C50" s="1" t="s">
        <v>70</v>
      </c>
      <c r="D50" s="1"/>
      <c r="E50" s="38"/>
      <c r="F50" s="1"/>
      <c r="G50" s="36">
        <v>36318.175583692289</v>
      </c>
      <c r="H50" s="36"/>
      <c r="I50" s="36"/>
      <c r="J50" s="1"/>
      <c r="K50" s="36"/>
      <c r="L50" s="36"/>
      <c r="M50" s="1"/>
      <c r="N50" s="1"/>
      <c r="O50" s="1"/>
      <c r="P50" s="21"/>
      <c r="Q50" s="1"/>
      <c r="R50" s="38"/>
      <c r="S50" s="1"/>
      <c r="T50" s="21"/>
    </row>
    <row r="51" spans="1:26" x14ac:dyDescent="0.25">
      <c r="A51" s="46">
        <f t="shared" si="3"/>
        <v>15</v>
      </c>
      <c r="B51" s="1" t="s">
        <v>71</v>
      </c>
      <c r="C51" s="1" t="s">
        <v>72</v>
      </c>
      <c r="D51" s="1"/>
      <c r="E51" s="1"/>
      <c r="F51" s="1"/>
      <c r="G51" s="36"/>
      <c r="H51" s="36"/>
      <c r="I51" s="36"/>
      <c r="J51" s="1"/>
      <c r="K51" s="36"/>
      <c r="L51" s="36"/>
      <c r="M51" s="1"/>
      <c r="N51" s="1"/>
      <c r="O51" s="36"/>
      <c r="P51" s="21"/>
      <c r="Q51" s="36"/>
      <c r="R51" s="38"/>
      <c r="S51" s="36"/>
      <c r="T51" s="21"/>
      <c r="U51" s="1"/>
      <c r="V51" s="1"/>
      <c r="W51" s="1"/>
      <c r="X51" s="36"/>
      <c r="Y51" s="1"/>
      <c r="Z51" s="36"/>
    </row>
    <row r="52" spans="1:26" x14ac:dyDescent="0.25">
      <c r="A52" s="46">
        <f t="shared" si="3"/>
        <v>16</v>
      </c>
      <c r="B52" s="1" t="s">
        <v>73</v>
      </c>
      <c r="C52" s="1" t="s">
        <v>74</v>
      </c>
      <c r="D52" s="1"/>
      <c r="E52" s="1"/>
      <c r="F52" s="1"/>
      <c r="G52" s="36">
        <v>12675.700914634761</v>
      </c>
      <c r="H52" s="36"/>
      <c r="I52" s="36"/>
      <c r="J52" s="1"/>
      <c r="K52" s="36"/>
      <c r="L52" s="36"/>
      <c r="M52" s="1"/>
      <c r="N52" s="1"/>
      <c r="O52" s="36"/>
      <c r="P52" s="21"/>
      <c r="Q52" s="36"/>
      <c r="R52" s="38"/>
      <c r="S52" s="36"/>
      <c r="T52" s="21"/>
      <c r="U52" s="1"/>
      <c r="V52" s="1"/>
      <c r="W52" s="1"/>
      <c r="X52" s="36"/>
      <c r="Y52" s="1"/>
      <c r="Z52" s="36"/>
    </row>
    <row r="53" spans="1:26" x14ac:dyDescent="0.25">
      <c r="A53" s="46">
        <f t="shared" si="3"/>
        <v>17</v>
      </c>
      <c r="B53" s="1" t="s">
        <v>76</v>
      </c>
      <c r="C53" s="1" t="s">
        <v>77</v>
      </c>
      <c r="D53" s="1"/>
      <c r="E53" s="1"/>
      <c r="F53" s="1"/>
      <c r="G53" s="36">
        <v>19741.427755005399</v>
      </c>
      <c r="H53" s="36"/>
      <c r="I53" s="36"/>
      <c r="J53" s="1"/>
      <c r="K53" s="36"/>
      <c r="L53" s="36"/>
      <c r="M53" s="1"/>
      <c r="N53" s="1"/>
      <c r="O53" s="36"/>
      <c r="P53" s="21"/>
      <c r="Q53" s="36"/>
      <c r="R53" s="38"/>
      <c r="S53" s="36"/>
      <c r="T53" s="21"/>
      <c r="U53" s="1"/>
      <c r="V53" s="1"/>
      <c r="W53" s="1"/>
      <c r="X53" s="36"/>
      <c r="Y53" s="1"/>
      <c r="Z53" s="36"/>
    </row>
    <row r="54" spans="1:26" x14ac:dyDescent="0.25">
      <c r="A54" s="46">
        <f t="shared" si="3"/>
        <v>18</v>
      </c>
      <c r="B54" s="82" t="s">
        <v>196</v>
      </c>
      <c r="C54" s="1" t="s">
        <v>78</v>
      </c>
      <c r="D54" s="1"/>
      <c r="E54" s="1"/>
      <c r="F54" s="1"/>
      <c r="G54" s="36">
        <v>112.69348030304927</v>
      </c>
      <c r="H54" s="36"/>
      <c r="I54" s="36"/>
      <c r="J54" s="1"/>
      <c r="K54" s="36"/>
      <c r="L54" s="36"/>
      <c r="M54" s="1"/>
      <c r="N54" s="1"/>
      <c r="O54" s="36"/>
      <c r="P54" s="21"/>
      <c r="Q54" s="36"/>
      <c r="R54" s="38"/>
      <c r="S54" s="36"/>
      <c r="T54" s="21"/>
      <c r="U54" s="1"/>
      <c r="V54" s="1"/>
      <c r="W54" s="1"/>
      <c r="X54" s="36"/>
      <c r="Y54" s="1"/>
      <c r="Z54" s="36"/>
    </row>
    <row r="55" spans="1:26" x14ac:dyDescent="0.25">
      <c r="A55" s="46">
        <f t="shared" si="3"/>
        <v>19</v>
      </c>
      <c r="B55" s="1" t="s">
        <v>79</v>
      </c>
      <c r="C55" s="1" t="s">
        <v>80</v>
      </c>
      <c r="D55" s="1"/>
      <c r="E55" s="1"/>
      <c r="F55" s="1"/>
      <c r="G55" s="36">
        <v>151950.94885245396</v>
      </c>
      <c r="H55" s="36"/>
      <c r="I55" s="36"/>
      <c r="J55" s="1"/>
      <c r="K55" s="36"/>
      <c r="L55" s="36"/>
      <c r="M55" s="1"/>
      <c r="N55" s="1"/>
      <c r="O55" s="36"/>
      <c r="P55" s="21"/>
      <c r="Q55" s="36"/>
      <c r="R55" s="38"/>
      <c r="S55" s="36"/>
      <c r="T55" s="21"/>
      <c r="U55" s="1"/>
      <c r="V55" s="1"/>
      <c r="W55" s="1"/>
      <c r="X55" s="36"/>
      <c r="Y55" s="1"/>
      <c r="Z55" s="36"/>
    </row>
    <row r="56" spans="1:26" x14ac:dyDescent="0.25">
      <c r="A56" s="46">
        <f t="shared" si="3"/>
        <v>20</v>
      </c>
      <c r="B56" s="1" t="s">
        <v>81</v>
      </c>
      <c r="C56" s="1" t="s">
        <v>82</v>
      </c>
      <c r="D56" s="1"/>
      <c r="E56" s="38"/>
      <c r="F56" s="1"/>
      <c r="G56" s="36">
        <v>4306.2803192514511</v>
      </c>
      <c r="H56" s="36"/>
      <c r="I56" s="36"/>
      <c r="J56" s="1"/>
      <c r="K56" s="36"/>
      <c r="L56" s="36"/>
      <c r="M56" s="38"/>
      <c r="N56" s="1"/>
      <c r="O56" s="36"/>
      <c r="P56" s="21"/>
      <c r="Q56" s="36"/>
      <c r="R56" s="38"/>
      <c r="S56" s="36"/>
      <c r="T56" s="21"/>
      <c r="U56" s="1"/>
      <c r="V56" s="1"/>
      <c r="W56" s="1"/>
      <c r="X56" s="36"/>
      <c r="Y56" s="38"/>
      <c r="Z56" s="36"/>
    </row>
    <row r="57" spans="1:26" x14ac:dyDescent="0.25">
      <c r="A57" s="46">
        <f t="shared" si="3"/>
        <v>21</v>
      </c>
      <c r="B57" s="1" t="s">
        <v>83</v>
      </c>
      <c r="C57" s="1" t="s">
        <v>84</v>
      </c>
      <c r="D57" s="1"/>
      <c r="E57" s="1"/>
      <c r="F57" s="1"/>
      <c r="G57" s="36">
        <v>80858.343990590613</v>
      </c>
      <c r="H57" s="36"/>
      <c r="I57" s="36"/>
      <c r="J57" s="1"/>
      <c r="K57" s="36"/>
      <c r="L57" s="36"/>
      <c r="M57" s="1"/>
      <c r="N57" s="1"/>
      <c r="O57" s="36"/>
      <c r="P57" s="21"/>
      <c r="Q57" s="36"/>
      <c r="R57" s="38"/>
      <c r="S57" s="36"/>
      <c r="T57" s="21"/>
      <c r="U57" s="1"/>
      <c r="V57" s="1"/>
      <c r="W57" s="1"/>
      <c r="X57" s="36"/>
      <c r="Y57" s="1"/>
      <c r="Z57" s="36"/>
    </row>
    <row r="58" spans="1:26" x14ac:dyDescent="0.25">
      <c r="A58" s="46">
        <f t="shared" si="3"/>
        <v>22</v>
      </c>
      <c r="B58" s="1" t="s">
        <v>85</v>
      </c>
      <c r="C58" s="1" t="s">
        <v>77</v>
      </c>
      <c r="D58" s="1"/>
      <c r="E58" s="1"/>
      <c r="F58" s="1"/>
      <c r="G58" s="36">
        <v>275657.51529909164</v>
      </c>
      <c r="H58" s="36"/>
      <c r="I58" s="36"/>
      <c r="J58" s="1"/>
      <c r="K58" s="36"/>
      <c r="L58" s="36"/>
      <c r="M58" s="1"/>
      <c r="N58" s="1"/>
      <c r="O58" s="36"/>
      <c r="P58" s="21"/>
      <c r="Q58" s="1"/>
      <c r="R58" s="38"/>
      <c r="S58" s="36"/>
      <c r="T58" s="21"/>
      <c r="U58" s="1"/>
      <c r="V58" s="1"/>
      <c r="W58" s="1"/>
      <c r="X58" s="36"/>
      <c r="Y58" s="1"/>
      <c r="Z58" s="36"/>
    </row>
    <row r="59" spans="1:26" x14ac:dyDescent="0.25">
      <c r="A59" s="46">
        <f t="shared" si="3"/>
        <v>23</v>
      </c>
      <c r="B59" s="1" t="s">
        <v>86</v>
      </c>
      <c r="C59" s="1" t="s">
        <v>78</v>
      </c>
      <c r="D59" s="1"/>
      <c r="E59" s="1"/>
      <c r="F59" s="1"/>
      <c r="G59" s="36">
        <v>159.00586946868594</v>
      </c>
      <c r="H59" s="36"/>
      <c r="I59" s="36"/>
      <c r="J59" s="36"/>
      <c r="K59" s="36"/>
      <c r="L59" s="36"/>
      <c r="M59" s="1"/>
      <c r="N59" s="1"/>
      <c r="O59" s="36"/>
      <c r="P59" s="21"/>
      <c r="Q59" s="36"/>
      <c r="R59" s="38"/>
      <c r="S59" s="36"/>
      <c r="T59" s="21"/>
      <c r="U59" s="36"/>
      <c r="V59" s="38"/>
      <c r="W59" s="1"/>
      <c r="X59" s="36"/>
      <c r="Y59" s="1"/>
      <c r="Z59" s="36"/>
    </row>
    <row r="60" spans="1:26" x14ac:dyDescent="0.25">
      <c r="A60" s="46">
        <f t="shared" si="3"/>
        <v>24</v>
      </c>
      <c r="B60" s="1" t="s">
        <v>87</v>
      </c>
      <c r="C60" s="1" t="s">
        <v>88</v>
      </c>
      <c r="D60" s="1"/>
      <c r="E60" s="1"/>
      <c r="F60" s="1"/>
      <c r="G60" s="36">
        <v>5410.0589276991259</v>
      </c>
      <c r="H60" s="36"/>
      <c r="I60" s="36"/>
      <c r="J60" s="1"/>
      <c r="K60" s="36"/>
      <c r="L60" s="36"/>
      <c r="M60" s="1"/>
      <c r="N60" s="1"/>
      <c r="O60" s="36"/>
      <c r="P60" s="21"/>
      <c r="Q60" s="36"/>
      <c r="R60" s="38"/>
      <c r="S60" s="36"/>
      <c r="T60" s="21"/>
      <c r="U60" s="1"/>
      <c r="V60" s="1"/>
      <c r="W60" s="1"/>
      <c r="X60" s="36"/>
      <c r="Y60" s="1"/>
      <c r="Z60" s="36"/>
    </row>
    <row r="61" spans="1:26" x14ac:dyDescent="0.25">
      <c r="A61" s="46">
        <f t="shared" si="3"/>
        <v>25</v>
      </c>
      <c r="B61" s="1" t="s">
        <v>89</v>
      </c>
      <c r="C61" s="1" t="s">
        <v>90</v>
      </c>
      <c r="D61" s="1"/>
      <c r="E61" s="1"/>
      <c r="F61" s="1"/>
      <c r="G61" s="36">
        <v>20156.69551119061</v>
      </c>
      <c r="H61" s="36"/>
      <c r="I61" s="36"/>
      <c r="J61" s="1"/>
      <c r="K61" s="36"/>
      <c r="L61" s="36"/>
      <c r="M61" s="1"/>
      <c r="N61" s="1"/>
      <c r="O61" s="36"/>
      <c r="P61" s="21"/>
      <c r="Q61" s="1"/>
      <c r="R61" s="38"/>
      <c r="S61" s="1"/>
      <c r="T61" s="21"/>
      <c r="U61" s="1"/>
      <c r="V61" s="1"/>
      <c r="W61" s="1"/>
      <c r="X61" s="36"/>
    </row>
    <row r="62" spans="1:26" x14ac:dyDescent="0.25">
      <c r="A62" s="46">
        <f t="shared" si="3"/>
        <v>26</v>
      </c>
      <c r="B62" s="1" t="s">
        <v>91</v>
      </c>
      <c r="C62" s="1" t="s">
        <v>92</v>
      </c>
      <c r="D62" s="1"/>
      <c r="E62" s="1"/>
      <c r="F62" s="1"/>
      <c r="G62" s="36">
        <v>33996.381140188372</v>
      </c>
      <c r="H62" s="36"/>
      <c r="I62" s="36"/>
      <c r="J62" s="1"/>
      <c r="K62" s="36"/>
      <c r="L62" s="36"/>
      <c r="M62" s="1"/>
      <c r="N62" s="1"/>
      <c r="O62" s="36"/>
      <c r="P62" s="21"/>
      <c r="Q62" s="36"/>
      <c r="R62" s="38"/>
      <c r="S62" s="36"/>
      <c r="T62" s="21"/>
      <c r="U62" s="1"/>
      <c r="V62" s="1"/>
      <c r="W62" s="1"/>
      <c r="X62" s="36"/>
      <c r="Y62" s="1"/>
      <c r="Z62" s="36"/>
    </row>
    <row r="63" spans="1:26" x14ac:dyDescent="0.25">
      <c r="A63" s="46">
        <f t="shared" si="3"/>
        <v>27</v>
      </c>
      <c r="B63" s="1" t="s">
        <v>93</v>
      </c>
      <c r="C63" s="1" t="s">
        <v>94</v>
      </c>
      <c r="D63" s="1"/>
      <c r="E63" s="1"/>
      <c r="F63" s="1"/>
      <c r="G63" s="36">
        <v>159.77774262144658</v>
      </c>
      <c r="H63" s="36"/>
      <c r="I63" s="36"/>
      <c r="J63" s="1"/>
      <c r="K63" s="36"/>
      <c r="L63" s="36"/>
      <c r="M63" s="1"/>
      <c r="N63" s="1"/>
      <c r="O63" s="36"/>
      <c r="P63" s="21"/>
      <c r="Q63" s="36"/>
      <c r="R63" s="38"/>
      <c r="S63" s="36"/>
      <c r="T63" s="21"/>
      <c r="U63" s="1"/>
      <c r="V63" s="1"/>
      <c r="W63" s="1"/>
      <c r="X63" s="36"/>
      <c r="Y63" s="1"/>
      <c r="Z63" s="36"/>
    </row>
    <row r="64" spans="1:26" x14ac:dyDescent="0.25">
      <c r="A64" s="46">
        <f t="shared" si="3"/>
        <v>28</v>
      </c>
      <c r="B64" s="82" t="s">
        <v>95</v>
      </c>
      <c r="C64" s="1" t="s">
        <v>96</v>
      </c>
      <c r="D64" s="1"/>
      <c r="E64" s="38"/>
      <c r="F64" s="1"/>
      <c r="G64" s="36">
        <v>215310.92846996151</v>
      </c>
      <c r="H64" s="36"/>
      <c r="I64" s="36"/>
      <c r="J64" s="1"/>
      <c r="K64" s="36"/>
      <c r="L64" s="36"/>
      <c r="M64" s="38"/>
      <c r="N64" s="1"/>
      <c r="O64" s="36"/>
      <c r="P64" s="21"/>
      <c r="Q64" s="36"/>
      <c r="R64" s="38"/>
      <c r="S64" s="36"/>
      <c r="T64" s="21"/>
      <c r="U64" s="1"/>
      <c r="V64" s="1"/>
      <c r="W64" s="1"/>
      <c r="X64" s="36"/>
      <c r="Y64" s="38"/>
      <c r="Z64" s="36"/>
    </row>
    <row r="65" spans="1:26" x14ac:dyDescent="0.25">
      <c r="A65" s="46">
        <f t="shared" si="3"/>
        <v>29</v>
      </c>
      <c r="B65" s="82" t="s">
        <v>203</v>
      </c>
      <c r="C65" s="1" t="s">
        <v>96</v>
      </c>
      <c r="D65" s="1"/>
      <c r="E65" s="1"/>
      <c r="F65" s="1"/>
      <c r="G65" s="36">
        <v>471.61449633673362</v>
      </c>
      <c r="H65" s="36"/>
      <c r="I65" s="36"/>
      <c r="J65" s="1"/>
      <c r="K65" s="36"/>
      <c r="L65" s="36"/>
      <c r="M65" s="1"/>
      <c r="N65" s="1"/>
      <c r="O65" s="36"/>
      <c r="P65" s="21"/>
      <c r="Q65" s="36"/>
      <c r="R65" s="38"/>
      <c r="S65" s="36"/>
      <c r="T65" s="21"/>
      <c r="U65" s="1"/>
      <c r="V65" s="1"/>
      <c r="W65" s="1"/>
      <c r="X65" s="36"/>
      <c r="Y65" s="1"/>
      <c r="Z65" s="36"/>
    </row>
    <row r="66" spans="1:26" x14ac:dyDescent="0.25">
      <c r="A66" s="46">
        <f t="shared" si="3"/>
        <v>30</v>
      </c>
      <c r="B66" s="1" t="s">
        <v>97</v>
      </c>
      <c r="C66" s="1" t="s">
        <v>98</v>
      </c>
      <c r="D66" s="1"/>
      <c r="E66" s="38"/>
      <c r="F66" s="1"/>
      <c r="G66" s="36">
        <v>35803.336190800961</v>
      </c>
      <c r="H66" s="36"/>
      <c r="I66" s="36"/>
      <c r="J66" s="1"/>
      <c r="K66" s="36"/>
      <c r="L66" s="36"/>
      <c r="M66" s="38"/>
      <c r="N66" s="1"/>
      <c r="O66" s="36"/>
      <c r="P66" s="21"/>
      <c r="Q66" s="36"/>
      <c r="R66" s="38"/>
      <c r="S66" s="36"/>
      <c r="T66" s="21"/>
      <c r="U66" s="1"/>
      <c r="V66" s="1"/>
      <c r="W66" s="1"/>
      <c r="X66" s="36"/>
      <c r="Y66" s="38"/>
      <c r="Z66" s="36"/>
    </row>
    <row r="67" spans="1:26" x14ac:dyDescent="0.25">
      <c r="A67" s="46">
        <f t="shared" si="3"/>
        <v>31</v>
      </c>
      <c r="B67" s="1" t="s">
        <v>99</v>
      </c>
      <c r="C67" s="1" t="s">
        <v>100</v>
      </c>
      <c r="D67" s="1"/>
      <c r="E67" s="38"/>
      <c r="F67" s="1"/>
      <c r="G67" s="36">
        <v>8104.6681039864206</v>
      </c>
      <c r="H67" s="36"/>
      <c r="I67" s="36"/>
      <c r="J67" s="1"/>
      <c r="K67" s="36"/>
      <c r="L67" s="36"/>
      <c r="M67" s="38"/>
      <c r="N67" s="1"/>
      <c r="O67" s="36"/>
      <c r="P67" s="21"/>
      <c r="Q67" s="36"/>
      <c r="R67" s="38"/>
      <c r="S67" s="36"/>
      <c r="T67" s="21"/>
      <c r="U67" s="1"/>
      <c r="V67" s="1"/>
      <c r="W67" s="1"/>
      <c r="X67" s="36"/>
      <c r="Y67" s="38"/>
      <c r="Z67" s="36"/>
    </row>
    <row r="68" spans="1:26" x14ac:dyDescent="0.25">
      <c r="A68" s="46">
        <f t="shared" si="3"/>
        <v>32</v>
      </c>
      <c r="B68" s="1" t="s">
        <v>101</v>
      </c>
      <c r="C68" s="1" t="s">
        <v>102</v>
      </c>
      <c r="D68" s="1"/>
      <c r="E68" s="1"/>
      <c r="F68" s="1"/>
      <c r="G68" s="36">
        <v>364769.4989121515</v>
      </c>
      <c r="H68" s="36"/>
      <c r="I68" s="36"/>
      <c r="J68" s="1"/>
      <c r="K68" s="36"/>
      <c r="L68" s="36"/>
      <c r="M68" s="1"/>
      <c r="N68" s="1"/>
      <c r="O68" s="36"/>
      <c r="P68" s="21"/>
      <c r="Q68" s="36"/>
      <c r="R68" s="38"/>
      <c r="S68" s="36"/>
      <c r="T68" s="21"/>
      <c r="U68" s="1"/>
      <c r="V68" s="1"/>
      <c r="W68" s="1"/>
      <c r="X68" s="36"/>
      <c r="Y68" s="1"/>
      <c r="Z68" s="36"/>
    </row>
    <row r="69" spans="1:26" x14ac:dyDescent="0.25">
      <c r="A69" s="46">
        <f t="shared" ref="A69:A89" si="4">(A68+1)</f>
        <v>33</v>
      </c>
      <c r="B69" s="82" t="s">
        <v>197</v>
      </c>
      <c r="C69" s="1" t="s">
        <v>198</v>
      </c>
      <c r="D69" s="1"/>
      <c r="E69" s="1"/>
      <c r="F69" s="1"/>
      <c r="G69" s="36">
        <v>37248.282732768828</v>
      </c>
      <c r="H69" s="36"/>
      <c r="I69" s="36"/>
      <c r="J69" s="1"/>
      <c r="K69" s="36"/>
      <c r="L69" s="36"/>
      <c r="M69" s="1"/>
      <c r="N69" s="1"/>
      <c r="O69" s="1"/>
      <c r="P69" s="21"/>
      <c r="Q69" s="36"/>
      <c r="R69" s="38"/>
      <c r="S69" s="1"/>
      <c r="T69" s="21"/>
    </row>
    <row r="70" spans="1:26" x14ac:dyDescent="0.25">
      <c r="A70" s="46">
        <f t="shared" si="4"/>
        <v>34</v>
      </c>
      <c r="B70" s="1" t="s">
        <v>103</v>
      </c>
      <c r="C70" s="1" t="s">
        <v>104</v>
      </c>
      <c r="D70" s="1"/>
      <c r="E70" s="1"/>
      <c r="F70" s="1"/>
      <c r="G70" s="36">
        <v>13622.01739991927</v>
      </c>
      <c r="H70" s="36"/>
      <c r="I70" s="36"/>
      <c r="J70" s="1"/>
      <c r="K70" s="36"/>
      <c r="L70" s="36"/>
      <c r="M70" s="1"/>
      <c r="N70" s="1"/>
      <c r="O70" s="36"/>
      <c r="P70" s="21"/>
      <c r="Q70" s="1"/>
      <c r="R70" s="38"/>
      <c r="S70" s="1"/>
      <c r="T70" s="21"/>
      <c r="U70" s="1"/>
      <c r="V70" s="1"/>
      <c r="W70" s="1"/>
      <c r="X70" s="36"/>
    </row>
    <row r="71" spans="1:26" x14ac:dyDescent="0.25">
      <c r="A71" s="46">
        <f t="shared" si="4"/>
        <v>35</v>
      </c>
      <c r="B71" s="1" t="s">
        <v>105</v>
      </c>
      <c r="C71" s="1" t="s">
        <v>106</v>
      </c>
      <c r="D71" s="1"/>
      <c r="E71" s="1"/>
      <c r="F71" s="1"/>
      <c r="G71" s="53">
        <v>31050.913189253879</v>
      </c>
      <c r="H71" s="36"/>
      <c r="I71" s="36"/>
      <c r="J71" s="1"/>
      <c r="K71" s="36"/>
      <c r="L71" s="36"/>
      <c r="M71" s="1"/>
      <c r="N71" s="1"/>
      <c r="O71" s="36"/>
      <c r="P71" s="21"/>
      <c r="Q71" s="1"/>
      <c r="R71" s="38"/>
      <c r="S71" s="1"/>
      <c r="T71" s="21"/>
      <c r="U71" s="1"/>
      <c r="V71" s="1"/>
      <c r="W71" s="1"/>
      <c r="X71" s="36"/>
    </row>
    <row r="72" spans="1:26" x14ac:dyDescent="0.25">
      <c r="A72" s="46">
        <f t="shared" si="4"/>
        <v>36</v>
      </c>
      <c r="B72" s="1"/>
      <c r="C72" s="1"/>
      <c r="D72" s="1"/>
      <c r="E72" s="54"/>
      <c r="F72" s="1"/>
      <c r="G72" s="36"/>
      <c r="H72" s="53"/>
      <c r="I72" s="53"/>
      <c r="J72" s="1"/>
      <c r="K72" s="36"/>
      <c r="L72" s="53"/>
      <c r="M72" s="54"/>
      <c r="N72" s="1"/>
      <c r="O72" s="53"/>
      <c r="P72" s="57"/>
      <c r="Q72" s="53"/>
      <c r="R72" s="54"/>
      <c r="S72" s="1"/>
      <c r="T72" s="57"/>
      <c r="U72" s="1"/>
      <c r="V72" s="1"/>
      <c r="W72" s="1"/>
      <c r="X72" s="53"/>
      <c r="Y72" s="54"/>
      <c r="Z72" s="53"/>
    </row>
    <row r="73" spans="1:26" x14ac:dyDescent="0.25">
      <c r="A73" s="46">
        <f t="shared" si="4"/>
        <v>37</v>
      </c>
      <c r="B73" s="1"/>
      <c r="C73" s="1" t="s">
        <v>25</v>
      </c>
      <c r="D73" s="1"/>
      <c r="E73" s="54"/>
      <c r="F73" s="1"/>
      <c r="G73" s="36">
        <v>1910368.3</v>
      </c>
      <c r="H73" s="53"/>
      <c r="I73" s="53"/>
      <c r="J73" s="1"/>
      <c r="K73" s="36"/>
      <c r="L73" s="53"/>
      <c r="M73" s="54"/>
      <c r="N73" s="1"/>
      <c r="O73" s="53"/>
      <c r="P73" s="57"/>
      <c r="Q73" s="53"/>
      <c r="R73" s="54"/>
      <c r="S73" s="1"/>
      <c r="T73" s="57"/>
      <c r="U73" s="1"/>
      <c r="V73" s="1"/>
      <c r="W73" s="1"/>
      <c r="X73" s="53"/>
      <c r="Y73" s="54"/>
      <c r="Z73" s="53"/>
    </row>
    <row r="74" spans="1:26" x14ac:dyDescent="0.25">
      <c r="A74" s="46">
        <f t="shared" si="4"/>
        <v>38</v>
      </c>
      <c r="B74" s="1"/>
      <c r="C74" s="1"/>
      <c r="D74" s="1"/>
      <c r="E74" s="1"/>
      <c r="F74" s="1"/>
      <c r="G74" s="36"/>
      <c r="H74" s="1"/>
      <c r="I74" s="1"/>
      <c r="J74" s="1"/>
      <c r="K74" s="36"/>
    </row>
    <row r="75" spans="1:26" x14ac:dyDescent="0.25">
      <c r="A75" s="46">
        <f t="shared" si="4"/>
        <v>39</v>
      </c>
      <c r="B75" t="s">
        <v>109</v>
      </c>
    </row>
    <row r="76" spans="1:26" x14ac:dyDescent="0.25">
      <c r="A76" s="46">
        <f t="shared" si="4"/>
        <v>40</v>
      </c>
      <c r="B76" s="1"/>
      <c r="C76" s="1" t="s">
        <v>110</v>
      </c>
      <c r="D76" s="1"/>
      <c r="E76" s="1"/>
      <c r="F76" s="1"/>
      <c r="G76" s="36">
        <f>+retirement!N43</f>
        <v>708909.94</v>
      </c>
    </row>
    <row r="77" spans="1:26" x14ac:dyDescent="0.25">
      <c r="A77" s="46">
        <f t="shared" si="4"/>
        <v>41</v>
      </c>
      <c r="B77" s="1"/>
      <c r="C77" s="1" t="s">
        <v>111</v>
      </c>
      <c r="D77" s="1"/>
      <c r="E77" s="1"/>
      <c r="F77" s="1"/>
      <c r="G77" s="36">
        <f>+retirement!M43</f>
        <v>66750.14</v>
      </c>
    </row>
    <row r="78" spans="1:26" x14ac:dyDescent="0.25">
      <c r="A78" s="46">
        <f t="shared" si="4"/>
        <v>42</v>
      </c>
      <c r="B78" s="1"/>
      <c r="C78" s="90" t="s">
        <v>243</v>
      </c>
      <c r="D78" s="1"/>
      <c r="E78" s="1"/>
      <c r="F78" s="1"/>
      <c r="G78" s="36">
        <f>+retirement!L43</f>
        <v>296680.85999999993</v>
      </c>
    </row>
    <row r="79" spans="1:26" x14ac:dyDescent="0.25">
      <c r="A79" s="46">
        <f t="shared" si="4"/>
        <v>43</v>
      </c>
      <c r="B79" s="1"/>
      <c r="C79" s="90" t="s">
        <v>239</v>
      </c>
      <c r="D79" s="1"/>
      <c r="E79" s="1"/>
      <c r="F79" s="1"/>
      <c r="G79" s="53">
        <f>+retirement!E24</f>
        <v>265276</v>
      </c>
    </row>
    <row r="80" spans="1:26" x14ac:dyDescent="0.25">
      <c r="A80" s="46">
        <f t="shared" si="4"/>
        <v>44</v>
      </c>
      <c r="B80" s="1"/>
      <c r="C80" s="1"/>
      <c r="D80" s="1"/>
      <c r="E80" s="1"/>
      <c r="F80" s="1"/>
      <c r="G80" s="36"/>
    </row>
    <row r="81" spans="1:11" x14ac:dyDescent="0.25">
      <c r="A81" s="46">
        <f t="shared" si="4"/>
        <v>45</v>
      </c>
      <c r="B81" s="1"/>
      <c r="C81" s="1"/>
      <c r="D81" s="1"/>
      <c r="E81" s="1"/>
      <c r="F81" s="1"/>
      <c r="G81" s="55">
        <f>SUM(G75:G80)</f>
        <v>1337616.94</v>
      </c>
      <c r="H81" s="36"/>
    </row>
    <row r="82" spans="1:11" x14ac:dyDescent="0.25">
      <c r="A82" s="46">
        <f t="shared" si="4"/>
        <v>46</v>
      </c>
      <c r="B82" s="1"/>
      <c r="C82" s="1"/>
      <c r="D82" s="1"/>
      <c r="E82" s="1"/>
      <c r="F82" s="1"/>
      <c r="G82" s="36"/>
    </row>
    <row r="83" spans="1:11" x14ac:dyDescent="0.25">
      <c r="A83" s="46">
        <f t="shared" si="4"/>
        <v>47</v>
      </c>
      <c r="B83" s="90" t="s">
        <v>244</v>
      </c>
      <c r="C83" s="1"/>
      <c r="D83" s="1"/>
      <c r="E83" s="1"/>
      <c r="F83" s="1"/>
      <c r="G83" s="36"/>
    </row>
    <row r="84" spans="1:11" x14ac:dyDescent="0.25">
      <c r="A84" s="46">
        <f t="shared" si="4"/>
        <v>48</v>
      </c>
      <c r="B84" s="1" t="s">
        <v>200</v>
      </c>
      <c r="C84" s="1"/>
      <c r="D84" s="1"/>
      <c r="E84" s="1"/>
      <c r="F84" s="1"/>
      <c r="G84" s="36"/>
    </row>
    <row r="85" spans="1:11" x14ac:dyDescent="0.25">
      <c r="A85" s="46">
        <f t="shared" si="4"/>
        <v>49</v>
      </c>
      <c r="B85" s="95" t="s">
        <v>257</v>
      </c>
      <c r="K85">
        <f>+employees!A23+employees!A65</f>
        <v>49</v>
      </c>
    </row>
    <row r="86" spans="1:11" x14ac:dyDescent="0.25">
      <c r="A86" s="46">
        <f t="shared" si="4"/>
        <v>50</v>
      </c>
      <c r="B86" s="95" t="s">
        <v>256</v>
      </c>
      <c r="K86" s="80">
        <f>+G81/K85</f>
        <v>27298.304897959184</v>
      </c>
    </row>
    <row r="87" spans="1:11" x14ac:dyDescent="0.25">
      <c r="A87" s="46">
        <f t="shared" si="4"/>
        <v>51</v>
      </c>
    </row>
    <row r="88" spans="1:11" x14ac:dyDescent="0.25">
      <c r="A88" s="46">
        <f t="shared" si="4"/>
        <v>52</v>
      </c>
    </row>
    <row r="89" spans="1:11" x14ac:dyDescent="0.25">
      <c r="A89" s="46">
        <f t="shared" si="4"/>
        <v>53</v>
      </c>
    </row>
    <row r="94" spans="1:11" x14ac:dyDescent="0.25">
      <c r="B94" t="s">
        <v>172</v>
      </c>
      <c r="C94" t="s">
        <v>173</v>
      </c>
      <c r="F94" s="99">
        <f>+G10+G11</f>
        <v>0.26959583983348273</v>
      </c>
      <c r="G94" s="80">
        <f>+H10+H11</f>
        <v>16161</v>
      </c>
    </row>
    <row r="95" spans="1:11" x14ac:dyDescent="0.25">
      <c r="B95" t="s">
        <v>174</v>
      </c>
      <c r="C95" t="s">
        <v>175</v>
      </c>
      <c r="F95" s="99">
        <f>SUM(G12:G15)</f>
        <v>6.292818224579752E-2</v>
      </c>
      <c r="G95" s="80">
        <f>SUM(H12:H15)</f>
        <v>3772</v>
      </c>
    </row>
    <row r="96" spans="1:11" x14ac:dyDescent="0.25">
      <c r="B96" t="s">
        <v>176</v>
      </c>
      <c r="C96" t="s">
        <v>75</v>
      </c>
      <c r="F96" s="99">
        <f>+G19</f>
        <v>7.2074347793600904E-2</v>
      </c>
      <c r="G96" s="80">
        <f>+H19</f>
        <v>4320</v>
      </c>
    </row>
    <row r="97" spans="2:7" x14ac:dyDescent="0.25">
      <c r="B97" t="s">
        <v>177</v>
      </c>
      <c r="C97" t="s">
        <v>178</v>
      </c>
      <c r="F97" s="99">
        <f>+G23</f>
        <v>0.23122034050634291</v>
      </c>
      <c r="G97" s="80">
        <f>+H23</f>
        <v>13860</v>
      </c>
    </row>
    <row r="98" spans="2:7" x14ac:dyDescent="0.25">
      <c r="B98" t="s">
        <v>179</v>
      </c>
      <c r="C98" t="s">
        <v>180</v>
      </c>
      <c r="F98" s="99">
        <f t="shared" ref="F98:G100" si="5">+G25</f>
        <v>0.20231646844257795</v>
      </c>
      <c r="G98" s="80">
        <f t="shared" si="5"/>
        <v>12128</v>
      </c>
    </row>
    <row r="99" spans="2:7" x14ac:dyDescent="0.25">
      <c r="B99" t="s">
        <v>181</v>
      </c>
      <c r="C99" t="s">
        <v>182</v>
      </c>
      <c r="F99" s="99">
        <f t="shared" si="5"/>
        <v>1.7671188475039026E-2</v>
      </c>
      <c r="G99" s="80">
        <f t="shared" si="5"/>
        <v>1059</v>
      </c>
    </row>
    <row r="100" spans="2:7" x14ac:dyDescent="0.25">
      <c r="B100" t="s">
        <v>183</v>
      </c>
      <c r="C100" t="s">
        <v>184</v>
      </c>
      <c r="F100" s="99">
        <f t="shared" si="5"/>
        <v>0</v>
      </c>
      <c r="G100" s="80">
        <f t="shared" si="5"/>
        <v>0</v>
      </c>
    </row>
    <row r="101" spans="2:7" x14ac:dyDescent="0.25">
      <c r="B101" t="s">
        <v>185</v>
      </c>
      <c r="C101" t="s">
        <v>186</v>
      </c>
      <c r="F101" s="99">
        <f>+G30</f>
        <v>0.14419363270315896</v>
      </c>
      <c r="G101" s="80">
        <f>+H30</f>
        <v>8643</v>
      </c>
    </row>
    <row r="103" spans="2:7" x14ac:dyDescent="0.25">
      <c r="F103" s="99">
        <f>SUM(F94:F102)</f>
        <v>0.99999999999999989</v>
      </c>
      <c r="G103" s="80">
        <f>SUM(G94:G101)</f>
        <v>59943</v>
      </c>
    </row>
  </sheetData>
  <mergeCells count="3">
    <mergeCell ref="B40:H40"/>
    <mergeCell ref="B41:H41"/>
    <mergeCell ref="B42:H42"/>
  </mergeCells>
  <phoneticPr fontId="10" type="noConversion"/>
  <pageMargins left="0.65" right="0.5" top="0.5" bottom="0.25" header="0.5" footer="0.5"/>
  <pageSetup orientation="portrait" r:id="rId1"/>
  <headerFooter alignWithMargins="0"/>
  <rowBreaks count="2" manualBreakCount="2">
    <brk id="36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workbookViewId="0">
      <selection activeCell="F14" sqref="F14"/>
    </sheetView>
  </sheetViews>
  <sheetFormatPr defaultRowHeight="15.75" x14ac:dyDescent="0.25"/>
  <cols>
    <col min="1" max="1" width="4.625" customWidth="1"/>
    <col min="6" max="6" width="10.625" customWidth="1"/>
    <col min="8" max="8" width="10.625" customWidth="1"/>
    <col min="10" max="10" width="10.625" customWidth="1"/>
    <col min="12" max="12" width="10.625" customWidth="1"/>
    <col min="14" max="14" width="10.625" customWidth="1"/>
  </cols>
  <sheetData>
    <row r="1" spans="1:23" ht="18.75" x14ac:dyDescent="0.3">
      <c r="A1" s="46">
        <f>(allocations!A91+1)</f>
        <v>1</v>
      </c>
      <c r="B1" s="2" t="str">
        <f>allocations!B3</f>
        <v>Cumberland Valley Electric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</row>
    <row r="2" spans="1:23" ht="18.75" x14ac:dyDescent="0.3">
      <c r="A2" s="46">
        <f t="shared" ref="A2:A48" si="0">(A1+1)</f>
        <v>2</v>
      </c>
      <c r="B2" s="2" t="str">
        <f>allocations!B4</f>
        <v>Case No. 2016-00169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23" x14ac:dyDescent="0.25">
      <c r="A3" s="46">
        <f t="shared" si="0"/>
        <v>3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23" x14ac:dyDescent="0.25">
      <c r="A4" s="46">
        <f t="shared" si="0"/>
        <v>4</v>
      </c>
      <c r="B4" s="114" t="s">
        <v>112</v>
      </c>
      <c r="C4" s="114"/>
      <c r="D4" s="114"/>
      <c r="E4" s="114"/>
      <c r="F4" s="3"/>
      <c r="G4" s="3"/>
      <c r="H4" s="3"/>
      <c r="I4" s="3"/>
      <c r="J4" s="3"/>
      <c r="K4" s="3"/>
      <c r="L4" s="3"/>
    </row>
    <row r="5" spans="1:23" x14ac:dyDescent="0.25">
      <c r="A5" s="46">
        <f t="shared" si="0"/>
        <v>5</v>
      </c>
      <c r="B5" s="114" t="s">
        <v>259</v>
      </c>
      <c r="C5" s="114"/>
      <c r="D5" s="114"/>
      <c r="E5" s="114"/>
      <c r="F5" s="3"/>
      <c r="G5" s="3"/>
      <c r="H5" s="3"/>
      <c r="I5" s="3"/>
      <c r="J5" s="3"/>
      <c r="K5" s="3"/>
      <c r="L5" s="3"/>
    </row>
    <row r="6" spans="1:23" x14ac:dyDescent="0.25">
      <c r="A6" s="46">
        <f t="shared" si="0"/>
        <v>6</v>
      </c>
      <c r="B6" s="114" t="s">
        <v>113</v>
      </c>
      <c r="C6" s="114"/>
      <c r="D6" s="114"/>
      <c r="E6" s="114"/>
      <c r="F6" s="3"/>
      <c r="G6" s="3"/>
      <c r="H6" s="3"/>
      <c r="I6" s="3"/>
      <c r="J6" s="3"/>
      <c r="K6" s="3"/>
      <c r="L6" s="3"/>
    </row>
    <row r="7" spans="1:23" ht="12" customHeight="1" x14ac:dyDescent="0.25">
      <c r="A7" s="46">
        <f t="shared" si="0"/>
        <v>7</v>
      </c>
    </row>
    <row r="8" spans="1:23" x14ac:dyDescent="0.25">
      <c r="A8" s="46">
        <f t="shared" si="0"/>
        <v>8</v>
      </c>
      <c r="B8" s="58"/>
      <c r="C8" s="59"/>
      <c r="D8" s="59"/>
      <c r="E8" s="59"/>
      <c r="F8" s="60" t="s">
        <v>114</v>
      </c>
      <c r="G8" s="61"/>
      <c r="H8" s="61"/>
      <c r="I8" s="61"/>
      <c r="J8" s="61"/>
      <c r="K8" s="61"/>
      <c r="L8" s="62" t="s">
        <v>115</v>
      </c>
      <c r="M8" s="63"/>
    </row>
    <row r="9" spans="1:23" x14ac:dyDescent="0.25">
      <c r="A9" s="46">
        <f t="shared" si="0"/>
        <v>9</v>
      </c>
      <c r="B9" s="13"/>
      <c r="C9" s="1"/>
      <c r="D9" s="1"/>
      <c r="E9" s="1"/>
      <c r="F9" s="64">
        <f>+H9-1</f>
        <v>2012</v>
      </c>
      <c r="G9" s="17"/>
      <c r="H9" s="64">
        <f>+J9-1</f>
        <v>2013</v>
      </c>
      <c r="I9" s="17"/>
      <c r="J9" s="64">
        <f>+L9-1</f>
        <v>2014</v>
      </c>
      <c r="K9" s="17"/>
      <c r="L9" s="64">
        <v>2015</v>
      </c>
      <c r="M9" s="65"/>
    </row>
    <row r="10" spans="1:23" x14ac:dyDescent="0.25">
      <c r="A10" s="46">
        <f t="shared" si="0"/>
        <v>10</v>
      </c>
      <c r="B10" s="14" t="s">
        <v>116</v>
      </c>
      <c r="C10" s="3" t="s">
        <v>117</v>
      </c>
      <c r="D10" s="1"/>
      <c r="E10" s="1"/>
      <c r="F10" s="14" t="s">
        <v>118</v>
      </c>
      <c r="G10" s="14" t="s">
        <v>119</v>
      </c>
      <c r="H10" s="14" t="s">
        <v>118</v>
      </c>
      <c r="I10" s="14" t="s">
        <v>119</v>
      </c>
      <c r="J10" s="14" t="s">
        <v>118</v>
      </c>
      <c r="K10" s="14" t="s">
        <v>119</v>
      </c>
      <c r="L10" s="14" t="s">
        <v>118</v>
      </c>
      <c r="M10" s="76" t="s">
        <v>119</v>
      </c>
      <c r="O10">
        <v>41</v>
      </c>
      <c r="Q10">
        <v>156</v>
      </c>
    </row>
    <row r="11" spans="1:23" x14ac:dyDescent="0.25">
      <c r="A11" s="46">
        <f t="shared" si="0"/>
        <v>11</v>
      </c>
      <c r="B11" s="77" t="s">
        <v>120</v>
      </c>
      <c r="C11" s="17" t="s">
        <v>121</v>
      </c>
      <c r="D11" s="66"/>
      <c r="E11" s="66"/>
      <c r="F11" s="77" t="s">
        <v>122</v>
      </c>
      <c r="G11" s="77" t="s">
        <v>123</v>
      </c>
      <c r="H11" s="77" t="s">
        <v>124</v>
      </c>
      <c r="I11" s="77" t="s">
        <v>125</v>
      </c>
      <c r="J11" s="77" t="s">
        <v>126</v>
      </c>
      <c r="K11" s="77" t="s">
        <v>127</v>
      </c>
      <c r="L11" s="77" t="s">
        <v>128</v>
      </c>
      <c r="M11" s="78" t="s">
        <v>129</v>
      </c>
      <c r="N11" s="72" t="s">
        <v>130</v>
      </c>
      <c r="O11" s="72" t="s">
        <v>131</v>
      </c>
      <c r="Q11" s="72" t="s">
        <v>132</v>
      </c>
      <c r="T11" s="72" t="s">
        <v>25</v>
      </c>
    </row>
    <row r="12" spans="1:23" ht="12" customHeight="1" x14ac:dyDescent="0.25">
      <c r="A12" s="46">
        <f t="shared" si="0"/>
        <v>12</v>
      </c>
      <c r="N12" s="67">
        <v>2011</v>
      </c>
    </row>
    <row r="13" spans="1:23" x14ac:dyDescent="0.25">
      <c r="A13" s="46">
        <f t="shared" si="0"/>
        <v>13</v>
      </c>
      <c r="B13" s="9">
        <v>1</v>
      </c>
      <c r="C13" s="1" t="s">
        <v>133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67"/>
    </row>
    <row r="14" spans="1:23" x14ac:dyDescent="0.25">
      <c r="A14" s="46">
        <f t="shared" si="0"/>
        <v>14</v>
      </c>
      <c r="B14" s="9">
        <v>2</v>
      </c>
      <c r="C14" s="1" t="s">
        <v>134</v>
      </c>
      <c r="D14" s="1"/>
      <c r="E14" s="1"/>
      <c r="F14" s="36">
        <f>51+372+3+616+1+40+73</f>
        <v>1156</v>
      </c>
      <c r="G14" s="68">
        <f>IF(N14=0," ",(+F14-N14)/N14)</f>
        <v>-8.6430423509075197E-4</v>
      </c>
      <c r="H14" s="36">
        <f>66+221+1+643+1+43+72</f>
        <v>1047</v>
      </c>
      <c r="I14" s="68">
        <f>IF(F14=0," ",(H14-F14)/F14)</f>
        <v>-9.4290657439446368E-2</v>
      </c>
      <c r="J14" s="36">
        <f>51+212+2+713+49+88</f>
        <v>1115</v>
      </c>
      <c r="K14" s="68">
        <f>IF(H14=0," ",(J14-H14)/H14)</f>
        <v>6.4947468958930277E-2</v>
      </c>
      <c r="L14" s="36">
        <v>1141</v>
      </c>
      <c r="M14" s="68">
        <f>IF(J14=0,0,(L14-J14)/J14)</f>
        <v>2.3318385650224215E-2</v>
      </c>
      <c r="N14" s="36">
        <v>1157</v>
      </c>
      <c r="O14" s="36">
        <f>ROUND((U14*0.3666),0)</f>
        <v>15</v>
      </c>
      <c r="P14" s="1"/>
      <c r="Q14" s="36">
        <f>ROUND((V14*0.3092),0)</f>
        <v>48</v>
      </c>
      <c r="R14" s="1"/>
      <c r="S14" s="1"/>
      <c r="T14" s="36">
        <f>SUM(N14:Q14)</f>
        <v>1220</v>
      </c>
      <c r="U14" s="36">
        <f>O10</f>
        <v>41</v>
      </c>
      <c r="V14" s="36">
        <f>Q10</f>
        <v>156</v>
      </c>
      <c r="W14" s="38">
        <f>(T14/$T$39)</f>
        <v>0.31194068013295834</v>
      </c>
    </row>
    <row r="15" spans="1:23" x14ac:dyDescent="0.25">
      <c r="A15" s="46">
        <f t="shared" si="0"/>
        <v>15</v>
      </c>
      <c r="B15" s="9">
        <v>3</v>
      </c>
      <c r="C15" s="1" t="s">
        <v>135</v>
      </c>
      <c r="D15" s="1"/>
      <c r="E15" s="1"/>
      <c r="F15" s="36">
        <f>61+677</f>
        <v>738</v>
      </c>
      <c r="G15" s="68">
        <f t="shared" ref="G15:G27" si="1">IF(N15=0," ",(+F15-N15)/N15)</f>
        <v>0</v>
      </c>
      <c r="H15" s="36">
        <f>77+685</f>
        <v>762</v>
      </c>
      <c r="I15" s="68">
        <f t="shared" ref="I15:I27" si="2">IF(F15=0," ",(H15-F15)/F15)</f>
        <v>3.2520325203252036E-2</v>
      </c>
      <c r="J15" s="36">
        <f>66+705</f>
        <v>771</v>
      </c>
      <c r="K15" s="68">
        <f t="shared" ref="K15:K27" si="3">IF(H15=0," ",(J15-H15)/H15)</f>
        <v>1.1811023622047244E-2</v>
      </c>
      <c r="L15" s="36">
        <f>66+695</f>
        <v>761</v>
      </c>
      <c r="M15" s="68">
        <f>IF(J15=0,0,(L15-J15)/J15)</f>
        <v>-1.2970168612191959E-2</v>
      </c>
      <c r="N15" s="36">
        <v>738</v>
      </c>
      <c r="O15" s="36">
        <f>ROUND((U15*0.1124),0)</f>
        <v>5</v>
      </c>
      <c r="P15" s="1"/>
      <c r="Q15" s="36">
        <f>ROUND((V15*0.0928),0)</f>
        <v>14</v>
      </c>
      <c r="R15" s="1"/>
      <c r="S15" s="1"/>
      <c r="T15" s="36">
        <f>SUM(N15:Q15)</f>
        <v>757</v>
      </c>
      <c r="U15" s="36">
        <f>O10</f>
        <v>41</v>
      </c>
      <c r="V15" s="36">
        <f>Q10</f>
        <v>156</v>
      </c>
      <c r="W15" s="38">
        <f>(T15/$T$39)</f>
        <v>0.19355663513167987</v>
      </c>
    </row>
    <row r="16" spans="1:23" x14ac:dyDescent="0.25">
      <c r="A16" s="46">
        <f t="shared" si="0"/>
        <v>16</v>
      </c>
      <c r="B16" s="9">
        <v>4</v>
      </c>
      <c r="C16" s="1" t="s">
        <v>136</v>
      </c>
      <c r="D16" s="1"/>
      <c r="E16" s="1"/>
      <c r="F16" s="36">
        <v>76</v>
      </c>
      <c r="G16" s="68">
        <f t="shared" si="1"/>
        <v>0</v>
      </c>
      <c r="H16" s="36">
        <v>62</v>
      </c>
      <c r="I16" s="68">
        <f t="shared" si="2"/>
        <v>-0.18421052631578946</v>
      </c>
      <c r="J16" s="36">
        <v>63</v>
      </c>
      <c r="K16" s="68">
        <f t="shared" si="3"/>
        <v>1.6129032258064516E-2</v>
      </c>
      <c r="L16" s="36">
        <v>66</v>
      </c>
      <c r="M16" s="68">
        <f>IF(J16=0,0,(L16-J16)/J16)</f>
        <v>4.7619047619047616E-2</v>
      </c>
      <c r="N16" s="36">
        <v>76</v>
      </c>
      <c r="O16" s="36">
        <f>ROUND((U16*0.0727),0)</f>
        <v>3</v>
      </c>
      <c r="P16" s="1"/>
      <c r="Q16" s="36">
        <f>ROUND((V16*0.0536),0)</f>
        <v>8</v>
      </c>
      <c r="R16" s="1"/>
      <c r="S16" s="1"/>
      <c r="T16" s="36">
        <f>SUM(N16:Q16)</f>
        <v>87</v>
      </c>
      <c r="U16" s="36">
        <f>O10</f>
        <v>41</v>
      </c>
      <c r="V16" s="36">
        <f>Q10</f>
        <v>156</v>
      </c>
      <c r="W16" s="38">
        <f>(T16/$T$39)</f>
        <v>2.2244950140628994E-2</v>
      </c>
    </row>
    <row r="17" spans="1:23" x14ac:dyDescent="0.25">
      <c r="A17" s="46">
        <f t="shared" si="0"/>
        <v>17</v>
      </c>
      <c r="B17" s="9">
        <v>5</v>
      </c>
      <c r="C17" s="1" t="s">
        <v>137</v>
      </c>
      <c r="D17" s="1"/>
      <c r="E17" s="1"/>
      <c r="F17" s="36"/>
      <c r="G17" s="68" t="str">
        <f t="shared" si="1"/>
        <v xml:space="preserve"> </v>
      </c>
      <c r="H17" s="36"/>
      <c r="I17" s="68" t="str">
        <f t="shared" si="2"/>
        <v xml:space="preserve"> </v>
      </c>
      <c r="J17" s="36"/>
      <c r="K17" s="68" t="str">
        <f t="shared" si="3"/>
        <v xml:space="preserve"> </v>
      </c>
      <c r="L17" s="1"/>
      <c r="M17" s="68">
        <f>IF(J17=0,0,(L17-J17)/J17)</f>
        <v>0</v>
      </c>
      <c r="N17" s="36"/>
      <c r="O17" s="36">
        <f>ROUND((U17*0.0001),0)</f>
        <v>0</v>
      </c>
      <c r="P17" s="1"/>
      <c r="Q17" s="36">
        <f>ROUND((V17*0.0001),0)</f>
        <v>0</v>
      </c>
      <c r="R17" s="1"/>
      <c r="S17" s="1"/>
      <c r="T17" s="36">
        <f>SUM(N17:Q17)</f>
        <v>0</v>
      </c>
      <c r="U17" s="36">
        <f>O10</f>
        <v>41</v>
      </c>
      <c r="V17" s="36">
        <f>Q10</f>
        <v>156</v>
      </c>
      <c r="W17" s="38">
        <f>(T17/$T$39)</f>
        <v>0</v>
      </c>
    </row>
    <row r="18" spans="1:23" x14ac:dyDescent="0.25">
      <c r="A18" s="46">
        <f t="shared" si="0"/>
        <v>18</v>
      </c>
      <c r="B18" s="9">
        <v>6</v>
      </c>
      <c r="C18" s="1" t="s">
        <v>138</v>
      </c>
      <c r="D18" s="1"/>
      <c r="E18" s="1"/>
      <c r="F18" s="36"/>
      <c r="G18" s="68" t="str">
        <f t="shared" si="1"/>
        <v xml:space="preserve"> </v>
      </c>
      <c r="H18" s="36"/>
      <c r="I18" s="68" t="str">
        <f t="shared" si="2"/>
        <v xml:space="preserve"> </v>
      </c>
      <c r="J18" s="36"/>
      <c r="K18" s="68" t="str">
        <f t="shared" si="3"/>
        <v xml:space="preserve"> </v>
      </c>
      <c r="L18" s="1"/>
      <c r="M18" s="1"/>
      <c r="N18" s="36"/>
    </row>
    <row r="19" spans="1:23" x14ac:dyDescent="0.25">
      <c r="A19" s="46">
        <f t="shared" si="0"/>
        <v>19</v>
      </c>
      <c r="B19" s="1"/>
      <c r="C19" s="1" t="s">
        <v>139</v>
      </c>
      <c r="D19" s="1"/>
      <c r="E19" s="1"/>
      <c r="F19" s="36">
        <v>395</v>
      </c>
      <c r="G19" s="68">
        <f t="shared" si="1"/>
        <v>2.5380710659898475E-3</v>
      </c>
      <c r="H19" s="36">
        <v>455</v>
      </c>
      <c r="I19" s="68">
        <f t="shared" si="2"/>
        <v>0.15189873417721519</v>
      </c>
      <c r="J19" s="36">
        <v>487</v>
      </c>
      <c r="K19" s="68">
        <f t="shared" si="3"/>
        <v>7.032967032967033E-2</v>
      </c>
      <c r="L19" s="36">
        <v>522</v>
      </c>
      <c r="M19" s="68">
        <f>IF(J19=0,0,(L19-J19)/J19)</f>
        <v>7.1868583162217656E-2</v>
      </c>
      <c r="N19" s="36">
        <v>394</v>
      </c>
      <c r="O19" s="36">
        <f>ROUND((U19*0.04),0)</f>
        <v>2</v>
      </c>
      <c r="P19" s="1"/>
      <c r="Q19" s="36">
        <f>ROUND((V19*0.28),0)</f>
        <v>44</v>
      </c>
      <c r="R19" s="1"/>
      <c r="S19" s="1"/>
      <c r="T19" s="36">
        <f>SUM(N19:Q19)</f>
        <v>440</v>
      </c>
      <c r="U19" s="36">
        <f>O10</f>
        <v>41</v>
      </c>
      <c r="V19" s="36">
        <f>Q10</f>
        <v>156</v>
      </c>
      <c r="W19" s="38">
        <f>(T19/$T$39)</f>
        <v>0.11250319611352595</v>
      </c>
    </row>
    <row r="20" spans="1:23" x14ac:dyDescent="0.25">
      <c r="A20" s="46">
        <f t="shared" si="0"/>
        <v>20</v>
      </c>
      <c r="B20" s="1"/>
      <c r="C20" s="1" t="s">
        <v>140</v>
      </c>
      <c r="D20" s="1"/>
      <c r="E20" s="1"/>
      <c r="F20" s="36">
        <v>4</v>
      </c>
      <c r="G20" s="68">
        <f t="shared" si="1"/>
        <v>0</v>
      </c>
      <c r="H20" s="36">
        <v>4</v>
      </c>
      <c r="I20" s="68">
        <f t="shared" si="2"/>
        <v>0</v>
      </c>
      <c r="J20" s="36">
        <v>4</v>
      </c>
      <c r="K20" s="68">
        <f t="shared" si="3"/>
        <v>0</v>
      </c>
      <c r="L20" s="36">
        <v>4</v>
      </c>
      <c r="M20" s="68">
        <f>IF(J20=0,0,(L20-J20)/J20)</f>
        <v>0</v>
      </c>
      <c r="N20" s="36">
        <v>4</v>
      </c>
    </row>
    <row r="21" spans="1:23" x14ac:dyDescent="0.25">
      <c r="A21" s="46">
        <f t="shared" si="0"/>
        <v>21</v>
      </c>
      <c r="B21" s="1"/>
      <c r="C21" s="1" t="s">
        <v>141</v>
      </c>
      <c r="D21" s="1"/>
      <c r="E21" s="1"/>
      <c r="F21" s="36"/>
      <c r="G21" s="68" t="str">
        <f t="shared" si="1"/>
        <v xml:space="preserve"> </v>
      </c>
      <c r="H21" s="36"/>
      <c r="I21" s="68" t="str">
        <f t="shared" si="2"/>
        <v xml:space="preserve"> </v>
      </c>
      <c r="J21" s="36"/>
      <c r="K21" s="68" t="str">
        <f t="shared" si="3"/>
        <v xml:space="preserve"> </v>
      </c>
      <c r="L21" s="1"/>
      <c r="M21" s="1"/>
      <c r="N21" s="36"/>
    </row>
    <row r="22" spans="1:23" x14ac:dyDescent="0.25">
      <c r="A22" s="46">
        <f t="shared" si="0"/>
        <v>22</v>
      </c>
      <c r="B22" s="1"/>
      <c r="C22" s="1" t="s">
        <v>142</v>
      </c>
      <c r="D22" s="1"/>
      <c r="E22" s="1"/>
      <c r="F22" s="36"/>
      <c r="G22" s="68" t="str">
        <f t="shared" si="1"/>
        <v xml:space="preserve"> </v>
      </c>
      <c r="H22" s="36"/>
      <c r="I22" s="68" t="str">
        <f t="shared" si="2"/>
        <v xml:space="preserve"> </v>
      </c>
      <c r="J22" s="36"/>
      <c r="K22" s="68" t="str">
        <f t="shared" si="3"/>
        <v xml:space="preserve"> </v>
      </c>
      <c r="L22" s="1"/>
      <c r="M22" s="1"/>
      <c r="N22" s="36"/>
      <c r="O22" s="1"/>
      <c r="P22" s="1"/>
      <c r="Q22" s="1"/>
      <c r="R22" s="1"/>
      <c r="S22" s="1"/>
      <c r="T22" s="36">
        <f>SUM(N22:Q22)</f>
        <v>0</v>
      </c>
    </row>
    <row r="23" spans="1:23" x14ac:dyDescent="0.25">
      <c r="A23" s="46">
        <f t="shared" si="0"/>
        <v>23</v>
      </c>
      <c r="B23" s="1"/>
      <c r="C23" s="1" t="s">
        <v>143</v>
      </c>
      <c r="D23" s="1"/>
      <c r="E23" s="1"/>
      <c r="F23" s="36"/>
      <c r="G23" s="68" t="str">
        <f t="shared" si="1"/>
        <v xml:space="preserve"> </v>
      </c>
      <c r="H23" s="36"/>
      <c r="I23" s="68" t="str">
        <f t="shared" si="2"/>
        <v xml:space="preserve"> </v>
      </c>
      <c r="J23" s="36"/>
      <c r="K23" s="68" t="str">
        <f t="shared" si="3"/>
        <v xml:space="preserve"> </v>
      </c>
      <c r="L23" s="1"/>
      <c r="M23" s="68">
        <f>IF(J23=0,0,(L23-J23)/J23)</f>
        <v>0</v>
      </c>
      <c r="N23" s="36"/>
      <c r="O23" s="1"/>
      <c r="P23" s="1"/>
      <c r="Q23" s="1"/>
      <c r="R23" s="1"/>
      <c r="S23" s="1"/>
      <c r="T23" s="36">
        <f>SUM(N23:Q23)</f>
        <v>0</v>
      </c>
    </row>
    <row r="24" spans="1:23" x14ac:dyDescent="0.25">
      <c r="A24" s="46">
        <f t="shared" si="0"/>
        <v>24</v>
      </c>
      <c r="B24" s="1"/>
      <c r="C24" s="1" t="s">
        <v>144</v>
      </c>
      <c r="D24" s="1"/>
      <c r="E24" s="1"/>
      <c r="F24" s="36"/>
      <c r="G24" s="68" t="str">
        <f t="shared" si="1"/>
        <v xml:space="preserve"> </v>
      </c>
      <c r="H24" s="36"/>
      <c r="I24" s="68" t="str">
        <f t="shared" si="2"/>
        <v xml:space="preserve"> </v>
      </c>
      <c r="J24" s="36"/>
      <c r="K24" s="68" t="str">
        <f t="shared" si="3"/>
        <v xml:space="preserve"> </v>
      </c>
      <c r="L24" s="36"/>
      <c r="M24" s="68">
        <f>IF(J24=0,0,(L24-J24)/J24)</f>
        <v>0</v>
      </c>
      <c r="N24" s="36"/>
    </row>
    <row r="25" spans="1:23" x14ac:dyDescent="0.25">
      <c r="A25" s="46">
        <f t="shared" si="0"/>
        <v>25</v>
      </c>
      <c r="B25" s="1"/>
      <c r="C25" s="1" t="s">
        <v>145</v>
      </c>
      <c r="D25" s="1"/>
      <c r="E25" s="1"/>
      <c r="F25" s="36"/>
      <c r="G25" s="68" t="str">
        <f t="shared" si="1"/>
        <v xml:space="preserve"> </v>
      </c>
      <c r="H25" s="36"/>
      <c r="I25" s="68" t="str">
        <f t="shared" si="2"/>
        <v xml:space="preserve"> </v>
      </c>
      <c r="J25" s="36"/>
      <c r="K25" s="68" t="str">
        <f t="shared" si="3"/>
        <v xml:space="preserve"> </v>
      </c>
      <c r="L25" s="1"/>
      <c r="M25" s="1"/>
      <c r="N25" s="36"/>
    </row>
    <row r="26" spans="1:23" x14ac:dyDescent="0.25">
      <c r="A26" s="46">
        <f t="shared" si="0"/>
        <v>26</v>
      </c>
      <c r="B26" s="1"/>
      <c r="C26" s="1" t="s">
        <v>146</v>
      </c>
      <c r="D26" s="1"/>
      <c r="E26" s="1"/>
      <c r="F26" s="36"/>
      <c r="G26" s="68" t="str">
        <f t="shared" si="1"/>
        <v xml:space="preserve"> </v>
      </c>
      <c r="H26" s="36"/>
      <c r="I26" s="68" t="str">
        <f t="shared" si="2"/>
        <v xml:space="preserve"> </v>
      </c>
      <c r="J26" s="36"/>
      <c r="K26" s="68" t="str">
        <f t="shared" si="3"/>
        <v xml:space="preserve"> </v>
      </c>
      <c r="L26" s="36"/>
      <c r="M26" s="68">
        <f>IF(J26=0,0,(L26-J26)/J26)</f>
        <v>0</v>
      </c>
      <c r="N26" s="36"/>
      <c r="O26" s="1"/>
      <c r="P26" s="1"/>
      <c r="Q26" s="1"/>
      <c r="R26" s="1"/>
      <c r="S26" s="1"/>
      <c r="T26" s="36">
        <f>SUM(N26:Q26)</f>
        <v>0</v>
      </c>
    </row>
    <row r="27" spans="1:23" x14ac:dyDescent="0.25">
      <c r="A27" s="46">
        <f t="shared" si="0"/>
        <v>27</v>
      </c>
      <c r="B27" s="1"/>
      <c r="C27" s="1" t="s">
        <v>147</v>
      </c>
      <c r="D27" s="1"/>
      <c r="E27" s="1"/>
      <c r="F27" s="36">
        <v>15</v>
      </c>
      <c r="G27" s="68">
        <f t="shared" si="1"/>
        <v>0</v>
      </c>
      <c r="H27" s="36">
        <v>18</v>
      </c>
      <c r="I27" s="68">
        <f t="shared" si="2"/>
        <v>0.2</v>
      </c>
      <c r="J27" s="36">
        <v>17</v>
      </c>
      <c r="K27" s="68">
        <f t="shared" si="3"/>
        <v>-5.5555555555555552E-2</v>
      </c>
      <c r="L27" s="36">
        <v>16</v>
      </c>
      <c r="M27" s="68">
        <f>IF(J27=0,0,(L27-J27)/J27)</f>
        <v>-5.8823529411764705E-2</v>
      </c>
      <c r="N27" s="36">
        <v>15</v>
      </c>
      <c r="O27" s="1"/>
      <c r="P27" s="1"/>
      <c r="Q27" s="1"/>
      <c r="R27" s="1"/>
      <c r="S27" s="1"/>
      <c r="T27" s="36">
        <f>SUM(N27:Q27)</f>
        <v>15</v>
      </c>
      <c r="U27" s="1"/>
      <c r="V27" s="1"/>
      <c r="W27" s="38">
        <f>(T27/$T$39)</f>
        <v>3.8353362311429303E-3</v>
      </c>
    </row>
    <row r="28" spans="1:23" ht="12" customHeight="1" x14ac:dyDescent="0.25">
      <c r="A28" s="46">
        <f t="shared" si="0"/>
        <v>28</v>
      </c>
      <c r="B28" s="1"/>
      <c r="C28" s="1"/>
      <c r="D28" s="1"/>
      <c r="E28" s="1"/>
      <c r="F28" s="36"/>
      <c r="G28" s="1"/>
      <c r="H28" s="36"/>
      <c r="I28" s="1"/>
      <c r="J28" s="36"/>
      <c r="K28" s="1"/>
      <c r="L28" s="36"/>
      <c r="M28" s="1"/>
      <c r="N28" s="36"/>
    </row>
    <row r="29" spans="1:23" x14ac:dyDescent="0.25">
      <c r="A29" s="46">
        <f t="shared" si="0"/>
        <v>29</v>
      </c>
      <c r="B29" s="9">
        <v>7</v>
      </c>
      <c r="C29" s="1" t="s">
        <v>148</v>
      </c>
      <c r="D29" s="1"/>
      <c r="E29" s="1"/>
      <c r="F29" s="36">
        <f>SUM(F18:F27)</f>
        <v>414</v>
      </c>
      <c r="G29" s="68">
        <f>(+F29-N29)/N29</f>
        <v>2.4213075060532689E-3</v>
      </c>
      <c r="H29" s="36">
        <f>SUM(H18:H27)</f>
        <v>477</v>
      </c>
      <c r="I29" s="68">
        <v>-3.4602076124567477E-2</v>
      </c>
      <c r="J29" s="36">
        <f>SUM(J18:J27)</f>
        <v>508</v>
      </c>
      <c r="K29" s="68">
        <f>IF(H29=0,0,(J29-H29)/H29)</f>
        <v>6.4989517819706494E-2</v>
      </c>
      <c r="L29" s="36">
        <f>SUM(L18:L27)</f>
        <v>542</v>
      </c>
      <c r="M29" s="68">
        <v>-3.4602076124567477E-2</v>
      </c>
      <c r="N29" s="36">
        <v>413</v>
      </c>
      <c r="O29" s="36">
        <f>SUM(O19:O27)</f>
        <v>2</v>
      </c>
      <c r="P29" s="1"/>
      <c r="Q29" s="36">
        <f>SUM(Q19:Q27)</f>
        <v>44</v>
      </c>
      <c r="R29" s="1"/>
      <c r="S29" s="1"/>
      <c r="T29" s="36">
        <f>SUM(N29:Q29)</f>
        <v>459</v>
      </c>
    </row>
    <row r="30" spans="1:23" x14ac:dyDescent="0.25">
      <c r="A30" s="46">
        <f t="shared" si="0"/>
        <v>30</v>
      </c>
      <c r="B30" s="1"/>
      <c r="C30" s="1" t="s">
        <v>149</v>
      </c>
      <c r="D30" s="1"/>
      <c r="E30" s="1"/>
      <c r="F30" s="36"/>
      <c r="G30" s="1"/>
      <c r="H30" s="36"/>
      <c r="I30" s="1"/>
      <c r="J30" s="36"/>
      <c r="K30" s="1"/>
      <c r="L30" s="36"/>
      <c r="M30" s="1"/>
      <c r="N30" s="36"/>
    </row>
    <row r="31" spans="1:23" ht="12" customHeight="1" x14ac:dyDescent="0.25">
      <c r="A31" s="46">
        <f t="shared" si="0"/>
        <v>31</v>
      </c>
      <c r="B31" s="1"/>
      <c r="C31" s="1"/>
      <c r="D31" s="1"/>
      <c r="E31" s="1"/>
      <c r="F31" s="36"/>
      <c r="G31" s="1"/>
      <c r="H31" s="36"/>
      <c r="I31" s="1"/>
      <c r="J31" s="36"/>
      <c r="K31" s="1"/>
      <c r="L31" s="36"/>
      <c r="M31" s="1"/>
      <c r="N31" s="36"/>
    </row>
    <row r="32" spans="1:23" x14ac:dyDescent="0.25">
      <c r="A32" s="46">
        <f t="shared" si="0"/>
        <v>32</v>
      </c>
      <c r="B32" s="9">
        <v>8</v>
      </c>
      <c r="C32" s="1" t="s">
        <v>150</v>
      </c>
      <c r="D32" s="1"/>
      <c r="E32" s="1"/>
      <c r="F32" s="36">
        <f>11+8+38+19+91+63+92+6</f>
        <v>328</v>
      </c>
      <c r="G32" s="68">
        <f>(+F32-N32)/N32</f>
        <v>0</v>
      </c>
      <c r="H32" s="36">
        <f>83+68+104+8</f>
        <v>263</v>
      </c>
      <c r="I32" s="68">
        <f>(H32-F32)/F32</f>
        <v>-0.19817073170731708</v>
      </c>
      <c r="J32" s="36">
        <f>15+18+9+91+42+93+8</f>
        <v>276</v>
      </c>
      <c r="K32" s="68">
        <f>(J32-H32)/H32</f>
        <v>4.9429657794676805E-2</v>
      </c>
      <c r="L32" s="36">
        <f>7+22+9+75+17+101+5</f>
        <v>236</v>
      </c>
      <c r="M32" s="68">
        <f>(L32-J32)/J32</f>
        <v>-0.14492753623188406</v>
      </c>
      <c r="N32" s="36">
        <v>328</v>
      </c>
    </row>
    <row r="33" spans="1:23" ht="12" customHeight="1" x14ac:dyDescent="0.25">
      <c r="A33" s="46">
        <f t="shared" si="0"/>
        <v>33</v>
      </c>
      <c r="B33" s="1"/>
      <c r="C33" s="1"/>
      <c r="D33" s="1"/>
      <c r="E33" s="1"/>
      <c r="F33" s="36"/>
      <c r="G33" s="1"/>
      <c r="H33" s="36"/>
      <c r="I33" s="1"/>
      <c r="J33" s="36"/>
      <c r="K33" s="1"/>
      <c r="L33" s="36"/>
      <c r="M33" s="1"/>
      <c r="N33" s="36"/>
    </row>
    <row r="34" spans="1:23" x14ac:dyDescent="0.25">
      <c r="A34" s="46">
        <f t="shared" si="0"/>
        <v>34</v>
      </c>
      <c r="B34" s="9">
        <v>9</v>
      </c>
      <c r="C34" s="1" t="s">
        <v>151</v>
      </c>
      <c r="D34" s="1"/>
      <c r="E34" s="1"/>
      <c r="F34" s="36"/>
      <c r="G34" s="1"/>
      <c r="H34" s="36"/>
      <c r="I34" s="1"/>
      <c r="J34" s="36"/>
      <c r="K34" s="1"/>
      <c r="L34" s="36"/>
      <c r="M34" s="1"/>
      <c r="N34" s="36"/>
    </row>
    <row r="35" spans="1:23" x14ac:dyDescent="0.25">
      <c r="A35" s="46">
        <f t="shared" si="0"/>
        <v>35</v>
      </c>
      <c r="B35" s="1"/>
      <c r="C35" s="1" t="s">
        <v>152</v>
      </c>
      <c r="D35" s="1"/>
      <c r="E35" s="1"/>
      <c r="F35" s="36">
        <f>SUM(F13:F17)+F29+F32</f>
        <v>2712</v>
      </c>
      <c r="G35" s="68">
        <f>(+F35-N35)/N35</f>
        <v>0</v>
      </c>
      <c r="H35" s="36">
        <f>SUM(H13:H17)+H29+H32</f>
        <v>2611</v>
      </c>
      <c r="I35" s="68">
        <f>(H35-F35)/F35</f>
        <v>-3.7241887905604718E-2</v>
      </c>
      <c r="J35" s="36">
        <f>SUM(J13:J17)+J29+J32</f>
        <v>2733</v>
      </c>
      <c r="K35" s="68">
        <f>(J35-H35)/H35</f>
        <v>4.6725392569896593E-2</v>
      </c>
      <c r="L35" s="36">
        <f>SUM(L13:L17)+L29+L32</f>
        <v>2746</v>
      </c>
      <c r="M35" s="68">
        <f>(L35-J35)/J35</f>
        <v>4.7566776436150753E-3</v>
      </c>
      <c r="N35" s="36">
        <v>2712</v>
      </c>
      <c r="O35" s="36">
        <f>SUM(O14:O17)+O29</f>
        <v>25</v>
      </c>
      <c r="P35" s="1"/>
      <c r="Q35" s="36">
        <f>SUM(Q14:Q17)+Q29</f>
        <v>114</v>
      </c>
      <c r="R35" s="1"/>
      <c r="S35" s="1"/>
      <c r="T35" s="36">
        <f>SUM(N35:Q35)</f>
        <v>2851</v>
      </c>
    </row>
    <row r="36" spans="1:23" ht="12" customHeight="1" x14ac:dyDescent="0.25">
      <c r="A36" s="46">
        <f t="shared" si="0"/>
        <v>36</v>
      </c>
      <c r="B36" s="1"/>
      <c r="C36" s="1"/>
      <c r="D36" s="1"/>
      <c r="E36" s="1"/>
      <c r="F36" s="36"/>
      <c r="G36" s="1"/>
      <c r="H36" s="36"/>
      <c r="I36" s="1"/>
      <c r="J36" s="36"/>
      <c r="K36" s="1"/>
      <c r="L36" s="36"/>
      <c r="M36" s="1"/>
      <c r="N36" s="36"/>
    </row>
    <row r="37" spans="1:23" x14ac:dyDescent="0.25">
      <c r="A37" s="46">
        <f t="shared" si="0"/>
        <v>37</v>
      </c>
      <c r="B37" s="9">
        <v>10</v>
      </c>
      <c r="C37" s="1" t="s">
        <v>153</v>
      </c>
      <c r="D37" s="1"/>
      <c r="E37" s="1"/>
      <c r="F37" s="36">
        <f>925+77</f>
        <v>1002</v>
      </c>
      <c r="G37" s="68">
        <f>(+F37-N37)/N37</f>
        <v>0</v>
      </c>
      <c r="H37" s="36">
        <f>929+76</f>
        <v>1005</v>
      </c>
      <c r="I37" s="68">
        <f>(H37-F37)/F37</f>
        <v>2.9940119760479044E-3</v>
      </c>
      <c r="J37" s="36">
        <f>934+65</f>
        <v>999</v>
      </c>
      <c r="K37" s="68">
        <f>(J37-H37)/H37</f>
        <v>-5.9701492537313433E-3</v>
      </c>
      <c r="L37" s="36">
        <f>945+69</f>
        <v>1014</v>
      </c>
      <c r="M37" s="68">
        <f>(L37-J37)/J37</f>
        <v>1.5015015015015015E-2</v>
      </c>
      <c r="N37" s="36">
        <v>1002</v>
      </c>
      <c r="O37" s="36">
        <f>ROUND((U37*0.4083),0)</f>
        <v>17</v>
      </c>
      <c r="P37" s="1"/>
      <c r="Q37" s="36">
        <f>ROUND((V37*0.2629),0)</f>
        <v>41</v>
      </c>
      <c r="R37" s="1"/>
      <c r="S37" s="1"/>
      <c r="T37" s="36">
        <f>SUM(N37:Q37)</f>
        <v>1060</v>
      </c>
      <c r="U37" s="36">
        <f>O10</f>
        <v>41</v>
      </c>
      <c r="V37" s="36">
        <f>Q10</f>
        <v>156</v>
      </c>
      <c r="W37" s="38">
        <f>(T37/$T$39)</f>
        <v>0.27103042700076707</v>
      </c>
    </row>
    <row r="38" spans="1:23" ht="12" customHeight="1" x14ac:dyDescent="0.25">
      <c r="A38" s="46">
        <f t="shared" si="0"/>
        <v>38</v>
      </c>
      <c r="B38" s="1"/>
      <c r="C38" s="1"/>
      <c r="D38" s="1"/>
      <c r="E38" s="1"/>
      <c r="F38" s="36"/>
      <c r="G38" s="1"/>
      <c r="H38" s="36"/>
      <c r="I38" s="1"/>
      <c r="J38" s="36"/>
      <c r="K38" s="1"/>
      <c r="L38" s="36"/>
      <c r="M38" s="1"/>
      <c r="N38" s="36"/>
    </row>
    <row r="39" spans="1:23" x14ac:dyDescent="0.25">
      <c r="A39" s="46">
        <f t="shared" si="0"/>
        <v>39</v>
      </c>
      <c r="B39" s="9">
        <v>11</v>
      </c>
      <c r="C39" s="1" t="s">
        <v>154</v>
      </c>
      <c r="D39" s="1"/>
      <c r="E39" s="1"/>
      <c r="F39" s="36">
        <f>F35+F37</f>
        <v>3714</v>
      </c>
      <c r="G39" s="68">
        <f>(+F39-N39)/N39</f>
        <v>0</v>
      </c>
      <c r="H39" s="36">
        <f>H35+H37</f>
        <v>3616</v>
      </c>
      <c r="I39" s="68">
        <f>(H39-F39)/F39</f>
        <v>-2.6386645126548196E-2</v>
      </c>
      <c r="J39" s="36">
        <f>J35+J37</f>
        <v>3732</v>
      </c>
      <c r="K39" s="68">
        <f>(J39-H39)/H39</f>
        <v>3.2079646017699116E-2</v>
      </c>
      <c r="L39" s="36">
        <f>L35+L37</f>
        <v>3760</v>
      </c>
      <c r="M39" s="68">
        <f>(L39-J39)/J39</f>
        <v>7.502679528403001E-3</v>
      </c>
      <c r="N39" s="36">
        <v>3714</v>
      </c>
      <c r="O39" s="36">
        <f>(+O35+O37)</f>
        <v>42</v>
      </c>
      <c r="P39" s="1"/>
      <c r="Q39" s="36">
        <f>(+Q35+Q37)</f>
        <v>155</v>
      </c>
      <c r="R39" s="1"/>
      <c r="S39" s="1"/>
      <c r="T39" s="36">
        <f>SUM(N39:Q39)</f>
        <v>3911</v>
      </c>
    </row>
    <row r="40" spans="1:23" ht="12" customHeight="1" x14ac:dyDescent="0.25">
      <c r="A40" s="46">
        <f t="shared" si="0"/>
        <v>40</v>
      </c>
      <c r="B40" s="1"/>
      <c r="C40" s="1"/>
      <c r="D40" s="1"/>
      <c r="E40" s="1"/>
      <c r="F40" s="36"/>
      <c r="G40" s="1"/>
      <c r="H40" s="36"/>
      <c r="I40" s="1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8">
        <f>SUM(W14:W38)</f>
        <v>0.91511122475070328</v>
      </c>
    </row>
    <row r="41" spans="1:23" x14ac:dyDescent="0.25">
      <c r="A41" s="46">
        <f t="shared" si="0"/>
        <v>41</v>
      </c>
      <c r="B41" s="9">
        <v>12</v>
      </c>
      <c r="C41" t="s">
        <v>155</v>
      </c>
    </row>
    <row r="42" spans="1:23" x14ac:dyDescent="0.25">
      <c r="A42" s="46">
        <f t="shared" si="0"/>
        <v>42</v>
      </c>
      <c r="B42" s="1"/>
      <c r="C42" s="1" t="s">
        <v>156</v>
      </c>
      <c r="D42" s="1"/>
      <c r="E42" s="1"/>
      <c r="F42" s="68">
        <f>(F35/F39)</f>
        <v>0.73021001615508885</v>
      </c>
      <c r="G42" s="1"/>
      <c r="H42" s="68">
        <f>(H35/H39)</f>
        <v>0.72206858407079644</v>
      </c>
      <c r="I42" s="1"/>
      <c r="J42" s="68">
        <f>(J35/J39)</f>
        <v>0.73231511254019288</v>
      </c>
      <c r="K42" s="1"/>
      <c r="L42" s="68">
        <f>(L35/L39)</f>
        <v>0.73031914893617023</v>
      </c>
      <c r="M42" s="1"/>
      <c r="N42" s="68">
        <v>0.73021001615508885</v>
      </c>
    </row>
    <row r="43" spans="1:23" ht="12" customHeight="1" x14ac:dyDescent="0.25">
      <c r="A43" s="46">
        <f t="shared" si="0"/>
        <v>43</v>
      </c>
    </row>
    <row r="44" spans="1:23" x14ac:dyDescent="0.25">
      <c r="A44" s="46">
        <f t="shared" si="0"/>
        <v>44</v>
      </c>
      <c r="B44" s="9">
        <v>13</v>
      </c>
      <c r="C44" t="s">
        <v>157</v>
      </c>
    </row>
    <row r="45" spans="1:23" x14ac:dyDescent="0.25">
      <c r="A45" s="46">
        <f t="shared" si="0"/>
        <v>45</v>
      </c>
      <c r="B45" s="1"/>
      <c r="C45" s="1" t="s">
        <v>158</v>
      </c>
      <c r="D45" s="1"/>
      <c r="E45" s="1"/>
      <c r="F45" s="68">
        <f>(F37/F39)</f>
        <v>0.26978998384491115</v>
      </c>
      <c r="G45" s="1"/>
      <c r="H45" s="68">
        <f>(H37/H39)</f>
        <v>0.27793141592920356</v>
      </c>
      <c r="I45" s="1"/>
      <c r="J45" s="68">
        <f>(J37/J39)</f>
        <v>0.26768488745980706</v>
      </c>
      <c r="K45" s="1"/>
      <c r="L45" s="68">
        <f>(L37/L39)</f>
        <v>0.26968085106382977</v>
      </c>
      <c r="M45" s="1"/>
      <c r="N45" s="68">
        <v>0.26978998384491115</v>
      </c>
    </row>
    <row r="46" spans="1:23" ht="12" customHeight="1" x14ac:dyDescent="0.25">
      <c r="A46" s="46">
        <f t="shared" si="0"/>
        <v>46</v>
      </c>
    </row>
    <row r="47" spans="1:23" x14ac:dyDescent="0.25">
      <c r="A47" s="46">
        <f t="shared" si="0"/>
        <v>47</v>
      </c>
      <c r="B47" s="9">
        <v>14</v>
      </c>
      <c r="C47" s="1" t="s">
        <v>159</v>
      </c>
      <c r="D47" s="1"/>
      <c r="E47" s="1"/>
      <c r="F47" s="36">
        <v>553</v>
      </c>
      <c r="G47" s="68">
        <f>(+F47-N47)/N47</f>
        <v>0</v>
      </c>
      <c r="H47" s="36">
        <v>495</v>
      </c>
      <c r="I47" s="68">
        <f>(H47-F47)/F47</f>
        <v>-0.10488245931283906</v>
      </c>
      <c r="J47" s="36">
        <v>561</v>
      </c>
      <c r="K47" s="68">
        <f>(J47-H47)/H47</f>
        <v>0.13333333333333333</v>
      </c>
      <c r="L47" s="36">
        <v>548</v>
      </c>
      <c r="M47" s="68">
        <f>(L47-J47)/J47</f>
        <v>-2.3172905525846704E-2</v>
      </c>
      <c r="N47" s="36">
        <v>553</v>
      </c>
    </row>
    <row r="48" spans="1:23" ht="12" customHeight="1" x14ac:dyDescent="0.25">
      <c r="A48" s="46">
        <f t="shared" si="0"/>
        <v>48</v>
      </c>
    </row>
  </sheetData>
  <phoneticPr fontId="10" type="noConversion"/>
  <printOptions horizontalCentered="1"/>
  <pageMargins left="0.5" right="0.5" top="1" bottom="1" header="0.5" footer="0.5"/>
  <pageSetup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1"/>
  <sheetViews>
    <sheetView defaultGridColor="0" colorId="22" zoomScale="95" workbookViewId="0">
      <selection activeCell="I2" sqref="I2"/>
    </sheetView>
  </sheetViews>
  <sheetFormatPr defaultColWidth="9.625" defaultRowHeight="15.75" x14ac:dyDescent="0.25"/>
  <cols>
    <col min="1" max="1" width="4.625" customWidth="1"/>
    <col min="10" max="10" width="17.75" bestFit="1" customWidth="1"/>
  </cols>
  <sheetData>
    <row r="1" spans="1:9" x14ac:dyDescent="0.25">
      <c r="A1" s="46">
        <f>(A8190+1)</f>
        <v>1</v>
      </c>
      <c r="B1" s="1"/>
      <c r="C1" s="1"/>
      <c r="D1" s="1"/>
      <c r="E1" s="1"/>
      <c r="F1" s="1"/>
      <c r="G1" s="1"/>
      <c r="I1" s="4" t="s">
        <v>0</v>
      </c>
    </row>
    <row r="2" spans="1:9" x14ac:dyDescent="0.25">
      <c r="A2" s="46">
        <f t="shared" ref="A2:A51" si="0">(A1+1)</f>
        <v>2</v>
      </c>
      <c r="B2" s="1"/>
      <c r="C2" s="1"/>
      <c r="D2" s="1"/>
      <c r="E2" s="1"/>
      <c r="F2" s="1"/>
      <c r="G2" s="1"/>
      <c r="I2" s="101"/>
    </row>
    <row r="3" spans="1:9" x14ac:dyDescent="0.25">
      <c r="A3" s="46">
        <f t="shared" si="0"/>
        <v>3</v>
      </c>
      <c r="B3" s="1"/>
      <c r="C3" s="1"/>
      <c r="D3" s="1"/>
      <c r="E3" s="1"/>
      <c r="F3" s="1"/>
      <c r="G3" s="1"/>
      <c r="I3" s="101"/>
    </row>
    <row r="4" spans="1:9" ht="18.75" x14ac:dyDescent="0.3">
      <c r="A4" s="46">
        <f t="shared" si="0"/>
        <v>4</v>
      </c>
      <c r="B4" s="2" t="str">
        <f>explanation!B3</f>
        <v>Cumberland Valley Electric</v>
      </c>
      <c r="C4" s="2"/>
      <c r="D4" s="2"/>
      <c r="E4" s="2"/>
      <c r="F4" s="2"/>
      <c r="G4" s="2"/>
      <c r="H4" s="2"/>
    </row>
    <row r="5" spans="1:9" ht="18.75" x14ac:dyDescent="0.3">
      <c r="A5" s="46">
        <f t="shared" si="0"/>
        <v>5</v>
      </c>
      <c r="B5" s="2" t="str">
        <f>explanation!B4</f>
        <v>Case No. 2016-00169</v>
      </c>
      <c r="C5" s="2"/>
      <c r="D5" s="2"/>
      <c r="E5" s="2"/>
      <c r="F5" s="2"/>
      <c r="G5" s="2"/>
      <c r="H5" s="2"/>
    </row>
    <row r="6" spans="1:9" x14ac:dyDescent="0.25">
      <c r="A6" s="46">
        <f t="shared" si="0"/>
        <v>6</v>
      </c>
      <c r="B6" s="48" t="s">
        <v>160</v>
      </c>
      <c r="C6" s="3"/>
      <c r="D6" s="3"/>
      <c r="E6" s="3"/>
      <c r="F6" s="3"/>
      <c r="G6" s="3"/>
      <c r="H6" s="3"/>
    </row>
    <row r="7" spans="1:9" x14ac:dyDescent="0.25">
      <c r="A7" s="46">
        <f t="shared" si="0"/>
        <v>7</v>
      </c>
    </row>
    <row r="8" spans="1:9" x14ac:dyDescent="0.25">
      <c r="A8" s="46">
        <f t="shared" si="0"/>
        <v>8</v>
      </c>
      <c r="B8" t="s">
        <v>248</v>
      </c>
    </row>
    <row r="9" spans="1:9" x14ac:dyDescent="0.25">
      <c r="A9" s="46">
        <f t="shared" si="0"/>
        <v>9</v>
      </c>
      <c r="B9" t="s">
        <v>249</v>
      </c>
    </row>
    <row r="10" spans="1:9" x14ac:dyDescent="0.25">
      <c r="A10" s="46">
        <f t="shared" si="0"/>
        <v>10</v>
      </c>
      <c r="B10" s="95" t="s">
        <v>247</v>
      </c>
    </row>
    <row r="11" spans="1:9" x14ac:dyDescent="0.25">
      <c r="A11" s="46">
        <f t="shared" si="0"/>
        <v>11</v>
      </c>
    </row>
    <row r="12" spans="1:9" x14ac:dyDescent="0.25">
      <c r="A12" s="46">
        <f t="shared" si="0"/>
        <v>12</v>
      </c>
      <c r="B12" s="95" t="s">
        <v>245</v>
      </c>
    </row>
    <row r="13" spans="1:9" x14ac:dyDescent="0.25">
      <c r="A13" s="46">
        <f t="shared" si="0"/>
        <v>13</v>
      </c>
      <c r="B13" s="95" t="s">
        <v>250</v>
      </c>
    </row>
    <row r="14" spans="1:9" x14ac:dyDescent="0.25">
      <c r="A14" s="46">
        <f t="shared" si="0"/>
        <v>14</v>
      </c>
      <c r="B14" s="95" t="s">
        <v>262</v>
      </c>
    </row>
    <row r="15" spans="1:9" x14ac:dyDescent="0.25">
      <c r="A15" s="46">
        <f t="shared" si="0"/>
        <v>15</v>
      </c>
    </row>
    <row r="16" spans="1:9" x14ac:dyDescent="0.25">
      <c r="A16" s="46">
        <f t="shared" si="0"/>
        <v>16</v>
      </c>
      <c r="B16" t="s">
        <v>161</v>
      </c>
    </row>
    <row r="17" spans="1:10" x14ac:dyDescent="0.25">
      <c r="A17" s="46">
        <f t="shared" si="0"/>
        <v>17</v>
      </c>
      <c r="B17" s="1" t="s">
        <v>162</v>
      </c>
      <c r="C17" s="1"/>
      <c r="D17" s="1"/>
      <c r="E17" s="1"/>
      <c r="F17" s="36">
        <f>employees!O79</f>
        <v>232351.38937900003</v>
      </c>
    </row>
    <row r="18" spans="1:10" x14ac:dyDescent="0.25">
      <c r="A18" s="46">
        <f t="shared" si="0"/>
        <v>18</v>
      </c>
      <c r="B18" s="1" t="s">
        <v>163</v>
      </c>
      <c r="C18" s="1"/>
      <c r="D18" s="1"/>
      <c r="E18" s="1"/>
      <c r="F18" s="50">
        <f>employees!Q79</f>
        <v>55400.937270250011</v>
      </c>
    </row>
    <row r="19" spans="1:10" x14ac:dyDescent="0.25">
      <c r="A19" s="46">
        <f t="shared" si="0"/>
        <v>19</v>
      </c>
      <c r="B19" s="1"/>
      <c r="C19" s="1"/>
      <c r="D19" s="1"/>
      <c r="E19" s="1"/>
      <c r="F19" s="36">
        <f>SUM(F17:F18)</f>
        <v>287752.32664925006</v>
      </c>
    </row>
    <row r="20" spans="1:10" x14ac:dyDescent="0.25">
      <c r="A20" s="46">
        <f t="shared" si="0"/>
        <v>20</v>
      </c>
      <c r="B20" s="1" t="s">
        <v>164</v>
      </c>
      <c r="C20" s="1"/>
      <c r="D20" s="1"/>
      <c r="E20" s="1"/>
      <c r="F20" s="36">
        <f>employees!S79</f>
        <v>2142</v>
      </c>
    </row>
    <row r="21" spans="1:10" x14ac:dyDescent="0.25">
      <c r="A21" s="46">
        <f t="shared" si="0"/>
        <v>21</v>
      </c>
      <c r="B21" s="1" t="s">
        <v>165</v>
      </c>
      <c r="C21" s="1"/>
      <c r="D21" s="1"/>
      <c r="E21" s="1"/>
      <c r="F21" s="50">
        <f>employees!U79</f>
        <v>6554.5200000000032</v>
      </c>
      <c r="G21" s="50">
        <f>SUM(F19:F21)</f>
        <v>296448.84664925007</v>
      </c>
    </row>
    <row r="22" spans="1:10" x14ac:dyDescent="0.25">
      <c r="A22" s="46">
        <f t="shared" si="0"/>
        <v>22</v>
      </c>
    </row>
    <row r="23" spans="1:10" x14ac:dyDescent="0.25">
      <c r="A23" s="46">
        <f t="shared" si="0"/>
        <v>23</v>
      </c>
      <c r="B23" t="s">
        <v>166</v>
      </c>
    </row>
    <row r="24" spans="1:10" x14ac:dyDescent="0.25">
      <c r="A24" s="46">
        <f t="shared" si="0"/>
        <v>24</v>
      </c>
      <c r="B24" s="1" t="s">
        <v>167</v>
      </c>
      <c r="C24" s="1"/>
      <c r="D24" s="1"/>
      <c r="E24" s="1"/>
      <c r="F24" s="36">
        <f>227272+54111</f>
        <v>281383</v>
      </c>
    </row>
    <row r="25" spans="1:10" x14ac:dyDescent="0.25">
      <c r="A25" s="46">
        <f t="shared" si="0"/>
        <v>25</v>
      </c>
      <c r="B25" s="1" t="s">
        <v>168</v>
      </c>
      <c r="C25" s="1"/>
      <c r="D25" s="1"/>
      <c r="E25" s="1"/>
      <c r="F25" s="36">
        <v>2226</v>
      </c>
    </row>
    <row r="26" spans="1:10" x14ac:dyDescent="0.25">
      <c r="A26" s="46">
        <f t="shared" si="0"/>
        <v>26</v>
      </c>
      <c r="B26" s="1" t="s">
        <v>169</v>
      </c>
      <c r="C26" s="1"/>
      <c r="D26" s="1"/>
      <c r="E26" s="1"/>
      <c r="F26" s="50">
        <v>6611</v>
      </c>
      <c r="G26" s="50">
        <f>SUM(F24:F26)</f>
        <v>290220</v>
      </c>
    </row>
    <row r="27" spans="1:10" x14ac:dyDescent="0.25">
      <c r="A27" s="46">
        <f t="shared" si="0"/>
        <v>27</v>
      </c>
    </row>
    <row r="28" spans="1:10" ht="16.5" thickBot="1" x14ac:dyDescent="0.3">
      <c r="A28" s="46">
        <f t="shared" si="0"/>
        <v>28</v>
      </c>
      <c r="B28" s="1" t="s">
        <v>170</v>
      </c>
      <c r="C28" s="1"/>
      <c r="D28" s="1"/>
      <c r="E28" s="1"/>
      <c r="F28" s="1"/>
      <c r="G28" s="69">
        <f>G21-G26</f>
        <v>6228.8466492500738</v>
      </c>
    </row>
    <row r="29" spans="1:10" ht="16.5" thickTop="1" x14ac:dyDescent="0.25">
      <c r="A29" s="46">
        <f t="shared" si="0"/>
        <v>29</v>
      </c>
    </row>
    <row r="30" spans="1:10" x14ac:dyDescent="0.25">
      <c r="A30" s="46">
        <f t="shared" si="0"/>
        <v>30</v>
      </c>
      <c r="B30" s="52" t="s">
        <v>171</v>
      </c>
      <c r="C30" s="1"/>
      <c r="D30" s="1"/>
      <c r="E30" s="1"/>
      <c r="F30" s="30" t="s">
        <v>21</v>
      </c>
      <c r="G30" s="30" t="s">
        <v>118</v>
      </c>
    </row>
    <row r="31" spans="1:10" ht="9.9499999999999993" customHeight="1" x14ac:dyDescent="0.25">
      <c r="A31" s="46">
        <f t="shared" si="0"/>
        <v>31</v>
      </c>
      <c r="J31" s="97"/>
    </row>
    <row r="32" spans="1:10" x14ac:dyDescent="0.25">
      <c r="A32" s="46">
        <f t="shared" si="0"/>
        <v>32</v>
      </c>
      <c r="B32" s="1" t="s">
        <v>172</v>
      </c>
      <c r="C32" s="1" t="s">
        <v>173</v>
      </c>
      <c r="D32" s="1"/>
      <c r="E32" s="1"/>
      <c r="F32" s="21">
        <f>+allocations!L11</f>
        <v>0.27744715528135233</v>
      </c>
      <c r="G32" s="36">
        <f>ROUND(($G$28*F32),0)</f>
        <v>1728</v>
      </c>
      <c r="J32" s="97">
        <f>+G26*F32</f>
        <v>80520.713405754068</v>
      </c>
    </row>
    <row r="33" spans="1:10" x14ac:dyDescent="0.25">
      <c r="A33" s="46">
        <f t="shared" si="0"/>
        <v>33</v>
      </c>
      <c r="B33" s="1" t="s">
        <v>174</v>
      </c>
      <c r="C33" s="1" t="s">
        <v>175</v>
      </c>
      <c r="D33" s="1"/>
      <c r="E33" s="1"/>
      <c r="F33" s="21">
        <f>+allocations!L15</f>
        <v>3.5638271381293607E-2</v>
      </c>
      <c r="G33" s="36">
        <f t="shared" ref="G33:G38" si="1">ROUND(($G$28*F33),0)</f>
        <v>222</v>
      </c>
      <c r="J33" s="97">
        <f>+G26*F33</f>
        <v>10342.93912027903</v>
      </c>
    </row>
    <row r="34" spans="1:10" x14ac:dyDescent="0.25">
      <c r="A34" s="46">
        <f t="shared" si="0"/>
        <v>34</v>
      </c>
      <c r="B34" s="1" t="s">
        <v>176</v>
      </c>
      <c r="C34" s="1" t="s">
        <v>75</v>
      </c>
      <c r="D34" s="1"/>
      <c r="E34" s="1"/>
      <c r="F34" s="21">
        <f>+allocations!L19</f>
        <v>7.4173335821667449E-2</v>
      </c>
      <c r="G34" s="36">
        <f t="shared" si="1"/>
        <v>462</v>
      </c>
      <c r="J34" s="97"/>
    </row>
    <row r="35" spans="1:10" x14ac:dyDescent="0.25">
      <c r="A35" s="46">
        <f t="shared" si="0"/>
        <v>35</v>
      </c>
      <c r="B35" s="1" t="s">
        <v>177</v>
      </c>
      <c r="C35" s="1" t="s">
        <v>178</v>
      </c>
      <c r="D35" s="1"/>
      <c r="E35" s="1"/>
      <c r="F35" s="21">
        <f>+allocations!L23</f>
        <v>0.2379540639658756</v>
      </c>
      <c r="G35" s="36">
        <f t="shared" si="1"/>
        <v>1482</v>
      </c>
      <c r="J35" s="97"/>
    </row>
    <row r="36" spans="1:10" x14ac:dyDescent="0.25">
      <c r="A36" s="46">
        <f t="shared" si="0"/>
        <v>36</v>
      </c>
      <c r="B36" s="1" t="s">
        <v>179</v>
      </c>
      <c r="C36" s="1" t="s">
        <v>180</v>
      </c>
      <c r="D36" s="1"/>
      <c r="E36" s="1"/>
      <c r="F36" s="21">
        <f>+allocations!L25</f>
        <v>0.20820843775123921</v>
      </c>
      <c r="G36" s="36">
        <f t="shared" si="1"/>
        <v>1297</v>
      </c>
      <c r="J36" s="97"/>
    </row>
    <row r="37" spans="1:10" x14ac:dyDescent="0.25">
      <c r="A37" s="46">
        <f t="shared" si="0"/>
        <v>37</v>
      </c>
      <c r="B37" s="1" t="s">
        <v>181</v>
      </c>
      <c r="C37" s="1" t="s">
        <v>182</v>
      </c>
      <c r="D37" s="1"/>
      <c r="E37" s="1"/>
      <c r="F37" s="21">
        <f>+allocations!L26</f>
        <v>1.8185818356353165E-2</v>
      </c>
      <c r="G37" s="36">
        <f t="shared" si="1"/>
        <v>113</v>
      </c>
      <c r="J37" s="97"/>
    </row>
    <row r="38" spans="1:10" x14ac:dyDescent="0.25">
      <c r="A38" s="46">
        <f t="shared" si="0"/>
        <v>38</v>
      </c>
      <c r="B38" s="1" t="s">
        <v>183</v>
      </c>
      <c r="C38" s="1" t="s">
        <v>184</v>
      </c>
      <c r="D38" s="1"/>
      <c r="E38" s="1"/>
      <c r="F38" s="21">
        <f>+allocations!L27</f>
        <v>0</v>
      </c>
      <c r="G38" s="36">
        <f t="shared" si="1"/>
        <v>0</v>
      </c>
      <c r="J38" s="97"/>
    </row>
    <row r="39" spans="1:10" x14ac:dyDescent="0.25">
      <c r="A39" s="46">
        <f t="shared" si="0"/>
        <v>39</v>
      </c>
      <c r="B39" s="1" t="s">
        <v>185</v>
      </c>
      <c r="C39" s="1" t="s">
        <v>186</v>
      </c>
      <c r="D39" s="1"/>
      <c r="E39" s="1"/>
      <c r="F39" s="70">
        <f>+allocations!L30</f>
        <v>0.14839291744221877</v>
      </c>
      <c r="G39" s="50">
        <f>ROUND(($G$28*F39),0)</f>
        <v>924</v>
      </c>
      <c r="J39" s="97">
        <f>+G26-J32-J33</f>
        <v>199356.34747396689</v>
      </c>
    </row>
    <row r="40" spans="1:10" ht="9.9499999999999993" customHeight="1" x14ac:dyDescent="0.25">
      <c r="A40" s="46">
        <f t="shared" si="0"/>
        <v>40</v>
      </c>
      <c r="B40" s="1"/>
      <c r="C40" s="1"/>
      <c r="D40" s="1"/>
      <c r="E40" s="1"/>
      <c r="F40" s="21"/>
      <c r="J40" s="97"/>
    </row>
    <row r="41" spans="1:10" ht="16.5" thickBot="1" x14ac:dyDescent="0.3">
      <c r="A41" s="46">
        <f t="shared" si="0"/>
        <v>41</v>
      </c>
      <c r="B41" s="1"/>
      <c r="C41" s="1"/>
      <c r="D41" s="1"/>
      <c r="E41" s="1"/>
      <c r="F41" s="71">
        <f>SUM(F31:F39)</f>
        <v>1.0000000000000002</v>
      </c>
      <c r="G41" s="51">
        <f>SUM(G32:G39)</f>
        <v>6228</v>
      </c>
      <c r="J41" s="97"/>
    </row>
    <row r="42" spans="1:10" ht="16.5" thickTop="1" x14ac:dyDescent="0.25">
      <c r="A42" s="46">
        <f t="shared" si="0"/>
        <v>42</v>
      </c>
      <c r="J42" s="97"/>
    </row>
    <row r="43" spans="1:10" x14ac:dyDescent="0.25">
      <c r="A43" s="46">
        <f t="shared" si="0"/>
        <v>43</v>
      </c>
      <c r="B43" t="s">
        <v>202</v>
      </c>
    </row>
    <row r="44" spans="1:10" ht="9.9499999999999993" customHeight="1" x14ac:dyDescent="0.25">
      <c r="A44" s="46">
        <f t="shared" si="0"/>
        <v>44</v>
      </c>
    </row>
    <row r="45" spans="1:10" x14ac:dyDescent="0.25">
      <c r="A45" s="46">
        <f t="shared" si="0"/>
        <v>45</v>
      </c>
      <c r="B45" s="1"/>
      <c r="C45" s="1">
        <v>2015</v>
      </c>
      <c r="D45" s="21">
        <v>1.0500000000000001E-2</v>
      </c>
      <c r="E45" t="s">
        <v>246</v>
      </c>
    </row>
    <row r="46" spans="1:10" x14ac:dyDescent="0.25">
      <c r="A46" s="46">
        <f t="shared" si="0"/>
        <v>46</v>
      </c>
      <c r="B46" s="1"/>
      <c r="C46" s="1">
        <f>+C45-1</f>
        <v>2014</v>
      </c>
      <c r="D46" s="21">
        <v>1.0500000000000001E-2</v>
      </c>
      <c r="E46" t="s">
        <v>226</v>
      </c>
    </row>
    <row r="47" spans="1:10" x14ac:dyDescent="0.25">
      <c r="A47" s="46">
        <f t="shared" si="0"/>
        <v>47</v>
      </c>
      <c r="B47" s="1"/>
      <c r="C47" s="1">
        <f>+C46-1</f>
        <v>2013</v>
      </c>
      <c r="D47" s="21">
        <v>1.0500000000000001E-2</v>
      </c>
    </row>
    <row r="48" spans="1:10" x14ac:dyDescent="0.25">
      <c r="A48" s="46">
        <f t="shared" si="0"/>
        <v>48</v>
      </c>
      <c r="B48" s="1"/>
      <c r="C48" s="1">
        <f>+C47-1</f>
        <v>2012</v>
      </c>
      <c r="D48" s="21">
        <v>1.0999999999999999E-2</v>
      </c>
    </row>
    <row r="49" spans="1:4" x14ac:dyDescent="0.25">
      <c r="A49" s="46">
        <f t="shared" si="0"/>
        <v>49</v>
      </c>
      <c r="B49" s="1"/>
      <c r="C49" s="1">
        <f>+C48-1</f>
        <v>2011</v>
      </c>
      <c r="D49" s="21">
        <v>1.0999999999999999E-2</v>
      </c>
    </row>
    <row r="50" spans="1:4" x14ac:dyDescent="0.25">
      <c r="A50" s="46">
        <f t="shared" si="0"/>
        <v>50</v>
      </c>
      <c r="B50" s="1"/>
      <c r="C50" s="1">
        <f>+C49-1</f>
        <v>2010</v>
      </c>
      <c r="D50" s="21">
        <v>1.0999999999999999E-2</v>
      </c>
    </row>
    <row r="51" spans="1:4" x14ac:dyDescent="0.25">
      <c r="A51" s="46">
        <f t="shared" si="0"/>
        <v>51</v>
      </c>
    </row>
  </sheetData>
  <phoneticPr fontId="10" type="noConversion"/>
  <pageMargins left="0.65" right="0.5" top="0.5" bottom="0.2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44"/>
  <sheetViews>
    <sheetView defaultGridColor="0" colorId="22" zoomScale="95" workbookViewId="0">
      <selection activeCell="H2" sqref="H2"/>
    </sheetView>
  </sheetViews>
  <sheetFormatPr defaultColWidth="9.625" defaultRowHeight="15.75" x14ac:dyDescent="0.25"/>
  <cols>
    <col min="1" max="1" width="6.625" style="46" customWidth="1"/>
    <col min="5" max="6" width="14.625" customWidth="1"/>
    <col min="12" max="12" width="10.5" bestFit="1" customWidth="1"/>
  </cols>
  <sheetData>
    <row r="1" spans="1:15" x14ac:dyDescent="0.25">
      <c r="A1" s="46">
        <v>1</v>
      </c>
      <c r="B1" s="1"/>
      <c r="C1" s="1"/>
      <c r="D1" s="1"/>
      <c r="E1" s="1"/>
      <c r="F1" s="1"/>
      <c r="H1" s="101" t="s">
        <v>261</v>
      </c>
    </row>
    <row r="2" spans="1:15" x14ac:dyDescent="0.25">
      <c r="A2" s="46">
        <f t="shared" ref="A2:A41" si="0">1+A1</f>
        <v>2</v>
      </c>
      <c r="B2" s="1"/>
      <c r="C2" s="1"/>
      <c r="D2" s="1"/>
      <c r="E2" s="1"/>
      <c r="F2" s="1"/>
      <c r="H2" s="4"/>
    </row>
    <row r="3" spans="1:15" x14ac:dyDescent="0.25">
      <c r="A3" s="46">
        <f t="shared" si="0"/>
        <v>3</v>
      </c>
      <c r="B3" s="1"/>
      <c r="C3" s="1"/>
      <c r="D3" s="1"/>
      <c r="E3" s="1"/>
      <c r="F3" s="1"/>
      <c r="H3" s="101"/>
    </row>
    <row r="4" spans="1:15" ht="18.75" x14ac:dyDescent="0.3">
      <c r="A4" s="46">
        <f t="shared" si="0"/>
        <v>4</v>
      </c>
      <c r="B4" s="119" t="str">
        <f>allocations!B3</f>
        <v>Cumberland Valley Electric</v>
      </c>
      <c r="C4" s="119"/>
      <c r="D4" s="119"/>
      <c r="E4" s="119"/>
      <c r="F4" s="119"/>
      <c r="G4" s="119"/>
      <c r="H4" s="119"/>
    </row>
    <row r="5" spans="1:15" ht="18.75" x14ac:dyDescent="0.3">
      <c r="A5" s="46">
        <f t="shared" si="0"/>
        <v>5</v>
      </c>
      <c r="B5" s="119" t="str">
        <f>allocations!B4</f>
        <v>Case No. 2016-00169</v>
      </c>
      <c r="C5" s="119"/>
      <c r="D5" s="119"/>
      <c r="E5" s="119"/>
      <c r="F5" s="119"/>
      <c r="G5" s="119"/>
      <c r="H5" s="119"/>
    </row>
    <row r="6" spans="1:15" x14ac:dyDescent="0.25">
      <c r="A6" s="46">
        <f t="shared" si="0"/>
        <v>6</v>
      </c>
      <c r="B6" s="120" t="s">
        <v>187</v>
      </c>
      <c r="C6" s="120"/>
      <c r="D6" s="120"/>
      <c r="E6" s="120"/>
      <c r="F6" s="120"/>
      <c r="G6" s="120"/>
      <c r="H6" s="120"/>
    </row>
    <row r="7" spans="1:15" x14ac:dyDescent="0.25">
      <c r="A7" s="46">
        <f t="shared" si="0"/>
        <v>7</v>
      </c>
    </row>
    <row r="8" spans="1:15" x14ac:dyDescent="0.25">
      <c r="A8" s="46">
        <f t="shared" si="0"/>
        <v>8</v>
      </c>
      <c r="B8" s="95" t="s">
        <v>231</v>
      </c>
    </row>
    <row r="9" spans="1:15" x14ac:dyDescent="0.25">
      <c r="A9" s="46">
        <f t="shared" si="0"/>
        <v>9</v>
      </c>
      <c r="B9" t="s">
        <v>188</v>
      </c>
    </row>
    <row r="10" spans="1:15" x14ac:dyDescent="0.25">
      <c r="A10" s="46">
        <f t="shared" si="0"/>
        <v>10</v>
      </c>
      <c r="B10" s="95" t="s">
        <v>232</v>
      </c>
    </row>
    <row r="11" spans="1:15" x14ac:dyDescent="0.25">
      <c r="A11" s="46">
        <f t="shared" si="0"/>
        <v>11</v>
      </c>
      <c r="B11" t="s">
        <v>189</v>
      </c>
    </row>
    <row r="12" spans="1:15" x14ac:dyDescent="0.25">
      <c r="A12" s="46">
        <f t="shared" si="0"/>
        <v>12</v>
      </c>
      <c r="B12" s="95" t="s">
        <v>233</v>
      </c>
    </row>
    <row r="13" spans="1:15" x14ac:dyDescent="0.25">
      <c r="A13" s="46">
        <f t="shared" si="0"/>
        <v>13</v>
      </c>
    </row>
    <row r="14" spans="1:15" x14ac:dyDescent="0.25">
      <c r="A14" s="46">
        <f t="shared" si="0"/>
        <v>14</v>
      </c>
      <c r="E14" s="112">
        <v>2015</v>
      </c>
      <c r="F14" s="112">
        <v>2016</v>
      </c>
      <c r="O14" s="96"/>
    </row>
    <row r="15" spans="1:15" x14ac:dyDescent="0.25">
      <c r="A15" s="46">
        <f t="shared" si="0"/>
        <v>15</v>
      </c>
      <c r="C15" s="95" t="s">
        <v>234</v>
      </c>
      <c r="E15" s="79">
        <v>0.28370000000000001</v>
      </c>
      <c r="F15" s="79">
        <v>0.29110000000000003</v>
      </c>
    </row>
    <row r="16" spans="1:15" x14ac:dyDescent="0.25">
      <c r="A16" s="46">
        <f t="shared" si="0"/>
        <v>16</v>
      </c>
      <c r="C16" s="95" t="s">
        <v>235</v>
      </c>
      <c r="E16" s="79">
        <v>9.7999999999999997E-3</v>
      </c>
      <c r="F16" s="79">
        <v>1.11E-2</v>
      </c>
      <c r="H16" s="95"/>
    </row>
    <row r="17" spans="1:14" x14ac:dyDescent="0.25">
      <c r="A17" s="46">
        <f t="shared" si="0"/>
        <v>17</v>
      </c>
    </row>
    <row r="18" spans="1:14" x14ac:dyDescent="0.25">
      <c r="A18" s="46">
        <f t="shared" si="0"/>
        <v>18</v>
      </c>
      <c r="B18" s="74" t="s">
        <v>237</v>
      </c>
    </row>
    <row r="19" spans="1:14" x14ac:dyDescent="0.25">
      <c r="A19" s="46">
        <f t="shared" si="0"/>
        <v>19</v>
      </c>
      <c r="B19" s="95" t="s">
        <v>238</v>
      </c>
      <c r="E19" s="36">
        <f>+employees!AE67</f>
        <v>319750.32544000004</v>
      </c>
    </row>
    <row r="20" spans="1:14" x14ac:dyDescent="0.25">
      <c r="A20" s="46">
        <f t="shared" si="0"/>
        <v>20</v>
      </c>
      <c r="B20" s="95" t="s">
        <v>240</v>
      </c>
      <c r="E20" s="50">
        <f>+employees!AG67</f>
        <v>268192.08</v>
      </c>
      <c r="F20" s="80">
        <f>SUM(E19:E20)</f>
        <v>587942.40544000012</v>
      </c>
    </row>
    <row r="21" spans="1:14" x14ac:dyDescent="0.25">
      <c r="A21" s="46">
        <f t="shared" si="0"/>
        <v>21</v>
      </c>
    </row>
    <row r="22" spans="1:14" x14ac:dyDescent="0.25">
      <c r="A22" s="46">
        <f t="shared" si="0"/>
        <v>22</v>
      </c>
      <c r="B22" s="74" t="s">
        <v>236</v>
      </c>
    </row>
    <row r="23" spans="1:14" x14ac:dyDescent="0.25">
      <c r="A23" s="46">
        <f t="shared" si="0"/>
        <v>23</v>
      </c>
      <c r="B23" s="95" t="s">
        <v>238</v>
      </c>
      <c r="E23" s="36">
        <f>+L43</f>
        <v>296680.85999999993</v>
      </c>
    </row>
    <row r="24" spans="1:14" x14ac:dyDescent="0.25">
      <c r="A24" s="46">
        <f t="shared" si="0"/>
        <v>24</v>
      </c>
      <c r="B24" s="95" t="s">
        <v>240</v>
      </c>
      <c r="E24" s="50">
        <v>265276</v>
      </c>
      <c r="F24" s="50">
        <f>SUM(E23:E24)</f>
        <v>561956.85999999987</v>
      </c>
    </row>
    <row r="25" spans="1:14" x14ac:dyDescent="0.25">
      <c r="A25" s="46">
        <f t="shared" si="0"/>
        <v>25</v>
      </c>
    </row>
    <row r="26" spans="1:14" ht="16.5" thickBot="1" x14ac:dyDescent="0.3">
      <c r="A26" s="46">
        <f t="shared" si="0"/>
        <v>26</v>
      </c>
      <c r="B26" s="1" t="s">
        <v>190</v>
      </c>
      <c r="C26" s="1"/>
      <c r="D26" s="1"/>
      <c r="E26" s="1"/>
      <c r="F26" s="69">
        <f>+F20-F24</f>
        <v>25985.545440000249</v>
      </c>
    </row>
    <row r="27" spans="1:14" ht="16.5" thickTop="1" x14ac:dyDescent="0.25">
      <c r="A27" s="46">
        <f t="shared" si="0"/>
        <v>27</v>
      </c>
      <c r="L27" s="121" t="s">
        <v>255</v>
      </c>
      <c r="M27" s="121"/>
      <c r="N27" s="73" t="s">
        <v>228</v>
      </c>
    </row>
    <row r="28" spans="1:14" x14ac:dyDescent="0.25">
      <c r="A28" s="46">
        <f t="shared" si="0"/>
        <v>28</v>
      </c>
      <c r="B28" t="s">
        <v>191</v>
      </c>
      <c r="L28" s="73" t="s">
        <v>230</v>
      </c>
      <c r="M28" s="73" t="s">
        <v>229</v>
      </c>
      <c r="N28" s="73" t="s">
        <v>227</v>
      </c>
    </row>
    <row r="29" spans="1:14" x14ac:dyDescent="0.25">
      <c r="A29" s="46">
        <f t="shared" si="0"/>
        <v>29</v>
      </c>
      <c r="C29" s="1"/>
      <c r="D29" s="1"/>
      <c r="E29" s="1"/>
      <c r="F29" s="30" t="s">
        <v>21</v>
      </c>
      <c r="G29" s="30" t="s">
        <v>118</v>
      </c>
      <c r="L29" s="83"/>
      <c r="M29" s="83"/>
      <c r="N29" s="83"/>
    </row>
    <row r="30" spans="1:14" x14ac:dyDescent="0.25">
      <c r="A30" s="46">
        <f t="shared" si="0"/>
        <v>30</v>
      </c>
      <c r="K30" s="95" t="s">
        <v>210</v>
      </c>
      <c r="L30" s="83">
        <v>21168.15</v>
      </c>
      <c r="M30" s="83">
        <v>7944.65</v>
      </c>
      <c r="N30" s="83">
        <f>55364.4+5131.11</f>
        <v>60495.51</v>
      </c>
    </row>
    <row r="31" spans="1:14" x14ac:dyDescent="0.25">
      <c r="A31" s="46">
        <f t="shared" si="0"/>
        <v>31</v>
      </c>
      <c r="B31" s="1" t="s">
        <v>172</v>
      </c>
      <c r="C31" s="1" t="s">
        <v>173</v>
      </c>
      <c r="D31" s="1"/>
      <c r="E31" s="1"/>
      <c r="F31" s="21">
        <f>'payroll taxes'!F32</f>
        <v>0.27744715528135233</v>
      </c>
      <c r="G31" s="36">
        <f>ROUND(F31*F$26,0)</f>
        <v>7210</v>
      </c>
      <c r="K31" s="95" t="s">
        <v>211</v>
      </c>
      <c r="L31" s="83">
        <v>25046.61</v>
      </c>
      <c r="M31" s="83">
        <v>5471.18</v>
      </c>
      <c r="N31" s="83">
        <f>55045.39+5131.11</f>
        <v>60176.5</v>
      </c>
    </row>
    <row r="32" spans="1:14" x14ac:dyDescent="0.25">
      <c r="A32" s="46">
        <f t="shared" si="0"/>
        <v>32</v>
      </c>
      <c r="B32" s="1" t="s">
        <v>174</v>
      </c>
      <c r="C32" s="1" t="s">
        <v>175</v>
      </c>
      <c r="D32" s="1"/>
      <c r="E32" s="1"/>
      <c r="F32" s="21">
        <f>'payroll taxes'!F33</f>
        <v>3.5638271381293607E-2</v>
      </c>
      <c r="G32" s="36">
        <f t="shared" ref="G32:G37" si="1">ROUND(F32*F$26,0)</f>
        <v>926</v>
      </c>
      <c r="K32" s="95" t="s">
        <v>212</v>
      </c>
      <c r="L32" s="83">
        <v>25046.61</v>
      </c>
      <c r="M32" s="83">
        <v>5471.18</v>
      </c>
      <c r="N32" s="83">
        <f>55045.39+5029.12</f>
        <v>60074.51</v>
      </c>
    </row>
    <row r="33" spans="1:14" x14ac:dyDescent="0.25">
      <c r="A33" s="46">
        <f t="shared" si="0"/>
        <v>33</v>
      </c>
      <c r="B33" s="1" t="s">
        <v>176</v>
      </c>
      <c r="C33" s="1" t="s">
        <v>75</v>
      </c>
      <c r="D33" s="1"/>
      <c r="E33" s="1"/>
      <c r="F33" s="21">
        <f>'payroll taxes'!F34</f>
        <v>7.4173335821667449E-2</v>
      </c>
      <c r="G33" s="36">
        <f t="shared" si="1"/>
        <v>1927</v>
      </c>
      <c r="K33" s="95" t="s">
        <v>213</v>
      </c>
      <c r="L33" s="83">
        <v>25046.61</v>
      </c>
      <c r="M33" s="83">
        <v>5471.18</v>
      </c>
      <c r="N33" s="83">
        <f>55190.23+5010.77</f>
        <v>60201</v>
      </c>
    </row>
    <row r="34" spans="1:14" x14ac:dyDescent="0.25">
      <c r="A34" s="46">
        <f t="shared" si="0"/>
        <v>34</v>
      </c>
      <c r="B34" s="1" t="s">
        <v>177</v>
      </c>
      <c r="C34" s="90" t="s">
        <v>84</v>
      </c>
      <c r="D34" s="1"/>
      <c r="E34" s="1"/>
      <c r="F34" s="21">
        <f>'payroll taxes'!F35</f>
        <v>0.2379540639658756</v>
      </c>
      <c r="G34" s="36">
        <f t="shared" si="1"/>
        <v>6183</v>
      </c>
      <c r="K34" s="95" t="s">
        <v>214</v>
      </c>
      <c r="L34" s="83">
        <v>25046.61</v>
      </c>
      <c r="M34" s="83">
        <v>5371.98</v>
      </c>
      <c r="N34" s="83">
        <f>54252.84+4986.27</f>
        <v>59239.11</v>
      </c>
    </row>
    <row r="35" spans="1:14" x14ac:dyDescent="0.25">
      <c r="A35" s="46">
        <f t="shared" si="0"/>
        <v>35</v>
      </c>
      <c r="B35" s="1" t="s">
        <v>179</v>
      </c>
      <c r="C35" s="1" t="s">
        <v>180</v>
      </c>
      <c r="D35" s="1"/>
      <c r="E35" s="1"/>
      <c r="F35" s="21">
        <f>'payroll taxes'!F36</f>
        <v>0.20820843775123921</v>
      </c>
      <c r="G35" s="36">
        <f t="shared" si="1"/>
        <v>5410</v>
      </c>
      <c r="K35" s="95" t="s">
        <v>215</v>
      </c>
      <c r="L35" s="83">
        <v>25046.61</v>
      </c>
      <c r="M35" s="83">
        <v>5371.98</v>
      </c>
      <c r="N35" s="83">
        <f>54619.91+4986.27</f>
        <v>59606.180000000008</v>
      </c>
    </row>
    <row r="36" spans="1:14" x14ac:dyDescent="0.25">
      <c r="A36" s="46">
        <f t="shared" si="0"/>
        <v>36</v>
      </c>
      <c r="B36" s="1" t="s">
        <v>181</v>
      </c>
      <c r="C36" s="1" t="s">
        <v>182</v>
      </c>
      <c r="D36" s="1"/>
      <c r="E36" s="1"/>
      <c r="F36" s="21">
        <f>'payroll taxes'!F37</f>
        <v>1.8185818356353165E-2</v>
      </c>
      <c r="G36" s="36">
        <f t="shared" si="1"/>
        <v>473</v>
      </c>
      <c r="K36" s="95" t="s">
        <v>204</v>
      </c>
      <c r="L36" s="83">
        <v>25046.61</v>
      </c>
      <c r="M36" s="83">
        <v>5371.98</v>
      </c>
      <c r="N36" s="83">
        <f>54619.91+4790.73</f>
        <v>59410.64</v>
      </c>
    </row>
    <row r="37" spans="1:14" x14ac:dyDescent="0.25">
      <c r="A37" s="46">
        <f t="shared" si="0"/>
        <v>37</v>
      </c>
      <c r="B37" s="1" t="s">
        <v>183</v>
      </c>
      <c r="C37" s="1" t="s">
        <v>184</v>
      </c>
      <c r="D37" s="1"/>
      <c r="E37" s="1"/>
      <c r="F37" s="21">
        <f>'payroll taxes'!F38</f>
        <v>0</v>
      </c>
      <c r="G37" s="36">
        <f t="shared" si="1"/>
        <v>0</v>
      </c>
      <c r="K37" s="95" t="s">
        <v>205</v>
      </c>
      <c r="L37" s="83">
        <v>25046.61</v>
      </c>
      <c r="M37" s="83">
        <v>5265.03</v>
      </c>
      <c r="N37" s="83">
        <f>53315.45+4992.96</f>
        <v>58308.409999999996</v>
      </c>
    </row>
    <row r="38" spans="1:14" x14ac:dyDescent="0.25">
      <c r="A38" s="46">
        <f t="shared" si="0"/>
        <v>38</v>
      </c>
      <c r="B38" s="1" t="s">
        <v>185</v>
      </c>
      <c r="C38" s="1" t="s">
        <v>186</v>
      </c>
      <c r="D38" s="1"/>
      <c r="E38" s="1"/>
      <c r="F38" s="70">
        <f>'payroll taxes'!F39</f>
        <v>0.14839291744221877</v>
      </c>
      <c r="G38" s="50">
        <f>ROUND(F38*F$26,0)</f>
        <v>3856</v>
      </c>
      <c r="K38" s="95" t="s">
        <v>206</v>
      </c>
      <c r="L38" s="83">
        <v>25046.61</v>
      </c>
      <c r="M38" s="83">
        <v>5265.03</v>
      </c>
      <c r="N38" s="83">
        <f>53315.45+4790.73</f>
        <v>58106.179999999993</v>
      </c>
    </row>
    <row r="39" spans="1:14" x14ac:dyDescent="0.25">
      <c r="A39" s="46">
        <f t="shared" si="0"/>
        <v>39</v>
      </c>
      <c r="B39" s="1"/>
      <c r="C39" s="1"/>
      <c r="D39" s="1"/>
      <c r="E39" s="1"/>
      <c r="F39" s="21"/>
      <c r="K39" s="95" t="s">
        <v>207</v>
      </c>
      <c r="L39" s="83">
        <v>25046.61</v>
      </c>
      <c r="M39" s="83">
        <v>5265.03</v>
      </c>
      <c r="N39" s="83">
        <f>53315.45+4790.73</f>
        <v>58106.179999999993</v>
      </c>
    </row>
    <row r="40" spans="1:14" ht="16.5" thickBot="1" x14ac:dyDescent="0.3">
      <c r="A40" s="46">
        <f t="shared" si="0"/>
        <v>40</v>
      </c>
      <c r="B40" s="1"/>
      <c r="C40" s="1"/>
      <c r="D40" s="1"/>
      <c r="E40" s="1"/>
      <c r="F40" s="71">
        <f>SUM(F30:F38)</f>
        <v>1.0000000000000002</v>
      </c>
      <c r="G40" s="51">
        <f>SUM(G31:G38)</f>
        <v>25985</v>
      </c>
      <c r="K40" s="95" t="s">
        <v>208</v>
      </c>
      <c r="L40" s="83">
        <v>25046.61</v>
      </c>
      <c r="M40" s="83">
        <v>5240.46</v>
      </c>
      <c r="N40" s="83">
        <f>52802.13+4790.73</f>
        <v>57592.86</v>
      </c>
    </row>
    <row r="41" spans="1:14" ht="16.5" thickTop="1" x14ac:dyDescent="0.25">
      <c r="A41" s="46">
        <f t="shared" si="0"/>
        <v>41</v>
      </c>
      <c r="K41" s="95" t="s">
        <v>209</v>
      </c>
      <c r="L41" s="83">
        <v>25046.61</v>
      </c>
      <c r="M41" s="83">
        <v>5240.46</v>
      </c>
      <c r="N41" s="83">
        <f>52802.13+4790.73</f>
        <v>57592.86</v>
      </c>
    </row>
    <row r="42" spans="1:14" x14ac:dyDescent="0.25">
      <c r="A42" s="41"/>
      <c r="L42" s="83"/>
      <c r="M42" s="83"/>
      <c r="N42" s="83"/>
    </row>
    <row r="43" spans="1:14" x14ac:dyDescent="0.25">
      <c r="A43" s="41"/>
      <c r="K43" t="s">
        <v>25</v>
      </c>
      <c r="L43" s="83">
        <f>SUM(L30:L42)</f>
        <v>296680.85999999993</v>
      </c>
      <c r="M43" s="83">
        <f>SUM(M30:M42)</f>
        <v>66750.14</v>
      </c>
      <c r="N43" s="83">
        <f>SUM(N30:N42)</f>
        <v>708909.94</v>
      </c>
    </row>
    <row r="44" spans="1:14" x14ac:dyDescent="0.25">
      <c r="A44" s="41"/>
      <c r="L44" s="83"/>
      <c r="M44" s="83"/>
      <c r="N44" s="83"/>
    </row>
  </sheetData>
  <mergeCells count="4">
    <mergeCell ref="B4:H4"/>
    <mergeCell ref="B5:H5"/>
    <mergeCell ref="B6:H6"/>
    <mergeCell ref="L27:M27"/>
  </mergeCells>
  <phoneticPr fontId="10" type="noConversion"/>
  <pageMargins left="0.65" right="0.5" top="0.5" bottom="0.25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employees</vt:lpstr>
      <vt:lpstr>explanation</vt:lpstr>
      <vt:lpstr>allocations</vt:lpstr>
      <vt:lpstr>3 yr</vt:lpstr>
      <vt:lpstr>payroll taxes</vt:lpstr>
      <vt:lpstr>retirement</vt:lpstr>
      <vt:lpstr>'3 yr'!Print_Area</vt:lpstr>
      <vt:lpstr>allocations!Print_Area</vt:lpstr>
      <vt:lpstr>employees!Print_Area</vt:lpstr>
      <vt:lpstr>explanation!Print_Area</vt:lpstr>
      <vt:lpstr>'payroll taxes'!Print_Area</vt:lpstr>
      <vt:lpstr>retirement!Print_Area</vt:lpstr>
      <vt:lpstr>employees!Print_Titles</vt:lpstr>
      <vt:lpstr>employees!Print_Titles_MI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D. Tolliver</cp:lastModifiedBy>
  <cp:lastPrinted>2016-05-20T15:08:09Z</cp:lastPrinted>
  <dcterms:created xsi:type="dcterms:W3CDTF">2012-08-09T15:11:17Z</dcterms:created>
  <dcterms:modified xsi:type="dcterms:W3CDTF">2016-06-21T16:23:46Z</dcterms:modified>
</cp:coreProperties>
</file>