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1115" windowHeight="8445"/>
  </bookViews>
  <sheets>
    <sheet name="Sch K" sheetId="3" r:id="rId1"/>
    <sheet name="Sch K-5 years" sheetId="4" r:id="rId2"/>
  </sheets>
  <definedNames>
    <definedName name="_xlnm.Print_Area" localSheetId="0">'Sch K'!$A$83:$F$116</definedName>
    <definedName name="_xlnm.Print_Area" localSheetId="1">'Sch K-5 years'!$A$101:$K$137</definedName>
  </definedNames>
  <calcPr calcId="144525"/>
</workbook>
</file>

<file path=xl/calcChain.xml><?xml version="1.0" encoding="utf-8"?>
<calcChain xmlns="http://schemas.openxmlformats.org/spreadsheetml/2006/main">
  <c r="B65" i="4" l="1"/>
  <c r="B39" i="4"/>
  <c r="D49" i="3" l="1"/>
  <c r="D47" i="3"/>
  <c r="B4" i="4" l="1"/>
  <c r="B2" i="4"/>
  <c r="B1" i="4"/>
  <c r="B89" i="3"/>
  <c r="B40" i="3"/>
  <c r="F53" i="3" l="1"/>
  <c r="D78" i="3" l="1"/>
  <c r="C78" i="3"/>
  <c r="H115" i="4" l="1"/>
  <c r="H124" i="4" s="1"/>
  <c r="G50" i="4"/>
  <c r="G115" i="4"/>
  <c r="F50" i="4"/>
  <c r="J123" i="4"/>
  <c r="J115" i="4"/>
  <c r="J124" i="4"/>
  <c r="K123" i="4"/>
  <c r="K132" i="4"/>
  <c r="K135" i="4" s="1"/>
  <c r="K115" i="4"/>
  <c r="K124" i="4" s="1"/>
  <c r="I97" i="4"/>
  <c r="I94" i="4"/>
  <c r="J97" i="4"/>
  <c r="J94" i="4"/>
  <c r="H51" i="4"/>
  <c r="H57" i="4" s="1"/>
  <c r="I51" i="4"/>
  <c r="I57" i="4"/>
  <c r="I27" i="4" s="1"/>
  <c r="J57" i="4"/>
  <c r="J14" i="4" s="1"/>
  <c r="J51" i="4"/>
  <c r="H24" i="4"/>
  <c r="H22" i="4"/>
  <c r="H25" i="4" s="1"/>
  <c r="H12" i="4"/>
  <c r="I24" i="4"/>
  <c r="I73" i="4"/>
  <c r="I78" i="4" s="1"/>
  <c r="I22" i="4"/>
  <c r="I72" i="4" s="1"/>
  <c r="I12" i="4"/>
  <c r="J24" i="4"/>
  <c r="J22" i="4"/>
  <c r="J77" i="4" s="1"/>
  <c r="J12" i="4"/>
  <c r="J16" i="4" s="1"/>
  <c r="I115" i="4"/>
  <c r="F113" i="4"/>
  <c r="G113" i="4" s="1"/>
  <c r="H113" i="4" s="1"/>
  <c r="I113" i="4" s="1"/>
  <c r="J113" i="4" s="1"/>
  <c r="F97" i="3"/>
  <c r="F8" i="4"/>
  <c r="G8" i="4" s="1"/>
  <c r="H8" i="4" s="1"/>
  <c r="I8" i="4" s="1"/>
  <c r="J8" i="4" s="1"/>
  <c r="G123" i="4"/>
  <c r="H123" i="4"/>
  <c r="H132" i="4"/>
  <c r="H135" i="4" s="1"/>
  <c r="I123" i="4"/>
  <c r="I132" i="4" s="1"/>
  <c r="I135" i="4" s="1"/>
  <c r="E123" i="4"/>
  <c r="E132" i="4" s="1"/>
  <c r="E135" i="4" s="1"/>
  <c r="F96" i="3"/>
  <c r="F104" i="3" s="1"/>
  <c r="F94" i="4"/>
  <c r="B36" i="4"/>
  <c r="A102" i="4"/>
  <c r="A103" i="4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I124" i="4"/>
  <c r="G124" i="4"/>
  <c r="E115" i="4"/>
  <c r="F108" i="4"/>
  <c r="B63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H77" i="4"/>
  <c r="H93" i="4"/>
  <c r="H94" i="4"/>
  <c r="H73" i="4"/>
  <c r="H78" i="4" s="1"/>
  <c r="H87" i="4"/>
  <c r="H97" i="4"/>
  <c r="G22" i="4"/>
  <c r="G72" i="4" s="1"/>
  <c r="G85" i="4" s="1"/>
  <c r="G90" i="4" s="1"/>
  <c r="G94" i="4"/>
  <c r="G24" i="4"/>
  <c r="G73" i="4"/>
  <c r="G78" i="4" s="1"/>
  <c r="G97" i="4"/>
  <c r="F22" i="4"/>
  <c r="F77" i="4"/>
  <c r="F93" i="4" s="1"/>
  <c r="F24" i="4"/>
  <c r="F73" i="4"/>
  <c r="F78" i="4" s="1"/>
  <c r="F97" i="4"/>
  <c r="E86" i="4"/>
  <c r="E94" i="4" s="1"/>
  <c r="E11" i="4"/>
  <c r="E73" i="4" s="1"/>
  <c r="E78" i="4" s="1"/>
  <c r="E69" i="4"/>
  <c r="A33" i="4"/>
  <c r="A34" i="4"/>
  <c r="A35" i="4" s="1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G51" i="4"/>
  <c r="G57" i="4"/>
  <c r="F51" i="4"/>
  <c r="F57" i="4"/>
  <c r="E45" i="4"/>
  <c r="F58" i="3"/>
  <c r="E43" i="4"/>
  <c r="A2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E20" i="4"/>
  <c r="G12" i="4"/>
  <c r="F12" i="4"/>
  <c r="A83" i="3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B87" i="3"/>
  <c r="B86" i="3"/>
  <c r="A34" i="3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1" i="3"/>
  <c r="A2" i="3" s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F19" i="3"/>
  <c r="E114" i="4"/>
  <c r="D97" i="3"/>
  <c r="D106" i="3" s="1"/>
  <c r="F123" i="4"/>
  <c r="F132" i="4" s="1"/>
  <c r="F46" i="3"/>
  <c r="F106" i="3"/>
  <c r="F43" i="4"/>
  <c r="F69" i="4"/>
  <c r="F20" i="4"/>
  <c r="G77" i="4"/>
  <c r="G93" i="4"/>
  <c r="G98" i="4" s="1"/>
  <c r="H125" i="4"/>
  <c r="H127" i="4" s="1"/>
  <c r="F72" i="4"/>
  <c r="F85" i="4" s="1"/>
  <c r="F90" i="4" s="1"/>
  <c r="G14" i="4"/>
  <c r="G27" i="4"/>
  <c r="F79" i="4"/>
  <c r="H108" i="4"/>
  <c r="G69" i="4"/>
  <c r="G20" i="4"/>
  <c r="G43" i="4"/>
  <c r="G87" i="4"/>
  <c r="F124" i="4"/>
  <c r="F25" i="4"/>
  <c r="G25" i="4"/>
  <c r="G95" i="4"/>
  <c r="H72" i="4"/>
  <c r="H74" i="4" s="1"/>
  <c r="G74" i="4"/>
  <c r="G108" i="4"/>
  <c r="B104" i="4"/>
  <c r="G79" i="4"/>
  <c r="H85" i="4"/>
  <c r="H90" i="4" s="1"/>
  <c r="F74" i="4"/>
  <c r="G29" i="4"/>
  <c r="F95" i="4"/>
  <c r="F98" i="4" s="1"/>
  <c r="F87" i="4"/>
  <c r="I108" i="4"/>
  <c r="H69" i="4"/>
  <c r="I95" i="4"/>
  <c r="I87" i="4"/>
  <c r="K108" i="4"/>
  <c r="J43" i="4"/>
  <c r="J69" i="4"/>
  <c r="J20" i="4"/>
  <c r="B102" i="4"/>
  <c r="J93" i="4"/>
  <c r="F14" i="4"/>
  <c r="F16" i="4" s="1"/>
  <c r="F27" i="4"/>
  <c r="F29" i="4" s="1"/>
  <c r="H95" i="4"/>
  <c r="H79" i="4"/>
  <c r="G16" i="4"/>
  <c r="H98" i="4"/>
  <c r="G114" i="4"/>
  <c r="G116" i="4" s="1"/>
  <c r="I25" i="4"/>
  <c r="I29" i="4" s="1"/>
  <c r="H43" i="4"/>
  <c r="I85" i="4"/>
  <c r="I90" i="4"/>
  <c r="I74" i="4"/>
  <c r="J27" i="4"/>
  <c r="H20" i="4"/>
  <c r="G132" i="4"/>
  <c r="G135" i="4"/>
  <c r="G125" i="4"/>
  <c r="G127" i="4"/>
  <c r="I43" i="4"/>
  <c r="I69" i="4"/>
  <c r="J108" i="4"/>
  <c r="I20" i="4"/>
  <c r="K125" i="4"/>
  <c r="K127" i="4" s="1"/>
  <c r="J132" i="4"/>
  <c r="J135" i="4"/>
  <c r="J125" i="4"/>
  <c r="J127" i="4"/>
  <c r="J73" i="4"/>
  <c r="J78" i="4"/>
  <c r="J79" i="4" s="1"/>
  <c r="I77" i="4"/>
  <c r="B37" i="4"/>
  <c r="B38" i="3"/>
  <c r="J95" i="4"/>
  <c r="J87" i="4"/>
  <c r="H114" i="4"/>
  <c r="H116" i="4" s="1"/>
  <c r="I93" i="4"/>
  <c r="I98" i="4"/>
  <c r="I79" i="4"/>
  <c r="J98" i="4"/>
  <c r="F114" i="4"/>
  <c r="F116" i="4" s="1"/>
  <c r="D25" i="3" s="1"/>
  <c r="I114" i="4"/>
  <c r="I116" i="4" s="1"/>
  <c r="K113" i="4"/>
  <c r="J114" i="4"/>
  <c r="J116" i="4" s="1"/>
  <c r="I125" i="4" l="1"/>
  <c r="I127" i="4" s="1"/>
  <c r="E24" i="4"/>
  <c r="F99" i="3"/>
  <c r="B101" i="4"/>
  <c r="B37" i="3"/>
  <c r="B62" i="4"/>
  <c r="F49" i="3"/>
  <c r="F47" i="3"/>
  <c r="H14" i="4"/>
  <c r="H16" i="4" s="1"/>
  <c r="H27" i="4"/>
  <c r="H29" i="4" s="1"/>
  <c r="J72" i="4"/>
  <c r="J25" i="4"/>
  <c r="J29" i="4" s="1"/>
  <c r="I14" i="4"/>
  <c r="I16" i="4" s="1"/>
  <c r="F135" i="4"/>
  <c r="K114" i="4"/>
  <c r="I118" i="4"/>
  <c r="E47" i="4"/>
  <c r="F55" i="3"/>
  <c r="F60" i="3" s="1"/>
  <c r="F21" i="3" s="1"/>
  <c r="F23" i="3" s="1"/>
  <c r="E46" i="4"/>
  <c r="E95" i="4"/>
  <c r="E87" i="4"/>
  <c r="F118" i="4"/>
  <c r="G118" i="4"/>
  <c r="H118" i="4"/>
  <c r="K116" i="4"/>
  <c r="K118" i="4" s="1"/>
  <c r="J118" i="4"/>
  <c r="F125" i="4"/>
  <c r="E124" i="4"/>
  <c r="E125" i="4" s="1"/>
  <c r="E127" i="4" s="1"/>
  <c r="E116" i="4"/>
  <c r="J85" i="4" l="1"/>
  <c r="J90" i="4" s="1"/>
  <c r="J74" i="4"/>
  <c r="F25" i="3"/>
  <c r="F27" i="3" s="1"/>
  <c r="E118" i="4"/>
  <c r="F127" i="4"/>
  <c r="D55" i="3"/>
  <c r="D60" i="3" s="1"/>
  <c r="D21" i="3" s="1"/>
  <c r="E50" i="4"/>
  <c r="E51" i="4" s="1"/>
  <c r="E57" i="4" s="1"/>
  <c r="F108" i="3"/>
  <c r="F110" i="3" s="1"/>
  <c r="E97" i="4"/>
  <c r="D104" i="3" l="1"/>
  <c r="D110" i="3" s="1"/>
  <c r="D99" i="3"/>
  <c r="E14" i="4"/>
  <c r="E27" i="4"/>
  <c r="D19" i="3"/>
  <c r="E10" i="4"/>
  <c r="D27" i="3" l="1"/>
  <c r="D23" i="3"/>
  <c r="E12" i="4"/>
  <c r="E16" i="4" s="1"/>
  <c r="E22" i="4"/>
  <c r="E77" i="4" l="1"/>
  <c r="E25" i="4"/>
  <c r="E29" i="4" s="1"/>
  <c r="E72" i="4"/>
  <c r="E93" i="4" l="1"/>
  <c r="E98" i="4" s="1"/>
  <c r="E79" i="4"/>
  <c r="E85" i="4"/>
  <c r="E90" i="4" s="1"/>
  <c r="E74" i="4"/>
</calcChain>
</file>

<file path=xl/sharedStrings.xml><?xml version="1.0" encoding="utf-8"?>
<sst xmlns="http://schemas.openxmlformats.org/spreadsheetml/2006/main" count="192" uniqueCount="102">
  <si>
    <t>Total</t>
  </si>
  <si>
    <t>Year</t>
  </si>
  <si>
    <t>Consumer advances</t>
  </si>
  <si>
    <t xml:space="preserve">    Consumer advances</t>
  </si>
  <si>
    <t>G&amp;T capital credits</t>
  </si>
  <si>
    <t>Material and supplies</t>
  </si>
  <si>
    <t>Prepayments</t>
  </si>
  <si>
    <t>Exhibit  K</t>
  </si>
  <si>
    <t>page 1 of 7</t>
  </si>
  <si>
    <t>Computation of Rate of Return</t>
  </si>
  <si>
    <t>Actual</t>
  </si>
  <si>
    <t>Adjusted</t>
  </si>
  <si>
    <t>Test Year</t>
  </si>
  <si>
    <t>Net margins</t>
  </si>
  <si>
    <t>Interest on long-term debt</t>
  </si>
  <si>
    <t>Net rate base</t>
  </si>
  <si>
    <t xml:space="preserve">  Rate of return</t>
  </si>
  <si>
    <t>Equity Capitalization</t>
  </si>
  <si>
    <t>page 2 of 7</t>
  </si>
  <si>
    <t>Determination of Rate Base</t>
  </si>
  <si>
    <t>Gross rate base:</t>
  </si>
  <si>
    <t>Total electric plant</t>
  </si>
  <si>
    <t xml:space="preserve">      (13 months average for test year)</t>
  </si>
  <si>
    <t>Working capital:</t>
  </si>
  <si>
    <t xml:space="preserve">      12.5% of operating expense</t>
  </si>
  <si>
    <t xml:space="preserve">      less cost of power</t>
  </si>
  <si>
    <t>Deductions from rate base:</t>
  </si>
  <si>
    <t xml:space="preserve">    Accumulated depreciation</t>
  </si>
  <si>
    <t>Material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</si>
  <si>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</si>
  <si>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</si>
  <si>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</si>
  <si>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</si>
  <si>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</si>
  <si>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</si>
  <si>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</si>
  <si>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</si>
  <si>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</si>
  <si>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</si>
  <si>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</si>
  <si>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</si>
  <si>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Average</t>
  </si>
  <si>
    <t>page 5 of 7</t>
  </si>
  <si>
    <t>TIER and DSC Calculations</t>
  </si>
  <si>
    <t>TIER:</t>
  </si>
  <si>
    <t xml:space="preserve">Margins, excluding G&amp;T </t>
  </si>
  <si>
    <t>Interest on long term debt</t>
  </si>
  <si>
    <t xml:space="preserve">    TIER</t>
  </si>
  <si>
    <t>DSC:</t>
  </si>
  <si>
    <t xml:space="preserve">    capital credits</t>
  </si>
  <si>
    <t>Depreciation expense</t>
  </si>
  <si>
    <t>Principal payment on</t>
  </si>
  <si>
    <t xml:space="preserve">    long term debt</t>
  </si>
  <si>
    <t xml:space="preserve">    DSC</t>
  </si>
  <si>
    <t>page 3 of 7</t>
  </si>
  <si>
    <t xml:space="preserve"> Calendar Year</t>
  </si>
  <si>
    <t>1st</t>
  </si>
  <si>
    <t>2nd</t>
  </si>
  <si>
    <t>3rd</t>
  </si>
  <si>
    <t>4th</t>
  </si>
  <si>
    <t>5th</t>
  </si>
  <si>
    <t>Return excluding G &amp; T</t>
  </si>
  <si>
    <t xml:space="preserve">    patronage dividends:</t>
  </si>
  <si>
    <t>G &amp; T patronage dividends</t>
  </si>
  <si>
    <t xml:space="preserve">  Rate of return, excluding G &amp; T</t>
  </si>
  <si>
    <t>page 4 of 7</t>
  </si>
  <si>
    <t>Material and supplies (13 mo. ave test year)</t>
  </si>
  <si>
    <t>Prepayments (13 mo. ave test year)</t>
  </si>
  <si>
    <t xml:space="preserve">  12.5% of operating expense</t>
  </si>
  <si>
    <t xml:space="preserve">    less cost of power</t>
  </si>
  <si>
    <t>Accumulated depreciation</t>
  </si>
  <si>
    <t>page 6 of 7</t>
  </si>
  <si>
    <t>Calendar Year</t>
  </si>
  <si>
    <t>TIER calculations:</t>
  </si>
  <si>
    <t xml:space="preserve">Margins, including G&amp;T </t>
  </si>
  <si>
    <t>DSC calculations:</t>
  </si>
  <si>
    <t>page 7 of 7</t>
  </si>
  <si>
    <t>Test</t>
  </si>
  <si>
    <t>Proposed</t>
  </si>
  <si>
    <t>Equity Capitalization:</t>
  </si>
  <si>
    <t xml:space="preserve">  without G&amp;T patronage capital</t>
  </si>
  <si>
    <t>Total margins and equities</t>
  </si>
  <si>
    <t>Less  G&amp;T Patronage capital</t>
  </si>
  <si>
    <t>Long-term debt</t>
  </si>
  <si>
    <t xml:space="preserve">  Total</t>
  </si>
  <si>
    <t>Equity capitalization ratio</t>
  </si>
  <si>
    <t xml:space="preserve">  with G&amp;T patronage capital</t>
  </si>
  <si>
    <t>Equity to Total Assets:</t>
  </si>
  <si>
    <t>Total assets</t>
  </si>
  <si>
    <t>Equity to total asset ratio</t>
  </si>
  <si>
    <t>Margins, excluding G&amp;T  capital credits</t>
  </si>
  <si>
    <t>DSC =</t>
  </si>
  <si>
    <t>Witness: Jim Adkins</t>
  </si>
  <si>
    <t>Cumberland Valley Electric</t>
  </si>
  <si>
    <t>Margins, excluding G&amp;T capital credits</t>
  </si>
  <si>
    <r>
      <t xml:space="preserve">    TIER</t>
    </r>
    <r>
      <rPr>
        <sz val="12"/>
        <rFont val="Times New Roman"/>
        <family val="1"/>
      </rPr>
      <t>, excluding G&amp;T capital credits</t>
    </r>
  </si>
  <si>
    <t xml:space="preserve">    DSC = ((Margins + depreciation + interest) / (interest + principal payments)</t>
  </si>
  <si>
    <r>
      <t xml:space="preserve">    DSC,</t>
    </r>
    <r>
      <rPr>
        <sz val="12"/>
        <rFont val="Times New Roman"/>
        <family val="1"/>
      </rPr>
      <t>excluding G&amp;T capital credits</t>
    </r>
  </si>
  <si>
    <t>November. 2014</t>
  </si>
  <si>
    <t xml:space="preserve">    (Margins + depreciation + interest)</t>
  </si>
  <si>
    <t xml:space="preserve">     / (interest + principal payments)</t>
  </si>
  <si>
    <t>Case No. 2016-00169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</si>
</sst>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</numFmts>
  <fonts count="18">
    <font>
      <sz val="12"/>
      <name val="Times New Roman"/>
      <family val="1"/>
    </font>
    <font>
      <sz val="8"/>
      <name val="P-TIMES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color indexed="12"/>
      <name val="Times New Roman"/>
      <family val="1"/>
    </font>
    <font>
      <u val="doub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sz val="11"/>
      <name val="P-TIMES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5" fontId="2" fillId="0" borderId="0" xfId="0" applyNumberFormat="1" applyFont="1" applyProtection="1">
      <protection locked="0"/>
    </xf>
    <xf numFmtId="37" fontId="2" fillId="0" borderId="0" xfId="0" applyNumberFormat="1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5" fontId="3" fillId="0" borderId="0" xfId="0" applyNumberFormat="1" applyFont="1" applyProtection="1"/>
    <xf numFmtId="37" fontId="3" fillId="0" borderId="0" xfId="0" applyNumberFormat="1" applyFont="1" applyProtection="1"/>
    <xf numFmtId="37" fontId="3" fillId="0" borderId="1" xfId="0" applyNumberFormat="1" applyFont="1" applyBorder="1" applyProtection="1"/>
    <xf numFmtId="37" fontId="3" fillId="0" borderId="2" xfId="0" applyNumberFormat="1" applyFont="1" applyBorder="1" applyProtection="1"/>
    <xf numFmtId="0" fontId="5" fillId="0" borderId="0" xfId="0" applyFont="1" applyProtection="1"/>
    <xf numFmtId="10" fontId="8" fillId="0" borderId="0" xfId="0" applyNumberFormat="1" applyFont="1" applyProtection="1"/>
    <xf numFmtId="0" fontId="9" fillId="0" borderId="0" xfId="0" applyFont="1" applyProtection="1"/>
    <xf numFmtId="39" fontId="3" fillId="0" borderId="0" xfId="0" applyNumberFormat="1" applyFont="1" applyProtection="1"/>
    <xf numFmtId="0" fontId="10" fillId="0" borderId="0" xfId="0" applyFont="1" applyAlignment="1" applyProtection="1">
      <alignment horizontal="centerContinuous"/>
    </xf>
    <xf numFmtId="37" fontId="2" fillId="0" borderId="1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39" fontId="12" fillId="0" borderId="0" xfId="0" applyNumberFormat="1" applyFont="1"/>
    <xf numFmtId="0" fontId="13" fillId="0" borderId="0" xfId="0" applyFont="1" applyAlignment="1" applyProtection="1">
      <alignment horizontal="centerContinuous"/>
    </xf>
    <xf numFmtId="0" fontId="13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41" fontId="13" fillId="0" borderId="0" xfId="0" applyNumberFormat="1" applyFont="1" applyProtection="1"/>
    <xf numFmtId="37" fontId="13" fillId="0" borderId="0" xfId="0" applyNumberFormat="1" applyFont="1" applyProtection="1"/>
    <xf numFmtId="5" fontId="13" fillId="0" borderId="0" xfId="0" applyNumberFormat="1" applyFont="1" applyProtection="1"/>
    <xf numFmtId="0" fontId="5" fillId="0" borderId="0" xfId="0" applyFont="1" applyAlignment="1" applyProtection="1">
      <alignment horizontal="centerContinuous"/>
    </xf>
    <xf numFmtId="5" fontId="13" fillId="0" borderId="2" xfId="0" applyNumberFormat="1" applyFont="1" applyBorder="1" applyProtection="1"/>
    <xf numFmtId="0" fontId="13" fillId="0" borderId="3" xfId="0" applyFont="1" applyBorder="1" applyProtection="1"/>
    <xf numFmtId="0" fontId="13" fillId="0" borderId="4" xfId="0" applyFont="1" applyBorder="1" applyProtection="1"/>
    <xf numFmtId="0" fontId="13" fillId="0" borderId="5" xfId="0" applyFont="1" applyBorder="1" applyProtection="1"/>
    <xf numFmtId="0" fontId="13" fillId="0" borderId="6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37" fontId="13" fillId="0" borderId="0" xfId="0" applyNumberFormat="1" applyFont="1" applyAlignment="1" applyProtection="1">
      <alignment horizontal="right"/>
    </xf>
    <xf numFmtId="37" fontId="2" fillId="0" borderId="0" xfId="0" applyNumberFormat="1" applyFont="1" applyAlignment="1" applyProtection="1">
      <alignment horizontal="right"/>
      <protection locked="0"/>
    </xf>
    <xf numFmtId="0" fontId="14" fillId="0" borderId="0" xfId="0" applyFont="1" applyProtection="1"/>
    <xf numFmtId="0" fontId="15" fillId="0" borderId="0" xfId="0" applyFont="1" applyProtection="1"/>
    <xf numFmtId="0" fontId="15" fillId="0" borderId="9" xfId="0" applyFont="1" applyBorder="1" applyAlignment="1" applyProtection="1">
      <alignment horizontal="center"/>
    </xf>
    <xf numFmtId="0" fontId="15" fillId="0" borderId="0" xfId="0" applyFont="1"/>
    <xf numFmtId="37" fontId="15" fillId="0" borderId="0" xfId="0" applyNumberFormat="1" applyFont="1" applyProtection="1"/>
    <xf numFmtId="39" fontId="13" fillId="0" borderId="0" xfId="0" applyNumberFormat="1" applyFont="1" applyProtection="1"/>
    <xf numFmtId="39" fontId="8" fillId="0" borderId="0" xfId="0" applyNumberFormat="1" applyFont="1" applyProtection="1"/>
    <xf numFmtId="0" fontId="13" fillId="0" borderId="11" xfId="0" applyFont="1" applyBorder="1" applyProtection="1"/>
    <xf numFmtId="0" fontId="13" fillId="0" borderId="12" xfId="0" applyFont="1" applyBorder="1" applyAlignment="1" applyProtection="1">
      <alignment horizontal="center"/>
    </xf>
    <xf numFmtId="0" fontId="13" fillId="0" borderId="13" xfId="0" applyFont="1" applyBorder="1" applyProtection="1"/>
    <xf numFmtId="0" fontId="13" fillId="0" borderId="14" xfId="0" applyFont="1" applyBorder="1" applyProtection="1"/>
    <xf numFmtId="0" fontId="13" fillId="0" borderId="15" xfId="0" applyFont="1" applyBorder="1" applyProtection="1"/>
    <xf numFmtId="0" fontId="13" fillId="0" borderId="16" xfId="0" applyFont="1" applyBorder="1" applyAlignment="1" applyProtection="1">
      <alignment horizontal="center"/>
    </xf>
    <xf numFmtId="0" fontId="13" fillId="0" borderId="17" xfId="0" applyFont="1" applyBorder="1" applyProtection="1"/>
    <xf numFmtId="0" fontId="13" fillId="0" borderId="18" xfId="0" applyFont="1" applyBorder="1" applyAlignment="1" applyProtection="1">
      <alignment horizontal="center"/>
    </xf>
    <xf numFmtId="37" fontId="2" fillId="0" borderId="0" xfId="0" applyNumberFormat="1" applyFont="1" applyFill="1" applyBorder="1" applyProtection="1">
      <protection locked="0"/>
    </xf>
    <xf numFmtId="9" fontId="8" fillId="0" borderId="0" xfId="0" applyNumberFormat="1" applyFont="1" applyProtection="1"/>
    <xf numFmtId="37" fontId="15" fillId="0" borderId="1" xfId="0" applyNumberFormat="1" applyFont="1" applyBorder="1" applyProtection="1"/>
    <xf numFmtId="37" fontId="15" fillId="0" borderId="2" xfId="0" applyNumberFormat="1" applyFont="1" applyBorder="1" applyProtection="1"/>
    <xf numFmtId="37" fontId="2" fillId="0" borderId="0" xfId="0" applyNumberFormat="1" applyFont="1" applyBorder="1" applyProtection="1">
      <protection locked="0"/>
    </xf>
    <xf numFmtId="37" fontId="3" fillId="0" borderId="0" xfId="0" applyNumberFormat="1" applyFont="1" applyBorder="1" applyProtection="1"/>
    <xf numFmtId="41" fontId="13" fillId="0" borderId="0" xfId="0" applyNumberFormat="1" applyFont="1"/>
    <xf numFmtId="0" fontId="3" fillId="0" borderId="0" xfId="0" applyFont="1" applyAlignment="1">
      <alignment horizontal="right"/>
    </xf>
    <xf numFmtId="0" fontId="13" fillId="0" borderId="0" xfId="0" applyFont="1" applyBorder="1"/>
    <xf numFmtId="42" fontId="3" fillId="0" borderId="0" xfId="0" applyNumberFormat="1" applyFont="1" applyProtection="1"/>
    <xf numFmtId="42" fontId="2" fillId="0" borderId="0" xfId="0" applyNumberFormat="1" applyFont="1" applyProtection="1">
      <protection locked="0"/>
    </xf>
    <xf numFmtId="41" fontId="3" fillId="0" borderId="0" xfId="0" applyNumberFormat="1" applyFont="1" applyProtection="1"/>
    <xf numFmtId="41" fontId="2" fillId="0" borderId="0" xfId="0" applyNumberFormat="1" applyFont="1" applyProtection="1">
      <protection locked="0"/>
    </xf>
    <xf numFmtId="41" fontId="3" fillId="0" borderId="0" xfId="0" applyNumberFormat="1" applyFont="1" applyAlignment="1" applyProtection="1">
      <alignment horizontal="right"/>
    </xf>
    <xf numFmtId="41" fontId="7" fillId="0" borderId="0" xfId="0" applyNumberFormat="1" applyFont="1" applyProtection="1">
      <protection locked="0"/>
    </xf>
    <xf numFmtId="41" fontId="3" fillId="0" borderId="1" xfId="0" applyNumberFormat="1" applyFont="1" applyBorder="1" applyProtection="1"/>
    <xf numFmtId="41" fontId="3" fillId="0" borderId="0" xfId="0" applyNumberFormat="1" applyFont="1"/>
    <xf numFmtId="41" fontId="15" fillId="0" borderId="0" xfId="0" applyNumberFormat="1" applyFont="1" applyProtection="1"/>
    <xf numFmtId="41" fontId="15" fillId="0" borderId="0" xfId="0" applyNumberFormat="1" applyFont="1"/>
    <xf numFmtId="41" fontId="13" fillId="0" borderId="0" xfId="0" applyNumberFormat="1" applyFont="1" applyBorder="1" applyProtection="1"/>
    <xf numFmtId="0" fontId="0" fillId="0" borderId="0" xfId="0" applyFont="1" applyProtection="1"/>
    <xf numFmtId="42" fontId="3" fillId="0" borderId="2" xfId="0" applyNumberFormat="1" applyFont="1" applyBorder="1" applyProtection="1"/>
    <xf numFmtId="41" fontId="2" fillId="0" borderId="1" xfId="0" applyNumberFormat="1" applyFont="1" applyBorder="1" applyProtection="1">
      <protection locked="0"/>
    </xf>
    <xf numFmtId="41" fontId="3" fillId="0" borderId="0" xfId="0" applyNumberFormat="1" applyFont="1" applyProtection="1">
      <protection locked="0"/>
    </xf>
    <xf numFmtId="41" fontId="3" fillId="0" borderId="1" xfId="0" applyNumberFormat="1" applyFont="1" applyBorder="1" applyAlignment="1" applyProtection="1">
      <alignment horizontal="right"/>
    </xf>
    <xf numFmtId="41" fontId="11" fillId="0" borderId="0" xfId="0" applyNumberFormat="1" applyFont="1" applyProtection="1">
      <protection locked="0"/>
    </xf>
    <xf numFmtId="0" fontId="0" fillId="0" borderId="0" xfId="0" applyFont="1"/>
    <xf numFmtId="0" fontId="13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/>
    <xf numFmtId="164" fontId="3" fillId="0" borderId="0" xfId="0" applyNumberFormat="1" applyFont="1" applyAlignment="1" applyProtection="1">
      <alignment horizontal="centerContinuous"/>
    </xf>
    <xf numFmtId="164" fontId="4" fillId="0" borderId="0" xfId="0" applyNumberFormat="1" applyFont="1" applyAlignment="1" applyProtection="1">
      <alignment horizontal="centerContinuous"/>
    </xf>
    <xf numFmtId="164" fontId="13" fillId="0" borderId="0" xfId="0" applyNumberFormat="1" applyFont="1" applyAlignment="1" applyProtection="1">
      <alignment horizontal="centerContinuous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5" fillId="0" borderId="0" xfId="0" applyFont="1" applyBorder="1"/>
    <xf numFmtId="0" fontId="3" fillId="0" borderId="0" xfId="0" applyFont="1" applyBorder="1"/>
    <xf numFmtId="9" fontId="8" fillId="0" borderId="0" xfId="0" applyNumberFormat="1" applyFont="1" applyBorder="1" applyProtection="1"/>
    <xf numFmtId="37" fontId="15" fillId="0" borderId="0" xfId="0" applyNumberFormat="1" applyFont="1" applyBorder="1" applyProtection="1"/>
    <xf numFmtId="0" fontId="15" fillId="0" borderId="1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41" fontId="15" fillId="0" borderId="0" xfId="0" applyNumberFormat="1" applyFont="1" applyBorder="1" applyProtection="1"/>
    <xf numFmtId="41" fontId="15" fillId="0" borderId="0" xfId="0" applyNumberFormat="1" applyFont="1" applyBorder="1"/>
    <xf numFmtId="39" fontId="13" fillId="0" borderId="0" xfId="0" applyNumberFormat="1" applyFont="1" applyBorder="1" applyProtection="1"/>
    <xf numFmtId="41" fontId="13" fillId="0" borderId="0" xfId="0" applyNumberFormat="1" applyFont="1" applyBorder="1"/>
    <xf numFmtId="41" fontId="2" fillId="0" borderId="0" xfId="0" applyNumberFormat="1" applyFont="1" applyBorder="1" applyProtection="1">
      <protection locked="0"/>
    </xf>
    <xf numFmtId="41" fontId="3" fillId="0" borderId="0" xfId="0" applyNumberFormat="1" applyFont="1" applyBorder="1"/>
    <xf numFmtId="39" fontId="8" fillId="0" borderId="0" xfId="0" applyNumberFormat="1" applyFont="1" applyBorder="1" applyProtection="1"/>
    <xf numFmtId="0" fontId="1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17"/>
  <sheetViews>
    <sheetView tabSelected="1" defaultGridColor="0" colorId="22" zoomScaleNormal="100" workbookViewId="0"/>
  </sheetViews>
  <sheetFormatPr defaultColWidth="9.625" defaultRowHeight="15.75"/>
  <cols>
    <col min="1" max="1" width="4.625" style="86" customWidth="1"/>
    <col min="2" max="2" width="20.625" customWidth="1"/>
    <col min="3" max="3" width="13.625" customWidth="1"/>
    <col min="4" max="4" width="14.625" customWidth="1"/>
    <col min="5" max="5" width="6.125" customWidth="1"/>
    <col min="6" max="6" width="14.625" customWidth="1"/>
    <col min="10" max="10" width="9.75" customWidth="1"/>
    <col min="11" max="12" width="10.5" customWidth="1"/>
  </cols>
  <sheetData>
    <row r="1" spans="1:8">
      <c r="A1" s="85">
        <f>(A8190+1)</f>
        <v>1</v>
      </c>
      <c r="B1" s="3"/>
      <c r="C1" s="3"/>
      <c r="D1" s="3"/>
      <c r="E1" s="3"/>
      <c r="F1" s="4" t="s">
        <v>7</v>
      </c>
      <c r="G1" s="5"/>
      <c r="H1" s="5"/>
    </row>
    <row r="2" spans="1:8">
      <c r="A2" s="85">
        <f t="shared" ref="A2:A32" si="0">(A1+1)</f>
        <v>2</v>
      </c>
      <c r="B2" s="3"/>
      <c r="C2" s="3"/>
      <c r="D2" s="3"/>
      <c r="E2" s="3"/>
      <c r="F2" s="4" t="s">
        <v>8</v>
      </c>
      <c r="G2" s="5"/>
      <c r="H2" s="5"/>
    </row>
    <row r="3" spans="1:8">
      <c r="A3" s="85">
        <f t="shared" si="0"/>
        <v>3</v>
      </c>
      <c r="B3" s="3"/>
      <c r="C3" s="3"/>
      <c r="D3" s="3"/>
      <c r="E3" s="3"/>
      <c r="F3" s="4" t="s">
        <v>92</v>
      </c>
      <c r="G3" s="5"/>
      <c r="H3" s="5"/>
    </row>
    <row r="4" spans="1:8" ht="18.75">
      <c r="A4" s="85">
        <f t="shared" si="0"/>
        <v>4</v>
      </c>
      <c r="B4" s="18" t="s">
        <v>93</v>
      </c>
      <c r="C4" s="6"/>
      <c r="D4" s="6"/>
      <c r="E4" s="6"/>
      <c r="F4" s="6"/>
      <c r="G4" s="5"/>
      <c r="H4" s="5"/>
    </row>
    <row r="5" spans="1:8" ht="18.75">
      <c r="A5" s="85">
        <f t="shared" si="0"/>
        <v>5</v>
      </c>
      <c r="B5" s="18" t="s">
        <v>101</v>
      </c>
      <c r="C5" s="6"/>
      <c r="D5" s="6"/>
      <c r="E5" s="6"/>
      <c r="F5" s="6"/>
      <c r="G5" s="5"/>
      <c r="H5" s="5"/>
    </row>
    <row r="6" spans="1:8" ht="18.75">
      <c r="A6" s="85">
        <f t="shared" si="0"/>
        <v>6</v>
      </c>
      <c r="B6" s="7" t="s">
        <v>9</v>
      </c>
      <c r="C6" s="6"/>
      <c r="D6" s="6"/>
      <c r="E6" s="6"/>
      <c r="F6" s="6"/>
      <c r="G6" s="5"/>
      <c r="H6" s="5"/>
    </row>
    <row r="7" spans="1:8">
      <c r="A7" s="85">
        <f t="shared" si="0"/>
        <v>7</v>
      </c>
      <c r="B7" s="87">
        <v>42338</v>
      </c>
      <c r="C7" s="7"/>
      <c r="D7" s="7"/>
      <c r="E7" s="7"/>
      <c r="F7" s="7"/>
      <c r="G7" s="5"/>
      <c r="H7" s="5"/>
    </row>
    <row r="8" spans="1:8">
      <c r="A8" s="85">
        <f t="shared" si="0"/>
        <v>8</v>
      </c>
      <c r="B8" s="5"/>
      <c r="C8" s="5"/>
      <c r="D8" s="5"/>
      <c r="E8" s="5"/>
      <c r="F8" s="5"/>
      <c r="G8" s="5"/>
      <c r="H8" s="5"/>
    </row>
    <row r="9" spans="1:8">
      <c r="A9" s="85">
        <f t="shared" si="0"/>
        <v>9</v>
      </c>
      <c r="B9" s="5"/>
      <c r="C9" s="5"/>
      <c r="D9" s="5"/>
      <c r="E9" s="5"/>
      <c r="F9" s="5"/>
      <c r="G9" s="5"/>
      <c r="H9" s="5"/>
    </row>
    <row r="10" spans="1:8">
      <c r="A10" s="85">
        <f t="shared" si="0"/>
        <v>10</v>
      </c>
      <c r="B10" s="5"/>
      <c r="C10" s="5"/>
      <c r="D10" s="8" t="s">
        <v>10</v>
      </c>
      <c r="E10" s="5"/>
      <c r="F10" s="8" t="s">
        <v>11</v>
      </c>
      <c r="G10" s="5"/>
      <c r="H10" s="5"/>
    </row>
    <row r="11" spans="1:8">
      <c r="A11" s="85">
        <f t="shared" si="0"/>
        <v>11</v>
      </c>
      <c r="B11" s="3"/>
      <c r="C11" s="3"/>
      <c r="D11" s="9" t="s">
        <v>12</v>
      </c>
      <c r="E11" s="3"/>
      <c r="F11" s="9" t="s">
        <v>12</v>
      </c>
      <c r="G11" s="5"/>
      <c r="H11" s="5"/>
    </row>
    <row r="12" spans="1:8">
      <c r="A12" s="85">
        <f t="shared" si="0"/>
        <v>12</v>
      </c>
      <c r="B12" s="5"/>
      <c r="C12" s="5"/>
      <c r="D12" s="5"/>
      <c r="E12" s="5"/>
      <c r="F12" s="5"/>
      <c r="G12" s="5"/>
      <c r="H12" s="5"/>
    </row>
    <row r="13" spans="1:8">
      <c r="A13" s="85">
        <f t="shared" si="0"/>
        <v>13</v>
      </c>
      <c r="B13" s="3" t="s">
        <v>13</v>
      </c>
      <c r="C13" s="3"/>
      <c r="D13" s="66">
        <v>2266320</v>
      </c>
      <c r="E13" s="66"/>
      <c r="F13" s="67">
        <v>1199412</v>
      </c>
      <c r="G13" s="5"/>
      <c r="H13" s="5"/>
    </row>
    <row r="14" spans="1:8">
      <c r="A14" s="85">
        <f t="shared" si="0"/>
        <v>14</v>
      </c>
      <c r="B14" s="3"/>
      <c r="C14" s="3"/>
      <c r="D14" s="68"/>
      <c r="E14" s="68"/>
      <c r="F14" s="69"/>
      <c r="G14" s="5"/>
      <c r="H14" s="5"/>
    </row>
    <row r="15" spans="1:8">
      <c r="A15" s="85">
        <f t="shared" si="0"/>
        <v>15</v>
      </c>
      <c r="B15" s="77" t="s">
        <v>4</v>
      </c>
      <c r="C15" s="3"/>
      <c r="D15" s="70">
        <v>-2489156</v>
      </c>
      <c r="E15" s="68"/>
      <c r="F15" s="69">
        <v>0</v>
      </c>
      <c r="G15" s="5"/>
      <c r="H15" s="5"/>
    </row>
    <row r="16" spans="1:8">
      <c r="A16" s="85">
        <f t="shared" si="0"/>
        <v>16</v>
      </c>
      <c r="B16" s="3"/>
      <c r="C16" s="3"/>
      <c r="D16" s="68"/>
      <c r="E16" s="68"/>
      <c r="F16" s="71"/>
      <c r="G16" s="5"/>
      <c r="H16" s="5"/>
    </row>
    <row r="17" spans="1:8">
      <c r="A17" s="85">
        <f t="shared" si="0"/>
        <v>17</v>
      </c>
      <c r="B17" s="3" t="s">
        <v>14</v>
      </c>
      <c r="C17" s="3"/>
      <c r="D17" s="72">
        <v>506126</v>
      </c>
      <c r="E17" s="68"/>
      <c r="F17" s="72">
        <v>850647</v>
      </c>
      <c r="G17" s="5"/>
      <c r="H17" s="5"/>
    </row>
    <row r="18" spans="1:8">
      <c r="A18" s="85">
        <f t="shared" si="0"/>
        <v>18</v>
      </c>
      <c r="B18" s="3"/>
      <c r="C18" s="3"/>
      <c r="D18" s="68"/>
      <c r="E18" s="68"/>
      <c r="F18" s="68"/>
      <c r="G18" s="5"/>
      <c r="H18" s="5"/>
    </row>
    <row r="19" spans="1:8" ht="16.5" thickBot="1">
      <c r="A19" s="85">
        <f t="shared" si="0"/>
        <v>19</v>
      </c>
      <c r="B19" s="3" t="s">
        <v>0</v>
      </c>
      <c r="C19" s="3"/>
      <c r="D19" s="78">
        <f>SUM(D13:D17)</f>
        <v>283290</v>
      </c>
      <c r="E19" s="66"/>
      <c r="F19" s="78">
        <f>SUM(F13:F17)</f>
        <v>2050059</v>
      </c>
      <c r="G19" s="5"/>
      <c r="H19" s="5"/>
    </row>
    <row r="20" spans="1:8" ht="16.5" thickTop="1">
      <c r="A20" s="85">
        <f t="shared" si="0"/>
        <v>20</v>
      </c>
      <c r="B20" s="3"/>
      <c r="C20" s="3"/>
      <c r="D20" s="66"/>
      <c r="E20" s="66"/>
      <c r="F20" s="66"/>
      <c r="G20" s="5"/>
      <c r="H20" s="5"/>
    </row>
    <row r="21" spans="1:8" ht="16.5" thickBot="1">
      <c r="A21" s="85">
        <f t="shared" si="0"/>
        <v>21</v>
      </c>
      <c r="B21" s="14" t="s">
        <v>15</v>
      </c>
      <c r="C21" s="3"/>
      <c r="D21" s="78">
        <f>D60</f>
        <v>66289285.692307681</v>
      </c>
      <c r="E21" s="66"/>
      <c r="F21" s="78">
        <f>F60</f>
        <v>66070122.317307681</v>
      </c>
      <c r="G21" s="5"/>
      <c r="H21" s="5"/>
    </row>
    <row r="22" spans="1:8" ht="16.5" thickTop="1">
      <c r="A22" s="85">
        <f t="shared" si="0"/>
        <v>22</v>
      </c>
      <c r="B22" s="5"/>
      <c r="C22" s="5"/>
      <c r="D22" s="73"/>
      <c r="E22" s="73"/>
      <c r="F22" s="73"/>
      <c r="G22" s="5"/>
      <c r="H22" s="5"/>
    </row>
    <row r="23" spans="1:8">
      <c r="A23" s="85">
        <f t="shared" si="0"/>
        <v>23</v>
      </c>
      <c r="B23" s="3" t="s">
        <v>16</v>
      </c>
      <c r="C23" s="3"/>
      <c r="D23" s="15">
        <f>(D19/D21)</f>
        <v>4.2735412976832457E-3</v>
      </c>
      <c r="E23" s="3"/>
      <c r="F23" s="15">
        <f>(F19/F21)</f>
        <v>3.1028533444427544E-2</v>
      </c>
      <c r="G23" s="5"/>
      <c r="H23" s="5"/>
    </row>
    <row r="24" spans="1:8">
      <c r="A24" s="85">
        <f t="shared" si="0"/>
        <v>24</v>
      </c>
      <c r="B24" s="5"/>
      <c r="C24" s="5"/>
      <c r="D24" s="5"/>
      <c r="E24" s="5"/>
      <c r="F24" s="5"/>
      <c r="G24" s="5"/>
      <c r="H24" s="5"/>
    </row>
    <row r="25" spans="1:8" ht="16.5" thickBot="1">
      <c r="A25" s="85">
        <f t="shared" si="0"/>
        <v>25</v>
      </c>
      <c r="B25" s="14" t="s">
        <v>17</v>
      </c>
      <c r="C25" s="3"/>
      <c r="D25" s="78">
        <f>'Sch K-5 years'!F116</f>
        <v>67827210</v>
      </c>
      <c r="E25" s="66"/>
      <c r="F25" s="78">
        <f>'Sch K-5 years'!E116</f>
        <v>66760303</v>
      </c>
      <c r="G25" s="5"/>
      <c r="H25" s="5"/>
    </row>
    <row r="26" spans="1:8" ht="16.5" thickTop="1">
      <c r="A26" s="85">
        <f t="shared" si="0"/>
        <v>26</v>
      </c>
      <c r="B26" s="5"/>
      <c r="C26" s="5"/>
      <c r="D26" s="5"/>
      <c r="E26" s="5"/>
      <c r="F26" s="5"/>
      <c r="G26" s="5"/>
      <c r="H26" s="5"/>
    </row>
    <row r="27" spans="1:8">
      <c r="A27" s="85">
        <f t="shared" si="0"/>
        <v>27</v>
      </c>
      <c r="B27" s="3" t="s">
        <v>16</v>
      </c>
      <c r="C27" s="3"/>
      <c r="D27" s="15">
        <f>(D19/D25)</f>
        <v>4.1766423829020828E-3</v>
      </c>
      <c r="E27" s="3"/>
      <c r="F27" s="15">
        <f>(F19/F25)</f>
        <v>3.0707754576847861E-2</v>
      </c>
      <c r="G27" s="5"/>
      <c r="H27" s="5"/>
    </row>
    <row r="28" spans="1:8">
      <c r="A28" s="85">
        <f t="shared" si="0"/>
        <v>28</v>
      </c>
      <c r="B28" s="5"/>
      <c r="C28" s="5"/>
      <c r="D28" s="5"/>
      <c r="E28" s="5"/>
      <c r="F28" s="5"/>
      <c r="G28" s="5"/>
      <c r="H28" s="5"/>
    </row>
    <row r="29" spans="1:8">
      <c r="A29" s="85">
        <f t="shared" si="0"/>
        <v>29</v>
      </c>
      <c r="B29" s="3"/>
      <c r="C29" s="3"/>
      <c r="D29" s="3"/>
      <c r="E29" s="3"/>
      <c r="F29" s="16"/>
      <c r="G29" s="16"/>
      <c r="H29" s="5"/>
    </row>
    <row r="30" spans="1:8">
      <c r="A30" s="85">
        <f t="shared" si="0"/>
        <v>30</v>
      </c>
      <c r="B30" s="3"/>
      <c r="C30" s="3"/>
      <c r="D30" s="3"/>
      <c r="E30" s="3"/>
      <c r="F30" s="16"/>
      <c r="G30" s="16"/>
      <c r="H30" s="5"/>
    </row>
    <row r="31" spans="1:8">
      <c r="A31" s="85">
        <f t="shared" si="0"/>
        <v>31</v>
      </c>
      <c r="B31" s="3"/>
      <c r="C31" s="3"/>
      <c r="D31" s="3"/>
      <c r="E31" s="3"/>
      <c r="F31" s="16"/>
      <c r="G31" s="16"/>
      <c r="H31" s="5"/>
    </row>
    <row r="32" spans="1:8">
      <c r="A32" s="85">
        <f t="shared" si="0"/>
        <v>32</v>
      </c>
      <c r="B32" s="3"/>
      <c r="C32" s="3"/>
      <c r="D32" s="3"/>
      <c r="E32" s="3"/>
      <c r="F32" s="16"/>
      <c r="G32" s="16"/>
      <c r="H32" s="5"/>
    </row>
    <row r="33" spans="1:8">
      <c r="A33" s="85"/>
      <c r="B33" s="16"/>
      <c r="C33" s="16"/>
      <c r="D33" s="16"/>
      <c r="E33" s="16"/>
      <c r="F33" s="16"/>
      <c r="G33" s="16"/>
      <c r="H33" s="5"/>
    </row>
    <row r="34" spans="1:8">
      <c r="A34" s="85">
        <f t="shared" ref="A34:A80" si="1">(A33+1)</f>
        <v>1</v>
      </c>
      <c r="B34" s="3"/>
      <c r="C34" s="3"/>
      <c r="D34" s="3"/>
      <c r="E34" s="3"/>
      <c r="F34" s="4" t="s">
        <v>7</v>
      </c>
      <c r="G34" s="5"/>
      <c r="H34" s="5"/>
    </row>
    <row r="35" spans="1:8">
      <c r="A35" s="85">
        <f t="shared" si="1"/>
        <v>2</v>
      </c>
      <c r="B35" s="3"/>
      <c r="C35" s="3"/>
      <c r="D35" s="3"/>
      <c r="E35" s="3"/>
      <c r="F35" s="4" t="s">
        <v>18</v>
      </c>
      <c r="G35" s="5"/>
      <c r="H35" s="5"/>
    </row>
    <row r="36" spans="1:8">
      <c r="A36" s="85">
        <f t="shared" si="1"/>
        <v>3</v>
      </c>
      <c r="B36" s="3"/>
      <c r="C36" s="3"/>
      <c r="D36" s="3"/>
      <c r="E36" s="3"/>
      <c r="F36" s="4" t="s">
        <v>92</v>
      </c>
      <c r="G36" s="5"/>
      <c r="H36" s="5"/>
    </row>
    <row r="37" spans="1:8" ht="18.75">
      <c r="A37" s="85">
        <f t="shared" si="1"/>
        <v>4</v>
      </c>
      <c r="B37" s="18" t="str">
        <f>B4</f>
        <v>Cumberland Valley Electric</v>
      </c>
      <c r="C37" s="6"/>
      <c r="D37" s="6"/>
      <c r="E37" s="6"/>
      <c r="F37" s="6"/>
      <c r="G37" s="5"/>
      <c r="H37" s="5"/>
    </row>
    <row r="38" spans="1:8" ht="18.75">
      <c r="A38" s="85">
        <f t="shared" si="1"/>
        <v>5</v>
      </c>
      <c r="B38" s="18" t="str">
        <f>B5</f>
        <v>Case No. 2016-00169</v>
      </c>
      <c r="C38" s="6"/>
      <c r="D38" s="6"/>
      <c r="E38" s="6"/>
      <c r="F38" s="6"/>
      <c r="G38" s="5"/>
      <c r="H38" s="5"/>
    </row>
    <row r="39" spans="1:8" ht="18.75">
      <c r="A39" s="85">
        <f t="shared" si="1"/>
        <v>6</v>
      </c>
      <c r="B39" s="7" t="s">
        <v>19</v>
      </c>
      <c r="C39" s="6"/>
      <c r="D39" s="6"/>
      <c r="E39" s="6"/>
      <c r="F39" s="6"/>
      <c r="G39" s="5"/>
      <c r="H39" s="5"/>
    </row>
    <row r="40" spans="1:8">
      <c r="A40" s="85">
        <f t="shared" si="1"/>
        <v>7</v>
      </c>
      <c r="B40" s="87">
        <f>+B7</f>
        <v>42338</v>
      </c>
      <c r="C40" s="7"/>
      <c r="D40" s="7"/>
      <c r="E40" s="7"/>
      <c r="F40" s="7"/>
      <c r="G40" s="5"/>
      <c r="H40" s="5"/>
    </row>
    <row r="41" spans="1:8">
      <c r="A41" s="85">
        <f t="shared" si="1"/>
        <v>8</v>
      </c>
      <c r="B41" s="5"/>
      <c r="C41" s="5"/>
      <c r="D41" s="5"/>
      <c r="E41" s="5"/>
      <c r="F41" s="5"/>
      <c r="G41" s="5"/>
      <c r="H41" s="5"/>
    </row>
    <row r="42" spans="1:8">
      <c r="A42" s="85">
        <f t="shared" si="1"/>
        <v>9</v>
      </c>
      <c r="B42" s="5"/>
      <c r="C42" s="5"/>
      <c r="D42" s="8" t="s">
        <v>10</v>
      </c>
      <c r="E42" s="5"/>
      <c r="F42" s="8" t="s">
        <v>11</v>
      </c>
      <c r="G42" s="5"/>
      <c r="H42" s="5"/>
    </row>
    <row r="43" spans="1:8">
      <c r="A43" s="85">
        <f t="shared" si="1"/>
        <v>10</v>
      </c>
      <c r="B43" s="3"/>
      <c r="C43" s="3"/>
      <c r="D43" s="9" t="s">
        <v>12</v>
      </c>
      <c r="E43" s="3"/>
      <c r="F43" s="9" t="s">
        <v>12</v>
      </c>
      <c r="G43" s="5"/>
      <c r="H43" s="5"/>
    </row>
    <row r="44" spans="1:8">
      <c r="A44" s="85">
        <f t="shared" si="1"/>
        <v>11</v>
      </c>
      <c r="B44" s="5" t="s">
        <v>20</v>
      </c>
      <c r="C44" s="5"/>
      <c r="D44" s="5"/>
      <c r="E44" s="5"/>
      <c r="F44" s="5"/>
      <c r="G44" s="5"/>
      <c r="H44" s="5"/>
    </row>
    <row r="45" spans="1:8">
      <c r="A45" s="85">
        <f t="shared" si="1"/>
        <v>12</v>
      </c>
      <c r="B45" s="5"/>
      <c r="C45" s="5"/>
      <c r="D45" s="73"/>
      <c r="E45" s="73"/>
      <c r="F45" s="73"/>
      <c r="G45" s="5"/>
      <c r="H45" s="5"/>
    </row>
    <row r="46" spans="1:8">
      <c r="A46" s="85">
        <f t="shared" si="1"/>
        <v>13</v>
      </c>
      <c r="B46" s="3" t="s">
        <v>21</v>
      </c>
      <c r="C46" s="3"/>
      <c r="D46" s="66">
        <v>100810405</v>
      </c>
      <c r="E46" s="66"/>
      <c r="F46" s="66">
        <f>D46</f>
        <v>100810405</v>
      </c>
      <c r="G46" s="5"/>
      <c r="H46" s="5"/>
    </row>
    <row r="47" spans="1:8">
      <c r="A47" s="85">
        <f t="shared" si="1"/>
        <v>14</v>
      </c>
      <c r="B47" s="3" t="s">
        <v>5</v>
      </c>
      <c r="C47" s="3"/>
      <c r="D47" s="68">
        <f>+C78</f>
        <v>444961.61538461538</v>
      </c>
      <c r="E47" s="68"/>
      <c r="F47" s="68">
        <f>D47</f>
        <v>444961.61538461538</v>
      </c>
      <c r="G47" s="5"/>
      <c r="H47" s="5"/>
    </row>
    <row r="48" spans="1:8">
      <c r="A48" s="85">
        <f t="shared" si="1"/>
        <v>15</v>
      </c>
      <c r="B48" s="3" t="s">
        <v>22</v>
      </c>
      <c r="C48" s="3"/>
      <c r="D48" s="68"/>
      <c r="E48" s="68"/>
      <c r="F48" s="68"/>
      <c r="G48" s="5"/>
      <c r="H48" s="5"/>
    </row>
    <row r="49" spans="1:8">
      <c r="A49" s="85">
        <f t="shared" si="1"/>
        <v>16</v>
      </c>
      <c r="B49" s="3" t="s">
        <v>6</v>
      </c>
      <c r="C49" s="3"/>
      <c r="D49" s="68">
        <f>+D78</f>
        <v>158454.07692307694</v>
      </c>
      <c r="E49" s="68"/>
      <c r="F49" s="68">
        <f>D49</f>
        <v>158454.07692307694</v>
      </c>
      <c r="G49" s="5"/>
      <c r="H49" s="5"/>
    </row>
    <row r="50" spans="1:8">
      <c r="A50" s="85">
        <f t="shared" si="1"/>
        <v>17</v>
      </c>
      <c r="B50" s="3" t="s">
        <v>22</v>
      </c>
      <c r="C50" s="3"/>
      <c r="D50" s="68"/>
      <c r="E50" s="68"/>
      <c r="F50" s="68"/>
      <c r="G50" s="5"/>
      <c r="H50" s="5"/>
    </row>
    <row r="51" spans="1:8">
      <c r="A51" s="85">
        <f t="shared" si="1"/>
        <v>18</v>
      </c>
      <c r="B51" s="3" t="s">
        <v>23</v>
      </c>
      <c r="C51" s="3"/>
      <c r="D51" s="68"/>
      <c r="E51" s="68"/>
      <c r="F51" s="68"/>
      <c r="G51" s="5"/>
      <c r="H51" s="5"/>
    </row>
    <row r="52" spans="1:8">
      <c r="A52" s="85">
        <f t="shared" si="1"/>
        <v>19</v>
      </c>
      <c r="B52" s="3" t="s">
        <v>24</v>
      </c>
      <c r="C52" s="3"/>
      <c r="D52" s="68"/>
      <c r="E52" s="68"/>
      <c r="F52" s="68"/>
      <c r="G52" s="5"/>
      <c r="H52" s="5"/>
    </row>
    <row r="53" spans="1:8">
      <c r="A53" s="85">
        <f t="shared" si="1"/>
        <v>20</v>
      </c>
      <c r="B53" s="3" t="s">
        <v>25</v>
      </c>
      <c r="C53" s="3"/>
      <c r="D53" s="72">
        <v>991384</v>
      </c>
      <c r="E53" s="68"/>
      <c r="F53" s="79">
        <f>(39213738-31279093)*0.125</f>
        <v>991830.625</v>
      </c>
      <c r="G53" s="5"/>
      <c r="H53" s="5"/>
    </row>
    <row r="54" spans="1:8">
      <c r="A54" s="85">
        <f t="shared" si="1"/>
        <v>21</v>
      </c>
      <c r="B54" s="3"/>
      <c r="C54" s="3"/>
      <c r="D54" s="68"/>
      <c r="E54" s="68"/>
      <c r="F54" s="68"/>
      <c r="G54" s="5"/>
      <c r="H54" s="5"/>
    </row>
    <row r="55" spans="1:8">
      <c r="A55" s="85">
        <f t="shared" si="1"/>
        <v>22</v>
      </c>
      <c r="B55" s="3"/>
      <c r="C55" s="3"/>
      <c r="D55" s="68">
        <f>SUM(D46:D53)</f>
        <v>102405204.69230768</v>
      </c>
      <c r="E55" s="68"/>
      <c r="F55" s="68">
        <f>SUM(F46:F53)</f>
        <v>102405651.31730768</v>
      </c>
      <c r="G55" s="5"/>
      <c r="H55" s="5"/>
    </row>
    <row r="56" spans="1:8">
      <c r="A56" s="85">
        <f t="shared" si="1"/>
        <v>23</v>
      </c>
      <c r="B56" s="3" t="s">
        <v>26</v>
      </c>
      <c r="C56" s="3"/>
      <c r="D56" s="68"/>
      <c r="E56" s="68"/>
      <c r="F56" s="68"/>
      <c r="G56" s="5"/>
      <c r="H56" s="5"/>
    </row>
    <row r="57" spans="1:8">
      <c r="A57" s="85">
        <f t="shared" si="1"/>
        <v>24</v>
      </c>
      <c r="B57" s="3" t="s">
        <v>27</v>
      </c>
      <c r="C57" s="3"/>
      <c r="D57" s="68">
        <v>36032638</v>
      </c>
      <c r="E57" s="68"/>
      <c r="F57" s="80">
        <v>36252248</v>
      </c>
      <c r="G57" s="5"/>
      <c r="H57" s="5"/>
    </row>
    <row r="58" spans="1:8">
      <c r="A58" s="85">
        <f t="shared" si="1"/>
        <v>25</v>
      </c>
      <c r="B58" s="3" t="s">
        <v>3</v>
      </c>
      <c r="C58" s="3"/>
      <c r="D58" s="72">
        <v>83281</v>
      </c>
      <c r="E58" s="68"/>
      <c r="F58" s="81">
        <f>D58</f>
        <v>83281</v>
      </c>
      <c r="G58" s="5"/>
      <c r="H58" s="5"/>
    </row>
    <row r="59" spans="1:8" ht="12" customHeight="1">
      <c r="A59" s="85">
        <f t="shared" si="1"/>
        <v>26</v>
      </c>
      <c r="B59" s="5"/>
      <c r="C59" s="5"/>
      <c r="D59" s="73"/>
      <c r="E59" s="73"/>
      <c r="F59" s="73"/>
      <c r="G59" s="5"/>
      <c r="H59" s="5"/>
    </row>
    <row r="60" spans="1:8" ht="16.5" thickBot="1">
      <c r="A60" s="85">
        <f t="shared" si="1"/>
        <v>27</v>
      </c>
      <c r="B60" s="3" t="s">
        <v>15</v>
      </c>
      <c r="C60" s="3"/>
      <c r="D60" s="78">
        <f>(+D55-SUM(D56:D58))</f>
        <v>66289285.692307681</v>
      </c>
      <c r="E60" s="66"/>
      <c r="F60" s="78">
        <f>(+F55-SUM(F56:F58))</f>
        <v>66070122.317307681</v>
      </c>
      <c r="G60" s="5"/>
      <c r="H60" s="5"/>
    </row>
    <row r="61" spans="1:8" ht="16.5" thickTop="1">
      <c r="A61" s="85">
        <f t="shared" si="1"/>
        <v>28</v>
      </c>
      <c r="B61" s="5"/>
      <c r="C61" s="5"/>
      <c r="D61" s="5"/>
      <c r="E61" s="5"/>
      <c r="F61" s="5"/>
      <c r="G61" s="5"/>
      <c r="H61" s="5"/>
    </row>
    <row r="62" spans="1:8">
      <c r="A62" s="85">
        <f t="shared" si="1"/>
        <v>29</v>
      </c>
      <c r="B62" s="3"/>
      <c r="C62" s="9" t="s">
        <v>28</v>
      </c>
      <c r="D62" s="9" t="s">
        <v>6</v>
      </c>
      <c r="E62" s="5"/>
      <c r="F62" s="5"/>
      <c r="G62" s="5"/>
      <c r="H62" s="5"/>
    </row>
    <row r="63" spans="1:8" ht="12" customHeight="1">
      <c r="A63" s="85">
        <f t="shared" si="1"/>
        <v>30</v>
      </c>
      <c r="B63" s="5"/>
      <c r="C63" s="73"/>
      <c r="D63" s="73"/>
      <c r="E63" s="5"/>
      <c r="F63" s="5"/>
      <c r="G63" s="5"/>
      <c r="H63" s="5"/>
    </row>
    <row r="64" spans="1:8">
      <c r="A64" s="85">
        <f t="shared" si="1"/>
        <v>31</v>
      </c>
      <c r="B64" s="20" t="s">
        <v>98</v>
      </c>
      <c r="C64" s="82">
        <v>427422</v>
      </c>
      <c r="D64" s="82">
        <v>86331</v>
      </c>
      <c r="E64" s="5"/>
      <c r="F64" s="5"/>
      <c r="G64" s="5"/>
      <c r="H64" s="5"/>
    </row>
    <row r="65" spans="1:8">
      <c r="A65" s="85">
        <f t="shared" si="1"/>
        <v>32</v>
      </c>
      <c r="B65" s="20" t="s">
        <v>36</v>
      </c>
      <c r="C65" s="82">
        <v>427412</v>
      </c>
      <c r="D65" s="82">
        <v>45952</v>
      </c>
      <c r="E65" s="5"/>
      <c r="F65" s="5"/>
      <c r="G65" s="5"/>
      <c r="H65" s="5"/>
    </row>
    <row r="66" spans="1:8">
      <c r="A66" s="85">
        <f t="shared" si="1"/>
        <v>33</v>
      </c>
      <c r="B66" s="20" t="s">
        <v>37</v>
      </c>
      <c r="C66" s="82">
        <v>413710</v>
      </c>
      <c r="D66" s="82">
        <v>134594</v>
      </c>
      <c r="E66" s="5"/>
      <c r="F66" s="5"/>
      <c r="G66" s="5"/>
      <c r="H66" s="5"/>
    </row>
    <row r="67" spans="1:8">
      <c r="A67" s="85">
        <f t="shared" si="1"/>
        <v>34</v>
      </c>
      <c r="B67" s="20" t="s">
        <v>38</v>
      </c>
      <c r="C67" s="82">
        <v>449617</v>
      </c>
      <c r="D67" s="82">
        <v>126696</v>
      </c>
      <c r="E67" s="5"/>
      <c r="F67" s="5"/>
      <c r="G67" s="5"/>
      <c r="H67" s="5"/>
    </row>
    <row r="68" spans="1:8">
      <c r="A68" s="85">
        <f t="shared" si="1"/>
        <v>35</v>
      </c>
      <c r="B68" s="20" t="s">
        <v>39</v>
      </c>
      <c r="C68" s="82">
        <v>423647</v>
      </c>
      <c r="D68" s="82">
        <v>116459</v>
      </c>
      <c r="E68" s="5"/>
      <c r="F68" s="5"/>
      <c r="G68" s="5"/>
      <c r="H68" s="5"/>
    </row>
    <row r="69" spans="1:8">
      <c r="A69" s="85">
        <f t="shared" si="1"/>
        <v>36</v>
      </c>
      <c r="B69" s="20" t="s">
        <v>40</v>
      </c>
      <c r="C69" s="82">
        <v>457697</v>
      </c>
      <c r="D69" s="82">
        <v>262651</v>
      </c>
      <c r="E69" s="5"/>
      <c r="F69" s="5"/>
      <c r="G69" s="5"/>
      <c r="H69" s="5"/>
    </row>
    <row r="70" spans="1:8">
      <c r="A70" s="85">
        <f t="shared" si="1"/>
        <v>37</v>
      </c>
      <c r="B70" s="20" t="s">
        <v>29</v>
      </c>
      <c r="C70" s="82">
        <v>474287</v>
      </c>
      <c r="D70" s="82">
        <v>252374</v>
      </c>
      <c r="E70" s="5"/>
      <c r="F70" s="5"/>
      <c r="G70" s="5"/>
      <c r="H70" s="5"/>
    </row>
    <row r="71" spans="1:8">
      <c r="A71" s="85">
        <f t="shared" si="1"/>
        <v>38</v>
      </c>
      <c r="B71" s="20" t="s">
        <v>30</v>
      </c>
      <c r="C71" s="82">
        <v>475618</v>
      </c>
      <c r="D71" s="82">
        <v>242097</v>
      </c>
      <c r="E71" s="5"/>
      <c r="F71" s="5"/>
      <c r="G71" s="5"/>
      <c r="H71" s="5"/>
    </row>
    <row r="72" spans="1:8">
      <c r="A72" s="85">
        <f t="shared" si="1"/>
        <v>39</v>
      </c>
      <c r="B72" s="20" t="s">
        <v>31</v>
      </c>
      <c r="C72" s="82">
        <v>453381</v>
      </c>
      <c r="D72" s="82">
        <v>199426</v>
      </c>
      <c r="E72" s="5"/>
      <c r="F72" s="5"/>
      <c r="G72" s="5"/>
      <c r="H72" s="5"/>
    </row>
    <row r="73" spans="1:8">
      <c r="A73" s="85">
        <f t="shared" si="1"/>
        <v>40</v>
      </c>
      <c r="B73" s="20" t="s">
        <v>32</v>
      </c>
      <c r="C73" s="82">
        <v>431248</v>
      </c>
      <c r="D73" s="82">
        <v>206050</v>
      </c>
      <c r="E73" s="5"/>
      <c r="F73" s="5"/>
      <c r="G73" s="5"/>
      <c r="H73" s="5"/>
    </row>
    <row r="74" spans="1:8">
      <c r="A74" s="85">
        <f t="shared" si="1"/>
        <v>41</v>
      </c>
      <c r="B74" s="20" t="s">
        <v>33</v>
      </c>
      <c r="C74" s="82">
        <v>467916</v>
      </c>
      <c r="D74" s="82">
        <v>166051</v>
      </c>
      <c r="E74" s="5"/>
      <c r="F74" s="5"/>
      <c r="G74" s="5"/>
      <c r="H74" s="5"/>
    </row>
    <row r="75" spans="1:8">
      <c r="A75" s="85">
        <f t="shared" si="1"/>
        <v>42</v>
      </c>
      <c r="B75" s="20" t="s">
        <v>34</v>
      </c>
      <c r="C75" s="82">
        <v>380193</v>
      </c>
      <c r="D75" s="82">
        <v>126053</v>
      </c>
      <c r="E75" s="5"/>
      <c r="F75" s="5"/>
      <c r="G75" s="5"/>
      <c r="H75" s="5"/>
    </row>
    <row r="76" spans="1:8">
      <c r="A76" s="85">
        <f t="shared" si="1"/>
        <v>43</v>
      </c>
      <c r="B76" s="20" t="s">
        <v>35</v>
      </c>
      <c r="C76" s="82">
        <v>502353</v>
      </c>
      <c r="D76" s="82">
        <v>95169</v>
      </c>
      <c r="E76" s="5"/>
      <c r="F76" s="5"/>
      <c r="G76" s="5"/>
      <c r="H76" s="5"/>
    </row>
    <row r="77" spans="1:8" ht="12" customHeight="1">
      <c r="A77" s="85">
        <f t="shared" si="1"/>
        <v>44</v>
      </c>
      <c r="B77" s="3"/>
      <c r="C77" s="68"/>
      <c r="D77" s="68"/>
      <c r="E77" s="5"/>
      <c r="F77" s="5"/>
      <c r="G77" s="5"/>
      <c r="H77" s="5"/>
    </row>
    <row r="78" spans="1:8">
      <c r="A78" s="85">
        <f t="shared" si="1"/>
        <v>45</v>
      </c>
      <c r="B78" s="3" t="s">
        <v>41</v>
      </c>
      <c r="C78" s="68">
        <f>(SUM(C64:C76)/13)</f>
        <v>444961.61538461538</v>
      </c>
      <c r="D78" s="68">
        <f>(SUM(D64:D76)/13)</f>
        <v>158454.07692307694</v>
      </c>
      <c r="E78" s="5"/>
      <c r="F78" s="5"/>
      <c r="G78" s="5"/>
      <c r="H78" s="5"/>
    </row>
    <row r="79" spans="1:8">
      <c r="A79" s="85">
        <f t="shared" si="1"/>
        <v>46</v>
      </c>
      <c r="B79" s="5"/>
      <c r="C79" s="5"/>
      <c r="D79" s="5"/>
      <c r="E79" s="5"/>
      <c r="F79" s="5"/>
      <c r="G79" s="5"/>
      <c r="H79" s="5"/>
    </row>
    <row r="80" spans="1:8">
      <c r="A80" s="85">
        <f t="shared" si="1"/>
        <v>47</v>
      </c>
      <c r="B80" s="5"/>
      <c r="C80" s="5"/>
      <c r="D80" s="5"/>
      <c r="E80" s="5"/>
      <c r="F80" s="5"/>
      <c r="G80" s="5"/>
      <c r="H80" s="5"/>
    </row>
    <row r="81" spans="1:8">
      <c r="B81" s="5"/>
      <c r="C81" s="5"/>
      <c r="D81" s="5"/>
      <c r="E81" s="5"/>
      <c r="F81" s="5"/>
      <c r="G81" s="5"/>
      <c r="H81" s="5"/>
    </row>
    <row r="82" spans="1:8">
      <c r="B82" s="5"/>
      <c r="C82" s="5"/>
      <c r="D82" s="5"/>
      <c r="E82" s="5"/>
      <c r="F82" s="5"/>
      <c r="G82" s="5"/>
      <c r="H82" s="5"/>
    </row>
    <row r="83" spans="1:8">
      <c r="A83" s="85">
        <f t="shared" ref="A83:A116" si="2">(A82+1)</f>
        <v>1</v>
      </c>
      <c r="B83" s="3"/>
      <c r="C83" s="3"/>
      <c r="D83" s="3"/>
      <c r="E83" s="3"/>
      <c r="F83" s="4" t="s">
        <v>7</v>
      </c>
      <c r="G83" s="5"/>
      <c r="H83" s="5"/>
    </row>
    <row r="84" spans="1:8">
      <c r="A84" s="85">
        <f t="shared" si="2"/>
        <v>2</v>
      </c>
      <c r="B84" s="3"/>
      <c r="C84" s="3"/>
      <c r="D84" s="3"/>
      <c r="E84" s="3"/>
      <c r="F84" s="4" t="s">
        <v>42</v>
      </c>
      <c r="G84" s="5"/>
      <c r="H84" s="5"/>
    </row>
    <row r="85" spans="1:8">
      <c r="A85" s="85">
        <f t="shared" si="2"/>
        <v>3</v>
      </c>
      <c r="B85" s="3"/>
      <c r="C85" s="3"/>
      <c r="D85" s="3"/>
      <c r="E85" s="3"/>
      <c r="F85" s="4" t="s">
        <v>92</v>
      </c>
      <c r="G85" s="5"/>
      <c r="H85" s="5"/>
    </row>
    <row r="86" spans="1:8" ht="18.75">
      <c r="A86" s="85">
        <f t="shared" si="2"/>
        <v>4</v>
      </c>
      <c r="B86" s="6" t="str">
        <f>B4</f>
        <v>Cumberland Valley Electric</v>
      </c>
      <c r="C86" s="6"/>
      <c r="D86" s="6"/>
      <c r="E86" s="6"/>
      <c r="F86" s="6"/>
      <c r="G86" s="5"/>
      <c r="H86" s="5"/>
    </row>
    <row r="87" spans="1:8" ht="18.75">
      <c r="A87" s="85">
        <f t="shared" si="2"/>
        <v>5</v>
      </c>
      <c r="B87" s="6" t="str">
        <f>B5</f>
        <v>Case No. 2016-00169</v>
      </c>
      <c r="C87" s="6"/>
      <c r="D87" s="6"/>
      <c r="E87" s="6"/>
      <c r="F87" s="6"/>
      <c r="G87" s="5"/>
      <c r="H87" s="5"/>
    </row>
    <row r="88" spans="1:8" ht="18.75">
      <c r="A88" s="85">
        <f t="shared" si="2"/>
        <v>6</v>
      </c>
      <c r="B88" s="6" t="s">
        <v>43</v>
      </c>
      <c r="C88" s="6"/>
      <c r="D88" s="6"/>
      <c r="E88" s="6"/>
      <c r="F88" s="6"/>
      <c r="G88" s="5"/>
      <c r="H88" s="5"/>
    </row>
    <row r="89" spans="1:8" ht="18.75">
      <c r="A89" s="85">
        <f t="shared" si="2"/>
        <v>7</v>
      </c>
      <c r="B89" s="88">
        <f>+B40</f>
        <v>42338</v>
      </c>
      <c r="C89" s="7"/>
      <c r="D89" s="7"/>
      <c r="E89" s="7"/>
      <c r="F89" s="7"/>
      <c r="G89" s="5"/>
      <c r="H89" s="5"/>
    </row>
    <row r="90" spans="1:8">
      <c r="A90" s="85">
        <f t="shared" si="2"/>
        <v>8</v>
      </c>
      <c r="B90" s="5"/>
      <c r="C90" s="5"/>
      <c r="D90" s="5"/>
      <c r="E90" s="5"/>
      <c r="F90" s="5"/>
      <c r="G90" s="5"/>
      <c r="H90" s="5"/>
    </row>
    <row r="91" spans="1:8">
      <c r="A91" s="85">
        <f t="shared" si="2"/>
        <v>9</v>
      </c>
      <c r="B91" s="5"/>
      <c r="C91" s="5"/>
      <c r="D91" s="8" t="s">
        <v>10</v>
      </c>
      <c r="E91" s="5"/>
      <c r="F91" s="8" t="s">
        <v>11</v>
      </c>
      <c r="G91" s="5"/>
      <c r="H91" s="5"/>
    </row>
    <row r="92" spans="1:8">
      <c r="A92" s="85">
        <f t="shared" si="2"/>
        <v>10</v>
      </c>
      <c r="B92" s="3"/>
      <c r="C92" s="3"/>
      <c r="D92" s="9" t="s">
        <v>12</v>
      </c>
      <c r="E92" s="3"/>
      <c r="F92" s="9" t="s">
        <v>12</v>
      </c>
      <c r="G92" s="5"/>
      <c r="H92" s="5"/>
    </row>
    <row r="93" spans="1:8">
      <c r="A93" s="85">
        <f t="shared" si="2"/>
        <v>11</v>
      </c>
      <c r="B93" s="5"/>
      <c r="C93" s="5"/>
      <c r="D93" s="5"/>
      <c r="E93" s="5"/>
      <c r="F93" s="5"/>
      <c r="G93" s="5"/>
      <c r="H93" s="5"/>
    </row>
    <row r="94" spans="1:8">
      <c r="A94" s="85">
        <f t="shared" si="2"/>
        <v>12</v>
      </c>
      <c r="B94" s="14" t="s">
        <v>44</v>
      </c>
      <c r="C94" s="5"/>
      <c r="D94" s="5"/>
      <c r="E94" s="5"/>
      <c r="F94" s="5"/>
      <c r="G94" s="5"/>
      <c r="H94" s="5"/>
    </row>
    <row r="95" spans="1:8">
      <c r="A95" s="85">
        <f t="shared" si="2"/>
        <v>13</v>
      </c>
      <c r="B95" s="5"/>
      <c r="C95" s="5"/>
      <c r="D95" s="5"/>
      <c r="E95" s="5"/>
      <c r="F95" s="5"/>
      <c r="G95" s="5"/>
      <c r="H95" s="5"/>
    </row>
    <row r="96" spans="1:8">
      <c r="A96" s="85">
        <f t="shared" si="2"/>
        <v>14</v>
      </c>
      <c r="B96" s="5" t="s">
        <v>90</v>
      </c>
      <c r="C96" s="3"/>
      <c r="D96" s="10">
        <v>-222836</v>
      </c>
      <c r="E96" s="3"/>
      <c r="F96" s="10">
        <f>+F13</f>
        <v>1199412</v>
      </c>
      <c r="G96" s="5"/>
      <c r="H96" s="5"/>
    </row>
    <row r="97" spans="1:12">
      <c r="A97" s="85">
        <f t="shared" si="2"/>
        <v>15</v>
      </c>
      <c r="B97" s="3" t="s">
        <v>46</v>
      </c>
      <c r="C97" s="3"/>
      <c r="D97" s="11">
        <f>D17</f>
        <v>506126</v>
      </c>
      <c r="E97" s="3"/>
      <c r="F97" s="11">
        <f>+F17</f>
        <v>850647</v>
      </c>
      <c r="G97" s="5"/>
      <c r="H97" s="5"/>
    </row>
    <row r="98" spans="1:12">
      <c r="A98" s="85">
        <f t="shared" si="2"/>
        <v>16</v>
      </c>
      <c r="B98" s="5"/>
      <c r="C98" s="5"/>
      <c r="D98" s="5"/>
      <c r="E98" s="5"/>
      <c r="F98" s="5"/>
      <c r="G98" s="5"/>
      <c r="H98" s="5"/>
    </row>
    <row r="99" spans="1:12">
      <c r="A99" s="85">
        <f t="shared" si="2"/>
        <v>17</v>
      </c>
      <c r="B99" s="3" t="s">
        <v>47</v>
      </c>
      <c r="C99" s="3"/>
      <c r="D99" s="17">
        <f>(D96+D97)/D97</f>
        <v>0.55972228259366241</v>
      </c>
      <c r="E99" s="3"/>
      <c r="F99" s="17">
        <f>(F96+F97)/F97</f>
        <v>2.4099996825945427</v>
      </c>
      <c r="G99" s="5"/>
      <c r="H99" s="5"/>
    </row>
    <row r="100" spans="1:12">
      <c r="A100" s="85">
        <f t="shared" si="2"/>
        <v>18</v>
      </c>
      <c r="B100" s="5"/>
      <c r="C100" s="5"/>
      <c r="D100" s="5"/>
      <c r="E100" s="5"/>
      <c r="F100" s="5"/>
      <c r="G100" s="5"/>
      <c r="H100" s="5"/>
    </row>
    <row r="101" spans="1:12">
      <c r="A101" s="85">
        <f t="shared" si="2"/>
        <v>19</v>
      </c>
      <c r="B101" s="5"/>
      <c r="C101" s="5"/>
      <c r="D101" s="5"/>
      <c r="E101" s="5"/>
      <c r="F101" s="5"/>
      <c r="G101" s="5"/>
      <c r="H101" s="5"/>
    </row>
    <row r="102" spans="1:12">
      <c r="A102" s="85">
        <f t="shared" si="2"/>
        <v>20</v>
      </c>
      <c r="B102" s="14" t="s">
        <v>48</v>
      </c>
      <c r="C102" s="5"/>
      <c r="D102" s="5"/>
      <c r="E102" s="5"/>
      <c r="F102" s="5"/>
      <c r="G102" s="5"/>
      <c r="H102" s="5"/>
    </row>
    <row r="103" spans="1:12">
      <c r="A103" s="85">
        <f t="shared" si="2"/>
        <v>21</v>
      </c>
      <c r="B103" s="5"/>
      <c r="C103" s="5"/>
      <c r="D103" s="5"/>
      <c r="E103" s="5"/>
      <c r="F103" s="5"/>
      <c r="G103" s="5"/>
      <c r="H103" s="5"/>
    </row>
    <row r="104" spans="1:12">
      <c r="A104" s="85">
        <f t="shared" si="2"/>
        <v>22</v>
      </c>
      <c r="B104" s="83" t="s">
        <v>94</v>
      </c>
      <c r="C104" s="3"/>
      <c r="D104" s="10">
        <f>D96</f>
        <v>-222836</v>
      </c>
      <c r="E104" s="3"/>
      <c r="F104" s="10">
        <f>F96</f>
        <v>1199412</v>
      </c>
      <c r="G104" s="5"/>
      <c r="H104" s="5"/>
    </row>
    <row r="105" spans="1:12">
      <c r="A105" s="85">
        <f t="shared" si="2"/>
        <v>23</v>
      </c>
      <c r="B105" s="3" t="s">
        <v>50</v>
      </c>
      <c r="C105" s="3"/>
      <c r="D105" s="11">
        <v>3485419</v>
      </c>
      <c r="E105" s="3"/>
      <c r="F105" s="2">
        <v>3705029</v>
      </c>
      <c r="G105" s="5"/>
      <c r="H105" s="5"/>
    </row>
    <row r="106" spans="1:12">
      <c r="A106" s="85">
        <f t="shared" si="2"/>
        <v>24</v>
      </c>
      <c r="B106" s="3" t="s">
        <v>46</v>
      </c>
      <c r="C106" s="3"/>
      <c r="D106" s="11">
        <f>D97</f>
        <v>506126</v>
      </c>
      <c r="E106" s="3"/>
      <c r="F106" s="11">
        <f>F97</f>
        <v>850647</v>
      </c>
      <c r="G106" s="5"/>
      <c r="H106" s="5"/>
      <c r="J106" s="21"/>
      <c r="K106" s="21"/>
      <c r="L106" s="21"/>
    </row>
    <row r="107" spans="1:12">
      <c r="A107" s="85">
        <f t="shared" si="2"/>
        <v>25</v>
      </c>
      <c r="B107" s="3" t="s">
        <v>51</v>
      </c>
      <c r="C107" s="3"/>
      <c r="D107" s="11"/>
      <c r="E107" s="3"/>
      <c r="F107" s="11"/>
      <c r="G107" s="5"/>
      <c r="H107" s="5"/>
      <c r="J107" s="21"/>
      <c r="K107" s="21"/>
      <c r="L107" s="21"/>
    </row>
    <row r="108" spans="1:12">
      <c r="A108" s="85">
        <f t="shared" si="2"/>
        <v>26</v>
      </c>
      <c r="B108" s="3" t="s">
        <v>52</v>
      </c>
      <c r="C108" s="3"/>
      <c r="D108" s="11">
        <v>2024179</v>
      </c>
      <c r="E108" s="3"/>
      <c r="F108" s="11">
        <f>D108</f>
        <v>2024179</v>
      </c>
      <c r="G108" s="11"/>
      <c r="H108" s="5"/>
      <c r="J108" s="21"/>
      <c r="K108" s="21"/>
      <c r="L108" s="21"/>
    </row>
    <row r="109" spans="1:12">
      <c r="A109" s="85">
        <f t="shared" si="2"/>
        <v>27</v>
      </c>
      <c r="B109" s="3"/>
      <c r="C109" s="3"/>
      <c r="D109" s="11"/>
      <c r="E109" s="3"/>
      <c r="F109" s="11"/>
      <c r="G109" s="5"/>
      <c r="H109" s="5"/>
      <c r="J109" s="21"/>
      <c r="K109" s="21"/>
      <c r="L109" s="21"/>
    </row>
    <row r="110" spans="1:12">
      <c r="A110" s="85">
        <f t="shared" si="2"/>
        <v>28</v>
      </c>
      <c r="B110" s="3" t="s">
        <v>53</v>
      </c>
      <c r="C110" s="3"/>
      <c r="D110" s="17">
        <f>(+D104+D105+D106)/(+D106+D108)</f>
        <v>1.489428744756067</v>
      </c>
      <c r="E110" s="3"/>
      <c r="F110" s="17">
        <f>(+F104+F105+F106)/(+F106+F108)</f>
        <v>2.0018908970490736</v>
      </c>
      <c r="G110" s="5"/>
      <c r="H110" s="5"/>
      <c r="J110" s="21"/>
      <c r="K110" s="21"/>
      <c r="L110" s="21"/>
    </row>
    <row r="111" spans="1:12">
      <c r="A111" s="85">
        <f t="shared" si="2"/>
        <v>29</v>
      </c>
      <c r="B111" s="5"/>
      <c r="C111" s="5"/>
      <c r="D111" s="5"/>
      <c r="E111" s="5"/>
      <c r="F111" s="5"/>
      <c r="G111" s="5"/>
      <c r="H111" s="5"/>
    </row>
    <row r="112" spans="1:12">
      <c r="A112" s="85">
        <f t="shared" si="2"/>
        <v>30</v>
      </c>
      <c r="B112" s="64" t="s">
        <v>91</v>
      </c>
      <c r="C112" s="5" t="s">
        <v>99</v>
      </c>
      <c r="D112" s="5"/>
      <c r="E112" s="5"/>
      <c r="F112" s="5"/>
      <c r="G112" s="5"/>
      <c r="H112" s="5"/>
    </row>
    <row r="113" spans="1:8">
      <c r="A113" s="85">
        <f t="shared" si="2"/>
        <v>31</v>
      </c>
      <c r="C113" s="5" t="s">
        <v>100</v>
      </c>
      <c r="D113" s="5"/>
      <c r="E113" s="5"/>
      <c r="F113" s="5"/>
      <c r="G113" s="5"/>
      <c r="H113" s="5"/>
    </row>
    <row r="114" spans="1:8">
      <c r="A114" s="85">
        <f t="shared" si="2"/>
        <v>32</v>
      </c>
      <c r="B114" s="5"/>
      <c r="C114" s="5"/>
      <c r="D114" s="5"/>
      <c r="E114" s="5"/>
      <c r="F114" s="5"/>
      <c r="G114" s="5"/>
      <c r="H114" s="5"/>
    </row>
    <row r="115" spans="1:8">
      <c r="A115" s="85">
        <f t="shared" si="2"/>
        <v>33</v>
      </c>
      <c r="B115" s="5"/>
      <c r="C115" s="5"/>
      <c r="D115" s="5"/>
      <c r="E115" s="5"/>
      <c r="F115" s="5"/>
      <c r="G115" s="5"/>
      <c r="H115" s="5"/>
    </row>
    <row r="116" spans="1:8">
      <c r="A116" s="85">
        <f t="shared" si="2"/>
        <v>34</v>
      </c>
      <c r="B116" s="5"/>
      <c r="C116" s="5"/>
      <c r="D116" s="5"/>
      <c r="E116" s="5"/>
      <c r="F116" s="5"/>
      <c r="G116" s="5"/>
      <c r="H116" s="5"/>
    </row>
    <row r="117" spans="1:8">
      <c r="B117" s="5"/>
      <c r="C117" s="5"/>
      <c r="D117" s="5"/>
      <c r="E117" s="5"/>
      <c r="F117" s="5"/>
      <c r="G117" s="5"/>
      <c r="H117" s="5"/>
    </row>
  </sheetData>
  <phoneticPr fontId="1" type="noConversion"/>
  <pageMargins left="0.75" right="0.5" top="0.7" bottom="0.5" header="0.5" footer="0.5"/>
  <pageSetup scale="94" fitToHeight="3" orientation="portrait" r:id="rId1"/>
  <headerFooter alignWithMargins="0"/>
  <rowBreaks count="2" manualBreakCount="2">
    <brk id="33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154"/>
  <sheetViews>
    <sheetView defaultGridColor="0" colorId="22" zoomScaleNormal="100" workbookViewId="0"/>
  </sheetViews>
  <sheetFormatPr defaultColWidth="9.625" defaultRowHeight="15.75"/>
  <cols>
    <col min="1" max="1" width="4.625" style="86" customWidth="1"/>
    <col min="5" max="10" width="12.625" customWidth="1"/>
    <col min="11" max="11" width="11.375" customWidth="1"/>
    <col min="12" max="20" width="10.25" customWidth="1"/>
    <col min="21" max="21" width="11.25" customWidth="1"/>
    <col min="22" max="23" width="10.25" customWidth="1"/>
  </cols>
  <sheetData>
    <row r="1" spans="1:28" ht="18.75">
      <c r="A1" s="85">
        <v>1</v>
      </c>
      <c r="B1" s="106" t="str">
        <f>+'Sch K'!B4</f>
        <v>Cumberland Valley Electric</v>
      </c>
      <c r="C1" s="106"/>
      <c r="D1" s="106"/>
      <c r="E1" s="106"/>
      <c r="F1" s="106"/>
      <c r="G1" s="106"/>
      <c r="H1" s="106"/>
      <c r="I1" s="30"/>
      <c r="J1" s="4" t="s">
        <v>7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8.75">
      <c r="A2" s="85">
        <f t="shared" ref="A2:A31" si="0">(A1+1)</f>
        <v>2</v>
      </c>
      <c r="B2" s="106" t="str">
        <f>+'Sch K'!B5</f>
        <v>Case No. 2016-00169</v>
      </c>
      <c r="C2" s="106"/>
      <c r="D2" s="106"/>
      <c r="E2" s="106"/>
      <c r="F2" s="106"/>
      <c r="G2" s="106"/>
      <c r="H2" s="106"/>
      <c r="I2" s="30"/>
      <c r="J2" s="4" t="s">
        <v>54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>
      <c r="A3" s="85">
        <f t="shared" si="0"/>
        <v>3</v>
      </c>
      <c r="B3" s="105" t="s">
        <v>9</v>
      </c>
      <c r="C3" s="105"/>
      <c r="D3" s="105"/>
      <c r="E3" s="105"/>
      <c r="F3" s="105"/>
      <c r="G3" s="105"/>
      <c r="H3" s="105"/>
      <c r="I3" s="30"/>
      <c r="J3" s="4" t="s">
        <v>92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85">
        <f t="shared" si="0"/>
        <v>4</v>
      </c>
      <c r="B4" s="107">
        <f>+'Sch K'!B7</f>
        <v>42338</v>
      </c>
      <c r="C4" s="107"/>
      <c r="D4" s="107"/>
      <c r="E4" s="107"/>
      <c r="F4" s="107"/>
      <c r="G4" s="107"/>
      <c r="H4" s="107"/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9.9499999999999993" customHeight="1">
      <c r="A5" s="85">
        <f t="shared" si="0"/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85">
        <f t="shared" si="0"/>
        <v>6</v>
      </c>
      <c r="B6" s="24"/>
      <c r="C6" s="24"/>
      <c r="D6" s="24"/>
      <c r="E6" s="24"/>
      <c r="F6" s="32"/>
      <c r="G6" s="33"/>
      <c r="H6" s="33" t="s">
        <v>55</v>
      </c>
      <c r="I6" s="33"/>
      <c r="J6" s="3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85">
        <f t="shared" si="0"/>
        <v>7</v>
      </c>
      <c r="B7" s="24"/>
      <c r="C7" s="24"/>
      <c r="D7" s="24"/>
      <c r="E7" s="35" t="s">
        <v>12</v>
      </c>
      <c r="F7" s="36" t="s">
        <v>56</v>
      </c>
      <c r="G7" s="35" t="s">
        <v>57</v>
      </c>
      <c r="H7" s="26" t="s">
        <v>58</v>
      </c>
      <c r="I7" s="35" t="s">
        <v>59</v>
      </c>
      <c r="J7" s="37" t="s">
        <v>60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85">
        <f t="shared" si="0"/>
        <v>8</v>
      </c>
      <c r="B8" s="24"/>
      <c r="C8" s="24"/>
      <c r="D8" s="24"/>
      <c r="E8" s="38">
        <v>2015</v>
      </c>
      <c r="F8" s="39">
        <f>E8-1</f>
        <v>2014</v>
      </c>
      <c r="G8" s="39">
        <f>F8-1</f>
        <v>2013</v>
      </c>
      <c r="H8" s="39">
        <f>G8-1</f>
        <v>2012</v>
      </c>
      <c r="I8" s="39">
        <f>H8-1</f>
        <v>2011</v>
      </c>
      <c r="J8" s="39">
        <f>I8-1</f>
        <v>2010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9.9499999999999993" customHeight="1">
      <c r="A9" s="85">
        <f t="shared" si="0"/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85">
        <f t="shared" si="0"/>
        <v>10</v>
      </c>
      <c r="B10" s="24" t="s">
        <v>13</v>
      </c>
      <c r="C10" s="24"/>
      <c r="D10" s="24"/>
      <c r="E10" s="29">
        <f>'Sch K'!D13</f>
        <v>2266320</v>
      </c>
      <c r="F10" s="1">
        <v>2735613</v>
      </c>
      <c r="G10" s="1">
        <v>3031856</v>
      </c>
      <c r="H10" s="1">
        <v>2473447</v>
      </c>
      <c r="I10" s="1">
        <v>3687972</v>
      </c>
      <c r="J10" s="1">
        <v>3465120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>
      <c r="A11" s="85">
        <f t="shared" si="0"/>
        <v>11</v>
      </c>
      <c r="B11" s="3" t="s">
        <v>14</v>
      </c>
      <c r="C11" s="3"/>
      <c r="D11" s="3"/>
      <c r="E11" s="12">
        <f>'Sch K'!D17</f>
        <v>506126</v>
      </c>
      <c r="F11" s="19">
        <v>348543</v>
      </c>
      <c r="G11" s="19">
        <v>354342</v>
      </c>
      <c r="H11" s="19">
        <v>427212</v>
      </c>
      <c r="I11" s="19">
        <v>449190</v>
      </c>
      <c r="J11" s="19">
        <v>567377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6.5" thickBot="1">
      <c r="A12" s="85">
        <f t="shared" si="0"/>
        <v>12</v>
      </c>
      <c r="B12" s="3" t="s">
        <v>0</v>
      </c>
      <c r="C12" s="3"/>
      <c r="D12" s="3"/>
      <c r="E12" s="13">
        <f t="shared" ref="E12:J12" si="1">SUM(E10:E11)</f>
        <v>2772446</v>
      </c>
      <c r="F12" s="13">
        <f t="shared" si="1"/>
        <v>3084156</v>
      </c>
      <c r="G12" s="13">
        <f t="shared" si="1"/>
        <v>3386198</v>
      </c>
      <c r="H12" s="13">
        <f t="shared" si="1"/>
        <v>2900659</v>
      </c>
      <c r="I12" s="13">
        <f t="shared" si="1"/>
        <v>4137162</v>
      </c>
      <c r="J12" s="13">
        <f t="shared" si="1"/>
        <v>4032497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6.5" thickTop="1">
      <c r="A13" s="85">
        <f t="shared" si="0"/>
        <v>13</v>
      </c>
      <c r="B13" s="3"/>
      <c r="C13" s="3"/>
      <c r="D13" s="3"/>
      <c r="E13" s="11"/>
      <c r="F13" s="11"/>
      <c r="G13" s="11"/>
      <c r="H13" s="11"/>
      <c r="I13" s="11"/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6.5" thickBot="1">
      <c r="A14" s="85">
        <f t="shared" si="0"/>
        <v>14</v>
      </c>
      <c r="B14" s="3" t="s">
        <v>15</v>
      </c>
      <c r="C14" s="3"/>
      <c r="D14" s="3"/>
      <c r="E14" s="13">
        <f t="shared" ref="E14:J14" si="2">E57</f>
        <v>66289285.692307681</v>
      </c>
      <c r="F14" s="13">
        <f t="shared" si="2"/>
        <v>65044422.625</v>
      </c>
      <c r="G14" s="13">
        <f t="shared" si="2"/>
        <v>63796898.125</v>
      </c>
      <c r="H14" s="13">
        <f t="shared" si="2"/>
        <v>60934675</v>
      </c>
      <c r="I14" s="13">
        <f t="shared" si="2"/>
        <v>58106354</v>
      </c>
      <c r="J14" s="13">
        <f t="shared" si="2"/>
        <v>55768535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6.5" thickTop="1">
      <c r="A15" s="85">
        <f t="shared" si="0"/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>
      <c r="A16" s="85">
        <f t="shared" si="0"/>
        <v>16</v>
      </c>
      <c r="B16" s="14" t="s">
        <v>16</v>
      </c>
      <c r="C16" s="24"/>
      <c r="D16" s="24"/>
      <c r="E16" s="15">
        <f t="shared" ref="E16:J16" si="3">(E12/E14)</f>
        <v>4.1823440561250751E-2</v>
      </c>
      <c r="F16" s="15">
        <f t="shared" si="3"/>
        <v>4.741614846488923E-2</v>
      </c>
      <c r="G16" s="15">
        <f t="shared" si="3"/>
        <v>5.3077784336242759E-2</v>
      </c>
      <c r="H16" s="15">
        <f t="shared" si="3"/>
        <v>4.7602764764069064E-2</v>
      </c>
      <c r="I16" s="15">
        <f t="shared" si="3"/>
        <v>7.1199820935245739E-2</v>
      </c>
      <c r="J16" s="15">
        <f t="shared" si="3"/>
        <v>7.2307744860072076E-2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85">
        <f t="shared" si="0"/>
        <v>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85">
        <f t="shared" si="0"/>
        <v>18</v>
      </c>
      <c r="B18" s="24" t="s">
        <v>61</v>
      </c>
      <c r="C18" s="24"/>
      <c r="D18" s="24"/>
      <c r="E18" s="24"/>
      <c r="F18" s="32"/>
      <c r="G18" s="33"/>
      <c r="H18" s="32"/>
      <c r="I18" s="33"/>
      <c r="J18" s="33" t="s">
        <v>55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85">
        <f t="shared" si="0"/>
        <v>19</v>
      </c>
      <c r="B19" s="24" t="s">
        <v>62</v>
      </c>
      <c r="C19" s="24"/>
      <c r="D19" s="24"/>
      <c r="E19" s="35" t="s">
        <v>12</v>
      </c>
      <c r="F19" s="36" t="s">
        <v>56</v>
      </c>
      <c r="G19" s="35" t="s">
        <v>57</v>
      </c>
      <c r="H19" s="36" t="s">
        <v>56</v>
      </c>
      <c r="I19" s="35" t="s">
        <v>57</v>
      </c>
      <c r="J19" s="26" t="s">
        <v>58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A20" s="85">
        <f t="shared" si="0"/>
        <v>20</v>
      </c>
      <c r="B20" s="24"/>
      <c r="C20" s="24"/>
      <c r="D20" s="24"/>
      <c r="E20" s="38">
        <f t="shared" ref="E20:J20" si="4">E8</f>
        <v>2015</v>
      </c>
      <c r="F20" s="38">
        <f t="shared" si="4"/>
        <v>2014</v>
      </c>
      <c r="G20" s="38">
        <f t="shared" si="4"/>
        <v>2013</v>
      </c>
      <c r="H20" s="38">
        <f t="shared" si="4"/>
        <v>2012</v>
      </c>
      <c r="I20" s="38">
        <f t="shared" si="4"/>
        <v>2011</v>
      </c>
      <c r="J20" s="38">
        <f t="shared" si="4"/>
        <v>2010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9.9499999999999993" customHeight="1">
      <c r="A21" s="85">
        <f t="shared" si="0"/>
        <v>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>
      <c r="A22" s="85">
        <f t="shared" si="0"/>
        <v>22</v>
      </c>
      <c r="B22" s="24" t="s">
        <v>13</v>
      </c>
      <c r="C22" s="24"/>
      <c r="D22" s="24"/>
      <c r="E22" s="29">
        <f t="shared" ref="E22:J22" si="5">E10</f>
        <v>2266320</v>
      </c>
      <c r="F22" s="29">
        <f t="shared" si="5"/>
        <v>2735613</v>
      </c>
      <c r="G22" s="29">
        <f t="shared" si="5"/>
        <v>3031856</v>
      </c>
      <c r="H22" s="29">
        <f t="shared" si="5"/>
        <v>2473447</v>
      </c>
      <c r="I22" s="29">
        <f t="shared" si="5"/>
        <v>3687972</v>
      </c>
      <c r="J22" s="29">
        <f t="shared" si="5"/>
        <v>3465120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>
      <c r="A23" s="85">
        <f t="shared" si="0"/>
        <v>23</v>
      </c>
      <c r="B23" s="24" t="s">
        <v>63</v>
      </c>
      <c r="C23" s="24"/>
      <c r="D23" s="24"/>
      <c r="E23" s="40">
        <v>2489156</v>
      </c>
      <c r="F23" s="63">
        <v>2489157</v>
      </c>
      <c r="G23" s="41">
        <v>2957019</v>
      </c>
      <c r="H23" s="63">
        <v>2364260</v>
      </c>
      <c r="I23" s="41">
        <v>2700063</v>
      </c>
      <c r="J23" s="41">
        <v>1513478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>
      <c r="A24" s="85">
        <f t="shared" si="0"/>
        <v>24</v>
      </c>
      <c r="B24" s="3" t="s">
        <v>14</v>
      </c>
      <c r="C24" s="3"/>
      <c r="D24" s="3"/>
      <c r="E24" s="12">
        <f t="shared" ref="E24:J24" si="6">E11</f>
        <v>506126</v>
      </c>
      <c r="F24" s="12">
        <f t="shared" si="6"/>
        <v>348543</v>
      </c>
      <c r="G24" s="12">
        <f t="shared" si="6"/>
        <v>354342</v>
      </c>
      <c r="H24" s="12">
        <f t="shared" si="6"/>
        <v>427212</v>
      </c>
      <c r="I24" s="12">
        <f t="shared" si="6"/>
        <v>449190</v>
      </c>
      <c r="J24" s="12">
        <f t="shared" si="6"/>
        <v>567377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6.5" thickBot="1">
      <c r="A25" s="85">
        <f t="shared" si="0"/>
        <v>25</v>
      </c>
      <c r="B25" s="3" t="s">
        <v>0</v>
      </c>
      <c r="C25" s="3"/>
      <c r="D25" s="3"/>
      <c r="E25" s="13">
        <f t="shared" ref="E25:J25" si="7">E22-E23+E24</f>
        <v>283290</v>
      </c>
      <c r="F25" s="13">
        <f t="shared" si="7"/>
        <v>594999</v>
      </c>
      <c r="G25" s="13">
        <f t="shared" si="7"/>
        <v>429179</v>
      </c>
      <c r="H25" s="13">
        <f t="shared" si="7"/>
        <v>536399</v>
      </c>
      <c r="I25" s="13">
        <f t="shared" si="7"/>
        <v>1437099</v>
      </c>
      <c r="J25" s="13">
        <f t="shared" si="7"/>
        <v>2519019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6.5" thickTop="1">
      <c r="A26" s="85">
        <f t="shared" si="0"/>
        <v>26</v>
      </c>
      <c r="B26" s="3"/>
      <c r="C26" s="3"/>
      <c r="D26" s="3"/>
      <c r="E26" s="11"/>
      <c r="F26" s="11"/>
      <c r="G26" s="11"/>
      <c r="H26" s="11"/>
      <c r="I26" s="11"/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6.5" thickBot="1">
      <c r="A27" s="85">
        <f t="shared" si="0"/>
        <v>27</v>
      </c>
      <c r="B27" s="3" t="s">
        <v>15</v>
      </c>
      <c r="C27" s="3"/>
      <c r="D27" s="3"/>
      <c r="E27" s="13">
        <f t="shared" ref="E27:J27" si="8">E57</f>
        <v>66289285.692307681</v>
      </c>
      <c r="F27" s="13">
        <f t="shared" si="8"/>
        <v>65044422.625</v>
      </c>
      <c r="G27" s="13">
        <f t="shared" si="8"/>
        <v>63796898.125</v>
      </c>
      <c r="H27" s="13">
        <f t="shared" si="8"/>
        <v>60934675</v>
      </c>
      <c r="I27" s="13">
        <f t="shared" si="8"/>
        <v>58106354</v>
      </c>
      <c r="J27" s="13">
        <f t="shared" si="8"/>
        <v>55768535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6.5" thickTop="1">
      <c r="A28" s="85">
        <f t="shared" si="0"/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>
      <c r="A29" s="85">
        <f t="shared" si="0"/>
        <v>29</v>
      </c>
      <c r="B29" s="14" t="s">
        <v>64</v>
      </c>
      <c r="C29" s="24"/>
      <c r="D29" s="24"/>
      <c r="E29" s="15">
        <f t="shared" ref="E29:J29" si="9">(E25/E27)</f>
        <v>4.2735412976832457E-3</v>
      </c>
      <c r="F29" s="15">
        <f t="shared" si="9"/>
        <v>9.1475790849946063E-3</v>
      </c>
      <c r="G29" s="15">
        <f t="shared" si="9"/>
        <v>6.7272706450255803E-3</v>
      </c>
      <c r="H29" s="15">
        <f t="shared" si="9"/>
        <v>8.8028532194518137E-3</v>
      </c>
      <c r="I29" s="15">
        <f t="shared" si="9"/>
        <v>2.4732217753672861E-2</v>
      </c>
      <c r="J29" s="15">
        <f t="shared" si="9"/>
        <v>4.5169180076184534E-2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>
      <c r="A30" s="85">
        <f t="shared" si="0"/>
        <v>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>
      <c r="A31" s="85">
        <f t="shared" si="0"/>
        <v>31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>
      <c r="A32" s="85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>
      <c r="A33" s="85">
        <f t="shared" ref="A33:A60" si="10">(A32+1)</f>
        <v>1</v>
      </c>
      <c r="B33" s="24"/>
      <c r="C33" s="24"/>
      <c r="D33" s="24"/>
      <c r="E33" s="24"/>
      <c r="F33" s="24"/>
      <c r="G33" s="25"/>
      <c r="H33" s="24"/>
      <c r="I33" s="24"/>
      <c r="J33" s="25" t="s">
        <v>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>
      <c r="A34" s="85">
        <f t="shared" si="10"/>
        <v>2</v>
      </c>
      <c r="B34" s="24"/>
      <c r="C34" s="24"/>
      <c r="D34" s="24"/>
      <c r="E34" s="24"/>
      <c r="F34" s="24"/>
      <c r="G34" s="24"/>
      <c r="H34" s="24"/>
      <c r="I34" s="24"/>
      <c r="J34" s="25" t="s">
        <v>65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>
      <c r="A35" s="85">
        <f t="shared" si="10"/>
        <v>3</v>
      </c>
      <c r="B35" s="24"/>
      <c r="C35" s="24"/>
      <c r="D35" s="24"/>
      <c r="E35" s="24"/>
      <c r="F35" s="24"/>
      <c r="G35" s="24"/>
      <c r="H35" s="24"/>
      <c r="I35" s="24"/>
      <c r="J35" s="25" t="s">
        <v>92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8.75">
      <c r="A36" s="85">
        <f t="shared" si="10"/>
        <v>4</v>
      </c>
      <c r="B36" s="18" t="str">
        <f>B1</f>
        <v>Cumberland Valley Electric</v>
      </c>
      <c r="C36" s="30"/>
      <c r="D36" s="30"/>
      <c r="E36" s="30"/>
      <c r="F36" s="30"/>
      <c r="G36" s="30"/>
      <c r="H36" s="30"/>
      <c r="I36" s="30"/>
      <c r="J36" s="30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8.75">
      <c r="A37" s="85">
        <f t="shared" si="10"/>
        <v>5</v>
      </c>
      <c r="B37" s="18" t="str">
        <f>B2</f>
        <v>Case No. 2016-00169</v>
      </c>
      <c r="C37" s="30"/>
      <c r="D37" s="30"/>
      <c r="E37" s="30"/>
      <c r="F37" s="30"/>
      <c r="G37" s="30"/>
      <c r="H37" s="30"/>
      <c r="I37" s="30"/>
      <c r="J37" s="30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85">
        <f t="shared" si="10"/>
        <v>6</v>
      </c>
      <c r="B38" s="22" t="s">
        <v>19</v>
      </c>
      <c r="C38" s="30"/>
      <c r="D38" s="30"/>
      <c r="E38" s="30"/>
      <c r="F38" s="30"/>
      <c r="G38" s="30"/>
      <c r="H38" s="30"/>
      <c r="I38" s="30"/>
      <c r="J38" s="30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85">
        <f t="shared" si="10"/>
        <v>7</v>
      </c>
      <c r="B39" s="89">
        <f>+B4</f>
        <v>42338</v>
      </c>
      <c r="C39" s="22"/>
      <c r="D39" s="22"/>
      <c r="E39" s="22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85">
        <f t="shared" si="10"/>
        <v>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85">
        <f t="shared" si="10"/>
        <v>9</v>
      </c>
      <c r="B41" s="24"/>
      <c r="C41" s="24"/>
      <c r="D41" s="24"/>
      <c r="E41" s="24"/>
      <c r="F41" s="32"/>
      <c r="G41" s="33"/>
      <c r="H41" s="33" t="s">
        <v>55</v>
      </c>
      <c r="I41" s="33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85">
        <f t="shared" si="10"/>
        <v>10</v>
      </c>
      <c r="B42" s="24"/>
      <c r="C42" s="24"/>
      <c r="D42" s="24"/>
      <c r="E42" s="35" t="s">
        <v>12</v>
      </c>
      <c r="F42" s="36" t="s">
        <v>56</v>
      </c>
      <c r="G42" s="35" t="s">
        <v>57</v>
      </c>
      <c r="H42" s="26" t="s">
        <v>58</v>
      </c>
      <c r="I42" s="35" t="s">
        <v>59</v>
      </c>
      <c r="J42" s="37" t="s">
        <v>60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85">
        <f t="shared" si="10"/>
        <v>11</v>
      </c>
      <c r="B43" s="24"/>
      <c r="C43" s="24"/>
      <c r="D43" s="24"/>
      <c r="E43" s="38">
        <f t="shared" ref="E43:J43" si="11">E8</f>
        <v>2015</v>
      </c>
      <c r="F43" s="38">
        <f t="shared" si="11"/>
        <v>2014</v>
      </c>
      <c r="G43" s="38">
        <f t="shared" si="11"/>
        <v>2013</v>
      </c>
      <c r="H43" s="38">
        <f t="shared" si="11"/>
        <v>2012</v>
      </c>
      <c r="I43" s="38">
        <f t="shared" si="11"/>
        <v>2011</v>
      </c>
      <c r="J43" s="38">
        <f t="shared" si="11"/>
        <v>2010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85">
        <f t="shared" si="10"/>
        <v>12</v>
      </c>
      <c r="B44" s="14" t="s">
        <v>20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8" customHeight="1">
      <c r="A45" s="85">
        <f t="shared" si="10"/>
        <v>13</v>
      </c>
      <c r="B45" s="24" t="s">
        <v>21</v>
      </c>
      <c r="C45" s="24"/>
      <c r="D45" s="24"/>
      <c r="E45" s="29">
        <f>'Sch K'!D46</f>
        <v>100810405</v>
      </c>
      <c r="F45" s="1">
        <v>97990900</v>
      </c>
      <c r="G45" s="1">
        <v>95868118</v>
      </c>
      <c r="H45" s="1">
        <v>91907099</v>
      </c>
      <c r="I45" s="1">
        <v>87488900</v>
      </c>
      <c r="J45" s="1">
        <v>84725706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>
      <c r="A46" s="85">
        <f t="shared" si="10"/>
        <v>14</v>
      </c>
      <c r="B46" s="3" t="s">
        <v>66</v>
      </c>
      <c r="C46" s="3"/>
      <c r="D46" s="3"/>
      <c r="E46" s="11">
        <f>'Sch K'!D47</f>
        <v>444961.61538461538</v>
      </c>
      <c r="F46" s="2">
        <v>427412</v>
      </c>
      <c r="G46" s="2">
        <v>496675</v>
      </c>
      <c r="H46" s="2">
        <v>700215</v>
      </c>
      <c r="I46" s="2">
        <v>587895</v>
      </c>
      <c r="J46" s="2">
        <v>515580</v>
      </c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" customHeight="1">
      <c r="A47" s="85">
        <f t="shared" si="10"/>
        <v>15</v>
      </c>
      <c r="B47" s="3" t="s">
        <v>67</v>
      </c>
      <c r="C47" s="3"/>
      <c r="D47" s="3"/>
      <c r="E47" s="11">
        <f>'Sch K'!D49</f>
        <v>158454.07692307694</v>
      </c>
      <c r="F47" s="2">
        <v>45952</v>
      </c>
      <c r="G47" s="2">
        <v>69683</v>
      </c>
      <c r="H47" s="2">
        <v>46119</v>
      </c>
      <c r="I47" s="2">
        <v>42743</v>
      </c>
      <c r="J47" s="2">
        <v>39578</v>
      </c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" customHeight="1">
      <c r="A48" s="85">
        <f t="shared" si="10"/>
        <v>16</v>
      </c>
      <c r="B48" s="3" t="s">
        <v>23</v>
      </c>
      <c r="C48" s="3"/>
      <c r="D48" s="3"/>
      <c r="E48" s="11"/>
      <c r="F48" s="2"/>
      <c r="G48" s="2"/>
      <c r="H48" s="2"/>
      <c r="I48" s="2"/>
      <c r="J48" s="2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>
      <c r="A49" s="85">
        <f t="shared" si="10"/>
        <v>17</v>
      </c>
      <c r="B49" s="3" t="s">
        <v>68</v>
      </c>
      <c r="C49" s="3"/>
      <c r="D49" s="3"/>
      <c r="E49" s="11"/>
      <c r="F49" s="2"/>
      <c r="G49" s="2"/>
      <c r="H49" s="2"/>
      <c r="I49" s="2"/>
      <c r="J49" s="2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" customHeight="1">
      <c r="A50" s="85">
        <f t="shared" si="10"/>
        <v>18</v>
      </c>
      <c r="B50" s="3" t="s">
        <v>69</v>
      </c>
      <c r="C50" s="3"/>
      <c r="D50" s="3"/>
      <c r="E50" s="12">
        <f>'Sch K'!D53</f>
        <v>991384</v>
      </c>
      <c r="F50" s="19">
        <f>+(44193389-36454328)*0.125</f>
        <v>967382.625</v>
      </c>
      <c r="G50" s="19">
        <f>+(43232737-35772176)*0.125</f>
        <v>932570.125</v>
      </c>
      <c r="H50" s="19">
        <v>924738</v>
      </c>
      <c r="I50" s="19">
        <v>891626</v>
      </c>
      <c r="J50" s="19">
        <v>917403</v>
      </c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" customHeight="1">
      <c r="A51" s="85">
        <f t="shared" si="10"/>
        <v>19</v>
      </c>
      <c r="B51" s="3"/>
      <c r="C51" s="3"/>
      <c r="D51" s="3"/>
      <c r="E51" s="11">
        <f t="shared" ref="E51:J51" si="12">SUM(E45:E50)</f>
        <v>102405204.69230768</v>
      </c>
      <c r="F51" s="11">
        <f t="shared" si="12"/>
        <v>99431646.625</v>
      </c>
      <c r="G51" s="11">
        <f t="shared" si="12"/>
        <v>97367046.125</v>
      </c>
      <c r="H51" s="11">
        <f t="shared" si="12"/>
        <v>93578171</v>
      </c>
      <c r="I51" s="11">
        <f t="shared" si="12"/>
        <v>89011164</v>
      </c>
      <c r="J51" s="11">
        <f t="shared" si="12"/>
        <v>86198267</v>
      </c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8" customHeight="1">
      <c r="A52" s="85">
        <f t="shared" si="10"/>
        <v>20</v>
      </c>
      <c r="B52" s="3"/>
      <c r="C52" s="3"/>
      <c r="D52" s="3"/>
      <c r="E52" s="11"/>
      <c r="F52" s="11"/>
      <c r="G52" s="11"/>
      <c r="H52" s="11"/>
      <c r="I52" s="11"/>
      <c r="J52" s="11"/>
      <c r="K52" s="1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8" customHeight="1">
      <c r="A53" s="85">
        <f t="shared" si="10"/>
        <v>21</v>
      </c>
      <c r="B53" s="14" t="s">
        <v>26</v>
      </c>
      <c r="C53" s="24"/>
      <c r="D53" s="24"/>
      <c r="E53" s="28"/>
      <c r="F53" s="28"/>
      <c r="G53" s="28"/>
      <c r="H53" s="28"/>
      <c r="I53" s="28"/>
      <c r="J53" s="28"/>
      <c r="K53" s="28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18" customHeight="1">
      <c r="A54" s="85">
        <f t="shared" si="10"/>
        <v>22</v>
      </c>
      <c r="B54" s="24" t="s">
        <v>70</v>
      </c>
      <c r="C54" s="24"/>
      <c r="D54" s="24"/>
      <c r="E54" s="28">
        <v>36032638</v>
      </c>
      <c r="F54" s="2">
        <v>34331984</v>
      </c>
      <c r="G54" s="2">
        <v>33482599</v>
      </c>
      <c r="H54" s="2">
        <v>32589402</v>
      </c>
      <c r="I54" s="2">
        <v>30851298</v>
      </c>
      <c r="J54" s="2">
        <v>30384843</v>
      </c>
      <c r="K54" s="1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8" customHeight="1">
      <c r="A55" s="85">
        <f t="shared" si="10"/>
        <v>23</v>
      </c>
      <c r="B55" s="3" t="s">
        <v>2</v>
      </c>
      <c r="C55" s="3"/>
      <c r="D55" s="3"/>
      <c r="E55" s="12">
        <v>83281</v>
      </c>
      <c r="F55" s="19">
        <v>55240</v>
      </c>
      <c r="G55" s="19">
        <v>87549</v>
      </c>
      <c r="H55" s="19">
        <v>54094</v>
      </c>
      <c r="I55" s="19">
        <v>53512</v>
      </c>
      <c r="J55" s="19">
        <v>44889</v>
      </c>
      <c r="K55" s="1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8" customHeight="1">
      <c r="A56" s="85">
        <f t="shared" si="10"/>
        <v>24</v>
      </c>
      <c r="B56" s="3"/>
      <c r="C56" s="3"/>
      <c r="D56" s="3"/>
      <c r="E56" s="11"/>
      <c r="F56" s="11"/>
      <c r="G56" s="11"/>
      <c r="H56" s="11"/>
      <c r="I56" s="11"/>
      <c r="J56" s="11"/>
      <c r="K56" s="1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8" customHeight="1" thickBot="1">
      <c r="A57" s="85">
        <f t="shared" si="10"/>
        <v>25</v>
      </c>
      <c r="B57" s="14" t="s">
        <v>15</v>
      </c>
      <c r="C57" s="24"/>
      <c r="D57" s="24"/>
      <c r="E57" s="31">
        <f t="shared" ref="E57:J57" si="13">(+E51-SUM(E53:E55))</f>
        <v>66289285.692307681</v>
      </c>
      <c r="F57" s="31">
        <f t="shared" si="13"/>
        <v>65044422.625</v>
      </c>
      <c r="G57" s="31">
        <f t="shared" si="13"/>
        <v>63796898.125</v>
      </c>
      <c r="H57" s="31">
        <f t="shared" si="13"/>
        <v>60934675</v>
      </c>
      <c r="I57" s="31">
        <f t="shared" si="13"/>
        <v>58106354</v>
      </c>
      <c r="J57" s="31">
        <f t="shared" si="13"/>
        <v>55768535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16.5" thickTop="1">
      <c r="A58" s="85">
        <f t="shared" si="10"/>
        <v>26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>
      <c r="A59" s="85">
        <f t="shared" si="10"/>
        <v>27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>
      <c r="A60" s="85">
        <f t="shared" si="10"/>
        <v>28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>
      <c r="A61" s="85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18.75">
      <c r="A62" s="85">
        <v>1</v>
      </c>
      <c r="B62" s="18" t="str">
        <f>B1</f>
        <v>Cumberland Valley Electric</v>
      </c>
      <c r="C62" s="30"/>
      <c r="D62" s="30"/>
      <c r="E62" s="30"/>
      <c r="F62" s="30"/>
      <c r="G62" s="30"/>
      <c r="H62" s="30"/>
      <c r="I62" s="30"/>
      <c r="J62" s="25" t="s">
        <v>7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ht="18.75">
      <c r="A63" s="85">
        <f t="shared" ref="A63:A86" si="14">(A62+1)</f>
        <v>2</v>
      </c>
      <c r="B63" s="18" t="str">
        <f>B2</f>
        <v>Case No. 2016-00169</v>
      </c>
      <c r="C63" s="30"/>
      <c r="D63" s="30"/>
      <c r="E63" s="30"/>
      <c r="F63" s="30"/>
      <c r="G63" s="30"/>
      <c r="H63" s="30"/>
      <c r="I63" s="30"/>
      <c r="J63" s="25" t="s">
        <v>71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>
      <c r="A64" s="85">
        <f t="shared" si="14"/>
        <v>3</v>
      </c>
      <c r="B64" s="22" t="s">
        <v>43</v>
      </c>
      <c r="C64" s="30"/>
      <c r="D64" s="30"/>
      <c r="E64" s="30"/>
      <c r="F64" s="30"/>
      <c r="G64" s="30"/>
      <c r="H64" s="30"/>
      <c r="I64" s="30"/>
      <c r="J64" s="25" t="s">
        <v>92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85">
        <f t="shared" si="14"/>
        <v>4</v>
      </c>
      <c r="B65" s="89">
        <f>+B39</f>
        <v>42338</v>
      </c>
      <c r="C65" s="30"/>
      <c r="D65" s="30"/>
      <c r="E65" s="30"/>
      <c r="F65" s="30"/>
      <c r="G65" s="30"/>
      <c r="H65" s="30"/>
      <c r="I65" s="30"/>
      <c r="J65" s="30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23"/>
      <c r="Y65" s="23"/>
      <c r="Z65" s="23"/>
      <c r="AA65" s="23"/>
      <c r="AB65" s="23"/>
    </row>
    <row r="66" spans="1:28">
      <c r="A66" s="85">
        <f t="shared" si="14"/>
        <v>5</v>
      </c>
      <c r="B66" s="23"/>
      <c r="C66" s="23"/>
      <c r="D66" s="23"/>
      <c r="E66" s="23"/>
      <c r="F66" s="23"/>
      <c r="G66" s="23"/>
      <c r="H66" s="23"/>
      <c r="I66" s="23"/>
      <c r="J66" s="23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23"/>
      <c r="Y66" s="23"/>
      <c r="Z66" s="23"/>
      <c r="AA66" s="23"/>
      <c r="AB66" s="23"/>
    </row>
    <row r="67" spans="1:28">
      <c r="A67" s="85">
        <f t="shared" si="14"/>
        <v>6</v>
      </c>
      <c r="B67" s="24"/>
      <c r="C67" s="24"/>
      <c r="D67" s="24"/>
      <c r="E67" s="24"/>
      <c r="F67" s="32"/>
      <c r="G67" s="33"/>
      <c r="H67" s="33" t="s">
        <v>72</v>
      </c>
      <c r="I67" s="33"/>
      <c r="J67" s="33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65"/>
      <c r="W67" s="65"/>
      <c r="X67" s="23"/>
      <c r="Y67" s="23"/>
      <c r="Z67" s="23"/>
      <c r="AA67" s="23"/>
      <c r="AB67" s="23"/>
    </row>
    <row r="68" spans="1:28">
      <c r="A68" s="85">
        <f t="shared" si="14"/>
        <v>7</v>
      </c>
      <c r="B68" s="24"/>
      <c r="C68" s="24"/>
      <c r="D68" s="24"/>
      <c r="E68" s="35" t="s">
        <v>12</v>
      </c>
      <c r="F68" s="36" t="s">
        <v>56</v>
      </c>
      <c r="G68" s="35" t="s">
        <v>57</v>
      </c>
      <c r="H68" s="26" t="s">
        <v>58</v>
      </c>
      <c r="I68" s="35" t="s">
        <v>59</v>
      </c>
      <c r="J68" s="91" t="s">
        <v>60</v>
      </c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65"/>
      <c r="W68" s="65"/>
      <c r="X68" s="23"/>
      <c r="Y68" s="23"/>
      <c r="Z68" s="23"/>
      <c r="AA68" s="23"/>
      <c r="AB68" s="23"/>
    </row>
    <row r="69" spans="1:28">
      <c r="A69" s="85">
        <f t="shared" si="14"/>
        <v>8</v>
      </c>
      <c r="B69" s="42" t="s">
        <v>73</v>
      </c>
      <c r="C69" s="43"/>
      <c r="D69" s="43"/>
      <c r="E69" s="44">
        <f t="shared" ref="E69:J69" si="15">E8</f>
        <v>2015</v>
      </c>
      <c r="F69" s="44">
        <f t="shared" si="15"/>
        <v>2014</v>
      </c>
      <c r="G69" s="44">
        <f t="shared" si="15"/>
        <v>2013</v>
      </c>
      <c r="H69" s="44">
        <f t="shared" si="15"/>
        <v>2012</v>
      </c>
      <c r="I69" s="44">
        <f t="shared" si="15"/>
        <v>2011</v>
      </c>
      <c r="J69" s="96">
        <f t="shared" si="15"/>
        <v>2010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2"/>
      <c r="W69" s="92"/>
      <c r="X69" s="45"/>
      <c r="Y69" s="45"/>
      <c r="Z69" s="45"/>
      <c r="AA69" s="45"/>
      <c r="AB69" s="45"/>
    </row>
    <row r="70" spans="1:28" ht="9.9499999999999993" customHeight="1">
      <c r="A70" s="85">
        <f t="shared" si="14"/>
        <v>9</v>
      </c>
      <c r="B70" s="45"/>
      <c r="C70" s="45"/>
      <c r="D70" s="45"/>
      <c r="E70" s="45"/>
      <c r="F70" s="45"/>
      <c r="G70" s="45"/>
      <c r="H70" s="45"/>
      <c r="I70" s="45"/>
      <c r="J70" s="45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45"/>
      <c r="Y70" s="45"/>
      <c r="Z70" s="45"/>
      <c r="AA70" s="45"/>
      <c r="AB70" s="45"/>
    </row>
    <row r="71" spans="1:28">
      <c r="A71" s="85">
        <f t="shared" si="14"/>
        <v>10</v>
      </c>
      <c r="B71" s="45" t="s">
        <v>45</v>
      </c>
      <c r="C71" s="45"/>
      <c r="D71" s="45"/>
      <c r="E71" s="45"/>
      <c r="F71" s="45"/>
      <c r="G71" s="45"/>
      <c r="H71" s="45"/>
      <c r="I71" s="45"/>
      <c r="J71" s="45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45"/>
      <c r="Y71" s="45"/>
      <c r="Z71" s="45"/>
      <c r="AA71" s="45"/>
      <c r="AB71" s="45"/>
    </row>
    <row r="72" spans="1:28">
      <c r="A72" s="85">
        <f t="shared" si="14"/>
        <v>11</v>
      </c>
      <c r="B72" s="43" t="s">
        <v>49</v>
      </c>
      <c r="C72" s="43"/>
      <c r="D72" s="43"/>
      <c r="E72" s="74">
        <f t="shared" ref="E72:J72" si="16">(+E22-E23)</f>
        <v>-222836</v>
      </c>
      <c r="F72" s="74">
        <f t="shared" si="16"/>
        <v>246456</v>
      </c>
      <c r="G72" s="74">
        <f t="shared" si="16"/>
        <v>74837</v>
      </c>
      <c r="H72" s="74">
        <f t="shared" si="16"/>
        <v>109187</v>
      </c>
      <c r="I72" s="74">
        <f t="shared" si="16"/>
        <v>987909</v>
      </c>
      <c r="J72" s="74">
        <f t="shared" si="16"/>
        <v>1951642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9"/>
      <c r="W72" s="92"/>
      <c r="X72" s="45"/>
      <c r="Y72" s="45"/>
      <c r="Z72" s="45"/>
      <c r="AA72" s="45"/>
      <c r="AB72" s="45"/>
    </row>
    <row r="73" spans="1:28">
      <c r="A73" s="85">
        <f t="shared" si="14"/>
        <v>12</v>
      </c>
      <c r="B73" s="43" t="s">
        <v>46</v>
      </c>
      <c r="C73" s="43"/>
      <c r="D73" s="43"/>
      <c r="E73" s="74">
        <f>E11</f>
        <v>506126</v>
      </c>
      <c r="F73" s="74">
        <f t="shared" ref="F73:J73" si="17">F24</f>
        <v>348543</v>
      </c>
      <c r="G73" s="74">
        <f t="shared" si="17"/>
        <v>354342</v>
      </c>
      <c r="H73" s="74">
        <f t="shared" si="17"/>
        <v>427212</v>
      </c>
      <c r="I73" s="74">
        <f t="shared" si="17"/>
        <v>449190</v>
      </c>
      <c r="J73" s="74">
        <f t="shared" si="17"/>
        <v>567377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9"/>
      <c r="W73" s="92"/>
      <c r="X73" s="45"/>
      <c r="Y73" s="45"/>
      <c r="Z73" s="45"/>
      <c r="AA73" s="45"/>
      <c r="AB73" s="45"/>
    </row>
    <row r="74" spans="1:28">
      <c r="A74" s="85">
        <f t="shared" si="14"/>
        <v>13</v>
      </c>
      <c r="B74" s="14" t="s">
        <v>95</v>
      </c>
      <c r="C74" s="24"/>
      <c r="D74" s="24"/>
      <c r="E74" s="47">
        <f t="shared" ref="E74:J74" si="18">(E72+E73)/E73</f>
        <v>0.55972228259366241</v>
      </c>
      <c r="F74" s="47">
        <f t="shared" si="18"/>
        <v>1.7071035711519096</v>
      </c>
      <c r="G74" s="47">
        <f t="shared" si="18"/>
        <v>1.2111999142071783</v>
      </c>
      <c r="H74" s="47">
        <f t="shared" si="18"/>
        <v>1.2555803675926707</v>
      </c>
      <c r="I74" s="47">
        <f t="shared" si="18"/>
        <v>3.1993120951045215</v>
      </c>
      <c r="J74" s="47">
        <f t="shared" si="18"/>
        <v>4.4397622744665366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65"/>
      <c r="W74" s="65"/>
      <c r="X74" s="23"/>
      <c r="Y74" s="23"/>
      <c r="Z74" s="23"/>
      <c r="AA74" s="23"/>
      <c r="AB74" s="23"/>
    </row>
    <row r="75" spans="1:28">
      <c r="A75" s="85">
        <f t="shared" si="14"/>
        <v>14</v>
      </c>
      <c r="B75" s="23"/>
      <c r="C75" s="23"/>
      <c r="D75" s="23"/>
      <c r="E75" s="23"/>
      <c r="F75" s="23"/>
      <c r="G75" s="23"/>
      <c r="H75" s="23"/>
      <c r="I75" s="23"/>
      <c r="J75" s="23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23"/>
      <c r="Y75" s="23"/>
      <c r="Z75" s="23"/>
      <c r="AA75" s="23"/>
      <c r="AB75" s="23"/>
    </row>
    <row r="76" spans="1:28">
      <c r="A76" s="85">
        <f t="shared" si="14"/>
        <v>15</v>
      </c>
      <c r="B76" s="23" t="s">
        <v>74</v>
      </c>
      <c r="C76" s="23"/>
      <c r="D76" s="23"/>
      <c r="E76" s="23"/>
      <c r="F76" s="23"/>
      <c r="G76" s="23"/>
      <c r="H76" s="23"/>
      <c r="I76" s="23"/>
      <c r="J76" s="23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23"/>
      <c r="Y76" s="23"/>
      <c r="Z76" s="23"/>
      <c r="AA76" s="23"/>
      <c r="AB76" s="23"/>
    </row>
    <row r="77" spans="1:28">
      <c r="A77" s="85">
        <f t="shared" si="14"/>
        <v>16</v>
      </c>
      <c r="B77" s="24" t="s">
        <v>49</v>
      </c>
      <c r="C77" s="24"/>
      <c r="D77" s="24"/>
      <c r="E77" s="27">
        <f t="shared" ref="E77:J77" si="19">E22</f>
        <v>2266320</v>
      </c>
      <c r="F77" s="27">
        <f t="shared" si="19"/>
        <v>2735613</v>
      </c>
      <c r="G77" s="27">
        <f t="shared" si="19"/>
        <v>3031856</v>
      </c>
      <c r="H77" s="27">
        <f t="shared" si="19"/>
        <v>2473447</v>
      </c>
      <c r="I77" s="27">
        <f t="shared" si="19"/>
        <v>3687972</v>
      </c>
      <c r="J77" s="27">
        <f t="shared" si="19"/>
        <v>3465120</v>
      </c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101"/>
      <c r="W77" s="101"/>
      <c r="X77" s="23"/>
      <c r="Y77" s="23"/>
      <c r="Z77" s="23"/>
      <c r="AA77" s="23"/>
      <c r="AB77" s="23"/>
    </row>
    <row r="78" spans="1:28">
      <c r="A78" s="85">
        <f t="shared" si="14"/>
        <v>17</v>
      </c>
      <c r="B78" s="24" t="s">
        <v>46</v>
      </c>
      <c r="C78" s="24"/>
      <c r="D78" s="24"/>
      <c r="E78" s="27">
        <f t="shared" ref="E78:J78" si="20">E73</f>
        <v>506126</v>
      </c>
      <c r="F78" s="27">
        <f t="shared" si="20"/>
        <v>348543</v>
      </c>
      <c r="G78" s="27">
        <f t="shared" si="20"/>
        <v>354342</v>
      </c>
      <c r="H78" s="27">
        <f t="shared" si="20"/>
        <v>427212</v>
      </c>
      <c r="I78" s="27">
        <f t="shared" si="20"/>
        <v>449190</v>
      </c>
      <c r="J78" s="27">
        <f t="shared" si="20"/>
        <v>567377</v>
      </c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101"/>
      <c r="W78" s="101"/>
      <c r="X78" s="23"/>
      <c r="Y78" s="23"/>
      <c r="Z78" s="23"/>
      <c r="AA78" s="23"/>
      <c r="AB78" s="23"/>
    </row>
    <row r="79" spans="1:28">
      <c r="A79" s="85">
        <f t="shared" si="14"/>
        <v>18</v>
      </c>
      <c r="B79" s="14" t="s">
        <v>47</v>
      </c>
      <c r="C79" s="24"/>
      <c r="D79" s="24"/>
      <c r="E79" s="47">
        <f t="shared" ref="E79:J79" si="21">(E77+E78)/E78</f>
        <v>5.4777782607492993</v>
      </c>
      <c r="F79" s="47">
        <f t="shared" si="21"/>
        <v>8.8487102021845221</v>
      </c>
      <c r="G79" s="47">
        <f t="shared" si="21"/>
        <v>9.5562987170586613</v>
      </c>
      <c r="H79" s="47">
        <f t="shared" si="21"/>
        <v>6.7897413930320312</v>
      </c>
      <c r="I79" s="47">
        <f t="shared" si="21"/>
        <v>9.2102718226140379</v>
      </c>
      <c r="J79" s="47">
        <f t="shared" si="21"/>
        <v>7.1072620144982963</v>
      </c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65"/>
      <c r="W79" s="65"/>
      <c r="X79" s="23"/>
      <c r="Y79" s="23"/>
      <c r="Z79" s="23"/>
      <c r="AA79" s="23"/>
      <c r="AB79" s="23"/>
    </row>
    <row r="80" spans="1:28">
      <c r="A80" s="85">
        <f t="shared" si="14"/>
        <v>19</v>
      </c>
      <c r="B80" s="23"/>
      <c r="C80" s="23"/>
      <c r="D80" s="23"/>
      <c r="E80" s="23"/>
      <c r="F80" s="23"/>
      <c r="G80" s="23"/>
      <c r="H80" s="23"/>
      <c r="I80" s="23"/>
      <c r="J80" s="23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23"/>
      <c r="Y80" s="23"/>
      <c r="Z80" s="23"/>
      <c r="AA80" s="23"/>
      <c r="AB80" s="23"/>
    </row>
    <row r="81" spans="1:28">
      <c r="A81" s="85">
        <f t="shared" si="14"/>
        <v>20</v>
      </c>
      <c r="B81" s="42" t="s">
        <v>75</v>
      </c>
      <c r="C81" s="45"/>
      <c r="D81" s="45"/>
      <c r="E81" s="45"/>
      <c r="F81" s="45"/>
      <c r="G81" s="45"/>
      <c r="H81" s="45"/>
      <c r="I81" s="45"/>
      <c r="J81" s="45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45"/>
      <c r="Y81" s="45"/>
      <c r="Z81" s="45"/>
      <c r="AA81" s="45"/>
      <c r="AB81" s="45"/>
    </row>
    <row r="82" spans="1:28">
      <c r="A82" s="85">
        <f t="shared" si="14"/>
        <v>21</v>
      </c>
      <c r="B82" s="83" t="s">
        <v>96</v>
      </c>
      <c r="C82" s="45"/>
      <c r="D82" s="45"/>
      <c r="E82" s="45"/>
      <c r="F82" s="45"/>
      <c r="G82" s="45"/>
      <c r="H82" s="45"/>
      <c r="I82" s="45"/>
      <c r="J82" s="45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45"/>
      <c r="Y82" s="45"/>
      <c r="Z82" s="45"/>
      <c r="AA82" s="45"/>
      <c r="AB82" s="45"/>
    </row>
    <row r="83" spans="1:28" ht="9.9499999999999993" customHeight="1">
      <c r="A83" s="85">
        <f t="shared" si="14"/>
        <v>22</v>
      </c>
      <c r="B83" s="45"/>
      <c r="C83" s="45"/>
      <c r="D83" s="45"/>
      <c r="E83" s="45"/>
      <c r="F83" s="45"/>
      <c r="G83" s="45"/>
      <c r="H83" s="45"/>
      <c r="I83" s="45"/>
      <c r="J83" s="45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45"/>
      <c r="Y83" s="45"/>
      <c r="Z83" s="45"/>
      <c r="AA83" s="45"/>
      <c r="AB83" s="45"/>
    </row>
    <row r="84" spans="1:28">
      <c r="A84" s="85">
        <f t="shared" si="14"/>
        <v>23</v>
      </c>
      <c r="B84" s="45" t="s">
        <v>45</v>
      </c>
      <c r="C84" s="45"/>
      <c r="D84" s="45"/>
      <c r="E84" s="45"/>
      <c r="F84" s="45"/>
      <c r="G84" s="45"/>
      <c r="H84" s="45"/>
      <c r="I84" s="45"/>
      <c r="J84" s="45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45"/>
      <c r="Y84" s="45"/>
      <c r="Z84" s="45"/>
      <c r="AA84" s="45"/>
      <c r="AB84" s="45"/>
    </row>
    <row r="85" spans="1:28">
      <c r="A85" s="85">
        <f t="shared" si="14"/>
        <v>24</v>
      </c>
      <c r="B85" s="43" t="s">
        <v>49</v>
      </c>
      <c r="C85" s="43"/>
      <c r="D85" s="43"/>
      <c r="E85" s="75">
        <f t="shared" ref="E85:J85" si="22">E72</f>
        <v>-222836</v>
      </c>
      <c r="F85" s="75">
        <f t="shared" si="22"/>
        <v>246456</v>
      </c>
      <c r="G85" s="75">
        <f t="shared" si="22"/>
        <v>74837</v>
      </c>
      <c r="H85" s="75">
        <f t="shared" si="22"/>
        <v>109187</v>
      </c>
      <c r="I85" s="75">
        <f t="shared" si="22"/>
        <v>987909</v>
      </c>
      <c r="J85" s="75">
        <f t="shared" si="22"/>
        <v>1951642</v>
      </c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2"/>
      <c r="X85" s="45"/>
      <c r="Y85" s="45"/>
      <c r="Z85" s="45"/>
      <c r="AA85" s="45"/>
      <c r="AB85" s="45"/>
    </row>
    <row r="86" spans="1:28">
      <c r="A86" s="85">
        <f t="shared" si="14"/>
        <v>25</v>
      </c>
      <c r="B86" s="43" t="s">
        <v>50</v>
      </c>
      <c r="C86" s="43"/>
      <c r="D86" s="43"/>
      <c r="E86" s="75">
        <f>'Sch K'!D105</f>
        <v>3485419</v>
      </c>
      <c r="F86" s="69">
        <v>3246850</v>
      </c>
      <c r="G86" s="69">
        <v>3115270</v>
      </c>
      <c r="H86" s="69">
        <v>2750265</v>
      </c>
      <c r="I86" s="69">
        <v>2968519</v>
      </c>
      <c r="J86" s="69">
        <v>2868087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99"/>
      <c r="W86" s="92"/>
      <c r="X86" s="45"/>
      <c r="Y86" s="45"/>
      <c r="Z86" s="45"/>
      <c r="AA86" s="45"/>
      <c r="AB86" s="45"/>
    </row>
    <row r="87" spans="1:28">
      <c r="A87" s="85">
        <f t="shared" ref="A87:A99" si="23">(A86+1)</f>
        <v>26</v>
      </c>
      <c r="B87" s="43" t="s">
        <v>46</v>
      </c>
      <c r="C87" s="43"/>
      <c r="D87" s="43"/>
      <c r="E87" s="75">
        <f t="shared" ref="E87:J87" si="24">E78</f>
        <v>506126</v>
      </c>
      <c r="F87" s="75">
        <f t="shared" si="24"/>
        <v>348543</v>
      </c>
      <c r="G87" s="75">
        <f t="shared" si="24"/>
        <v>354342</v>
      </c>
      <c r="H87" s="75">
        <f t="shared" si="24"/>
        <v>427212</v>
      </c>
      <c r="I87" s="75">
        <f t="shared" si="24"/>
        <v>449190</v>
      </c>
      <c r="J87" s="75">
        <f t="shared" si="24"/>
        <v>567377</v>
      </c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2"/>
      <c r="X87" s="45"/>
      <c r="Y87" s="45"/>
      <c r="Z87" s="45"/>
      <c r="AA87" s="45"/>
      <c r="AB87" s="45"/>
    </row>
    <row r="88" spans="1:28">
      <c r="A88" s="85">
        <f t="shared" si="23"/>
        <v>27</v>
      </c>
      <c r="B88" s="43" t="s">
        <v>51</v>
      </c>
      <c r="C88" s="43"/>
      <c r="D88" s="43"/>
      <c r="E88" s="74"/>
      <c r="F88" s="74"/>
      <c r="G88" s="74"/>
      <c r="H88" s="74"/>
      <c r="I88" s="74"/>
      <c r="J88" s="74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2"/>
      <c r="X88" s="45"/>
      <c r="Y88" s="45"/>
      <c r="Z88" s="45"/>
      <c r="AA88" s="45"/>
      <c r="AB88" s="45"/>
    </row>
    <row r="89" spans="1:28">
      <c r="A89" s="85">
        <f t="shared" si="23"/>
        <v>28</v>
      </c>
      <c r="B89" s="43" t="s">
        <v>52</v>
      </c>
      <c r="C89" s="43"/>
      <c r="D89" s="43"/>
      <c r="E89" s="74">
        <v>2024179</v>
      </c>
      <c r="F89" s="69">
        <v>1888565</v>
      </c>
      <c r="G89" s="69">
        <v>1944489</v>
      </c>
      <c r="H89" s="69">
        <v>1656579</v>
      </c>
      <c r="I89" s="69">
        <v>1884303</v>
      </c>
      <c r="J89" s="69">
        <v>2138705</v>
      </c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3"/>
      <c r="W89" s="93"/>
      <c r="X89" s="5"/>
      <c r="Y89" s="5"/>
      <c r="Z89" s="5"/>
      <c r="AA89" s="5"/>
      <c r="AB89" s="5"/>
    </row>
    <row r="90" spans="1:28">
      <c r="A90" s="85">
        <f t="shared" si="23"/>
        <v>29</v>
      </c>
      <c r="B90" s="14" t="s">
        <v>97</v>
      </c>
      <c r="C90" s="24"/>
      <c r="D90" s="24"/>
      <c r="E90" s="48">
        <f t="shared" ref="E90:J90" si="25">(+E85+E86+E87)/(+E87+E89)</f>
        <v>1.489428744756067</v>
      </c>
      <c r="F90" s="48">
        <f t="shared" si="25"/>
        <v>1.7173283542859799</v>
      </c>
      <c r="G90" s="48">
        <f t="shared" si="25"/>
        <v>1.5418484438394993</v>
      </c>
      <c r="H90" s="48">
        <f t="shared" si="25"/>
        <v>1.5772522292302826</v>
      </c>
      <c r="I90" s="48">
        <f t="shared" si="25"/>
        <v>1.8879928073493257</v>
      </c>
      <c r="J90" s="48">
        <f t="shared" si="25"/>
        <v>1.9907401180008588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65"/>
      <c r="W90" s="65"/>
      <c r="X90" s="23"/>
      <c r="Y90" s="23"/>
      <c r="Z90" s="23"/>
      <c r="AA90" s="23"/>
      <c r="AB90" s="23"/>
    </row>
    <row r="91" spans="1:28">
      <c r="A91" s="85">
        <f t="shared" si="23"/>
        <v>30</v>
      </c>
      <c r="B91" s="23"/>
      <c r="C91" s="23"/>
      <c r="D91" s="23"/>
      <c r="E91" s="23"/>
      <c r="F91" s="23"/>
      <c r="G91" s="23"/>
      <c r="H91" s="23"/>
      <c r="I91" s="23"/>
      <c r="J91" s="23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23"/>
      <c r="Y91" s="23"/>
      <c r="Z91" s="23"/>
      <c r="AA91" s="23"/>
      <c r="AB91" s="23"/>
    </row>
    <row r="92" spans="1:28">
      <c r="A92" s="85">
        <f t="shared" si="23"/>
        <v>31</v>
      </c>
      <c r="B92" s="23" t="s">
        <v>74</v>
      </c>
      <c r="C92" s="23"/>
      <c r="D92" s="23"/>
      <c r="E92" s="23"/>
      <c r="F92" s="23"/>
      <c r="G92" s="23"/>
      <c r="H92" s="23"/>
      <c r="I92" s="23"/>
      <c r="J92" s="23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23"/>
      <c r="Y92" s="23"/>
      <c r="Z92" s="23"/>
      <c r="AA92" s="23"/>
      <c r="AB92" s="23"/>
    </row>
    <row r="93" spans="1:28">
      <c r="A93" s="85">
        <f t="shared" si="23"/>
        <v>32</v>
      </c>
      <c r="B93" s="24" t="s">
        <v>49</v>
      </c>
      <c r="C93" s="24"/>
      <c r="D93" s="24"/>
      <c r="E93" s="27">
        <f t="shared" ref="E93:J93" si="26">E77</f>
        <v>2266320</v>
      </c>
      <c r="F93" s="27">
        <f t="shared" si="26"/>
        <v>2735613</v>
      </c>
      <c r="G93" s="27">
        <f t="shared" si="26"/>
        <v>3031856</v>
      </c>
      <c r="H93" s="27">
        <f t="shared" si="26"/>
        <v>2473447</v>
      </c>
      <c r="I93" s="27">
        <f t="shared" si="26"/>
        <v>3687972</v>
      </c>
      <c r="J93" s="27">
        <f t="shared" si="26"/>
        <v>3465120</v>
      </c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101"/>
      <c r="W93" s="101"/>
      <c r="X93" s="63"/>
      <c r="Y93" s="63"/>
      <c r="Z93" s="63"/>
      <c r="AA93" s="23"/>
      <c r="AB93" s="23"/>
    </row>
    <row r="94" spans="1:28">
      <c r="A94" s="85">
        <f t="shared" si="23"/>
        <v>33</v>
      </c>
      <c r="B94" s="24" t="s">
        <v>50</v>
      </c>
      <c r="C94" s="24"/>
      <c r="D94" s="24"/>
      <c r="E94" s="27">
        <f t="shared" ref="E94:J94" si="27">E86</f>
        <v>3485419</v>
      </c>
      <c r="F94" s="27">
        <f t="shared" si="27"/>
        <v>3246850</v>
      </c>
      <c r="G94" s="27">
        <f t="shared" si="27"/>
        <v>3115270</v>
      </c>
      <c r="H94" s="27">
        <f t="shared" si="27"/>
        <v>2750265</v>
      </c>
      <c r="I94" s="27">
        <f t="shared" si="27"/>
        <v>2968519</v>
      </c>
      <c r="J94" s="27">
        <f t="shared" si="27"/>
        <v>2868087</v>
      </c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101"/>
      <c r="W94" s="101"/>
      <c r="X94" s="63"/>
      <c r="Y94" s="63"/>
      <c r="Z94" s="63"/>
      <c r="AA94" s="23"/>
      <c r="AB94" s="23"/>
    </row>
    <row r="95" spans="1:28">
      <c r="A95" s="85">
        <f t="shared" si="23"/>
        <v>34</v>
      </c>
      <c r="B95" s="24" t="s">
        <v>46</v>
      </c>
      <c r="C95" s="24"/>
      <c r="D95" s="24"/>
      <c r="E95" s="27">
        <f t="shared" ref="E95:J95" si="28">E78</f>
        <v>506126</v>
      </c>
      <c r="F95" s="27">
        <f t="shared" si="28"/>
        <v>348543</v>
      </c>
      <c r="G95" s="27">
        <f t="shared" si="28"/>
        <v>354342</v>
      </c>
      <c r="H95" s="27">
        <f t="shared" si="28"/>
        <v>427212</v>
      </c>
      <c r="I95" s="27">
        <f t="shared" si="28"/>
        <v>449190</v>
      </c>
      <c r="J95" s="27">
        <f t="shared" si="28"/>
        <v>567377</v>
      </c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101"/>
      <c r="W95" s="101"/>
      <c r="X95" s="63"/>
      <c r="Y95" s="63"/>
      <c r="Z95" s="63"/>
      <c r="AA95" s="23"/>
      <c r="AB95" s="23"/>
    </row>
    <row r="96" spans="1:28">
      <c r="A96" s="85">
        <f t="shared" si="23"/>
        <v>35</v>
      </c>
      <c r="B96" s="24" t="s">
        <v>51</v>
      </c>
      <c r="C96" s="24"/>
      <c r="D96" s="24"/>
      <c r="E96" s="27"/>
      <c r="F96" s="63"/>
      <c r="G96" s="63"/>
      <c r="H96" s="63"/>
      <c r="I96" s="63"/>
      <c r="J96" s="63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63"/>
      <c r="Y96" s="63"/>
      <c r="Z96" s="63"/>
      <c r="AA96" s="23"/>
      <c r="AB96" s="23"/>
    </row>
    <row r="97" spans="1:28">
      <c r="A97" s="85">
        <f t="shared" si="23"/>
        <v>36</v>
      </c>
      <c r="B97" s="24" t="s">
        <v>52</v>
      </c>
      <c r="C97" s="24"/>
      <c r="D97" s="24"/>
      <c r="E97" s="27">
        <f t="shared" ref="E97:J97" si="29">E89</f>
        <v>2024179</v>
      </c>
      <c r="F97" s="27">
        <f t="shared" si="29"/>
        <v>1888565</v>
      </c>
      <c r="G97" s="27">
        <f t="shared" si="29"/>
        <v>1944489</v>
      </c>
      <c r="H97" s="27">
        <f t="shared" si="29"/>
        <v>1656579</v>
      </c>
      <c r="I97" s="27">
        <f t="shared" si="29"/>
        <v>1884303</v>
      </c>
      <c r="J97" s="27">
        <f t="shared" si="29"/>
        <v>2138705</v>
      </c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101"/>
      <c r="W97" s="101"/>
      <c r="X97" s="63"/>
      <c r="Y97" s="63"/>
      <c r="Z97" s="63"/>
      <c r="AA97" s="23"/>
      <c r="AB97" s="23"/>
    </row>
    <row r="98" spans="1:28">
      <c r="A98" s="85">
        <f t="shared" si="23"/>
        <v>37</v>
      </c>
      <c r="B98" s="14" t="s">
        <v>53</v>
      </c>
      <c r="C98" s="24"/>
      <c r="D98" s="24"/>
      <c r="E98" s="48">
        <f t="shared" ref="E98:J98" si="30">(+E93+E94+E95)/(+E95+E97)</f>
        <v>2.4731662783735557</v>
      </c>
      <c r="F98" s="48">
        <f t="shared" si="30"/>
        <v>2.8299956908651707</v>
      </c>
      <c r="G98" s="48">
        <f t="shared" si="30"/>
        <v>2.8281626618050653</v>
      </c>
      <c r="H98" s="48">
        <f t="shared" si="30"/>
        <v>2.7118477812794084</v>
      </c>
      <c r="I98" s="48">
        <f t="shared" si="30"/>
        <v>3.0450834864299998</v>
      </c>
      <c r="J98" s="48">
        <f t="shared" si="30"/>
        <v>2.5500276783925986</v>
      </c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65"/>
      <c r="W98" s="65"/>
      <c r="X98" s="23"/>
      <c r="Y98" s="23"/>
      <c r="Z98" s="23"/>
      <c r="AA98" s="23"/>
      <c r="AB98" s="23"/>
    </row>
    <row r="99" spans="1:28">
      <c r="A99" s="85">
        <f t="shared" si="23"/>
        <v>38</v>
      </c>
      <c r="B99" s="23"/>
      <c r="C99" s="23"/>
      <c r="D99" s="23"/>
      <c r="E99" s="23"/>
      <c r="F99" s="23"/>
      <c r="G99" s="23"/>
      <c r="H99" s="23"/>
      <c r="I99" s="23"/>
      <c r="J99" s="23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23"/>
      <c r="Y99" s="23"/>
      <c r="Z99" s="23"/>
      <c r="AA99" s="23"/>
      <c r="AB99" s="23"/>
    </row>
    <row r="100" spans="1:28">
      <c r="A100" s="85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18.75">
      <c r="A101" s="85">
        <v>1</v>
      </c>
      <c r="B101" s="106" t="str">
        <f>B1</f>
        <v>Cumberland Valley Electric</v>
      </c>
      <c r="C101" s="106"/>
      <c r="D101" s="106"/>
      <c r="E101" s="106"/>
      <c r="F101" s="106"/>
      <c r="G101" s="106"/>
      <c r="H101" s="106"/>
      <c r="I101" s="106"/>
      <c r="J101" s="30"/>
      <c r="K101" s="25" t="s">
        <v>7</v>
      </c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23"/>
      <c r="AA101" s="23"/>
      <c r="AB101" s="23"/>
    </row>
    <row r="102" spans="1:28" ht="18.75">
      <c r="A102" s="85">
        <f t="shared" ref="A102:A139" si="31">(A101+1)</f>
        <v>2</v>
      </c>
      <c r="B102" s="106" t="str">
        <f>B2</f>
        <v>Case No. 2016-00169</v>
      </c>
      <c r="C102" s="106"/>
      <c r="D102" s="106"/>
      <c r="E102" s="106"/>
      <c r="F102" s="106"/>
      <c r="G102" s="106"/>
      <c r="H102" s="106"/>
      <c r="I102" s="106"/>
      <c r="J102" s="30"/>
      <c r="K102" s="25" t="s">
        <v>76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23"/>
      <c r="AA102" s="23"/>
      <c r="AB102" s="23"/>
    </row>
    <row r="103" spans="1:28">
      <c r="A103" s="85">
        <f t="shared" si="31"/>
        <v>3</v>
      </c>
      <c r="B103" s="105" t="s">
        <v>17</v>
      </c>
      <c r="C103" s="105"/>
      <c r="D103" s="105"/>
      <c r="E103" s="105"/>
      <c r="F103" s="105"/>
      <c r="G103" s="105"/>
      <c r="H103" s="105"/>
      <c r="I103" s="105"/>
      <c r="J103" s="84"/>
      <c r="K103" s="25" t="s">
        <v>92</v>
      </c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23"/>
      <c r="AA103" s="23"/>
      <c r="AB103" s="23"/>
    </row>
    <row r="104" spans="1:28">
      <c r="A104" s="85">
        <f t="shared" si="31"/>
        <v>4</v>
      </c>
      <c r="B104" s="107">
        <f>B4</f>
        <v>42338</v>
      </c>
      <c r="C104" s="107"/>
      <c r="D104" s="107"/>
      <c r="E104" s="107"/>
      <c r="F104" s="107"/>
      <c r="G104" s="107"/>
      <c r="H104" s="107"/>
      <c r="I104" s="107"/>
      <c r="J104" s="22"/>
      <c r="K104" s="22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23"/>
      <c r="AA104" s="23"/>
      <c r="AB104" s="23"/>
    </row>
    <row r="105" spans="1:28" ht="16.5" thickBot="1">
      <c r="A105" s="85">
        <f t="shared" si="31"/>
        <v>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23"/>
      <c r="AA105" s="23"/>
      <c r="AB105" s="23"/>
    </row>
    <row r="106" spans="1:28" ht="16.5" thickTop="1">
      <c r="A106" s="85">
        <f t="shared" si="31"/>
        <v>6</v>
      </c>
      <c r="B106" s="24"/>
      <c r="C106" s="24"/>
      <c r="D106" s="24"/>
      <c r="E106" s="49"/>
      <c r="F106" s="50" t="s">
        <v>77</v>
      </c>
      <c r="G106" s="51"/>
      <c r="H106" s="52"/>
      <c r="I106" s="52" t="s">
        <v>72</v>
      </c>
      <c r="J106" s="52"/>
      <c r="K106" s="52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65"/>
      <c r="X106" s="65"/>
      <c r="Y106" s="65"/>
      <c r="Z106" s="23"/>
      <c r="AA106" s="23"/>
      <c r="AB106" s="23"/>
    </row>
    <row r="107" spans="1:28">
      <c r="A107" s="85">
        <f t="shared" si="31"/>
        <v>7</v>
      </c>
      <c r="B107" s="24"/>
      <c r="C107" s="24"/>
      <c r="D107" s="24"/>
      <c r="E107" s="53"/>
      <c r="F107" s="54" t="s">
        <v>1</v>
      </c>
      <c r="G107" s="53"/>
      <c r="H107" s="55"/>
      <c r="I107" s="53"/>
      <c r="J107" s="55"/>
      <c r="K107" s="53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65"/>
      <c r="X107" s="65"/>
      <c r="Y107" s="65"/>
      <c r="Z107" s="23"/>
      <c r="AA107" s="23"/>
      <c r="AB107" s="23"/>
    </row>
    <row r="108" spans="1:28" ht="16.5" thickBot="1">
      <c r="A108" s="85">
        <f t="shared" si="31"/>
        <v>8</v>
      </c>
      <c r="B108" s="24"/>
      <c r="C108" s="24"/>
      <c r="D108" s="24"/>
      <c r="E108" s="56" t="s">
        <v>78</v>
      </c>
      <c r="F108" s="56">
        <f t="shared" ref="F108:K108" si="32">E8</f>
        <v>2015</v>
      </c>
      <c r="G108" s="56">
        <f t="shared" si="32"/>
        <v>2014</v>
      </c>
      <c r="H108" s="56">
        <f t="shared" si="32"/>
        <v>2013</v>
      </c>
      <c r="I108" s="56">
        <f t="shared" si="32"/>
        <v>2012</v>
      </c>
      <c r="J108" s="56">
        <f t="shared" si="32"/>
        <v>2011</v>
      </c>
      <c r="K108" s="56">
        <f t="shared" si="32"/>
        <v>2010</v>
      </c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65"/>
      <c r="X108" s="65"/>
      <c r="Y108" s="65"/>
      <c r="Z108" s="23"/>
      <c r="AA108" s="23"/>
      <c r="AB108" s="23"/>
    </row>
    <row r="109" spans="1:28" ht="16.5" thickTop="1">
      <c r="A109" s="85">
        <f t="shared" si="31"/>
        <v>9</v>
      </c>
      <c r="B109" s="42" t="s">
        <v>79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45"/>
      <c r="AA109" s="45"/>
      <c r="AB109" s="45"/>
    </row>
    <row r="110" spans="1:28">
      <c r="A110" s="85">
        <f t="shared" si="31"/>
        <v>10</v>
      </c>
      <c r="B110" s="42" t="s">
        <v>80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45"/>
      <c r="AA110" s="45"/>
      <c r="AB110" s="45"/>
    </row>
    <row r="111" spans="1:28">
      <c r="A111" s="85">
        <f t="shared" si="31"/>
        <v>11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45"/>
      <c r="AA111" s="45"/>
      <c r="AB111" s="45"/>
    </row>
    <row r="112" spans="1:28">
      <c r="A112" s="85">
        <f t="shared" si="31"/>
        <v>12</v>
      </c>
      <c r="B112" s="43" t="s">
        <v>81</v>
      </c>
      <c r="C112" s="43"/>
      <c r="D112" s="43"/>
      <c r="E112" s="2">
        <v>41902596</v>
      </c>
      <c r="F112" s="11">
        <v>42969503</v>
      </c>
      <c r="G112" s="11">
        <v>42864919</v>
      </c>
      <c r="H112" s="2">
        <v>40094172</v>
      </c>
      <c r="I112" s="2">
        <v>37000392</v>
      </c>
      <c r="J112" s="11">
        <v>37000392</v>
      </c>
      <c r="K112" s="2">
        <v>34652023</v>
      </c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93"/>
      <c r="X112" s="93"/>
      <c r="Y112" s="93"/>
      <c r="Z112" s="5"/>
      <c r="AA112" s="5"/>
      <c r="AB112" s="5"/>
    </row>
    <row r="113" spans="1:28">
      <c r="A113" s="85">
        <f t="shared" si="31"/>
        <v>13</v>
      </c>
      <c r="B113" s="3" t="s">
        <v>82</v>
      </c>
      <c r="C113" s="3"/>
      <c r="D113" s="3"/>
      <c r="E113" s="12">
        <v>23066206</v>
      </c>
      <c r="F113" s="12">
        <f>+E113</f>
        <v>23066206</v>
      </c>
      <c r="G113" s="12">
        <f t="shared" ref="G113:K113" si="33">(F113-F23)</f>
        <v>20577049</v>
      </c>
      <c r="H113" s="12">
        <f t="shared" si="33"/>
        <v>17620030</v>
      </c>
      <c r="I113" s="12">
        <f t="shared" si="33"/>
        <v>15255770</v>
      </c>
      <c r="J113" s="12">
        <f t="shared" si="33"/>
        <v>12555707</v>
      </c>
      <c r="K113" s="12">
        <f t="shared" si="33"/>
        <v>11042229</v>
      </c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93"/>
      <c r="X113" s="93"/>
      <c r="Y113" s="93"/>
      <c r="Z113" s="5"/>
      <c r="AA113" s="5"/>
      <c r="AB113" s="5"/>
    </row>
    <row r="114" spans="1:28">
      <c r="A114" s="85">
        <f t="shared" si="31"/>
        <v>14</v>
      </c>
      <c r="B114" s="3"/>
      <c r="C114" s="3"/>
      <c r="D114" s="3"/>
      <c r="E114" s="11">
        <f t="shared" ref="E114:I114" si="34">(E112-E113)</f>
        <v>18836390</v>
      </c>
      <c r="F114" s="11">
        <f t="shared" si="34"/>
        <v>19903297</v>
      </c>
      <c r="G114" s="11">
        <f t="shared" si="34"/>
        <v>22287870</v>
      </c>
      <c r="H114" s="11">
        <f t="shared" si="34"/>
        <v>22474142</v>
      </c>
      <c r="I114" s="11">
        <f t="shared" si="34"/>
        <v>21744622</v>
      </c>
      <c r="J114" s="11">
        <f t="shared" ref="J114:K114" si="35">(J112-J113)</f>
        <v>24444685</v>
      </c>
      <c r="K114" s="11">
        <f t="shared" si="35"/>
        <v>23609794</v>
      </c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93"/>
      <c r="X114" s="93"/>
      <c r="Y114" s="93"/>
      <c r="Z114" s="5"/>
      <c r="AA114" s="5"/>
      <c r="AB114" s="5"/>
    </row>
    <row r="115" spans="1:28">
      <c r="A115" s="85">
        <f t="shared" si="31"/>
        <v>15</v>
      </c>
      <c r="B115" s="3" t="s">
        <v>83</v>
      </c>
      <c r="C115" s="3"/>
      <c r="D115" s="3"/>
      <c r="E115" s="12">
        <f>F115</f>
        <v>47923913</v>
      </c>
      <c r="F115" s="12">
        <v>47923913</v>
      </c>
      <c r="G115" s="12">
        <f>41747775+2109841</f>
        <v>43857616</v>
      </c>
      <c r="H115" s="19">
        <f>40921321+1891740</f>
        <v>42813061</v>
      </c>
      <c r="I115" s="19">
        <f>33632567+2089797</f>
        <v>35722364</v>
      </c>
      <c r="J115" s="12">
        <f>35972056+1949115</f>
        <v>37921171</v>
      </c>
      <c r="K115" s="19">
        <f>35635566+1890475</f>
        <v>37526041</v>
      </c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57"/>
      <c r="X115" s="93"/>
      <c r="Y115" s="93"/>
      <c r="Z115" s="5"/>
      <c r="AA115" s="5"/>
      <c r="AB115" s="5"/>
    </row>
    <row r="116" spans="1:28" ht="16.5" thickBot="1">
      <c r="A116" s="85">
        <f t="shared" si="31"/>
        <v>16</v>
      </c>
      <c r="B116" s="3" t="s">
        <v>84</v>
      </c>
      <c r="C116" s="3"/>
      <c r="D116" s="3"/>
      <c r="E116" s="13">
        <f t="shared" ref="E116:I116" si="36">SUM(E114:E115)</f>
        <v>66760303</v>
      </c>
      <c r="F116" s="13">
        <f t="shared" si="36"/>
        <v>67827210</v>
      </c>
      <c r="G116" s="13">
        <f t="shared" si="36"/>
        <v>66145486</v>
      </c>
      <c r="H116" s="13">
        <f t="shared" si="36"/>
        <v>65287203</v>
      </c>
      <c r="I116" s="13">
        <f t="shared" si="36"/>
        <v>57466986</v>
      </c>
      <c r="J116" s="13">
        <f t="shared" ref="J116:K116" si="37">SUM(J114:J115)</f>
        <v>62365856</v>
      </c>
      <c r="K116" s="13">
        <f t="shared" si="37"/>
        <v>61135835</v>
      </c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93"/>
      <c r="X116" s="93"/>
      <c r="Y116" s="93"/>
      <c r="Z116" s="5"/>
      <c r="AA116" s="5"/>
      <c r="AB116" s="5"/>
    </row>
    <row r="117" spans="1:28" ht="16.5" thickTop="1">
      <c r="A117" s="85">
        <f t="shared" si="31"/>
        <v>17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5"/>
      <c r="AA117" s="5"/>
      <c r="AB117" s="5"/>
    </row>
    <row r="118" spans="1:28">
      <c r="A118" s="85">
        <f t="shared" si="31"/>
        <v>18</v>
      </c>
      <c r="B118" s="14" t="s">
        <v>85</v>
      </c>
      <c r="C118" s="24"/>
      <c r="D118" s="24"/>
      <c r="E118" s="58">
        <f t="shared" ref="E118:I118" si="38">(E114/E116)</f>
        <v>0.28214955824870958</v>
      </c>
      <c r="F118" s="58">
        <f t="shared" si="38"/>
        <v>0.29344118680393899</v>
      </c>
      <c r="G118" s="58">
        <f t="shared" si="38"/>
        <v>0.33695224493474885</v>
      </c>
      <c r="H118" s="58">
        <f t="shared" si="38"/>
        <v>0.3442350256603886</v>
      </c>
      <c r="I118" s="58">
        <f t="shared" si="38"/>
        <v>0.37838459111114686</v>
      </c>
      <c r="J118" s="58">
        <f t="shared" ref="J118:K118" si="39">(J114/J116)</f>
        <v>0.39195621719679435</v>
      </c>
      <c r="K118" s="58">
        <f t="shared" si="39"/>
        <v>0.38618584337647471</v>
      </c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65"/>
      <c r="X118" s="65"/>
      <c r="Y118" s="65"/>
      <c r="Z118" s="23"/>
      <c r="AA118" s="23"/>
      <c r="AB118" s="23"/>
    </row>
    <row r="119" spans="1:28">
      <c r="A119" s="85">
        <f t="shared" si="31"/>
        <v>19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23"/>
      <c r="AA119" s="23"/>
      <c r="AB119" s="23"/>
    </row>
    <row r="120" spans="1:28">
      <c r="A120" s="85">
        <f t="shared" si="31"/>
        <v>20</v>
      </c>
      <c r="B120" s="42" t="s">
        <v>79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45"/>
      <c r="AA120" s="45"/>
      <c r="AB120" s="45"/>
    </row>
    <row r="121" spans="1:28">
      <c r="A121" s="85">
        <f t="shared" si="31"/>
        <v>21</v>
      </c>
      <c r="B121" s="42" t="s">
        <v>86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45"/>
      <c r="AA121" s="45"/>
      <c r="AB121" s="45"/>
    </row>
    <row r="122" spans="1:28">
      <c r="A122" s="85">
        <f t="shared" si="31"/>
        <v>22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45"/>
      <c r="AA122" s="45"/>
      <c r="AB122" s="45"/>
    </row>
    <row r="123" spans="1:28">
      <c r="A123" s="85">
        <f t="shared" si="31"/>
        <v>23</v>
      </c>
      <c r="B123" s="43" t="s">
        <v>81</v>
      </c>
      <c r="C123" s="43"/>
      <c r="D123" s="43"/>
      <c r="E123" s="46">
        <f t="shared" ref="E123:I123" si="40">E112</f>
        <v>41902596</v>
      </c>
      <c r="F123" s="46">
        <f t="shared" si="40"/>
        <v>42969503</v>
      </c>
      <c r="G123" s="46">
        <f t="shared" si="40"/>
        <v>42864919</v>
      </c>
      <c r="H123" s="46">
        <f t="shared" si="40"/>
        <v>40094172</v>
      </c>
      <c r="I123" s="46">
        <f t="shared" si="40"/>
        <v>37000392</v>
      </c>
      <c r="J123" s="46">
        <f t="shared" ref="J123:K123" si="41">J112</f>
        <v>37000392</v>
      </c>
      <c r="K123" s="46">
        <f t="shared" si="41"/>
        <v>34652023</v>
      </c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2"/>
      <c r="X123" s="92"/>
      <c r="Y123" s="92"/>
      <c r="Z123" s="45"/>
      <c r="AA123" s="45"/>
      <c r="AB123" s="45"/>
    </row>
    <row r="124" spans="1:28">
      <c r="A124" s="85">
        <f t="shared" si="31"/>
        <v>24</v>
      </c>
      <c r="B124" s="43" t="s">
        <v>83</v>
      </c>
      <c r="C124" s="43"/>
      <c r="D124" s="43"/>
      <c r="E124" s="59">
        <f t="shared" ref="E124:I124" si="42">E115</f>
        <v>47923913</v>
      </c>
      <c r="F124" s="59">
        <f t="shared" si="42"/>
        <v>47923913</v>
      </c>
      <c r="G124" s="59">
        <f t="shared" si="42"/>
        <v>43857616</v>
      </c>
      <c r="H124" s="59">
        <f t="shared" si="42"/>
        <v>42813061</v>
      </c>
      <c r="I124" s="59">
        <f t="shared" si="42"/>
        <v>35722364</v>
      </c>
      <c r="J124" s="59">
        <f t="shared" ref="J124:K124" si="43">J115</f>
        <v>37921171</v>
      </c>
      <c r="K124" s="59">
        <f t="shared" si="43"/>
        <v>37526041</v>
      </c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2"/>
      <c r="X124" s="92"/>
      <c r="Y124" s="92"/>
      <c r="Z124" s="45"/>
      <c r="AA124" s="45"/>
      <c r="AB124" s="45"/>
    </row>
    <row r="125" spans="1:28" ht="16.5" thickBot="1">
      <c r="A125" s="85">
        <f t="shared" si="31"/>
        <v>25</v>
      </c>
      <c r="B125" s="43" t="s">
        <v>84</v>
      </c>
      <c r="C125" s="43"/>
      <c r="D125" s="43"/>
      <c r="E125" s="60">
        <f t="shared" ref="E125:I125" si="44">SUM(E123:E124)</f>
        <v>89826509</v>
      </c>
      <c r="F125" s="60">
        <f t="shared" si="44"/>
        <v>90893416</v>
      </c>
      <c r="G125" s="60">
        <f t="shared" si="44"/>
        <v>86722535</v>
      </c>
      <c r="H125" s="60">
        <f t="shared" si="44"/>
        <v>82907233</v>
      </c>
      <c r="I125" s="60">
        <f t="shared" si="44"/>
        <v>72722756</v>
      </c>
      <c r="J125" s="60">
        <f t="shared" ref="J125:K125" si="45">SUM(J123:J124)</f>
        <v>74921563</v>
      </c>
      <c r="K125" s="60">
        <f t="shared" si="45"/>
        <v>72178064</v>
      </c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2"/>
      <c r="X125" s="92"/>
      <c r="Y125" s="92"/>
      <c r="Z125" s="45"/>
      <c r="AA125" s="45"/>
      <c r="AB125" s="45"/>
    </row>
    <row r="126" spans="1:28" ht="16.5" thickTop="1">
      <c r="A126" s="85">
        <f t="shared" si="31"/>
        <v>26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45"/>
      <c r="AA126" s="45"/>
      <c r="AB126" s="45"/>
    </row>
    <row r="127" spans="1:28">
      <c r="A127" s="85">
        <f t="shared" si="31"/>
        <v>27</v>
      </c>
      <c r="B127" s="14" t="s">
        <v>85</v>
      </c>
      <c r="C127" s="24"/>
      <c r="D127" s="24"/>
      <c r="E127" s="58">
        <f t="shared" ref="E127:I127" si="46">(E123/E125)</f>
        <v>0.46648363012749389</v>
      </c>
      <c r="F127" s="58">
        <f t="shared" si="46"/>
        <v>0.47274604576419482</v>
      </c>
      <c r="G127" s="58">
        <f t="shared" si="46"/>
        <v>0.4942765914303589</v>
      </c>
      <c r="H127" s="58">
        <f t="shared" si="46"/>
        <v>0.48360282389354375</v>
      </c>
      <c r="I127" s="58">
        <f t="shared" si="46"/>
        <v>0.50878698821590318</v>
      </c>
      <c r="J127" s="58">
        <f t="shared" ref="J127:K127" si="47">(J123/J125)</f>
        <v>0.49385504677738773</v>
      </c>
      <c r="K127" s="58">
        <f t="shared" si="47"/>
        <v>0.48009077938139211</v>
      </c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65"/>
      <c r="X127" s="65"/>
      <c r="Y127" s="65"/>
      <c r="Z127" s="23"/>
      <c r="AA127" s="23"/>
      <c r="AB127" s="23"/>
    </row>
    <row r="128" spans="1:28">
      <c r="A128" s="85">
        <f t="shared" si="31"/>
        <v>28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23"/>
      <c r="AA128" s="23"/>
      <c r="AB128" s="23"/>
    </row>
    <row r="129" spans="1:28">
      <c r="A129" s="85">
        <f t="shared" si="31"/>
        <v>29</v>
      </c>
      <c r="B129" s="42" t="s">
        <v>87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45"/>
      <c r="AA129" s="45"/>
      <c r="AB129" s="45"/>
    </row>
    <row r="130" spans="1:28">
      <c r="A130" s="85">
        <f t="shared" si="31"/>
        <v>30</v>
      </c>
      <c r="B130" s="42" t="s">
        <v>86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45"/>
      <c r="AA130" s="45"/>
      <c r="AB130" s="45"/>
    </row>
    <row r="131" spans="1:28">
      <c r="A131" s="85">
        <f t="shared" si="31"/>
        <v>31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45"/>
      <c r="AA131" s="45"/>
      <c r="AB131" s="45"/>
    </row>
    <row r="132" spans="1:28">
      <c r="A132" s="85">
        <f t="shared" si="31"/>
        <v>32</v>
      </c>
      <c r="B132" s="43" t="s">
        <v>81</v>
      </c>
      <c r="C132" s="43"/>
      <c r="D132" s="43"/>
      <c r="E132" s="46">
        <f t="shared" ref="E132:I132" si="48">+E123</f>
        <v>41902596</v>
      </c>
      <c r="F132" s="46">
        <f t="shared" si="48"/>
        <v>42969503</v>
      </c>
      <c r="G132" s="46">
        <f t="shared" si="48"/>
        <v>42864919</v>
      </c>
      <c r="H132" s="46">
        <f t="shared" si="48"/>
        <v>40094172</v>
      </c>
      <c r="I132" s="46">
        <f t="shared" si="48"/>
        <v>37000392</v>
      </c>
      <c r="J132" s="46">
        <f t="shared" ref="J132:K132" si="49">+J123</f>
        <v>37000392</v>
      </c>
      <c r="K132" s="46">
        <f t="shared" si="49"/>
        <v>34652023</v>
      </c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2"/>
      <c r="X132" s="92"/>
      <c r="Y132" s="92"/>
      <c r="Z132" s="45"/>
      <c r="AA132" s="45"/>
      <c r="AB132" s="45"/>
    </row>
    <row r="133" spans="1:28">
      <c r="A133" s="85">
        <f t="shared" si="31"/>
        <v>33</v>
      </c>
      <c r="B133" s="43" t="s">
        <v>88</v>
      </c>
      <c r="C133" s="43"/>
      <c r="D133" s="43"/>
      <c r="E133" s="61">
        <v>91086437</v>
      </c>
      <c r="F133" s="62">
        <v>100240172</v>
      </c>
      <c r="G133" s="62">
        <v>96904768</v>
      </c>
      <c r="H133" s="61">
        <v>93207169</v>
      </c>
      <c r="I133" s="61">
        <v>77308129</v>
      </c>
      <c r="J133" s="62">
        <v>85721370</v>
      </c>
      <c r="K133" s="61">
        <v>82033415</v>
      </c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93"/>
      <c r="X133" s="93"/>
      <c r="Y133" s="93"/>
      <c r="Z133" s="5"/>
      <c r="AA133" s="5"/>
      <c r="AB133" s="5"/>
    </row>
    <row r="134" spans="1:28">
      <c r="A134" s="85">
        <f t="shared" si="31"/>
        <v>34</v>
      </c>
      <c r="B134" s="3"/>
      <c r="C134" s="3"/>
      <c r="D134" s="3"/>
      <c r="E134" s="11"/>
      <c r="F134" s="11"/>
      <c r="G134" s="11"/>
      <c r="H134" s="11"/>
      <c r="I134" s="11"/>
      <c r="J134" s="11"/>
      <c r="K134" s="11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93"/>
      <c r="X134" s="93"/>
      <c r="Y134" s="93"/>
      <c r="Z134" s="5"/>
      <c r="AA134" s="5"/>
      <c r="AB134" s="5"/>
    </row>
    <row r="135" spans="1:28">
      <c r="A135" s="85">
        <f t="shared" si="31"/>
        <v>35</v>
      </c>
      <c r="B135" s="14" t="s">
        <v>89</v>
      </c>
      <c r="C135" s="24"/>
      <c r="D135" s="24"/>
      <c r="E135" s="58">
        <f t="shared" ref="E135:I135" si="50">+E132/E133</f>
        <v>0.4600311240629601</v>
      </c>
      <c r="F135" s="58">
        <f t="shared" si="50"/>
        <v>0.42866549550613303</v>
      </c>
      <c r="G135" s="58">
        <f t="shared" si="50"/>
        <v>0.44234065964638603</v>
      </c>
      <c r="H135" s="58">
        <f t="shared" si="50"/>
        <v>0.43016189022970969</v>
      </c>
      <c r="I135" s="58">
        <f t="shared" si="50"/>
        <v>0.47860933227345342</v>
      </c>
      <c r="J135" s="58">
        <f t="shared" ref="J135:K135" si="51">+J132/J133</f>
        <v>0.43163556532052627</v>
      </c>
      <c r="K135" s="58">
        <f t="shared" si="51"/>
        <v>0.42241351283498318</v>
      </c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65"/>
      <c r="X135" s="65"/>
      <c r="Y135" s="65"/>
      <c r="Z135" s="23"/>
      <c r="AA135" s="23"/>
      <c r="AB135" s="23"/>
    </row>
    <row r="136" spans="1:28">
      <c r="A136" s="85">
        <f t="shared" si="31"/>
        <v>36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23"/>
      <c r="AA136" s="23"/>
      <c r="AB136" s="23"/>
    </row>
    <row r="137" spans="1:28">
      <c r="A137" s="85">
        <f t="shared" si="31"/>
        <v>37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23"/>
      <c r="AA137" s="23"/>
      <c r="AB137" s="23"/>
    </row>
    <row r="138" spans="1:28">
      <c r="A138" s="85">
        <f t="shared" si="31"/>
        <v>38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23"/>
      <c r="AA138" s="23"/>
      <c r="AB138" s="23"/>
    </row>
    <row r="139" spans="1:28">
      <c r="A139" s="85">
        <f t="shared" si="31"/>
        <v>39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23"/>
      <c r="AA139" s="23"/>
      <c r="AB139" s="23"/>
    </row>
    <row r="140" spans="1:28">
      <c r="A140" s="85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23"/>
      <c r="AA140" s="23"/>
      <c r="AB140" s="23"/>
    </row>
    <row r="141" spans="1:28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23"/>
      <c r="AA141" s="23"/>
      <c r="AB141" s="23"/>
    </row>
    <row r="142" spans="1:28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23"/>
      <c r="AA142" s="23"/>
      <c r="AB142" s="23"/>
    </row>
    <row r="143" spans="1:28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23"/>
      <c r="AA143" s="23"/>
      <c r="AB143" s="23"/>
    </row>
    <row r="144" spans="1:28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23"/>
      <c r="AA144" s="23"/>
      <c r="AB144" s="23"/>
    </row>
    <row r="145" spans="2:28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23"/>
      <c r="AA145" s="23"/>
      <c r="AB145" s="23"/>
    </row>
    <row r="146" spans="2:28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23"/>
      <c r="AA146" s="23"/>
      <c r="AB146" s="23"/>
    </row>
    <row r="147" spans="2:28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23"/>
      <c r="AA147" s="23"/>
      <c r="AB147" s="23"/>
    </row>
    <row r="148" spans="2:28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2:28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2:28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2:28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2:28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2:28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2:28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</sheetData>
  <mergeCells count="8">
    <mergeCell ref="B103:I103"/>
    <mergeCell ref="B101:I101"/>
    <mergeCell ref="B102:I102"/>
    <mergeCell ref="B104:I104"/>
    <mergeCell ref="B1:H1"/>
    <mergeCell ref="B2:H2"/>
    <mergeCell ref="B3:H3"/>
    <mergeCell ref="B4:H4"/>
  </mergeCells>
  <phoneticPr fontId="1" type="noConversion"/>
  <pageMargins left="0.5" right="0.5" top="0.75" bottom="0.5" header="0.5" footer="0.5"/>
  <pageSetup scale="91" orientation="landscape" r:id="rId1"/>
  <headerFooter alignWithMargins="0"/>
  <rowBreaks count="3" manualBreakCount="3">
    <brk id="32" max="9" man="1"/>
    <brk id="61" max="10" man="1"/>
    <brk id="1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 K</vt:lpstr>
      <vt:lpstr>Sch K-5 years</vt:lpstr>
      <vt:lpstr>'Sch K'!Print_Area</vt:lpstr>
      <vt:lpstr>'Sch K-5 years'!Print_Area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2016-05-10T17:19:53Z</cp:lastPrinted>
  <dcterms:created xsi:type="dcterms:W3CDTF">2008-08-17T13:35:08Z</dcterms:created>
  <dcterms:modified xsi:type="dcterms:W3CDTF">2016-07-29T18:08:55Z</dcterms:modified>
</cp:coreProperties>
</file>