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4955" windowHeight="8955"/>
  </bookViews>
  <sheets>
    <sheet name="years" sheetId="1" r:id="rId1"/>
    <sheet name="monthly" sheetId="2" r:id="rId2"/>
  </sheets>
  <definedNames>
    <definedName name="_xlnm.Print_Area" localSheetId="1">monthly!$A$1:$I$29</definedName>
  </definedNames>
  <calcPr calcId="144525"/>
</workbook>
</file>

<file path=xl/calcChain.xml><?xml version="1.0" encoding="utf-8"?>
<calcChain xmlns="http://schemas.openxmlformats.org/spreadsheetml/2006/main">
  <c r="H25" i="2" l="1"/>
  <c r="C25" i="2"/>
  <c r="H24" i="2"/>
  <c r="C24" i="2"/>
  <c r="H23" i="2"/>
  <c r="C23" i="2"/>
  <c r="H22" i="2"/>
  <c r="H21" i="2"/>
  <c r="C21" i="2"/>
  <c r="H20" i="2"/>
  <c r="H19" i="2"/>
  <c r="H18" i="2"/>
  <c r="C18" i="2"/>
  <c r="H17" i="2"/>
  <c r="H16" i="2"/>
  <c r="C16" i="2"/>
  <c r="H15" i="2"/>
  <c r="C15" i="2"/>
  <c r="H14" i="2"/>
  <c r="H13" i="2"/>
  <c r="L27" i="1"/>
  <c r="H27" i="1"/>
  <c r="H24" i="1"/>
  <c r="J27" i="1"/>
  <c r="J24" i="1"/>
  <c r="L8" i="1"/>
  <c r="N8" i="1"/>
  <c r="P8" i="1"/>
  <c r="D29" i="1"/>
  <c r="E26" i="1"/>
  <c r="F27" i="1"/>
  <c r="D27" i="1"/>
  <c r="E27" i="1"/>
  <c r="F24" i="1"/>
  <c r="D24" i="1"/>
  <c r="E24" i="1"/>
  <c r="P14" i="1"/>
  <c r="N14" i="1"/>
  <c r="P11" i="1"/>
  <c r="N11" i="1"/>
  <c r="N16" i="1"/>
  <c r="C22" i="2"/>
  <c r="C19" i="2"/>
  <c r="C17" i="2"/>
  <c r="C14" i="2"/>
  <c r="L29" i="1"/>
  <c r="M25" i="1"/>
  <c r="J29" i="1"/>
  <c r="K27" i="1"/>
  <c r="L14" i="1"/>
  <c r="L16" i="1"/>
  <c r="M12" i="1"/>
  <c r="L11" i="1"/>
  <c r="J14" i="1"/>
  <c r="J11" i="1"/>
  <c r="H14" i="1"/>
  <c r="H11" i="1"/>
  <c r="F14" i="1"/>
  <c r="G14" i="1"/>
  <c r="F16" i="1"/>
  <c r="G12" i="1"/>
  <c r="F11" i="1"/>
  <c r="N26" i="1"/>
  <c r="E26" i="2"/>
  <c r="E27" i="2"/>
  <c r="P25" i="1"/>
  <c r="N25" i="1"/>
  <c r="H29" i="1"/>
  <c r="I29" i="1"/>
  <c r="H16" i="1"/>
  <c r="I16" i="1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I26" i="2"/>
  <c r="I27" i="2"/>
  <c r="C20" i="2"/>
  <c r="G26" i="2"/>
  <c r="G27" i="2"/>
  <c r="F26" i="2"/>
  <c r="F27" i="2"/>
  <c r="P26" i="1"/>
  <c r="A5" i="2"/>
  <c r="A4" i="2"/>
  <c r="J21" i="1"/>
  <c r="H21" i="1"/>
  <c r="F21" i="1"/>
  <c r="D21" i="1"/>
  <c r="N24" i="1"/>
  <c r="D26" i="2"/>
  <c r="D27" i="2"/>
  <c r="M14" i="1"/>
  <c r="M13" i="1"/>
  <c r="J16" i="1"/>
  <c r="K12" i="1"/>
  <c r="K11" i="1"/>
  <c r="I14" i="1"/>
  <c r="I13" i="1"/>
  <c r="I12" i="1"/>
  <c r="I11" i="1"/>
  <c r="G13" i="1"/>
  <c r="G16" i="1"/>
  <c r="G11" i="1"/>
  <c r="K14" i="1"/>
  <c r="K13" i="1"/>
  <c r="K16" i="1"/>
  <c r="D29" i="2"/>
  <c r="I29" i="2"/>
  <c r="G29" i="2"/>
  <c r="H29" i="2"/>
  <c r="C29" i="2"/>
  <c r="F29" i="2"/>
  <c r="E29" i="2"/>
  <c r="N27" i="1"/>
  <c r="N29" i="1"/>
  <c r="O24" i="1"/>
  <c r="H26" i="2"/>
  <c r="H27" i="2"/>
  <c r="P27" i="1"/>
  <c r="C13" i="2"/>
  <c r="C26" i="2"/>
  <c r="C27" i="2"/>
  <c r="G28" i="2"/>
  <c r="P24" i="1"/>
  <c r="M29" i="1"/>
  <c r="M27" i="1"/>
  <c r="M26" i="1"/>
  <c r="M24" i="1"/>
  <c r="I27" i="1"/>
  <c r="I24" i="1"/>
  <c r="I26" i="1"/>
  <c r="I25" i="1"/>
  <c r="K24" i="1"/>
  <c r="K26" i="1"/>
  <c r="K25" i="1"/>
  <c r="K29" i="1"/>
  <c r="J8" i="1"/>
  <c r="H8" i="1"/>
  <c r="F8" i="1"/>
  <c r="E25" i="1"/>
  <c r="E29" i="1"/>
  <c r="F29" i="1"/>
  <c r="P16" i="1"/>
  <c r="M16" i="1"/>
  <c r="M11" i="1"/>
  <c r="O11" i="1"/>
  <c r="O13" i="1"/>
  <c r="O12" i="1"/>
  <c r="O26" i="1"/>
  <c r="O27" i="1"/>
  <c r="O14" i="1"/>
  <c r="O29" i="1"/>
  <c r="O25" i="1"/>
  <c r="O16" i="1"/>
  <c r="C28" i="2"/>
  <c r="I28" i="2"/>
  <c r="E28" i="2"/>
  <c r="F28" i="2"/>
  <c r="H28" i="2"/>
  <c r="D28" i="2"/>
  <c r="P29" i="1"/>
  <c r="Q24" i="1"/>
  <c r="G29" i="1"/>
  <c r="G26" i="1"/>
  <c r="G25" i="1"/>
  <c r="G24" i="1"/>
  <c r="G27" i="1"/>
  <c r="Q13" i="1"/>
  <c r="Q29" i="1"/>
  <c r="Q25" i="1"/>
  <c r="Q26" i="1"/>
  <c r="Q12" i="1"/>
  <c r="Q27" i="1"/>
  <c r="Q11" i="1"/>
  <c r="Q14" i="1"/>
  <c r="Q16" i="1"/>
</calcChain>
</file>

<file path=xl/sharedStrings.xml><?xml version="1.0" encoding="utf-8"?>
<sst xmlns="http://schemas.openxmlformats.org/spreadsheetml/2006/main" count="112" uniqueCount="68">
  <si>
    <t>Comparative Capital Structure (Excluding JDIC)</t>
  </si>
  <si>
    <t>For the Periods as Shown</t>
  </si>
  <si>
    <t>"000" Omitted</t>
  </si>
  <si>
    <t>Line</t>
  </si>
  <si>
    <t>8th Year</t>
  </si>
  <si>
    <t>7th Year</t>
  </si>
  <si>
    <t>6th Year</t>
  </si>
  <si>
    <t>5th Year</t>
  </si>
  <si>
    <t>No.</t>
  </si>
  <si>
    <t>Type of Capital</t>
  </si>
  <si>
    <t>Amount</t>
  </si>
  <si>
    <t>Ratio</t>
  </si>
  <si>
    <t>Long Term Debt</t>
  </si>
  <si>
    <t>Short Term Debt</t>
  </si>
  <si>
    <t>Memberships</t>
  </si>
  <si>
    <t>Patronage Capital</t>
  </si>
  <si>
    <t>Other (Itemize by type)</t>
  </si>
  <si>
    <t>Total Capitalization</t>
  </si>
  <si>
    <t>Latest Quarter</t>
  </si>
  <si>
    <t>Average</t>
  </si>
  <si>
    <t>2nd Year</t>
  </si>
  <si>
    <t>1st Year</t>
  </si>
  <si>
    <t>Test year</t>
  </si>
  <si>
    <t>Test Year</t>
  </si>
  <si>
    <t>Format  7</t>
  </si>
  <si>
    <t>Exhibit    Z</t>
  </si>
  <si>
    <t>page  2  of     2</t>
  </si>
  <si>
    <t>Calculation of Average Test Period Capital Structure</t>
  </si>
  <si>
    <t>Total</t>
  </si>
  <si>
    <t>Long-Term</t>
  </si>
  <si>
    <t>Short-Term</t>
  </si>
  <si>
    <t>Common</t>
  </si>
  <si>
    <t>Patronage</t>
  </si>
  <si>
    <t>Item</t>
  </si>
  <si>
    <t>Capital</t>
  </si>
  <si>
    <t>Debt</t>
  </si>
  <si>
    <t>Stock</t>
  </si>
  <si>
    <t>Equity</t>
  </si>
  <si>
    <t>(a)</t>
  </si>
  <si>
    <t>(b)</t>
  </si>
  <si>
    <t>(c)</t>
  </si>
  <si>
    <t>(d)</t>
  </si>
  <si>
    <t>(e)</t>
  </si>
  <si>
    <t>(f)</t>
  </si>
  <si>
    <t>(g)</t>
  </si>
  <si>
    <t>(h)</t>
  </si>
  <si>
    <t>Balance Beginning of Test year</t>
  </si>
  <si>
    <t>1st month</t>
  </si>
  <si>
    <t>2nd month</t>
  </si>
  <si>
    <t>3rd month</t>
  </si>
  <si>
    <t>4th month</t>
  </si>
  <si>
    <t>5th month</t>
  </si>
  <si>
    <t>6st month</t>
  </si>
  <si>
    <t>7th month</t>
  </si>
  <si>
    <t>8th month</t>
  </si>
  <si>
    <t>9th month</t>
  </si>
  <si>
    <t>10th month</t>
  </si>
  <si>
    <t>11th month</t>
  </si>
  <si>
    <t>12th month</t>
  </si>
  <si>
    <t xml:space="preserve">  Average balance (Line 14/13)</t>
  </si>
  <si>
    <t xml:space="preserve">  Average capitalization ratios</t>
  </si>
  <si>
    <t xml:space="preserve">  End of period capitalization ratios</t>
  </si>
  <si>
    <t xml:space="preserve"> Total (Line 1 through Line 13)</t>
  </si>
  <si>
    <t>Cumberland Valley Electric</t>
  </si>
  <si>
    <t>12 months ended November 30, 2015</t>
  </si>
  <si>
    <t>Case No.  2016 - 00169</t>
  </si>
  <si>
    <t>Exh Z</t>
  </si>
  <si>
    <t>page 1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</si>
</sst>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4" x14ac:knownFonts="1">
    <font>
      <sz val="12"/>
      <name val="Times New Roman"/>
    </font>
    <font>
      <sz val="10"/>
      <color indexed="12"/>
      <name val="Courier"/>
    </font>
    <font>
      <sz val="14"/>
      <color indexed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8"/>
      <name val="Times New Roman"/>
    </font>
    <font>
      <sz val="12"/>
      <name val="Times New Roman"/>
      <family val="1"/>
    </font>
    <font>
      <sz val="12"/>
      <name val="Times New Roman"/>
    </font>
    <font>
      <sz val="12"/>
      <color indexed="12"/>
      <name val="Times New Roman"/>
    </font>
    <font>
      <sz val="12"/>
      <name val="Times New Roman"/>
    </font>
    <font>
      <sz val="12"/>
      <color indexed="12"/>
      <name val="Times New Roman"/>
      <family val="1"/>
    </font>
    <font>
      <u/>
      <sz val="12"/>
      <name val="Times New Roman"/>
      <family val="1"/>
    </font>
    <font>
      <sz val="11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</xf>
    <xf numFmtId="0" fontId="0" fillId="0" borderId="5" xfId="0" applyBorder="1" applyAlignment="1" applyProtection="1">
      <alignment horizontal="centerContinuous"/>
    </xf>
    <xf numFmtId="0" fontId="3" fillId="0" borderId="4" xfId="0" applyFont="1" applyBorder="1" applyAlignment="1" applyProtection="1">
      <alignment horizontal="centerContinuous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2" xfId="0" applyBorder="1" applyProtection="1"/>
    <xf numFmtId="0" fontId="0" fillId="0" borderId="7" xfId="0" applyBorder="1" applyAlignment="1" applyProtection="1">
      <alignment horizontal="centerContinuous"/>
    </xf>
    <xf numFmtId="0" fontId="0" fillId="0" borderId="8" xfId="0" applyBorder="1" applyAlignment="1" applyProtection="1">
      <alignment horizontal="centerContinuous"/>
    </xf>
    <xf numFmtId="0" fontId="0" fillId="0" borderId="7" xfId="0" applyBorder="1" applyProtection="1"/>
    <xf numFmtId="9" fontId="0" fillId="0" borderId="0" xfId="0" applyNumberFormat="1" applyProtection="1"/>
    <xf numFmtId="37" fontId="0" fillId="0" borderId="0" xfId="0" applyNumberFormat="1" applyProtection="1"/>
    <xf numFmtId="0" fontId="0" fillId="0" borderId="9" xfId="0" applyBorder="1" applyAlignment="1" applyProtection="1">
      <alignment horizontal="centerContinuous"/>
    </xf>
    <xf numFmtId="0" fontId="0" fillId="0" borderId="8" xfId="0" applyBorder="1" applyProtection="1"/>
    <xf numFmtId="37" fontId="0" fillId="0" borderId="10" xfId="0" applyNumberFormat="1" applyBorder="1" applyProtection="1"/>
    <xf numFmtId="0" fontId="0" fillId="0" borderId="11" xfId="0" applyBorder="1" applyAlignment="1" applyProtection="1">
      <alignment horizontal="centerContinuous"/>
    </xf>
    <xf numFmtId="0" fontId="0" fillId="0" borderId="12" xfId="0" applyBorder="1" applyProtection="1"/>
    <xf numFmtId="0" fontId="0" fillId="0" borderId="13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7" fillId="0" borderId="0" xfId="0" applyFont="1"/>
    <xf numFmtId="0" fontId="8" fillId="0" borderId="2" xfId="0" applyFont="1" applyBorder="1" applyProtection="1"/>
    <xf numFmtId="0" fontId="8" fillId="0" borderId="16" xfId="0" applyFont="1" applyBorder="1" applyProtection="1"/>
    <xf numFmtId="0" fontId="8" fillId="0" borderId="3" xfId="0" applyFont="1" applyBorder="1" applyProtection="1"/>
    <xf numFmtId="0" fontId="8" fillId="0" borderId="0" xfId="0" applyFont="1" applyProtection="1"/>
    <xf numFmtId="0" fontId="8" fillId="0" borderId="7" xfId="0" applyFont="1" applyBorder="1" applyAlignment="1" applyProtection="1">
      <alignment horizontal="centerContinuous"/>
    </xf>
    <xf numFmtId="0" fontId="8" fillId="0" borderId="8" xfId="0" applyFont="1" applyBorder="1" applyAlignment="1" applyProtection="1">
      <alignment horizontal="centerContinuous"/>
    </xf>
    <xf numFmtId="0" fontId="8" fillId="0" borderId="17" xfId="0" applyFont="1" applyBorder="1" applyAlignment="1" applyProtection="1">
      <alignment horizontal="centerContinuous"/>
    </xf>
    <xf numFmtId="0" fontId="8" fillId="0" borderId="18" xfId="0" applyFont="1" applyBorder="1" applyAlignment="1" applyProtection="1">
      <alignment horizontal="centerContinuous"/>
    </xf>
    <xf numFmtId="0" fontId="8" fillId="0" borderId="7" xfId="0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8" fillId="0" borderId="8" xfId="0" applyFont="1" applyBorder="1" applyProtection="1"/>
    <xf numFmtId="37" fontId="9" fillId="0" borderId="7" xfId="0" applyNumberFormat="1" applyFont="1" applyBorder="1" applyProtection="1">
      <protection locked="0"/>
    </xf>
    <xf numFmtId="9" fontId="10" fillId="0" borderId="7" xfId="0" applyNumberFormat="1" applyFont="1" applyBorder="1" applyProtection="1"/>
    <xf numFmtId="9" fontId="10" fillId="0" borderId="20" xfId="0" applyNumberFormat="1" applyFont="1" applyBorder="1" applyProtection="1"/>
    <xf numFmtId="0" fontId="10" fillId="0" borderId="8" xfId="0" applyFont="1" applyBorder="1" applyProtection="1"/>
    <xf numFmtId="0" fontId="10" fillId="0" borderId="13" xfId="0" applyFont="1" applyBorder="1" applyProtection="1"/>
    <xf numFmtId="37" fontId="10" fillId="0" borderId="12" xfId="0" applyNumberFormat="1" applyFont="1" applyBorder="1" applyProtection="1"/>
    <xf numFmtId="9" fontId="10" fillId="0" borderId="12" xfId="0" applyNumberFormat="1" applyFont="1" applyBorder="1" applyProtection="1"/>
    <xf numFmtId="9" fontId="10" fillId="0" borderId="21" xfId="0" applyNumberFormat="1" applyFont="1" applyBorder="1" applyProtection="1"/>
    <xf numFmtId="0" fontId="10" fillId="0" borderId="0" xfId="0" applyFont="1"/>
    <xf numFmtId="0" fontId="10" fillId="0" borderId="2" xfId="0" applyFont="1" applyBorder="1" applyProtection="1"/>
    <xf numFmtId="0" fontId="10" fillId="0" borderId="3" xfId="0" applyFont="1" applyBorder="1" applyProtection="1"/>
    <xf numFmtId="0" fontId="10" fillId="0" borderId="17" xfId="0" applyFont="1" applyBorder="1" applyProtection="1"/>
    <xf numFmtId="0" fontId="10" fillId="0" borderId="10" xfId="0" applyFont="1" applyBorder="1" applyProtection="1"/>
    <xf numFmtId="0" fontId="10" fillId="0" borderId="0" xfId="0" applyFont="1" applyProtection="1"/>
    <xf numFmtId="0" fontId="9" fillId="0" borderId="0" xfId="0" applyFont="1" applyProtection="1">
      <protection locked="0"/>
    </xf>
    <xf numFmtId="0" fontId="9" fillId="0" borderId="10" xfId="0" applyFont="1" applyBorder="1" applyProtection="1">
      <protection locked="0"/>
    </xf>
    <xf numFmtId="0" fontId="10" fillId="0" borderId="22" xfId="0" applyFont="1" applyBorder="1" applyAlignment="1" applyProtection="1">
      <alignment horizontal="centerContinuous"/>
    </xf>
    <xf numFmtId="0" fontId="10" fillId="0" borderId="23" xfId="0" applyFont="1" applyBorder="1" applyAlignment="1" applyProtection="1">
      <alignment horizontal="centerContinuous"/>
    </xf>
    <xf numFmtId="0" fontId="10" fillId="0" borderId="24" xfId="0" applyFont="1" applyBorder="1" applyAlignment="1" applyProtection="1">
      <alignment horizontal="centerContinuous"/>
    </xf>
    <xf numFmtId="0" fontId="10" fillId="0" borderId="7" xfId="0" applyFont="1" applyBorder="1" applyAlignment="1" applyProtection="1">
      <alignment horizontal="centerContinuous"/>
    </xf>
    <xf numFmtId="0" fontId="10" fillId="0" borderId="18" xfId="0" applyFont="1" applyBorder="1" applyAlignment="1" applyProtection="1">
      <alignment horizontal="centerContinuous"/>
    </xf>
    <xf numFmtId="0" fontId="10" fillId="0" borderId="8" xfId="0" applyFont="1" applyBorder="1" applyAlignment="1" applyProtection="1">
      <alignment horizontal="centerContinuous"/>
    </xf>
    <xf numFmtId="0" fontId="10" fillId="0" borderId="17" xfId="0" applyFont="1" applyBorder="1" applyAlignment="1" applyProtection="1">
      <alignment horizontal="centerContinuous"/>
    </xf>
    <xf numFmtId="0" fontId="10" fillId="0" borderId="7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10" fillId="0" borderId="20" xfId="0" applyFont="1" applyBorder="1" applyAlignment="1" applyProtection="1">
      <alignment horizontal="center"/>
    </xf>
    <xf numFmtId="37" fontId="10" fillId="0" borderId="7" xfId="0" applyNumberFormat="1" applyFont="1" applyBorder="1" applyProtection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37" fontId="7" fillId="0" borderId="0" xfId="0" applyNumberFormat="1" applyFont="1" applyProtection="1"/>
    <xf numFmtId="9" fontId="7" fillId="0" borderId="0" xfId="0" applyNumberFormat="1" applyFont="1" applyProtection="1"/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2" fillId="0" borderId="0" xfId="0" applyFont="1" applyAlignment="1">
      <alignment horizontal="center"/>
    </xf>
    <xf numFmtId="37" fontId="11" fillId="0" borderId="0" xfId="0" applyNumberFormat="1" applyFont="1" applyProtection="1">
      <protection locked="0"/>
    </xf>
    <xf numFmtId="164" fontId="13" fillId="0" borderId="8" xfId="0" applyNumberFormat="1" applyFont="1" applyBorder="1" applyAlignment="1" applyProtection="1">
      <alignment horizontal="centerContinuous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33"/>
  <sheetViews>
    <sheetView tabSelected="1" defaultGridColor="0" colorId="22" zoomScale="87" workbookViewId="0"/>
  </sheetViews>
  <sheetFormatPr defaultColWidth="9.625" defaultRowHeight="15.75" x14ac:dyDescent="0.25"/>
  <cols>
    <col min="1" max="1" width="5.625" customWidth="1"/>
    <col min="2" max="2" width="12.625" customWidth="1"/>
    <col min="5" max="5" width="5.625" customWidth="1"/>
    <col min="7" max="7" width="5.625" customWidth="1"/>
    <col min="9" max="9" width="5.625" customWidth="1"/>
    <col min="11" max="11" width="5.625" customWidth="1"/>
    <col min="12" max="12" width="10.875" bestFit="1" customWidth="1"/>
    <col min="13" max="13" width="5.625" customWidth="1"/>
    <col min="15" max="15" width="6.625" customWidth="1"/>
    <col min="17" max="17" width="5.625" customWidth="1"/>
  </cols>
  <sheetData>
    <row r="1" spans="1:19" ht="16.5" thickBot="1" x14ac:dyDescent="0.3">
      <c r="R1" t="s">
        <v>66</v>
      </c>
    </row>
    <row r="2" spans="1:19" ht="19.5" thickTop="1" x14ac:dyDescent="0.3">
      <c r="A2" s="3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t="s">
        <v>67</v>
      </c>
    </row>
    <row r="3" spans="1:19" ht="18.75" x14ac:dyDescent="0.3">
      <c r="A3" s="6" t="s">
        <v>65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9" ht="18.75" x14ac:dyDescent="0.3">
      <c r="A4" s="9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19" ht="18.75" x14ac:dyDescent="0.3">
      <c r="A5" s="9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</row>
    <row r="6" spans="1:19" ht="18.75" x14ac:dyDescent="0.3">
      <c r="A6" s="9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9" ht="16.5" thickBot="1" x14ac:dyDescent="0.3">
      <c r="A7" s="1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1"/>
    </row>
    <row r="8" spans="1:19" ht="15.95" customHeight="1" thickTop="1" x14ac:dyDescent="0.25">
      <c r="A8" s="12"/>
      <c r="B8" s="13"/>
      <c r="C8" s="13"/>
      <c r="D8" s="36"/>
      <c r="E8" s="36"/>
      <c r="F8" s="37">
        <f>H8-1</f>
        <v>2005</v>
      </c>
      <c r="G8" s="36"/>
      <c r="H8" s="37">
        <f>J8-1</f>
        <v>2006</v>
      </c>
      <c r="I8" s="36"/>
      <c r="J8" s="37">
        <f>L8-1</f>
        <v>2007</v>
      </c>
      <c r="K8" s="36"/>
      <c r="L8" s="37">
        <f>+N8-1</f>
        <v>2008</v>
      </c>
      <c r="M8" s="38"/>
      <c r="N8" s="37">
        <f>+P8-1</f>
        <v>2009</v>
      </c>
      <c r="O8" s="36"/>
      <c r="P8" s="37">
        <f>+D21-1</f>
        <v>2010</v>
      </c>
      <c r="Q8" s="38"/>
    </row>
    <row r="9" spans="1:19" ht="19.899999999999999" customHeight="1" x14ac:dyDescent="0.25">
      <c r="A9" s="31" t="s">
        <v>3</v>
      </c>
      <c r="B9" s="2"/>
      <c r="C9" s="2"/>
      <c r="D9" s="39"/>
      <c r="E9" s="39"/>
      <c r="F9" s="40" t="s">
        <v>4</v>
      </c>
      <c r="G9" s="41"/>
      <c r="H9" s="40" t="s">
        <v>5</v>
      </c>
      <c r="I9" s="41"/>
      <c r="J9" s="40" t="s">
        <v>6</v>
      </c>
      <c r="K9" s="41"/>
      <c r="L9" s="40" t="s">
        <v>7</v>
      </c>
      <c r="M9" s="42"/>
      <c r="N9" s="40" t="s">
        <v>6</v>
      </c>
      <c r="O9" s="41"/>
      <c r="P9" s="40" t="s">
        <v>7</v>
      </c>
      <c r="Q9" s="42"/>
    </row>
    <row r="10" spans="1:19" ht="24.95" customHeight="1" x14ac:dyDescent="0.25">
      <c r="A10" s="32" t="s">
        <v>8</v>
      </c>
      <c r="B10" s="14" t="s">
        <v>9</v>
      </c>
      <c r="C10" s="15"/>
      <c r="D10" s="41"/>
      <c r="E10" s="43"/>
      <c r="F10" s="44" t="s">
        <v>10</v>
      </c>
      <c r="G10" s="45" t="s">
        <v>11</v>
      </c>
      <c r="H10" s="44" t="s">
        <v>10</v>
      </c>
      <c r="I10" s="45" t="s">
        <v>11</v>
      </c>
      <c r="J10" s="44" t="s">
        <v>10</v>
      </c>
      <c r="K10" s="45" t="s">
        <v>11</v>
      </c>
      <c r="L10" s="44" t="s">
        <v>10</v>
      </c>
      <c r="M10" s="46" t="s">
        <v>11</v>
      </c>
      <c r="N10" s="71" t="s">
        <v>10</v>
      </c>
      <c r="O10" s="72" t="s">
        <v>11</v>
      </c>
      <c r="P10" s="71" t="s">
        <v>10</v>
      </c>
      <c r="Q10" s="72" t="s">
        <v>11</v>
      </c>
    </row>
    <row r="11" spans="1:19" ht="24.95" customHeight="1" x14ac:dyDescent="0.25">
      <c r="A11" s="19">
        <v>1</v>
      </c>
      <c r="B11" s="16" t="s">
        <v>12</v>
      </c>
      <c r="C11" s="20"/>
      <c r="D11" s="47"/>
      <c r="E11" s="47"/>
      <c r="F11" s="48">
        <f>28936+1137</f>
        <v>30073</v>
      </c>
      <c r="G11" s="49">
        <f>(F11/F$16)</f>
        <v>0.56509075876583115</v>
      </c>
      <c r="H11" s="48">
        <f>30035+1109</f>
        <v>31144</v>
      </c>
      <c r="I11" s="49">
        <f>(H11/H$16)</f>
        <v>0.57068513733897719</v>
      </c>
      <c r="J11" s="48">
        <f>29751+1257</f>
        <v>31008</v>
      </c>
      <c r="K11" s="49">
        <f>(J11/J$16)</f>
        <v>0.54876559596495889</v>
      </c>
      <c r="L11" s="48">
        <f>34548+1487</f>
        <v>36035</v>
      </c>
      <c r="M11" s="50">
        <f>(L11/L$16)</f>
        <v>0.57523465934486939</v>
      </c>
      <c r="N11" s="48">
        <f>32883+1551</f>
        <v>34434</v>
      </c>
      <c r="O11" s="49">
        <f>(N11/N$29)</f>
        <v>0.38599100243621748</v>
      </c>
      <c r="P11" s="48">
        <f>33633+2090</f>
        <v>35723</v>
      </c>
      <c r="Q11" s="49">
        <f>(P11/P$29)</f>
        <v>0.41089875004755783</v>
      </c>
      <c r="R11" s="21"/>
      <c r="S11" s="17"/>
    </row>
    <row r="12" spans="1:19" ht="24.95" customHeight="1" x14ac:dyDescent="0.25">
      <c r="A12" s="19">
        <v>2</v>
      </c>
      <c r="B12" s="16" t="s">
        <v>13</v>
      </c>
      <c r="C12" s="20"/>
      <c r="D12" s="51"/>
      <c r="E12" s="51"/>
      <c r="F12" s="48">
        <v>0</v>
      </c>
      <c r="G12" s="49">
        <f>(F12/F$16)</f>
        <v>0</v>
      </c>
      <c r="H12" s="48">
        <v>0</v>
      </c>
      <c r="I12" s="49">
        <f>(H12/H$16)</f>
        <v>0</v>
      </c>
      <c r="J12" s="48">
        <v>575</v>
      </c>
      <c r="K12" s="49">
        <f>(J12/J$16)</f>
        <v>1.0176090611450314E-2</v>
      </c>
      <c r="L12" s="48">
        <v>432</v>
      </c>
      <c r="M12" s="50">
        <f>(L12/L$16)</f>
        <v>6.896111359427878E-3</v>
      </c>
      <c r="N12" s="48">
        <v>1058</v>
      </c>
      <c r="O12" s="49">
        <f>(N12/N$29)</f>
        <v>1.1859745617050534E-2</v>
      </c>
      <c r="P12" s="48">
        <v>0</v>
      </c>
      <c r="Q12" s="49">
        <f>(P12/P$29)</f>
        <v>0</v>
      </c>
      <c r="R12" s="21"/>
      <c r="S12" s="17"/>
    </row>
    <row r="13" spans="1:19" ht="24.95" customHeight="1" x14ac:dyDescent="0.25">
      <c r="A13" s="19">
        <v>3</v>
      </c>
      <c r="B13" s="16" t="s">
        <v>14</v>
      </c>
      <c r="C13" s="20"/>
      <c r="D13" s="51"/>
      <c r="E13" s="51"/>
      <c r="F13" s="48">
        <v>408</v>
      </c>
      <c r="G13" s="49">
        <f>(F13/F$16)</f>
        <v>7.6665789770378441E-3</v>
      </c>
      <c r="H13" s="48">
        <v>413</v>
      </c>
      <c r="I13" s="49">
        <f>(H13/H$16)</f>
        <v>7.5678449049896472E-3</v>
      </c>
      <c r="J13" s="48">
        <v>416</v>
      </c>
      <c r="K13" s="49">
        <f>(J13/J$16)</f>
        <v>7.3621803380231835E-3</v>
      </c>
      <c r="L13" s="48">
        <v>420</v>
      </c>
      <c r="M13" s="50">
        <f>(L13/L$16)</f>
        <v>6.7045527105548813E-3</v>
      </c>
      <c r="N13" s="48">
        <v>426</v>
      </c>
      <c r="O13" s="49">
        <f>(N13/N$29)</f>
        <v>4.775285097224506E-3</v>
      </c>
      <c r="P13" s="48">
        <v>430</v>
      </c>
      <c r="Q13" s="49">
        <f>(P13/P$29)</f>
        <v>4.9460141231265535E-3</v>
      </c>
      <c r="R13" s="21"/>
      <c r="S13" s="17"/>
    </row>
    <row r="14" spans="1:19" ht="24.95" customHeight="1" x14ac:dyDescent="0.25">
      <c r="A14" s="19">
        <v>4</v>
      </c>
      <c r="B14" s="16" t="s">
        <v>15</v>
      </c>
      <c r="C14" s="20"/>
      <c r="D14" s="51"/>
      <c r="E14" s="51"/>
      <c r="F14" s="48">
        <f>23145-F13</f>
        <v>22737</v>
      </c>
      <c r="G14" s="49">
        <f>(F14/F$16)</f>
        <v>0.42724266225713103</v>
      </c>
      <c r="H14" s="48">
        <f>23429-H13</f>
        <v>23016</v>
      </c>
      <c r="I14" s="49">
        <f>(H14/H$16)</f>
        <v>0.42174701775603318</v>
      </c>
      <c r="J14" s="48">
        <f>24922-J13</f>
        <v>24506</v>
      </c>
      <c r="K14" s="49">
        <f>(J14/J$16)</f>
        <v>0.43369613308556765</v>
      </c>
      <c r="L14" s="48">
        <f>26177-L13</f>
        <v>25757</v>
      </c>
      <c r="M14" s="50">
        <f>(L14/L$16)</f>
        <v>0.41116467658514783</v>
      </c>
      <c r="N14" s="48">
        <f>27773-N13</f>
        <v>27347</v>
      </c>
      <c r="O14" s="49">
        <f>(N14/N$29)</f>
        <v>0.30654864214506705</v>
      </c>
      <c r="P14" s="48">
        <f>31323-P13</f>
        <v>30893</v>
      </c>
      <c r="Q14" s="49">
        <f>(P14/P$29)</f>
        <v>0.35534235885057813</v>
      </c>
      <c r="R14" s="21"/>
      <c r="S14" s="17"/>
    </row>
    <row r="15" spans="1:19" ht="24.95" customHeight="1" x14ac:dyDescent="0.25">
      <c r="A15" s="19">
        <v>5</v>
      </c>
      <c r="B15" s="16" t="s">
        <v>16</v>
      </c>
      <c r="C15" s="20"/>
      <c r="D15" s="51"/>
      <c r="E15" s="51"/>
      <c r="F15" s="48"/>
      <c r="G15" s="49"/>
      <c r="H15" s="48"/>
      <c r="I15" s="49"/>
      <c r="J15" s="48"/>
      <c r="K15" s="49"/>
      <c r="L15" s="48"/>
      <c r="M15" s="50"/>
      <c r="N15" s="48"/>
      <c r="O15" s="49"/>
      <c r="P15" s="48"/>
      <c r="Q15" s="49"/>
      <c r="R15" s="21"/>
      <c r="S15" s="17"/>
    </row>
    <row r="16" spans="1:19" ht="24.95" customHeight="1" thickBot="1" x14ac:dyDescent="0.3">
      <c r="A16" s="22">
        <v>6</v>
      </c>
      <c r="B16" s="23" t="s">
        <v>17</v>
      </c>
      <c r="C16" s="24"/>
      <c r="D16" s="52"/>
      <c r="E16" s="52"/>
      <c r="F16" s="53">
        <f>SUM(F11:F15)</f>
        <v>53218</v>
      </c>
      <c r="G16" s="54">
        <f>(F16/F$16)</f>
        <v>1</v>
      </c>
      <c r="H16" s="53">
        <f>SUM(H11:H15)</f>
        <v>54573</v>
      </c>
      <c r="I16" s="54">
        <f>(H16/H$16)</f>
        <v>1</v>
      </c>
      <c r="J16" s="53">
        <f>SUM(J11:J15)</f>
        <v>56505</v>
      </c>
      <c r="K16" s="54">
        <f>(J16/J$16)</f>
        <v>1</v>
      </c>
      <c r="L16" s="53">
        <f>SUM(L11:L15)</f>
        <v>62644</v>
      </c>
      <c r="M16" s="55">
        <f>(L16/L$16)</f>
        <v>1</v>
      </c>
      <c r="N16" s="53">
        <f>SUM(N11:N15)</f>
        <v>63265</v>
      </c>
      <c r="O16" s="54">
        <f>(N16/N$29)</f>
        <v>0.70917467529555955</v>
      </c>
      <c r="P16" s="53">
        <f>SUM(P11:P15)</f>
        <v>67046</v>
      </c>
      <c r="Q16" s="54">
        <f>(P16/P$29)</f>
        <v>0.77118712302126247</v>
      </c>
      <c r="R16" s="21"/>
      <c r="S16" s="17"/>
    </row>
    <row r="17" spans="1:17" ht="24.95" customHeight="1" thickTop="1" x14ac:dyDescent="0.25"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24.95" customHeight="1" thickBot="1" x14ac:dyDescent="0.3"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24.95" customHeight="1" thickTop="1" x14ac:dyDescent="0.25">
      <c r="A19" s="25"/>
      <c r="B19" s="13"/>
      <c r="C19" s="1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</row>
    <row r="20" spans="1:17" ht="24.95" customHeight="1" x14ac:dyDescent="0.25">
      <c r="A20" s="26"/>
      <c r="B20" s="20"/>
      <c r="C20" s="2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9"/>
    </row>
    <row r="21" spans="1:17" ht="24.95" customHeight="1" x14ac:dyDescent="0.25">
      <c r="A21" s="10"/>
      <c r="B21" s="27"/>
      <c r="C21" s="2"/>
      <c r="D21" s="60">
        <f>F21-1</f>
        <v>2011</v>
      </c>
      <c r="E21" s="61"/>
      <c r="F21" s="60">
        <f>H21-1</f>
        <v>2012</v>
      </c>
      <c r="G21" s="62"/>
      <c r="H21" s="60">
        <f>J21-1</f>
        <v>2013</v>
      </c>
      <c r="I21" s="61"/>
      <c r="J21" s="60">
        <f>L21-1</f>
        <v>2014</v>
      </c>
      <c r="K21" s="62"/>
      <c r="L21" s="63">
        <v>2015</v>
      </c>
      <c r="M21" s="61"/>
      <c r="N21" s="64" t="s">
        <v>18</v>
      </c>
      <c r="O21" s="65"/>
      <c r="P21" s="64" t="s">
        <v>19</v>
      </c>
      <c r="Q21" s="66"/>
    </row>
    <row r="22" spans="1:17" ht="24.95" customHeight="1" x14ac:dyDescent="0.25">
      <c r="A22" s="33" t="s">
        <v>3</v>
      </c>
      <c r="B22" s="27"/>
      <c r="C22" s="2"/>
      <c r="D22" s="67" t="s">
        <v>20</v>
      </c>
      <c r="E22" s="68"/>
      <c r="F22" s="67" t="s">
        <v>21</v>
      </c>
      <c r="G22" s="68"/>
      <c r="H22" s="67" t="s">
        <v>20</v>
      </c>
      <c r="I22" s="68"/>
      <c r="J22" s="67" t="s">
        <v>21</v>
      </c>
      <c r="K22" s="68"/>
      <c r="L22" s="67" t="s">
        <v>22</v>
      </c>
      <c r="M22" s="68"/>
      <c r="N22" s="84">
        <v>42338</v>
      </c>
      <c r="O22" s="69"/>
      <c r="P22" s="67" t="s">
        <v>23</v>
      </c>
      <c r="Q22" s="70"/>
    </row>
    <row r="23" spans="1:17" ht="24.95" customHeight="1" x14ac:dyDescent="0.25">
      <c r="A23" s="34" t="s">
        <v>8</v>
      </c>
      <c r="B23" s="14" t="s">
        <v>9</v>
      </c>
      <c r="C23" s="15"/>
      <c r="D23" s="71" t="s">
        <v>10</v>
      </c>
      <c r="E23" s="72" t="s">
        <v>11</v>
      </c>
      <c r="F23" s="71" t="s">
        <v>10</v>
      </c>
      <c r="G23" s="72" t="s">
        <v>11</v>
      </c>
      <c r="H23" s="71" t="s">
        <v>10</v>
      </c>
      <c r="I23" s="72" t="s">
        <v>11</v>
      </c>
      <c r="J23" s="71" t="s">
        <v>10</v>
      </c>
      <c r="K23" s="72" t="s">
        <v>11</v>
      </c>
      <c r="L23" s="71" t="s">
        <v>10</v>
      </c>
      <c r="M23" s="72" t="s">
        <v>11</v>
      </c>
      <c r="N23" s="71" t="s">
        <v>10</v>
      </c>
      <c r="O23" s="72" t="s">
        <v>11</v>
      </c>
      <c r="P23" s="71" t="s">
        <v>10</v>
      </c>
      <c r="Q23" s="73" t="s">
        <v>11</v>
      </c>
    </row>
    <row r="24" spans="1:17" ht="24.95" customHeight="1" x14ac:dyDescent="0.25">
      <c r="A24" s="19">
        <v>1</v>
      </c>
      <c r="B24" s="16" t="s">
        <v>12</v>
      </c>
      <c r="C24" s="20"/>
      <c r="D24" s="48">
        <f>35636+1890</f>
        <v>37526</v>
      </c>
      <c r="E24" s="49">
        <f>(D24/D$29)</f>
        <v>0.51990911358031533</v>
      </c>
      <c r="F24" s="48">
        <f>35972+1949</f>
        <v>37921</v>
      </c>
      <c r="G24" s="49">
        <f>(F24/F$29)</f>
        <v>0.50086513188308168</v>
      </c>
      <c r="H24" s="48">
        <f>40921+1892</f>
        <v>42813</v>
      </c>
      <c r="I24" s="49">
        <f t="shared" ref="I24:I29" si="0">(H24/H$29)</f>
        <v>0.51639789161349459</v>
      </c>
      <c r="J24" s="48">
        <f>41748+2109</f>
        <v>43857</v>
      </c>
      <c r="K24" s="49">
        <f t="shared" ref="K24:K29" si="1">(J24/J$29)</f>
        <v>0.50513694685678745</v>
      </c>
      <c r="L24" s="48">
        <v>47924</v>
      </c>
      <c r="M24" s="49">
        <f t="shared" ref="M24:M29" si="2">(L24/L$29)</f>
        <v>0.52725732454644469</v>
      </c>
      <c r="N24" s="74">
        <f>SUM(monthly!D23:D25)/3</f>
        <v>46152.666666666664</v>
      </c>
      <c r="O24" s="49">
        <f t="shared" ref="O24:O29" si="3">(N24/N$29)</f>
        <v>0.51735244443780171</v>
      </c>
      <c r="P24" s="74">
        <f>monthly!D27</f>
        <v>43842.846153846156</v>
      </c>
      <c r="Q24" s="50">
        <f t="shared" ref="Q24:Q29" si="4">(P24/P$29)</f>
        <v>0.5042961308720646</v>
      </c>
    </row>
    <row r="25" spans="1:17" ht="24.95" customHeight="1" x14ac:dyDescent="0.25">
      <c r="A25" s="19">
        <v>2</v>
      </c>
      <c r="B25" s="16" t="s">
        <v>13</v>
      </c>
      <c r="C25" s="20"/>
      <c r="D25" s="48">
        <v>0</v>
      </c>
      <c r="E25" s="49">
        <f>(D25/D$29)</f>
        <v>0</v>
      </c>
      <c r="F25" s="48">
        <v>790</v>
      </c>
      <c r="G25" s="49">
        <f>(F25/F$29)</f>
        <v>1.0434415078390194E-2</v>
      </c>
      <c r="H25" s="48">
        <v>0</v>
      </c>
      <c r="I25" s="49">
        <f t="shared" si="0"/>
        <v>0</v>
      </c>
      <c r="J25" s="48">
        <v>0</v>
      </c>
      <c r="K25" s="49">
        <f t="shared" si="1"/>
        <v>0</v>
      </c>
      <c r="L25" s="48">
        <v>0</v>
      </c>
      <c r="M25" s="49">
        <f t="shared" si="2"/>
        <v>0</v>
      </c>
      <c r="N25" s="74">
        <f>SUM(monthly!E23:E25)/3</f>
        <v>0</v>
      </c>
      <c r="O25" s="49">
        <f t="shared" si="3"/>
        <v>0</v>
      </c>
      <c r="P25" s="74">
        <f>monthly!E27</f>
        <v>0</v>
      </c>
      <c r="Q25" s="50">
        <f t="shared" si="4"/>
        <v>0</v>
      </c>
    </row>
    <row r="26" spans="1:17" ht="24.95" customHeight="1" x14ac:dyDescent="0.25">
      <c r="A26" s="19">
        <v>3</v>
      </c>
      <c r="B26" s="16" t="s">
        <v>14</v>
      </c>
      <c r="C26" s="20"/>
      <c r="D26" s="48">
        <v>430</v>
      </c>
      <c r="E26" s="49">
        <f>(D26/D$29)</f>
        <v>5.957493973232841E-3</v>
      </c>
      <c r="F26" s="48">
        <v>431</v>
      </c>
      <c r="G26" s="49">
        <f>(F26/F$29)</f>
        <v>5.6926998718812329E-3</v>
      </c>
      <c r="H26" s="48">
        <v>432</v>
      </c>
      <c r="I26" s="49">
        <f>(H26/H$29)</f>
        <v>5.2106577249206943E-3</v>
      </c>
      <c r="J26" s="48">
        <v>433</v>
      </c>
      <c r="K26" s="49">
        <f>(J26/J$29)</f>
        <v>4.9872152219483544E-3</v>
      </c>
      <c r="L26" s="48">
        <v>435</v>
      </c>
      <c r="M26" s="49">
        <f>(L26/L$29)</f>
        <v>4.7858470949358033E-3</v>
      </c>
      <c r="N26" s="74">
        <f>SUM(monthly!F23:F25)/3</f>
        <v>434.66666666666669</v>
      </c>
      <c r="O26" s="49">
        <f>(N26/N$29)</f>
        <v>4.8724348722854116E-3</v>
      </c>
      <c r="P26" s="74">
        <f>+monthly!F27</f>
        <v>433.38461538461536</v>
      </c>
      <c r="Q26" s="50">
        <f t="shared" si="4"/>
        <v>4.9849451824141317E-3</v>
      </c>
    </row>
    <row r="27" spans="1:17" ht="24.95" customHeight="1" x14ac:dyDescent="0.25">
      <c r="A27" s="19">
        <v>4</v>
      </c>
      <c r="B27" s="16" t="s">
        <v>15</v>
      </c>
      <c r="C27" s="20"/>
      <c r="D27" s="48">
        <f>34652-D26</f>
        <v>34222</v>
      </c>
      <c r="E27" s="49">
        <f>(D27/D$29)</f>
        <v>0.47413339244645181</v>
      </c>
      <c r="F27" s="48">
        <f>37000-F26</f>
        <v>36569</v>
      </c>
      <c r="G27" s="49">
        <f>(F27/F$29)</f>
        <v>0.48300775316664685</v>
      </c>
      <c r="H27" s="48">
        <f>40094-H26</f>
        <v>39662</v>
      </c>
      <c r="I27" s="49">
        <f t="shared" si="0"/>
        <v>0.47839145066158467</v>
      </c>
      <c r="J27" s="48">
        <f>42965-J26</f>
        <v>42532</v>
      </c>
      <c r="K27" s="49">
        <f t="shared" si="1"/>
        <v>0.48987583792126421</v>
      </c>
      <c r="L27" s="48">
        <f>42969-L26</f>
        <v>42534</v>
      </c>
      <c r="M27" s="49">
        <f t="shared" si="2"/>
        <v>0.46795682835861946</v>
      </c>
      <c r="N27" s="74">
        <f>SUM(monthly!H23:H25)/3</f>
        <v>42622</v>
      </c>
      <c r="O27" s="49">
        <f t="shared" si="3"/>
        <v>0.4777751206899129</v>
      </c>
      <c r="P27" s="74">
        <f>monthly!H27</f>
        <v>42662.461538461539</v>
      </c>
      <c r="Q27" s="50">
        <f t="shared" si="4"/>
        <v>0.49071892394552125</v>
      </c>
    </row>
    <row r="28" spans="1:17" ht="24.95" customHeight="1" x14ac:dyDescent="0.25">
      <c r="A28" s="19">
        <v>5</v>
      </c>
      <c r="B28" s="16" t="s">
        <v>16</v>
      </c>
      <c r="C28" s="20"/>
      <c r="D28" s="48"/>
      <c r="E28" s="49"/>
      <c r="F28" s="48"/>
      <c r="G28" s="49"/>
      <c r="H28" s="48"/>
      <c r="I28" s="49"/>
      <c r="J28" s="48"/>
      <c r="K28" s="49"/>
      <c r="L28" s="48"/>
      <c r="M28" s="49"/>
      <c r="N28" s="48"/>
      <c r="O28" s="49"/>
      <c r="P28" s="74"/>
      <c r="Q28" s="50"/>
    </row>
    <row r="29" spans="1:17" ht="24.95" customHeight="1" thickBot="1" x14ac:dyDescent="0.3">
      <c r="A29" s="22">
        <v>6</v>
      </c>
      <c r="B29" s="23" t="s">
        <v>17</v>
      </c>
      <c r="C29" s="24"/>
      <c r="D29" s="53">
        <f>SUM(D24:D28)</f>
        <v>72178</v>
      </c>
      <c r="E29" s="54">
        <f>(D29/D$29)</f>
        <v>1</v>
      </c>
      <c r="F29" s="53">
        <f>SUM(F24:F28)</f>
        <v>75711</v>
      </c>
      <c r="G29" s="54">
        <f>(F29/F$29)</f>
        <v>1</v>
      </c>
      <c r="H29" s="53">
        <f>SUM(H24:H28)</f>
        <v>82907</v>
      </c>
      <c r="I29" s="54">
        <f t="shared" si="0"/>
        <v>1</v>
      </c>
      <c r="J29" s="53">
        <f>SUM(J24:J28)</f>
        <v>86822</v>
      </c>
      <c r="K29" s="54">
        <f t="shared" si="1"/>
        <v>1</v>
      </c>
      <c r="L29" s="53">
        <f>SUM(L24:L28)</f>
        <v>90893</v>
      </c>
      <c r="M29" s="54">
        <f t="shared" si="2"/>
        <v>1</v>
      </c>
      <c r="N29" s="53">
        <f>SUM(N24:N28)</f>
        <v>89209.333333333328</v>
      </c>
      <c r="O29" s="54">
        <f t="shared" si="3"/>
        <v>1</v>
      </c>
      <c r="P29" s="53">
        <f>SUM(P24:P28)</f>
        <v>86938.692307692312</v>
      </c>
      <c r="Q29" s="55">
        <f t="shared" si="4"/>
        <v>1</v>
      </c>
    </row>
    <row r="30" spans="1:17" ht="16.5" thickTop="1" x14ac:dyDescent="0.25"/>
    <row r="33" spans="1:1" x14ac:dyDescent="0.25">
      <c r="A33" s="1"/>
    </row>
  </sheetData>
  <phoneticPr fontId="6" type="noConversion"/>
  <printOptions horizontalCentered="1"/>
  <pageMargins left="0.65" right="0.65" top="0.5" bottom="0.26" header="0.5" footer="0.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34"/>
  <sheetViews>
    <sheetView defaultGridColor="0" colorId="22" zoomScale="87" workbookViewId="0"/>
  </sheetViews>
  <sheetFormatPr defaultColWidth="9.625" defaultRowHeight="15.75" x14ac:dyDescent="0.25"/>
  <cols>
    <col min="1" max="1" width="7.75" customWidth="1"/>
    <col min="2" max="2" width="31.375" customWidth="1"/>
    <col min="3" max="9" width="12.625" customWidth="1"/>
  </cols>
  <sheetData>
    <row r="1" spans="1:14" x14ac:dyDescent="0.25">
      <c r="A1" s="35"/>
      <c r="B1" s="35"/>
      <c r="C1" s="35"/>
      <c r="D1" s="35"/>
      <c r="E1" s="35"/>
      <c r="F1" s="35"/>
      <c r="G1" s="35"/>
      <c r="I1" s="75" t="s">
        <v>24</v>
      </c>
      <c r="J1" s="35"/>
    </row>
    <row r="2" spans="1:14" x14ac:dyDescent="0.25">
      <c r="A2" s="35"/>
      <c r="B2" s="35"/>
      <c r="C2" s="35"/>
      <c r="D2" s="35"/>
      <c r="E2" s="35"/>
      <c r="F2" s="35"/>
      <c r="G2" s="35"/>
      <c r="I2" s="80" t="s">
        <v>25</v>
      </c>
      <c r="J2" s="35"/>
    </row>
    <row r="3" spans="1:14" x14ac:dyDescent="0.25">
      <c r="A3" s="35"/>
      <c r="B3" s="35"/>
      <c r="C3" s="35"/>
      <c r="D3" s="35"/>
      <c r="E3" s="35"/>
      <c r="F3" s="35"/>
      <c r="G3" s="35"/>
      <c r="I3" s="80" t="s">
        <v>26</v>
      </c>
      <c r="J3" s="35"/>
    </row>
    <row r="4" spans="1:14" x14ac:dyDescent="0.25">
      <c r="A4" s="76" t="str">
        <f>years!A2</f>
        <v>Cumberland Valley Electric</v>
      </c>
      <c r="B4" s="76"/>
      <c r="C4" s="76"/>
      <c r="D4" s="76"/>
      <c r="E4" s="76"/>
      <c r="F4" s="76"/>
      <c r="G4" s="76"/>
      <c r="H4" s="76"/>
      <c r="I4" s="76"/>
      <c r="J4" s="35"/>
    </row>
    <row r="5" spans="1:14" x14ac:dyDescent="0.25">
      <c r="A5" s="76" t="str">
        <f>years!A3</f>
        <v>Case No.  2016 - 00169</v>
      </c>
      <c r="B5" s="76"/>
      <c r="C5" s="76"/>
      <c r="D5" s="76"/>
      <c r="E5" s="76"/>
      <c r="F5" s="76"/>
      <c r="G5" s="76"/>
      <c r="H5" s="76"/>
      <c r="I5" s="76"/>
      <c r="J5" s="35"/>
    </row>
    <row r="6" spans="1:14" x14ac:dyDescent="0.25">
      <c r="A6" s="76" t="s">
        <v>27</v>
      </c>
      <c r="B6" s="76"/>
      <c r="C6" s="76"/>
      <c r="D6" s="76"/>
      <c r="E6" s="76"/>
      <c r="F6" s="76"/>
      <c r="G6" s="76"/>
      <c r="H6" s="76"/>
      <c r="I6" s="76"/>
      <c r="J6" s="35"/>
    </row>
    <row r="7" spans="1:14" x14ac:dyDescent="0.25">
      <c r="A7" s="81" t="s">
        <v>64</v>
      </c>
      <c r="B7" s="76"/>
      <c r="C7" s="76"/>
      <c r="D7" s="76"/>
      <c r="E7" s="76"/>
      <c r="F7" s="76"/>
      <c r="G7" s="76"/>
      <c r="H7" s="76"/>
      <c r="I7" s="76"/>
      <c r="J7" s="35"/>
    </row>
    <row r="8" spans="1:14" x14ac:dyDescent="0.25">
      <c r="A8" s="35"/>
      <c r="B8" s="35"/>
      <c r="C8" s="35"/>
      <c r="D8" s="35"/>
      <c r="E8" s="35"/>
      <c r="F8" s="35"/>
      <c r="G8" s="35"/>
      <c r="H8" s="35"/>
      <c r="I8" s="28" t="s">
        <v>28</v>
      </c>
      <c r="J8" s="35"/>
    </row>
    <row r="9" spans="1:14" x14ac:dyDescent="0.25">
      <c r="A9" s="77"/>
      <c r="B9" s="77"/>
      <c r="C9" s="28" t="s">
        <v>28</v>
      </c>
      <c r="D9" s="28" t="s">
        <v>29</v>
      </c>
      <c r="E9" s="28" t="s">
        <v>30</v>
      </c>
      <c r="F9" s="28"/>
      <c r="G9" s="28" t="s">
        <v>31</v>
      </c>
      <c r="H9" s="28" t="s">
        <v>32</v>
      </c>
      <c r="I9" s="28" t="s">
        <v>31</v>
      </c>
      <c r="J9" s="35"/>
    </row>
    <row r="10" spans="1:14" x14ac:dyDescent="0.25">
      <c r="A10" s="77" t="s">
        <v>3</v>
      </c>
      <c r="B10" s="77" t="s">
        <v>33</v>
      </c>
      <c r="C10" s="28" t="s">
        <v>34</v>
      </c>
      <c r="D10" s="28" t="s">
        <v>35</v>
      </c>
      <c r="E10" s="28" t="s">
        <v>35</v>
      </c>
      <c r="F10" s="28" t="s">
        <v>14</v>
      </c>
      <c r="G10" s="28" t="s">
        <v>36</v>
      </c>
      <c r="H10" s="28" t="s">
        <v>34</v>
      </c>
      <c r="I10" s="28" t="s">
        <v>37</v>
      </c>
      <c r="J10" s="35"/>
    </row>
    <row r="11" spans="1:14" x14ac:dyDescent="0.25">
      <c r="A11" s="82" t="s">
        <v>8</v>
      </c>
      <c r="B11" s="82" t="s">
        <v>38</v>
      </c>
      <c r="C11" s="29" t="s">
        <v>39</v>
      </c>
      <c r="D11" s="29" t="s">
        <v>40</v>
      </c>
      <c r="E11" s="29" t="s">
        <v>41</v>
      </c>
      <c r="F11" s="29" t="s">
        <v>42</v>
      </c>
      <c r="G11" s="29" t="s">
        <v>43</v>
      </c>
      <c r="H11" s="29" t="s">
        <v>44</v>
      </c>
      <c r="I11" s="29" t="s">
        <v>45</v>
      </c>
      <c r="J11" s="35"/>
    </row>
    <row r="12" spans="1:14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4" ht="19.899999999999999" customHeight="1" x14ac:dyDescent="0.25">
      <c r="A13" s="77">
        <v>1</v>
      </c>
      <c r="B13" s="35" t="s">
        <v>46</v>
      </c>
      <c r="C13" s="78">
        <f t="shared" ref="C13:C25" si="0">SUM(D13:I13)</f>
        <v>84835</v>
      </c>
      <c r="D13" s="83">
        <v>44248</v>
      </c>
      <c r="E13" s="83"/>
      <c r="F13" s="83">
        <v>433</v>
      </c>
      <c r="G13" s="83"/>
      <c r="H13" s="83">
        <f>40587-F13</f>
        <v>40154</v>
      </c>
      <c r="I13" s="83"/>
      <c r="J13" s="83"/>
      <c r="K13" s="83"/>
      <c r="L13" s="83"/>
      <c r="M13" s="83"/>
      <c r="N13" s="83"/>
    </row>
    <row r="14" spans="1:14" ht="19.899999999999999" customHeight="1" x14ac:dyDescent="0.25">
      <c r="A14" s="77">
        <f t="shared" ref="A14:A29" si="1">A13+1</f>
        <v>2</v>
      </c>
      <c r="B14" s="35" t="s">
        <v>47</v>
      </c>
      <c r="C14" s="78">
        <f t="shared" si="0"/>
        <v>84613</v>
      </c>
      <c r="D14" s="83">
        <v>41748</v>
      </c>
      <c r="E14" s="83"/>
      <c r="F14" s="83">
        <v>433</v>
      </c>
      <c r="G14" s="83"/>
      <c r="H14" s="83">
        <f>42865-F14</f>
        <v>42432</v>
      </c>
      <c r="I14" s="83"/>
      <c r="J14" s="83"/>
      <c r="K14" s="83"/>
      <c r="L14" s="83"/>
      <c r="M14" s="83"/>
      <c r="N14" s="83"/>
    </row>
    <row r="15" spans="1:14" ht="19.899999999999999" customHeight="1" x14ac:dyDescent="0.25">
      <c r="A15" s="77">
        <f t="shared" si="1"/>
        <v>3</v>
      </c>
      <c r="B15" s="35" t="s">
        <v>48</v>
      </c>
      <c r="C15" s="78">
        <f t="shared" si="0"/>
        <v>86909</v>
      </c>
      <c r="D15" s="83">
        <v>43828</v>
      </c>
      <c r="E15" s="83"/>
      <c r="F15" s="83">
        <v>434</v>
      </c>
      <c r="G15" s="83"/>
      <c r="H15" s="83">
        <f>43081-F15</f>
        <v>42647</v>
      </c>
      <c r="I15" s="83"/>
      <c r="J15" s="83"/>
      <c r="K15" s="83"/>
      <c r="L15" s="83"/>
      <c r="M15" s="83"/>
      <c r="N15" s="83"/>
    </row>
    <row r="16" spans="1:14" ht="19.899999999999999" customHeight="1" x14ac:dyDescent="0.25">
      <c r="A16" s="77">
        <f t="shared" si="1"/>
        <v>4</v>
      </c>
      <c r="B16" s="35" t="s">
        <v>49</v>
      </c>
      <c r="C16" s="78">
        <f t="shared" si="0"/>
        <v>87284</v>
      </c>
      <c r="D16" s="83">
        <v>43705</v>
      </c>
      <c r="E16" s="83"/>
      <c r="F16" s="83">
        <v>434</v>
      </c>
      <c r="G16" s="83"/>
      <c r="H16" s="83">
        <f>43579-F16</f>
        <v>43145</v>
      </c>
      <c r="I16" s="83"/>
      <c r="J16" s="83"/>
      <c r="K16" s="83"/>
      <c r="L16" s="83"/>
      <c r="M16" s="83"/>
      <c r="N16" s="83"/>
    </row>
    <row r="17" spans="1:14" ht="19.899999999999999" customHeight="1" x14ac:dyDescent="0.25">
      <c r="A17" s="77">
        <f t="shared" si="1"/>
        <v>5</v>
      </c>
      <c r="B17" s="35" t="s">
        <v>50</v>
      </c>
      <c r="C17" s="78">
        <f t="shared" si="0"/>
        <v>86961</v>
      </c>
      <c r="D17" s="83">
        <v>43314</v>
      </c>
      <c r="E17" s="83"/>
      <c r="F17" s="83">
        <v>433</v>
      </c>
      <c r="G17" s="83"/>
      <c r="H17" s="83">
        <f>43647-F17</f>
        <v>43214</v>
      </c>
      <c r="I17" s="83"/>
      <c r="J17" s="83"/>
      <c r="K17" s="83"/>
      <c r="L17" s="83"/>
      <c r="M17" s="83"/>
      <c r="N17" s="83"/>
    </row>
    <row r="18" spans="1:14" ht="19.899999999999999" customHeight="1" x14ac:dyDescent="0.25">
      <c r="A18" s="77">
        <f t="shared" si="1"/>
        <v>6</v>
      </c>
      <c r="B18" s="35" t="s">
        <v>51</v>
      </c>
      <c r="C18" s="78">
        <f t="shared" si="0"/>
        <v>87173</v>
      </c>
      <c r="D18" s="83">
        <v>43284</v>
      </c>
      <c r="E18" s="83"/>
      <c r="F18" s="83">
        <v>431</v>
      </c>
      <c r="G18" s="83"/>
      <c r="H18" s="83">
        <f>43889-F18</f>
        <v>43458</v>
      </c>
      <c r="I18" s="83"/>
      <c r="J18" s="83"/>
      <c r="K18" s="83"/>
      <c r="L18" s="83"/>
      <c r="M18" s="83"/>
      <c r="N18" s="83"/>
    </row>
    <row r="19" spans="1:14" ht="19.899999999999999" customHeight="1" x14ac:dyDescent="0.25">
      <c r="A19" s="77">
        <f t="shared" si="1"/>
        <v>7</v>
      </c>
      <c r="B19" s="35" t="s">
        <v>52</v>
      </c>
      <c r="C19" s="78">
        <f t="shared" si="0"/>
        <v>86855</v>
      </c>
      <c r="D19" s="83">
        <v>43160</v>
      </c>
      <c r="E19" s="83"/>
      <c r="F19" s="83">
        <v>432</v>
      </c>
      <c r="G19" s="83"/>
      <c r="H19" s="83">
        <f>43695-F19</f>
        <v>43263</v>
      </c>
      <c r="I19" s="83"/>
      <c r="J19" s="83"/>
      <c r="K19" s="83"/>
      <c r="L19" s="83"/>
      <c r="M19" s="83"/>
      <c r="N19" s="83"/>
    </row>
    <row r="20" spans="1:14" ht="19.899999999999999" customHeight="1" x14ac:dyDescent="0.25">
      <c r="A20" s="77">
        <f t="shared" si="1"/>
        <v>8</v>
      </c>
      <c r="B20" s="35" t="s">
        <v>53</v>
      </c>
      <c r="C20" s="78">
        <f t="shared" si="0"/>
        <v>85979</v>
      </c>
      <c r="D20" s="83">
        <v>42799</v>
      </c>
      <c r="E20" s="83"/>
      <c r="F20" s="83">
        <v>432</v>
      </c>
      <c r="G20" s="83"/>
      <c r="H20" s="83">
        <f>43180-F20</f>
        <v>42748</v>
      </c>
      <c r="I20" s="83"/>
      <c r="J20" s="83"/>
      <c r="K20" s="83"/>
      <c r="L20" s="83"/>
      <c r="M20" s="83"/>
      <c r="N20" s="83"/>
    </row>
    <row r="21" spans="1:14" ht="19.899999999999999" customHeight="1" x14ac:dyDescent="0.25">
      <c r="A21" s="77">
        <f t="shared" si="1"/>
        <v>9</v>
      </c>
      <c r="B21" s="35" t="s">
        <v>54</v>
      </c>
      <c r="C21" s="78">
        <f t="shared" si="0"/>
        <v>86017</v>
      </c>
      <c r="D21" s="83">
        <v>42769</v>
      </c>
      <c r="E21" s="83"/>
      <c r="F21" s="83">
        <v>434</v>
      </c>
      <c r="G21" s="83"/>
      <c r="H21" s="83">
        <f>43248-F21</f>
        <v>42814</v>
      </c>
      <c r="I21" s="83"/>
      <c r="J21" s="83"/>
      <c r="K21" s="83"/>
      <c r="L21" s="83"/>
      <c r="M21" s="83"/>
      <c r="N21" s="83"/>
    </row>
    <row r="22" spans="1:14" ht="19.899999999999999" customHeight="1" x14ac:dyDescent="0.25">
      <c r="A22" s="77">
        <f t="shared" si="1"/>
        <v>10</v>
      </c>
      <c r="B22" s="35" t="s">
        <v>55</v>
      </c>
      <c r="C22" s="78">
        <f t="shared" si="0"/>
        <v>85949</v>
      </c>
      <c r="D22" s="83">
        <v>42644</v>
      </c>
      <c r="E22" s="83"/>
      <c r="F22" s="83">
        <v>434</v>
      </c>
      <c r="G22" s="83"/>
      <c r="H22" s="83">
        <f>43305-F22</f>
        <v>42871</v>
      </c>
      <c r="I22" s="83"/>
      <c r="J22" s="83"/>
      <c r="K22" s="83"/>
      <c r="L22" s="83"/>
      <c r="M22" s="83"/>
      <c r="N22" s="83"/>
    </row>
    <row r="23" spans="1:14" ht="19.899999999999999" customHeight="1" x14ac:dyDescent="0.25">
      <c r="A23" s="77">
        <f t="shared" si="1"/>
        <v>11</v>
      </c>
      <c r="B23" s="35" t="s">
        <v>56</v>
      </c>
      <c r="C23" s="78">
        <f t="shared" si="0"/>
        <v>88435</v>
      </c>
      <c r="D23" s="83">
        <v>45282</v>
      </c>
      <c r="E23" s="83"/>
      <c r="F23" s="83">
        <v>434</v>
      </c>
      <c r="G23" s="83"/>
      <c r="H23" s="83">
        <f>43153-F23</f>
        <v>42719</v>
      </c>
      <c r="I23" s="83"/>
      <c r="J23" s="35"/>
    </row>
    <row r="24" spans="1:14" ht="19.899999999999999" customHeight="1" x14ac:dyDescent="0.25">
      <c r="A24" s="77">
        <f t="shared" si="1"/>
        <v>12</v>
      </c>
      <c r="B24" s="35" t="s">
        <v>57</v>
      </c>
      <c r="C24" s="78">
        <f t="shared" si="0"/>
        <v>88299</v>
      </c>
      <c r="D24" s="83">
        <v>45252</v>
      </c>
      <c r="E24" s="83"/>
      <c r="F24" s="83">
        <v>435</v>
      </c>
      <c r="G24" s="83"/>
      <c r="H24" s="83">
        <f>43047-F24</f>
        <v>42612</v>
      </c>
      <c r="I24" s="83"/>
      <c r="J24" s="35"/>
    </row>
    <row r="25" spans="1:14" ht="19.899999999999999" customHeight="1" x14ac:dyDescent="0.25">
      <c r="A25" s="77">
        <f t="shared" si="1"/>
        <v>13</v>
      </c>
      <c r="B25" s="35" t="s">
        <v>58</v>
      </c>
      <c r="C25" s="78">
        <f t="shared" si="0"/>
        <v>90894</v>
      </c>
      <c r="D25" s="83">
        <v>47924</v>
      </c>
      <c r="E25" s="83"/>
      <c r="F25" s="83">
        <v>435</v>
      </c>
      <c r="G25" s="83"/>
      <c r="H25" s="83">
        <f>42970-F25</f>
        <v>42535</v>
      </c>
      <c r="I25" s="83"/>
      <c r="J25" s="35"/>
    </row>
    <row r="26" spans="1:14" ht="19.899999999999999" customHeight="1" x14ac:dyDescent="0.25">
      <c r="A26" s="77">
        <f t="shared" si="1"/>
        <v>14</v>
      </c>
      <c r="B26" s="35" t="s">
        <v>62</v>
      </c>
      <c r="C26" s="78">
        <f t="shared" ref="C26:I26" si="2">SUM(C13:C25)</f>
        <v>1130203</v>
      </c>
      <c r="D26" s="78">
        <f t="shared" si="2"/>
        <v>569957</v>
      </c>
      <c r="E26" s="78">
        <f t="shared" si="2"/>
        <v>0</v>
      </c>
      <c r="F26" s="78">
        <f t="shared" si="2"/>
        <v>5634</v>
      </c>
      <c r="G26" s="78">
        <f t="shared" si="2"/>
        <v>0</v>
      </c>
      <c r="H26" s="78">
        <f t="shared" si="2"/>
        <v>554612</v>
      </c>
      <c r="I26" s="78">
        <f t="shared" si="2"/>
        <v>0</v>
      </c>
      <c r="J26" s="35"/>
    </row>
    <row r="27" spans="1:14" ht="19.899999999999999" customHeight="1" x14ac:dyDescent="0.25">
      <c r="A27" s="77">
        <f t="shared" si="1"/>
        <v>15</v>
      </c>
      <c r="B27" s="35" t="s">
        <v>59</v>
      </c>
      <c r="C27" s="78">
        <f t="shared" ref="C27:I27" si="3">C26/13</f>
        <v>86938.692307692312</v>
      </c>
      <c r="D27" s="78">
        <f t="shared" si="3"/>
        <v>43842.846153846156</v>
      </c>
      <c r="E27" s="78">
        <f t="shared" si="3"/>
        <v>0</v>
      </c>
      <c r="F27" s="78">
        <f t="shared" si="3"/>
        <v>433.38461538461536</v>
      </c>
      <c r="G27" s="78">
        <f t="shared" si="3"/>
        <v>0</v>
      </c>
      <c r="H27" s="78">
        <f t="shared" si="3"/>
        <v>42662.461538461539</v>
      </c>
      <c r="I27" s="78">
        <f t="shared" si="3"/>
        <v>0</v>
      </c>
      <c r="J27" s="35"/>
    </row>
    <row r="28" spans="1:14" ht="19.899999999999999" customHeight="1" x14ac:dyDescent="0.25">
      <c r="A28" s="77">
        <f t="shared" si="1"/>
        <v>16</v>
      </c>
      <c r="B28" s="35" t="s">
        <v>60</v>
      </c>
      <c r="C28" s="79">
        <f t="shared" ref="C28:I28" si="4">(C27/$C$27)</f>
        <v>1</v>
      </c>
      <c r="D28" s="79">
        <f t="shared" si="4"/>
        <v>0.5042961308720646</v>
      </c>
      <c r="E28" s="79">
        <f t="shared" si="4"/>
        <v>0</v>
      </c>
      <c r="F28" s="79">
        <f t="shared" si="4"/>
        <v>4.9849451824141317E-3</v>
      </c>
      <c r="G28" s="79">
        <f t="shared" si="4"/>
        <v>0</v>
      </c>
      <c r="H28" s="79">
        <f t="shared" si="4"/>
        <v>0.49071892394552125</v>
      </c>
      <c r="I28" s="79">
        <f t="shared" si="4"/>
        <v>0</v>
      </c>
      <c r="J28" s="35"/>
    </row>
    <row r="29" spans="1:14" ht="19.899999999999999" customHeight="1" x14ac:dyDescent="0.25">
      <c r="A29" s="77">
        <f t="shared" si="1"/>
        <v>17</v>
      </c>
      <c r="B29" s="35" t="s">
        <v>61</v>
      </c>
      <c r="C29" s="79">
        <f t="shared" ref="C29:I29" si="5">(+C25/$C$25)</f>
        <v>1</v>
      </c>
      <c r="D29" s="79">
        <f t="shared" si="5"/>
        <v>0.52725152375294304</v>
      </c>
      <c r="E29" s="79">
        <f t="shared" si="5"/>
        <v>0</v>
      </c>
      <c r="F29" s="79">
        <f t="shared" si="5"/>
        <v>4.7857944418773519E-3</v>
      </c>
      <c r="G29" s="79">
        <f t="shared" si="5"/>
        <v>0</v>
      </c>
      <c r="H29" s="79">
        <f t="shared" si="5"/>
        <v>0.46796268180517964</v>
      </c>
      <c r="I29" s="79">
        <f t="shared" si="5"/>
        <v>0</v>
      </c>
      <c r="J29" s="35"/>
    </row>
    <row r="30" spans="1:14" x14ac:dyDescent="0.25">
      <c r="A30" s="77"/>
      <c r="B30" s="35"/>
      <c r="C30" s="78"/>
      <c r="D30" s="78"/>
      <c r="E30" s="78"/>
      <c r="F30" s="78"/>
      <c r="G30" s="78"/>
      <c r="H30" s="78"/>
      <c r="I30" s="78"/>
      <c r="J30" s="35"/>
    </row>
    <row r="31" spans="1:14" x14ac:dyDescent="0.25">
      <c r="A31" s="30"/>
      <c r="C31" s="18"/>
      <c r="D31" s="18"/>
      <c r="E31" s="18"/>
      <c r="F31" s="18"/>
      <c r="G31" s="18"/>
      <c r="H31" s="18"/>
      <c r="I31" s="18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</sheetData>
  <phoneticPr fontId="6" type="noConversion"/>
  <printOptions horizontalCentered="1"/>
  <pageMargins left="0.65" right="0.58699999999999997" top="0.5" bottom="0.26" header="0.5" footer="0.5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years</vt:lpstr>
      <vt:lpstr>monthly</vt:lpstr>
      <vt:lpstr>monthly!Print_Area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Alan</cp:lastModifiedBy>
  <cp:lastPrinted>2016-05-20T15:00:16Z</cp:lastPrinted>
  <dcterms:created xsi:type="dcterms:W3CDTF">2009-01-13T16:04:56Z</dcterms:created>
  <dcterms:modified xsi:type="dcterms:W3CDTF">2016-05-20T15:02:14Z</dcterms:modified>
</cp:coreProperties>
</file>