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14955" windowHeight="8955"/>
  </bookViews>
  <sheets>
    <sheet name="narative" sheetId="1" r:id="rId1"/>
    <sheet name="adjustment" sheetId="6" r:id="rId2"/>
    <sheet name="calculated" sheetId="5" r:id="rId3"/>
    <sheet name="changes" sheetId="2" r:id="rId4"/>
    <sheet name="reserve" sheetId="4" r:id="rId5"/>
    <sheet name="guideline curve" sheetId="3" r:id="rId6"/>
  </sheets>
  <definedNames>
    <definedName name="_xlnm.Print_Area" localSheetId="1">adjustment!$A$1:$G$41</definedName>
    <definedName name="_xlnm.Print_Area" localSheetId="2">calculated!$A$1:$H$39</definedName>
    <definedName name="_xlnm.Print_Area" localSheetId="3">reserve!$A$1:$I$28</definedName>
  </definedNames>
  <calcPr calcId="145621"/>
</workbook>
</file>

<file path=xl/calcChain.xml><?xml version="1.0" encoding="utf-8"?>
<calcChain xmlns="http://schemas.openxmlformats.org/spreadsheetml/2006/main">
  <c r="A18" i="1" l="1"/>
  <c r="A16" i="1"/>
  <c r="A17" i="1"/>
  <c r="D14" i="4" l="1"/>
  <c r="D16" i="4"/>
  <c r="D17" i="4"/>
  <c r="D18" i="4"/>
  <c r="D19" i="4"/>
  <c r="D13" i="4"/>
  <c r="D17" i="2"/>
  <c r="D15" i="2"/>
  <c r="F15" i="2"/>
  <c r="H27" i="5" l="1"/>
  <c r="L27" i="5"/>
  <c r="G27" i="5"/>
  <c r="D15" i="4" s="1"/>
  <c r="K18" i="5"/>
  <c r="D18" i="5"/>
  <c r="F18" i="5" s="1"/>
  <c r="H29" i="2" l="1"/>
  <c r="D29" i="2"/>
  <c r="E22" i="2"/>
  <c r="E19" i="2"/>
  <c r="E20" i="2"/>
  <c r="E21" i="2"/>
  <c r="E23" i="2"/>
  <c r="E15" i="2"/>
  <c r="E16" i="2"/>
  <c r="E17" i="2"/>
  <c r="E18" i="2"/>
  <c r="E12" i="2" l="1"/>
  <c r="H9" i="2"/>
  <c r="D11" i="5" s="1"/>
  <c r="D9" i="2"/>
  <c r="L15" i="3"/>
  <c r="L24" i="3"/>
  <c r="L23" i="3"/>
  <c r="L22" i="3"/>
  <c r="L21" i="3"/>
  <c r="L20" i="3"/>
  <c r="L30" i="3"/>
  <c r="L29" i="3"/>
  <c r="L28" i="3"/>
  <c r="L27" i="3"/>
  <c r="L26" i="3"/>
  <c r="I26" i="3"/>
  <c r="E21" i="3"/>
  <c r="L36" i="3"/>
  <c r="L35" i="3"/>
  <c r="L34" i="3"/>
  <c r="L33" i="3"/>
  <c r="L32" i="3"/>
  <c r="I32" i="3"/>
  <c r="L19" i="3"/>
  <c r="L18" i="3"/>
  <c r="L17" i="3"/>
  <c r="I17" i="3"/>
  <c r="I27" i="3" s="1"/>
  <c r="L16" i="3"/>
  <c r="E36" i="6"/>
  <c r="L34" i="5"/>
  <c r="K26" i="5"/>
  <c r="K27" i="5"/>
  <c r="K28" i="5"/>
  <c r="K29" i="5"/>
  <c r="K30" i="5"/>
  <c r="K31" i="5"/>
  <c r="K32" i="5"/>
  <c r="K25" i="5"/>
  <c r="K11" i="5"/>
  <c r="K12" i="5"/>
  <c r="K13" i="5"/>
  <c r="K14" i="5"/>
  <c r="K15" i="5"/>
  <c r="K16" i="5"/>
  <c r="K17" i="5"/>
  <c r="L17" i="5" s="1"/>
  <c r="K19" i="5"/>
  <c r="K10" i="5"/>
  <c r="D10" i="5"/>
  <c r="E8" i="2"/>
  <c r="D26" i="5"/>
  <c r="D27" i="5"/>
  <c r="F27" i="5" s="1"/>
  <c r="E12" i="6" s="1"/>
  <c r="E21" i="6" s="1"/>
  <c r="D28" i="5"/>
  <c r="D29" i="5"/>
  <c r="D30" i="5"/>
  <c r="D31" i="5"/>
  <c r="D32" i="5"/>
  <c r="E17" i="6"/>
  <c r="E22" i="6" s="1"/>
  <c r="D12" i="5"/>
  <c r="D13" i="5"/>
  <c r="D14" i="5"/>
  <c r="D15" i="5"/>
  <c r="D16" i="5"/>
  <c r="D17" i="5"/>
  <c r="F17" i="5" s="1"/>
  <c r="D19" i="5"/>
  <c r="G21" i="5"/>
  <c r="D10" i="4" s="1"/>
  <c r="D24" i="5"/>
  <c r="D25" i="5"/>
  <c r="A2" i="6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K39" i="6"/>
  <c r="L30" i="6" s="1"/>
  <c r="B5" i="6"/>
  <c r="B6" i="6"/>
  <c r="B4" i="6"/>
  <c r="B3" i="5"/>
  <c r="I14" i="4"/>
  <c r="I15" i="4"/>
  <c r="I16" i="4"/>
  <c r="I18" i="4"/>
  <c r="I19" i="4"/>
  <c r="D20" i="4"/>
  <c r="I20" i="4" s="1"/>
  <c r="A2" i="5"/>
  <c r="A3" i="5" s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G33" i="5"/>
  <c r="H33" i="5" s="1"/>
  <c r="B2" i="5"/>
  <c r="B1" i="5"/>
  <c r="A1" i="4"/>
  <c r="A2" i="4" s="1"/>
  <c r="A3" i="4" s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I17" i="4"/>
  <c r="H22" i="4"/>
  <c r="F24" i="4"/>
  <c r="H24" i="4"/>
  <c r="G22" i="4"/>
  <c r="G26" i="4" s="1"/>
  <c r="F22" i="4"/>
  <c r="E13" i="4"/>
  <c r="E14" i="4"/>
  <c r="E15" i="4"/>
  <c r="E16" i="4"/>
  <c r="E17" i="4"/>
  <c r="E18" i="4"/>
  <c r="E19" i="4"/>
  <c r="E20" i="4"/>
  <c r="C22" i="4"/>
  <c r="C26" i="4" s="1"/>
  <c r="B3" i="2"/>
  <c r="B3" i="4" s="1"/>
  <c r="B2" i="2"/>
  <c r="B2" i="4" s="1"/>
  <c r="B1" i="2"/>
  <c r="B1" i="4" s="1"/>
  <c r="A1" i="3"/>
  <c r="A2" i="3"/>
  <c r="A3" i="3" s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E25" i="3"/>
  <c r="B16" i="3"/>
  <c r="B22" i="3" s="1"/>
  <c r="E24" i="3"/>
  <c r="E23" i="3"/>
  <c r="E22" i="3"/>
  <c r="B21" i="3"/>
  <c r="F19" i="3"/>
  <c r="E19" i="3"/>
  <c r="F18" i="3"/>
  <c r="E18" i="3"/>
  <c r="F17" i="3"/>
  <c r="E17" i="3"/>
  <c r="F16" i="3"/>
  <c r="E16" i="3"/>
  <c r="B8" i="3"/>
  <c r="B6" i="3"/>
  <c r="B5" i="3"/>
  <c r="A2" i="2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H38" i="2"/>
  <c r="G26" i="2"/>
  <c r="G38" i="2"/>
  <c r="F38" i="2"/>
  <c r="E11" i="2"/>
  <c r="E13" i="2"/>
  <c r="E14" i="2"/>
  <c r="E24" i="2"/>
  <c r="E28" i="2"/>
  <c r="E29" i="2"/>
  <c r="E30" i="2"/>
  <c r="E31" i="2"/>
  <c r="E32" i="2"/>
  <c r="E33" i="2"/>
  <c r="E34" i="2"/>
  <c r="E35" i="2"/>
  <c r="E36" i="2"/>
  <c r="D26" i="2"/>
  <c r="D38" i="2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F26" i="4"/>
  <c r="F25" i="5"/>
  <c r="F14" i="5"/>
  <c r="L34" i="6"/>
  <c r="E34" i="6" s="1"/>
  <c r="A24" i="6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L35" i="6"/>
  <c r="E35" i="6"/>
  <c r="L37" i="6"/>
  <c r="E37" i="6" s="1"/>
  <c r="L33" i="6"/>
  <c r="E33" i="6"/>
  <c r="L31" i="6"/>
  <c r="E31" i="6" s="1"/>
  <c r="L32" i="6"/>
  <c r="E32" i="6"/>
  <c r="I33" i="3"/>
  <c r="E15" i="3"/>
  <c r="F15" i="3"/>
  <c r="I18" i="3"/>
  <c r="I34" i="3" s="1"/>
  <c r="I19" i="3"/>
  <c r="I29" i="3" s="1"/>
  <c r="E30" i="6" l="1"/>
  <c r="E39" i="6" s="1"/>
  <c r="L39" i="6"/>
  <c r="A16" i="4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I35" i="3"/>
  <c r="I28" i="3"/>
  <c r="B17" i="3"/>
  <c r="F19" i="5"/>
  <c r="L19" i="5"/>
  <c r="L14" i="5"/>
  <c r="F32" i="5"/>
  <c r="L32" i="5"/>
  <c r="L28" i="5"/>
  <c r="I20" i="3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F13" i="5"/>
  <c r="L13" i="5"/>
  <c r="F31" i="5"/>
  <c r="L31" i="5"/>
  <c r="F16" i="5"/>
  <c r="L16" i="5"/>
  <c r="F12" i="5"/>
  <c r="L12" i="5"/>
  <c r="F30" i="5"/>
  <c r="L30" i="5"/>
  <c r="F26" i="5"/>
  <c r="L26" i="5"/>
  <c r="L11" i="5"/>
  <c r="F15" i="5"/>
  <c r="L15" i="5"/>
  <c r="F29" i="5"/>
  <c r="L29" i="5"/>
  <c r="E16" i="6"/>
  <c r="F23" i="6"/>
  <c r="F37" i="6" s="1"/>
  <c r="E15" i="6"/>
  <c r="G35" i="5"/>
  <c r="D22" i="4"/>
  <c r="D26" i="4" s="1"/>
  <c r="I13" i="4"/>
  <c r="I22" i="4" s="1"/>
  <c r="G40" i="2"/>
  <c r="E22" i="4"/>
  <c r="E38" i="2"/>
  <c r="D33" i="5"/>
  <c r="D40" i="2"/>
  <c r="F28" i="5"/>
  <c r="L25" i="5"/>
  <c r="F30" i="6"/>
  <c r="F36" i="6"/>
  <c r="F26" i="2"/>
  <c r="E10" i="4" s="1"/>
  <c r="H10" i="4" s="1"/>
  <c r="E10" i="2"/>
  <c r="D21" i="5"/>
  <c r="F11" i="5"/>
  <c r="F21" i="5" s="1"/>
  <c r="E9" i="2"/>
  <c r="H26" i="2"/>
  <c r="H40" i="2" s="1"/>
  <c r="B23" i="3" l="1"/>
  <c r="B18" i="3"/>
  <c r="I30" i="3"/>
  <c r="I36" i="3"/>
  <c r="F33" i="5"/>
  <c r="E11" i="6" s="1"/>
  <c r="F17" i="6"/>
  <c r="F35" i="6"/>
  <c r="F32" i="6"/>
  <c r="F34" i="6"/>
  <c r="F33" i="6"/>
  <c r="F31" i="6"/>
  <c r="D35" i="5"/>
  <c r="L33" i="5"/>
  <c r="L35" i="5" s="1"/>
  <c r="L37" i="5" s="1"/>
  <c r="F39" i="6"/>
  <c r="F40" i="2"/>
  <c r="L20" i="5"/>
  <c r="L22" i="5" s="1"/>
  <c r="E26" i="2"/>
  <c r="E40" i="2" s="1"/>
  <c r="E26" i="4"/>
  <c r="H26" i="4"/>
  <c r="I10" i="4"/>
  <c r="E10" i="6"/>
  <c r="F12" i="6" s="1"/>
  <c r="I21" i="5"/>
  <c r="F35" i="5"/>
  <c r="B19" i="3" l="1"/>
  <c r="B25" i="3" s="1"/>
  <c r="B24" i="3"/>
  <c r="F18" i="6"/>
  <c r="I26" i="4"/>
</calcChain>
</file>

<file path=xl/sharedStrings.xml><?xml version="1.0" encoding="utf-8"?>
<sst xmlns="http://schemas.openxmlformats.org/spreadsheetml/2006/main" count="216" uniqueCount="164">
  <si>
    <t>Exhibit  3</t>
  </si>
  <si>
    <t xml:space="preserve">page 1 of     </t>
  </si>
  <si>
    <t>Depreciation Expense</t>
  </si>
  <si>
    <t>Depreciation is computed on a composite basis.  The ending plant balance is multiplied by</t>
  </si>
  <si>
    <t>rates that are within RUS approved guidelines.  Depreciation rates and procedures follow</t>
  </si>
  <si>
    <t>Depreciation on transportation equipment is charged to a clearing account.  Transportation</t>
  </si>
  <si>
    <t>costs are then cleared to various accounts based on time used for each vehicle from the</t>
  </si>
  <si>
    <t>daily time sheets of employees driving the vehicles.</t>
  </si>
  <si>
    <t>Items of general plant that are fully-depreciated have been removed from the calculation</t>
  </si>
  <si>
    <t>in order to determine the normalized depreciation cost.  These amounts have been separated</t>
  </si>
  <si>
    <t>on the right had column of the normalized calculation.</t>
  </si>
  <si>
    <t>Schedule  3</t>
  </si>
  <si>
    <t>page 2 of   6</t>
  </si>
  <si>
    <t>Exclude</t>
  </si>
  <si>
    <t>Account</t>
  </si>
  <si>
    <t>Test Year</t>
  </si>
  <si>
    <t>Normalized</t>
  </si>
  <si>
    <t>Items Fully</t>
  </si>
  <si>
    <t>Number</t>
  </si>
  <si>
    <t>Description</t>
  </si>
  <si>
    <t>Balance</t>
  </si>
  <si>
    <t>Rate</t>
  </si>
  <si>
    <t>Expense</t>
  </si>
  <si>
    <t>Depreciated</t>
  </si>
  <si>
    <t>Distribution plant:</t>
  </si>
  <si>
    <t xml:space="preserve">  Station equipment</t>
  </si>
  <si>
    <t xml:space="preserve">  Poles, towers &amp; fixtures</t>
  </si>
  <si>
    <t xml:space="preserve">  Overhead conductors &amp; devices</t>
  </si>
  <si>
    <t xml:space="preserve">  Underground conductor &amp; devices</t>
  </si>
  <si>
    <t xml:space="preserve">  Line transformers</t>
  </si>
  <si>
    <t xml:space="preserve">  Services</t>
  </si>
  <si>
    <t xml:space="preserve">  Meters</t>
  </si>
  <si>
    <t>371</t>
  </si>
  <si>
    <t xml:space="preserve">  Installations on customer premises</t>
  </si>
  <si>
    <t>General plant:</t>
  </si>
  <si>
    <t xml:space="preserve">  Land</t>
  </si>
  <si>
    <t xml:space="preserve">  Structures and improvements</t>
  </si>
  <si>
    <t xml:space="preserve">  Office furn and eqt</t>
  </si>
  <si>
    <t xml:space="preserve">  Transportation</t>
  </si>
  <si>
    <t xml:space="preserve">  Tools, shop and garage</t>
  </si>
  <si>
    <t xml:space="preserve">  Laboratory</t>
  </si>
  <si>
    <t xml:space="preserve">  Power operated</t>
  </si>
  <si>
    <t xml:space="preserve">  Communications</t>
  </si>
  <si>
    <t xml:space="preserve">  Miscellaneous</t>
  </si>
  <si>
    <t>Total electric plant</t>
  </si>
  <si>
    <t>Items that are fully depreciated are removed from the ending balance to compute test year depreciation.</t>
  </si>
  <si>
    <t>Year</t>
  </si>
  <si>
    <t>The allocation of the increase in depreciation on transportation equipment is based on</t>
  </si>
  <si>
    <t>actual test year transportation clearing.</t>
  </si>
  <si>
    <t xml:space="preserve"> % </t>
  </si>
  <si>
    <t>Amount</t>
  </si>
  <si>
    <t>Amounts</t>
  </si>
  <si>
    <t>Construction and retirement WIP</t>
  </si>
  <si>
    <t>Others</t>
  </si>
  <si>
    <t>Distribution - operations</t>
  </si>
  <si>
    <t>Distribution - maintenance</t>
  </si>
  <si>
    <t>Consumer accounts</t>
  </si>
  <si>
    <t>Consumer service and information</t>
  </si>
  <si>
    <t>Administrative and general</t>
  </si>
  <si>
    <t xml:space="preserve">  Total</t>
  </si>
  <si>
    <t xml:space="preserve">page  5  of  </t>
  </si>
  <si>
    <t>Begin</t>
  </si>
  <si>
    <t>End</t>
  </si>
  <si>
    <t>Changes in electric plant:</t>
  </si>
  <si>
    <t>Additions</t>
  </si>
  <si>
    <t>Retirements</t>
  </si>
  <si>
    <t>Transfer</t>
  </si>
  <si>
    <t>362</t>
  </si>
  <si>
    <t>Station equipment</t>
  </si>
  <si>
    <t>Poles, towers and fixtures</t>
  </si>
  <si>
    <t>Overhead conductor and devices</t>
  </si>
  <si>
    <t>Underground conductor and devices</t>
  </si>
  <si>
    <t>Line transformers</t>
  </si>
  <si>
    <t>Services</t>
  </si>
  <si>
    <t>Meters</t>
  </si>
  <si>
    <t>Security lights</t>
  </si>
  <si>
    <t xml:space="preserve">  Subtotal distribution plant</t>
  </si>
  <si>
    <t>Land</t>
  </si>
  <si>
    <t>Structures and improvements</t>
  </si>
  <si>
    <t>Office furn and eqt</t>
  </si>
  <si>
    <t>Transportation</t>
  </si>
  <si>
    <t>Tools, shop and garage</t>
  </si>
  <si>
    <t>Laboratory</t>
  </si>
  <si>
    <t>Power operated</t>
  </si>
  <si>
    <t>Communication</t>
  </si>
  <si>
    <t>Miscellaneous</t>
  </si>
  <si>
    <t xml:space="preserve">  Subtotal general plant</t>
  </si>
  <si>
    <t>Total electric plant in service</t>
  </si>
  <si>
    <t xml:space="preserve">page 6 of   </t>
  </si>
  <si>
    <t>Changes in reserve for depreciation:</t>
  </si>
  <si>
    <t>Original</t>
  </si>
  <si>
    <t>Removal</t>
  </si>
  <si>
    <t>Gain/Loss</t>
  </si>
  <si>
    <t>Net</t>
  </si>
  <si>
    <t>Accrual</t>
  </si>
  <si>
    <t>Cost</t>
  </si>
  <si>
    <t>Salvage</t>
  </si>
  <si>
    <t>Charge</t>
  </si>
  <si>
    <t>Distribution plant</t>
  </si>
  <si>
    <t>Other tangible</t>
  </si>
  <si>
    <t>Retirement WIP</t>
  </si>
  <si>
    <t>Total accumulated depreciation</t>
  </si>
  <si>
    <t xml:space="preserve">page  4  of     </t>
  </si>
  <si>
    <t>Depreciation Guideline Curve</t>
  </si>
  <si>
    <t>Accumulated</t>
  </si>
  <si>
    <t>Ratio of Current</t>
  </si>
  <si>
    <t>Distribution</t>
  </si>
  <si>
    <t>Deprec</t>
  </si>
  <si>
    <t>Distribution Plant</t>
  </si>
  <si>
    <t>Plant in</t>
  </si>
  <si>
    <t>for</t>
  </si>
  <si>
    <t>Reserve</t>
  </si>
  <si>
    <t>to Distribution</t>
  </si>
  <si>
    <t>Ended</t>
  </si>
  <si>
    <t>Service</t>
  </si>
  <si>
    <t>Ratio</t>
  </si>
  <si>
    <t>Plant 10 Years Prior</t>
  </si>
  <si>
    <t xml:space="preserve"> </t>
  </si>
  <si>
    <t>Depreciation Adjustment</t>
  </si>
  <si>
    <t>Normalized depreciation accrual:</t>
  </si>
  <si>
    <t>General plant</t>
  </si>
  <si>
    <t>Less charged to clearing</t>
  </si>
  <si>
    <t>Test year depreciation accrual:</t>
  </si>
  <si>
    <t xml:space="preserve">page    of     </t>
  </si>
  <si>
    <t>Transportation clearing:</t>
  </si>
  <si>
    <t>Test year</t>
  </si>
  <si>
    <t>PY balance</t>
  </si>
  <si>
    <t>Cumberland Valley Electric</t>
  </si>
  <si>
    <t>Case No. 2014-00xxx</t>
  </si>
  <si>
    <t xml:space="preserve">  Accrual  </t>
  </si>
  <si>
    <t>Sales</t>
  </si>
  <si>
    <t>RUS Bulletin 183-1.  Cumberland Valley has had a depreciation study performed as of</t>
  </si>
  <si>
    <t>370.01</t>
  </si>
  <si>
    <t>Meters, 3-W solid state</t>
  </si>
  <si>
    <t>Meters, Demand solid state</t>
  </si>
  <si>
    <t>370.02</t>
  </si>
  <si>
    <t>370.1</t>
  </si>
  <si>
    <t>Meters, Turtle</t>
  </si>
  <si>
    <t>370.11</t>
  </si>
  <si>
    <t>Meters, Turtle II</t>
  </si>
  <si>
    <t>370.12</t>
  </si>
  <si>
    <t>Meters, w/ disconnect switch</t>
  </si>
  <si>
    <t>370.13</t>
  </si>
  <si>
    <t>Meters, w/ TS2</t>
  </si>
  <si>
    <t>370.14</t>
  </si>
  <si>
    <t>Meters, Combo [TS2 w/ disconnect]</t>
  </si>
  <si>
    <t>370.15</t>
  </si>
  <si>
    <t>Remote service switches</t>
  </si>
  <si>
    <t xml:space="preserve">    Adjustment</t>
  </si>
  <si>
    <t>Proposed</t>
  </si>
  <si>
    <t>Present</t>
  </si>
  <si>
    <t>Distribution Plant Account</t>
  </si>
  <si>
    <t>Substation</t>
  </si>
  <si>
    <t>Poles Towers and Fixtures</t>
  </si>
  <si>
    <t>O/H Conductor and Devices</t>
  </si>
  <si>
    <t>U/G Conductor</t>
  </si>
  <si>
    <t>Transformers</t>
  </si>
  <si>
    <t>Meters, AMI</t>
  </si>
  <si>
    <t>Installation on Cons. Premises</t>
  </si>
  <si>
    <t xml:space="preserve">  Meters, AMI</t>
  </si>
  <si>
    <t>December 31, 2004 and was submitted and approved by this Commission in Case No.</t>
  </si>
  <si>
    <t>2005-00187.  Cumberland Valley has updated this study and submitted the study in this</t>
  </si>
  <si>
    <t xml:space="preserve">approves the depreciation study. </t>
  </si>
  <si>
    <t>Application to the Commission. The rates will be implemented at the time the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</si>
</sst>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0.0%"/>
    <numFmt numFmtId="165" formatCode="0.000%"/>
    <numFmt numFmtId="166" formatCode="[$-409]mmmm\ d\,\ yyyy;@"/>
  </numFmts>
  <fonts count="19">
    <font>
      <sz val="12"/>
      <name val="Times New Roman"/>
      <family val="1"/>
    </font>
    <font>
      <sz val="8"/>
      <name val="P-TIMES"/>
    </font>
    <font>
      <sz val="10"/>
      <name val="P-TIMES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u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u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</borders>
  <cellStyleXfs count="1">
    <xf numFmtId="0" fontId="0" fillId="0" borderId="0"/>
  </cellStyleXfs>
  <cellXfs count="101">
    <xf numFmtId="0" fontId="0" fillId="0" borderId="0" xfId="0"/>
    <xf numFmtId="37" fontId="0" fillId="0" borderId="0" xfId="0" applyNumberFormat="1" applyProtection="1"/>
    <xf numFmtId="37" fontId="0" fillId="0" borderId="1" xfId="0" applyNumberFormat="1" applyBorder="1" applyProtection="1"/>
    <xf numFmtId="0" fontId="2" fillId="0" borderId="0" xfId="0" applyFont="1" applyProtection="1"/>
    <xf numFmtId="37" fontId="2" fillId="0" borderId="0" xfId="0" applyNumberFormat="1" applyFont="1" applyProtection="1"/>
    <xf numFmtId="0" fontId="4" fillId="0" borderId="0" xfId="0" applyFont="1" applyAlignment="1">
      <alignment horizontal="left"/>
    </xf>
    <xf numFmtId="37" fontId="0" fillId="0" borderId="0" xfId="0" applyNumberFormat="1"/>
    <xf numFmtId="37" fontId="0" fillId="0" borderId="2" xfId="0" applyNumberFormat="1" applyBorder="1"/>
    <xf numFmtId="37" fontId="0" fillId="0" borderId="3" xfId="0" applyNumberFormat="1" applyBorder="1"/>
    <xf numFmtId="0" fontId="0" fillId="0" borderId="0" xfId="0" applyAlignment="1">
      <alignment horizontal="right"/>
    </xf>
    <xf numFmtId="0" fontId="3" fillId="0" borderId="0" xfId="0" applyFont="1"/>
    <xf numFmtId="0" fontId="6" fillId="0" borderId="0" xfId="0" applyFont="1" applyAlignment="1" applyProtection="1">
      <alignment horizontal="centerContinuous"/>
    </xf>
    <xf numFmtId="0" fontId="7" fillId="0" borderId="0" xfId="0" applyFont="1" applyProtection="1"/>
    <xf numFmtId="0" fontId="6" fillId="0" borderId="0" xfId="0" applyFont="1" applyAlignment="1" applyProtection="1">
      <alignment horizontal="center"/>
    </xf>
    <xf numFmtId="0" fontId="7" fillId="0" borderId="0" xfId="0" applyFont="1"/>
    <xf numFmtId="9" fontId="7" fillId="0" borderId="0" xfId="0" applyNumberFormat="1" applyFont="1" applyProtection="1"/>
    <xf numFmtId="5" fontId="7" fillId="0" borderId="0" xfId="0" applyNumberFormat="1" applyFont="1" applyProtection="1"/>
    <xf numFmtId="37" fontId="7" fillId="0" borderId="0" xfId="0" applyNumberFormat="1" applyFont="1" applyProtection="1"/>
    <xf numFmtId="9" fontId="7" fillId="0" borderId="1" xfId="0" applyNumberFormat="1" applyFont="1" applyBorder="1" applyProtection="1"/>
    <xf numFmtId="37" fontId="7" fillId="0" borderId="1" xfId="0" applyNumberFormat="1" applyFont="1" applyBorder="1" applyProtection="1"/>
    <xf numFmtId="9" fontId="7" fillId="0" borderId="4" xfId="0" applyNumberFormat="1" applyFont="1" applyBorder="1" applyProtection="1"/>
    <xf numFmtId="5" fontId="7" fillId="0" borderId="4" xfId="0" applyNumberFormat="1" applyFont="1" applyBorder="1" applyProtection="1"/>
    <xf numFmtId="10" fontId="7" fillId="0" borderId="0" xfId="0" applyNumberFormat="1" applyFont="1" applyProtection="1"/>
    <xf numFmtId="37" fontId="0" fillId="0" borderId="0" xfId="0" applyNumberFormat="1" applyBorder="1" applyProtection="1"/>
    <xf numFmtId="0" fontId="4" fillId="0" borderId="0" xfId="0" applyFont="1" applyAlignment="1" applyProtection="1">
      <alignment horizontal="left"/>
    </xf>
    <xf numFmtId="0" fontId="9" fillId="0" borderId="0" xfId="0" applyFont="1"/>
    <xf numFmtId="0" fontId="3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Continuous"/>
    </xf>
    <xf numFmtId="0" fontId="7" fillId="0" borderId="0" xfId="0" applyFont="1" applyAlignment="1" applyProtection="1">
      <alignment horizontal="centerContinuous"/>
    </xf>
    <xf numFmtId="0" fontId="7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6" fillId="0" borderId="0" xfId="0" applyFont="1" applyProtection="1"/>
    <xf numFmtId="164" fontId="7" fillId="0" borderId="0" xfId="0" applyNumberFormat="1" applyFont="1" applyProtection="1"/>
    <xf numFmtId="0" fontId="10" fillId="0" borderId="0" xfId="0" applyFont="1" applyAlignment="1" applyProtection="1">
      <alignment horizontal="centerContinuous"/>
    </xf>
    <xf numFmtId="0" fontId="11" fillId="0" borderId="0" xfId="0" applyFont="1" applyProtection="1"/>
    <xf numFmtId="5" fontId="11" fillId="0" borderId="0" xfId="0" applyNumberFormat="1" applyFont="1" applyProtection="1"/>
    <xf numFmtId="164" fontId="11" fillId="0" borderId="0" xfId="0" applyNumberFormat="1" applyFont="1" applyProtection="1"/>
    <xf numFmtId="37" fontId="11" fillId="0" borderId="0" xfId="0" applyNumberFormat="1" applyFont="1" applyProtection="1"/>
    <xf numFmtId="0" fontId="11" fillId="0" borderId="0" xfId="0" applyFont="1"/>
    <xf numFmtId="0" fontId="11" fillId="0" borderId="0" xfId="0" applyFont="1" applyAlignment="1" applyProtection="1">
      <alignment horizontal="left"/>
    </xf>
    <xf numFmtId="10" fontId="11" fillId="0" borderId="0" xfId="0" applyNumberFormat="1" applyFont="1" applyProtection="1"/>
    <xf numFmtId="0" fontId="11" fillId="0" borderId="0" xfId="0" applyFont="1" applyAlignment="1" applyProtection="1">
      <alignment horizontal="centerContinuous"/>
    </xf>
    <xf numFmtId="0" fontId="12" fillId="0" borderId="0" xfId="0" applyFont="1" applyAlignment="1" applyProtection="1">
      <alignment horizontal="center"/>
    </xf>
    <xf numFmtId="0" fontId="13" fillId="0" borderId="0" xfId="0" applyFont="1"/>
    <xf numFmtId="0" fontId="13" fillId="0" borderId="0" xfId="0" applyFont="1" applyAlignment="1" applyProtection="1">
      <alignment horizontal="left"/>
    </xf>
    <xf numFmtId="0" fontId="13" fillId="0" borderId="0" xfId="0" applyFont="1" applyProtection="1"/>
    <xf numFmtId="165" fontId="13" fillId="0" borderId="0" xfId="0" applyNumberFormat="1" applyFont="1" applyProtection="1"/>
    <xf numFmtId="37" fontId="13" fillId="0" borderId="0" xfId="0" applyNumberFormat="1" applyFont="1" applyProtection="1"/>
    <xf numFmtId="164" fontId="13" fillId="0" borderId="0" xfId="0" applyNumberFormat="1" applyFont="1" applyProtection="1"/>
    <xf numFmtId="10" fontId="13" fillId="0" borderId="0" xfId="0" applyNumberFormat="1" applyFont="1" applyProtection="1"/>
    <xf numFmtId="37" fontId="11" fillId="0" borderId="0" xfId="0" applyNumberFormat="1" applyFont="1"/>
    <xf numFmtId="0" fontId="10" fillId="0" borderId="0" xfId="0" applyFont="1" applyProtection="1"/>
    <xf numFmtId="0" fontId="7" fillId="0" borderId="0" xfId="0" applyFont="1" applyAlignment="1" applyProtection="1">
      <alignment horizontal="left"/>
    </xf>
    <xf numFmtId="37" fontId="7" fillId="0" borderId="4" xfId="0" applyNumberFormat="1" applyFont="1" applyBorder="1" applyProtection="1"/>
    <xf numFmtId="0" fontId="14" fillId="0" borderId="0" xfId="0" applyFont="1" applyProtection="1"/>
    <xf numFmtId="0" fontId="15" fillId="0" borderId="0" xfId="0" applyFont="1"/>
    <xf numFmtId="0" fontId="15" fillId="0" borderId="0" xfId="0" applyFont="1" applyProtection="1"/>
    <xf numFmtId="166" fontId="5" fillId="0" borderId="0" xfId="0" applyNumberFormat="1" applyFont="1" applyAlignment="1" applyProtection="1">
      <alignment horizontal="centerContinuous"/>
    </xf>
    <xf numFmtId="0" fontId="15" fillId="0" borderId="0" xfId="0" applyFont="1" applyAlignment="1" applyProtection="1">
      <alignment horizontal="center"/>
    </xf>
    <xf numFmtId="37" fontId="15" fillId="0" borderId="1" xfId="0" applyNumberFormat="1" applyFont="1" applyBorder="1" applyProtection="1"/>
    <xf numFmtId="37" fontId="15" fillId="0" borderId="0" xfId="0" applyNumberFormat="1" applyFont="1" applyProtection="1"/>
    <xf numFmtId="37" fontId="15" fillId="0" borderId="4" xfId="0" applyNumberFormat="1" applyFont="1" applyBorder="1" applyProtection="1"/>
    <xf numFmtId="37" fontId="13" fillId="0" borderId="0" xfId="0" applyNumberFormat="1" applyFont="1"/>
    <xf numFmtId="0" fontId="0" fillId="0" borderId="0" xfId="0" applyFont="1" applyProtection="1"/>
    <xf numFmtId="37" fontId="0" fillId="0" borderId="0" xfId="0" applyNumberFormat="1" applyFont="1" applyProtection="1"/>
    <xf numFmtId="41" fontId="11" fillId="0" borderId="0" xfId="0" applyNumberFormat="1" applyFont="1" applyProtection="1"/>
    <xf numFmtId="41" fontId="11" fillId="0" borderId="2" xfId="0" applyNumberFormat="1" applyFont="1" applyBorder="1" applyProtection="1"/>
    <xf numFmtId="41" fontId="13" fillId="0" borderId="1" xfId="0" applyNumberFormat="1" applyFont="1" applyBorder="1" applyProtection="1"/>
    <xf numFmtId="41" fontId="13" fillId="0" borderId="0" xfId="0" applyNumberFormat="1" applyFont="1" applyProtection="1"/>
    <xf numFmtId="41" fontId="11" fillId="0" borderId="1" xfId="0" applyNumberFormat="1" applyFont="1" applyBorder="1" applyProtection="1"/>
    <xf numFmtId="42" fontId="11" fillId="0" borderId="0" xfId="0" applyNumberFormat="1" applyFont="1" applyProtection="1"/>
    <xf numFmtId="42" fontId="11" fillId="0" borderId="4" xfId="0" applyNumberFormat="1" applyFont="1" applyBorder="1" applyProtection="1"/>
    <xf numFmtId="41" fontId="0" fillId="0" borderId="0" xfId="0" applyNumberFormat="1"/>
    <xf numFmtId="41" fontId="0" fillId="0" borderId="2" xfId="0" applyNumberFormat="1" applyBorder="1"/>
    <xf numFmtId="38" fontId="0" fillId="0" borderId="0" xfId="0" applyNumberFormat="1"/>
    <xf numFmtId="0" fontId="0" fillId="0" borderId="0" xfId="0" applyFont="1" applyAlignment="1" applyProtection="1">
      <alignment horizontal="centerContinuous"/>
    </xf>
    <xf numFmtId="0" fontId="0" fillId="0" borderId="0" xfId="0" applyFont="1" applyAlignment="1" applyProtection="1">
      <alignment horizontal="right"/>
    </xf>
    <xf numFmtId="0" fontId="0" fillId="0" borderId="0" xfId="0" applyFont="1"/>
    <xf numFmtId="166" fontId="0" fillId="0" borderId="0" xfId="0" applyNumberFormat="1" applyFont="1" applyAlignment="1" applyProtection="1">
      <alignment horizontal="centerContinuous"/>
    </xf>
    <xf numFmtId="0" fontId="16" fillId="0" borderId="0" xfId="0" applyFont="1" applyAlignment="1" applyProtection="1">
      <alignment horizontal="centerContinuous"/>
    </xf>
    <xf numFmtId="0" fontId="0" fillId="0" borderId="0" xfId="0" applyFont="1" applyAlignment="1" applyProtection="1">
      <alignment horizontal="center"/>
    </xf>
    <xf numFmtId="39" fontId="0" fillId="0" borderId="0" xfId="0" applyNumberFormat="1" applyFont="1" applyAlignment="1" applyProtection="1">
      <alignment horizontal="center"/>
    </xf>
    <xf numFmtId="39" fontId="0" fillId="0" borderId="0" xfId="0" applyNumberFormat="1" applyFont="1" applyProtection="1"/>
    <xf numFmtId="10" fontId="0" fillId="0" borderId="0" xfId="0" applyNumberFormat="1" applyFont="1" applyAlignment="1" applyProtection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Font="1" applyAlignment="1" applyProtection="1">
      <alignment horizontal="left"/>
    </xf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10" fontId="17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37" fontId="15" fillId="2" borderId="1" xfId="0" applyNumberFormat="1" applyFont="1" applyFill="1" applyBorder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5" fillId="0" borderId="0" xfId="0" applyFont="1" applyAlignment="1" applyProtection="1">
      <alignment horizontal="center"/>
    </xf>
    <xf numFmtId="166" fontId="5" fillId="0" borderId="0" xfId="0" applyNumberFormat="1" applyFont="1" applyAlignment="1" applyProtection="1">
      <alignment horizontal="center"/>
    </xf>
    <xf numFmtId="0" fontId="1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72"/>
  <sheetViews>
    <sheetView tabSelected="1" defaultGridColor="0" colorId="22" workbookViewId="0">
      <selection activeCell="B15" sqref="B15"/>
    </sheetView>
  </sheetViews>
  <sheetFormatPr defaultColWidth="9.625" defaultRowHeight="15.75"/>
  <cols>
    <col min="1" max="1" width="4.625" style="25" customWidth="1"/>
    <col min="5" max="5" width="10.625" customWidth="1"/>
    <col min="6" max="10" width="11.625" customWidth="1"/>
  </cols>
  <sheetData>
    <row r="1" spans="1:12" ht="19.899999999999999" customHeight="1">
      <c r="A1" s="24">
        <v>1</v>
      </c>
      <c r="B1" s="63"/>
      <c r="C1" s="75"/>
      <c r="D1" s="75"/>
      <c r="E1" s="75"/>
      <c r="F1" s="75"/>
      <c r="G1" s="75"/>
      <c r="H1" s="76" t="s">
        <v>0</v>
      </c>
      <c r="I1" s="77"/>
      <c r="J1" s="77"/>
      <c r="K1" s="77"/>
      <c r="L1" s="77"/>
    </row>
    <row r="2" spans="1:12" ht="19.899999999999999" customHeight="1">
      <c r="A2" s="24">
        <f t="shared" ref="A2:A24" si="0">(+A1+1)</f>
        <v>2</v>
      </c>
      <c r="B2" s="63"/>
      <c r="C2" s="75"/>
      <c r="D2" s="75"/>
      <c r="E2" s="75"/>
      <c r="F2" s="75"/>
      <c r="G2" s="75"/>
      <c r="H2" s="76" t="s">
        <v>1</v>
      </c>
      <c r="I2" s="77"/>
      <c r="J2" s="77"/>
      <c r="K2" s="77"/>
      <c r="L2" s="77"/>
    </row>
    <row r="3" spans="1:12" ht="19.899999999999999" customHeight="1">
      <c r="A3" s="24">
        <f t="shared" si="0"/>
        <v>3</v>
      </c>
      <c r="B3" s="63"/>
      <c r="C3" s="75"/>
      <c r="D3" s="75"/>
      <c r="E3" s="75"/>
      <c r="F3" s="75"/>
      <c r="G3" s="75"/>
      <c r="H3" s="76" t="s">
        <v>117</v>
      </c>
      <c r="I3" s="77"/>
      <c r="J3" s="77"/>
      <c r="K3" s="77"/>
      <c r="L3" s="77"/>
    </row>
    <row r="4" spans="1:12" ht="19.899999999999999" customHeight="1">
      <c r="A4" s="24">
        <f t="shared" si="0"/>
        <v>4</v>
      </c>
      <c r="B4" s="27" t="s">
        <v>127</v>
      </c>
      <c r="C4" s="75"/>
      <c r="D4" s="75"/>
      <c r="E4" s="75"/>
      <c r="F4" s="75"/>
      <c r="G4" s="75"/>
      <c r="H4" s="77"/>
      <c r="I4" s="77"/>
      <c r="J4" s="77"/>
      <c r="K4" s="77"/>
      <c r="L4" s="77"/>
    </row>
    <row r="5" spans="1:12" ht="19.899999999999999" customHeight="1">
      <c r="A5" s="24">
        <f t="shared" si="0"/>
        <v>5</v>
      </c>
      <c r="B5" s="27" t="s">
        <v>128</v>
      </c>
      <c r="C5" s="75"/>
      <c r="D5" s="75"/>
      <c r="E5" s="75"/>
      <c r="F5" s="75"/>
      <c r="G5" s="75"/>
      <c r="H5" s="77"/>
      <c r="I5" s="77"/>
      <c r="J5" s="77"/>
      <c r="K5" s="77"/>
      <c r="L5" s="77"/>
    </row>
    <row r="6" spans="1:12" ht="18" customHeight="1">
      <c r="A6" s="24">
        <f t="shared" si="0"/>
        <v>6</v>
      </c>
      <c r="B6" s="78">
        <v>42338</v>
      </c>
      <c r="C6" s="75"/>
      <c r="D6" s="75"/>
      <c r="E6" s="75"/>
      <c r="F6" s="75"/>
      <c r="G6" s="75"/>
      <c r="H6" s="77"/>
      <c r="I6" s="77"/>
      <c r="J6" s="77"/>
      <c r="K6" s="77"/>
      <c r="L6" s="77"/>
    </row>
    <row r="7" spans="1:12" ht="13.9" customHeight="1">
      <c r="A7" s="24">
        <f t="shared" si="0"/>
        <v>7</v>
      </c>
      <c r="B7" s="75"/>
      <c r="C7" s="75"/>
      <c r="D7" s="75"/>
      <c r="E7" s="75"/>
      <c r="F7" s="75"/>
      <c r="G7" s="75"/>
      <c r="H7" s="77"/>
      <c r="I7" s="77"/>
      <c r="J7" s="77"/>
      <c r="K7" s="77"/>
      <c r="L7" s="77"/>
    </row>
    <row r="8" spans="1:12" ht="13.9" customHeight="1">
      <c r="A8" s="24">
        <f t="shared" si="0"/>
        <v>8</v>
      </c>
      <c r="B8" s="79" t="s">
        <v>2</v>
      </c>
      <c r="C8" s="75"/>
      <c r="D8" s="75"/>
      <c r="E8" s="75"/>
      <c r="F8" s="75"/>
      <c r="G8" s="75"/>
      <c r="H8" s="77"/>
      <c r="I8" s="77"/>
      <c r="J8" s="77"/>
      <c r="K8" s="77"/>
      <c r="L8" s="77"/>
    </row>
    <row r="9" spans="1:12" ht="13.9" customHeight="1">
      <c r="A9" s="24">
        <f t="shared" si="0"/>
        <v>9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</row>
    <row r="10" spans="1:12" ht="16.899999999999999" customHeight="1">
      <c r="A10" s="24">
        <f t="shared" si="0"/>
        <v>10</v>
      </c>
      <c r="B10" s="77" t="s">
        <v>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</row>
    <row r="11" spans="1:12" ht="16.899999999999999" customHeight="1">
      <c r="A11" s="24">
        <f t="shared" si="0"/>
        <v>11</v>
      </c>
      <c r="B11" s="77" t="s">
        <v>4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</row>
    <row r="12" spans="1:12" ht="16.899999999999999" customHeight="1">
      <c r="A12" s="24">
        <f t="shared" si="0"/>
        <v>12</v>
      </c>
      <c r="B12" s="77" t="s">
        <v>131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3" spans="1:12" ht="16.899999999999999" customHeight="1">
      <c r="A13" s="24">
        <f t="shared" si="0"/>
        <v>13</v>
      </c>
      <c r="B13" s="77" t="s">
        <v>160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</row>
    <row r="14" spans="1:12" ht="16.899999999999999" customHeight="1">
      <c r="A14" s="24">
        <f t="shared" si="0"/>
        <v>14</v>
      </c>
      <c r="B14" s="77" t="s">
        <v>161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</row>
    <row r="15" spans="1:12" ht="16.899999999999999" customHeight="1">
      <c r="A15" s="24">
        <f t="shared" si="0"/>
        <v>15</v>
      </c>
      <c r="B15" s="77" t="s">
        <v>163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</row>
    <row r="16" spans="1:12" ht="16.899999999999999" customHeight="1">
      <c r="A16" s="24">
        <f t="shared" si="0"/>
        <v>16</v>
      </c>
      <c r="B16" s="77" t="s">
        <v>162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</row>
    <row r="17" spans="1:12" ht="16.899999999999999" customHeight="1">
      <c r="A17" s="24">
        <f t="shared" si="0"/>
        <v>17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</row>
    <row r="18" spans="1:12" ht="16.899999999999999" customHeight="1">
      <c r="A18" s="24">
        <f t="shared" si="0"/>
        <v>18</v>
      </c>
      <c r="B18" s="77" t="s">
        <v>5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1:12" ht="16.899999999999999" customHeight="1">
      <c r="A19" s="24">
        <f t="shared" si="0"/>
        <v>19</v>
      </c>
      <c r="B19" s="77" t="s">
        <v>6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</row>
    <row r="20" spans="1:12" ht="16.899999999999999" customHeight="1">
      <c r="A20" s="24">
        <f t="shared" si="0"/>
        <v>20</v>
      </c>
      <c r="B20" s="77" t="s">
        <v>7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</row>
    <row r="21" spans="1:12" ht="16.899999999999999" customHeight="1">
      <c r="A21" s="24">
        <f t="shared" si="0"/>
        <v>21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</row>
    <row r="22" spans="1:12" ht="16.899999999999999" customHeight="1">
      <c r="A22" s="24">
        <f t="shared" si="0"/>
        <v>22</v>
      </c>
      <c r="B22" s="77" t="s">
        <v>8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</row>
    <row r="23" spans="1:12" ht="16.899999999999999" customHeight="1">
      <c r="A23" s="24">
        <f t="shared" si="0"/>
        <v>23</v>
      </c>
      <c r="B23" s="77" t="s">
        <v>9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</row>
    <row r="24" spans="1:12" ht="16.899999999999999" customHeight="1">
      <c r="A24" s="24">
        <f t="shared" si="0"/>
        <v>24</v>
      </c>
      <c r="B24" s="77" t="s">
        <v>10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</row>
    <row r="25" spans="1:12" ht="16.899999999999999" customHeight="1">
      <c r="A25" s="24">
        <f t="shared" ref="A25:A32" si="1">(+A24+1)</f>
        <v>25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</row>
    <row r="26" spans="1:12" ht="16.899999999999999" customHeight="1">
      <c r="A26" s="24">
        <f t="shared" si="1"/>
        <v>26</v>
      </c>
      <c r="B26" s="77" t="s">
        <v>117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</row>
    <row r="27" spans="1:12" ht="16.899999999999999" customHeight="1">
      <c r="A27" s="24">
        <f t="shared" si="1"/>
        <v>27</v>
      </c>
      <c r="B27" s="77" t="s">
        <v>117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</row>
    <row r="28" spans="1:12" ht="16.899999999999999" customHeight="1">
      <c r="A28" s="24">
        <f t="shared" si="1"/>
        <v>28</v>
      </c>
      <c r="B28" s="77" t="s">
        <v>117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</row>
    <row r="29" spans="1:12" ht="13.9" customHeight="1">
      <c r="A29" s="24">
        <f t="shared" si="1"/>
        <v>29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</row>
    <row r="30" spans="1:12" ht="13.9" customHeight="1">
      <c r="A30" s="24">
        <f t="shared" si="1"/>
        <v>30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</row>
    <row r="31" spans="1:12" ht="15.95" customHeight="1">
      <c r="A31" s="24">
        <f t="shared" si="1"/>
        <v>31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2" spans="1:12" ht="15.95" customHeight="1">
      <c r="A32" s="24">
        <f t="shared" si="1"/>
        <v>32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2" ht="13.9" customHeight="1">
      <c r="A33" s="24">
        <f t="shared" ref="A33:A41" si="2">(A32+1)</f>
        <v>33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</row>
    <row r="34" spans="1:12" ht="13.9" customHeight="1">
      <c r="A34" s="24">
        <f t="shared" si="2"/>
        <v>34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5" spans="1:12" ht="13.9" customHeight="1">
      <c r="A35" s="24">
        <f t="shared" si="2"/>
        <v>35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</row>
    <row r="36" spans="1:12" ht="15.95" customHeight="1">
      <c r="A36" s="24">
        <f t="shared" si="2"/>
        <v>36</v>
      </c>
    </row>
    <row r="37" spans="1:12" ht="15.95" customHeight="1">
      <c r="A37" s="24">
        <f t="shared" si="2"/>
        <v>37</v>
      </c>
    </row>
    <row r="38" spans="1:12" ht="13.9" customHeight="1">
      <c r="A38" s="24">
        <f t="shared" si="2"/>
        <v>38</v>
      </c>
    </row>
    <row r="39" spans="1:12" ht="13.9" customHeight="1">
      <c r="A39" s="24">
        <f t="shared" si="2"/>
        <v>39</v>
      </c>
    </row>
    <row r="40" spans="1:12" ht="13.9" customHeight="1">
      <c r="A40" s="24">
        <f t="shared" si="2"/>
        <v>40</v>
      </c>
    </row>
    <row r="41" spans="1:12" ht="13.9" customHeight="1">
      <c r="A41" s="24">
        <f t="shared" si="2"/>
        <v>41</v>
      </c>
    </row>
    <row r="42" spans="1:12" ht="13.9" customHeight="1"/>
    <row r="43" spans="1:12" ht="13.9" customHeight="1"/>
    <row r="44" spans="1:12" ht="13.9" customHeight="1"/>
    <row r="45" spans="1:12" ht="13.9" customHeight="1"/>
    <row r="46" spans="1:12" ht="16.899999999999999" customHeight="1"/>
    <row r="47" spans="1:12" ht="16.899999999999999" customHeight="1"/>
    <row r="48" spans="1:12" ht="16.899999999999999" customHeight="1"/>
    <row r="49" ht="16.899999999999999" customHeight="1"/>
    <row r="50" ht="16.899999999999999" customHeight="1"/>
    <row r="51" ht="16.899999999999999" customHeight="1"/>
    <row r="52" ht="16.899999999999999" customHeight="1"/>
    <row r="53" ht="16.899999999999999" customHeight="1"/>
    <row r="54" ht="16.899999999999999" customHeight="1"/>
    <row r="55" ht="16.899999999999999" customHeight="1"/>
    <row r="56" ht="16.899999999999999" customHeight="1"/>
    <row r="57" ht="16.899999999999999" customHeight="1"/>
    <row r="58" ht="16.899999999999999" customHeight="1"/>
    <row r="59" ht="16.899999999999999" customHeight="1"/>
    <row r="60" ht="16.899999999999999" customHeight="1"/>
    <row r="61" ht="16.899999999999999" customHeight="1"/>
    <row r="62" ht="16.899999999999999" customHeight="1"/>
    <row r="63" ht="16.899999999999999" customHeight="1"/>
    <row r="64" ht="16.899999999999999" customHeight="1"/>
    <row r="65" ht="16.899999999999999" customHeight="1"/>
    <row r="66" ht="16.899999999999999" customHeight="1"/>
    <row r="67" ht="16.899999999999999" customHeight="1"/>
    <row r="68" ht="16.899999999999999" customHeight="1"/>
    <row r="69" ht="16.899999999999999" customHeight="1"/>
    <row r="70" ht="13.9" customHeight="1"/>
    <row r="71" ht="13.9" customHeight="1"/>
    <row r="72" ht="13.9" customHeight="1"/>
  </sheetData>
  <phoneticPr fontId="1" type="noConversion"/>
  <pageMargins left="0.65" right="0.58699999999999997" top="0.5" bottom="0.58699999999999997" header="0.5" footer="0.5"/>
  <pageSetup orientation="landscape" horizontalDpi="4294967293" r:id="rId1"/>
  <headerFooter alignWithMargins="0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workbookViewId="0">
      <selection activeCell="I5" sqref="I5"/>
    </sheetView>
  </sheetViews>
  <sheetFormatPr defaultRowHeight="15.75"/>
  <cols>
    <col min="1" max="1" width="6.625" style="5" customWidth="1"/>
    <col min="2" max="2" width="4.625" customWidth="1"/>
    <col min="3" max="3" width="28.75" customWidth="1"/>
    <col min="5" max="6" width="12.625" customWidth="1"/>
  </cols>
  <sheetData>
    <row r="1" spans="1:6">
      <c r="A1" s="5">
        <v>1</v>
      </c>
      <c r="F1" s="9" t="s">
        <v>0</v>
      </c>
    </row>
    <row r="2" spans="1:6">
      <c r="A2" s="5">
        <f>+A1+1</f>
        <v>2</v>
      </c>
      <c r="F2" s="9" t="s">
        <v>123</v>
      </c>
    </row>
    <row r="3" spans="1:6">
      <c r="A3" s="5">
        <f t="shared" ref="A3:A41" si="0">+A2+1</f>
        <v>3</v>
      </c>
      <c r="F3" s="9" t="s">
        <v>117</v>
      </c>
    </row>
    <row r="4" spans="1:6" ht="18.75">
      <c r="A4" s="5">
        <f t="shared" si="0"/>
        <v>4</v>
      </c>
      <c r="B4" s="95" t="str">
        <f>+narative!B4</f>
        <v>Cumberland Valley Electric</v>
      </c>
      <c r="C4" s="95"/>
      <c r="D4" s="95"/>
      <c r="E4" s="95"/>
      <c r="F4" s="95"/>
    </row>
    <row r="5" spans="1:6" ht="18.75">
      <c r="A5" s="5">
        <f t="shared" si="0"/>
        <v>5</v>
      </c>
      <c r="B5" s="95" t="str">
        <f>+narative!B5</f>
        <v>Case No. 2014-00xxx</v>
      </c>
      <c r="C5" s="95"/>
      <c r="D5" s="95"/>
      <c r="E5" s="95"/>
      <c r="F5" s="95"/>
    </row>
    <row r="6" spans="1:6">
      <c r="A6" s="5">
        <f t="shared" si="0"/>
        <v>6</v>
      </c>
      <c r="B6" s="97">
        <f>+narative!B6</f>
        <v>42338</v>
      </c>
      <c r="C6" s="97"/>
      <c r="D6" s="97"/>
      <c r="E6" s="97"/>
      <c r="F6" s="97"/>
    </row>
    <row r="7" spans="1:6">
      <c r="A7" s="5">
        <f t="shared" si="0"/>
        <v>7</v>
      </c>
      <c r="B7" s="96" t="s">
        <v>118</v>
      </c>
      <c r="C7" s="96"/>
      <c r="D7" s="96"/>
      <c r="E7" s="96"/>
      <c r="F7" s="96"/>
    </row>
    <row r="8" spans="1:6">
      <c r="A8" s="5">
        <f t="shared" si="0"/>
        <v>8</v>
      </c>
    </row>
    <row r="9" spans="1:6">
      <c r="A9" s="5">
        <f t="shared" si="0"/>
        <v>9</v>
      </c>
      <c r="B9" t="s">
        <v>119</v>
      </c>
      <c r="E9" s="6"/>
      <c r="F9" s="6"/>
    </row>
    <row r="10" spans="1:6">
      <c r="A10" s="5">
        <f t="shared" si="0"/>
        <v>10</v>
      </c>
      <c r="C10" t="s">
        <v>98</v>
      </c>
      <c r="E10" s="6">
        <f>+calculated!F21</f>
        <v>3526714.2131332732</v>
      </c>
      <c r="F10" s="6"/>
    </row>
    <row r="11" spans="1:6">
      <c r="A11" s="5">
        <f t="shared" si="0"/>
        <v>11</v>
      </c>
      <c r="C11" t="s">
        <v>120</v>
      </c>
      <c r="E11" s="6">
        <f>+calculated!F33</f>
        <v>439430.76130000007</v>
      </c>
      <c r="F11" s="6"/>
    </row>
    <row r="12" spans="1:6">
      <c r="A12" s="5">
        <f t="shared" si="0"/>
        <v>12</v>
      </c>
      <c r="C12" t="s">
        <v>121</v>
      </c>
      <c r="E12" s="7">
        <f>-calculated!F27</f>
        <v>-261116.55000000002</v>
      </c>
      <c r="F12" s="6">
        <f>SUM(E10:E12)</f>
        <v>3705028.4244332733</v>
      </c>
    </row>
    <row r="13" spans="1:6" ht="9.9499999999999993" customHeight="1">
      <c r="A13" s="5">
        <f t="shared" si="0"/>
        <v>13</v>
      </c>
      <c r="E13" s="6"/>
      <c r="F13" s="6"/>
    </row>
    <row r="14" spans="1:6">
      <c r="A14" s="5">
        <f t="shared" si="0"/>
        <v>14</v>
      </c>
      <c r="B14" t="s">
        <v>122</v>
      </c>
      <c r="E14" s="6"/>
      <c r="F14" s="6"/>
    </row>
    <row r="15" spans="1:6">
      <c r="A15" s="5">
        <f t="shared" si="0"/>
        <v>15</v>
      </c>
      <c r="C15" t="s">
        <v>98</v>
      </c>
      <c r="E15" s="6">
        <f>+calculated!G21</f>
        <v>3299173.5539999995</v>
      </c>
      <c r="F15" s="6"/>
    </row>
    <row r="16" spans="1:6">
      <c r="A16" s="5">
        <f t="shared" si="0"/>
        <v>16</v>
      </c>
      <c r="C16" t="s">
        <v>120</v>
      </c>
      <c r="E16" s="6">
        <f>+calculated!G33</f>
        <v>439800</v>
      </c>
      <c r="F16" s="6"/>
    </row>
    <row r="17" spans="1:13">
      <c r="A17" s="5">
        <f t="shared" si="0"/>
        <v>17</v>
      </c>
      <c r="C17" t="s">
        <v>121</v>
      </c>
      <c r="E17" s="7">
        <f>-calculated!G27</f>
        <v>-253555</v>
      </c>
      <c r="F17" s="7">
        <f>SUM(E15:E17)</f>
        <v>3485418.5539999995</v>
      </c>
    </row>
    <row r="18" spans="1:13" ht="18" customHeight="1" thickBot="1">
      <c r="A18" s="5">
        <f t="shared" si="0"/>
        <v>18</v>
      </c>
      <c r="C18" t="s">
        <v>148</v>
      </c>
      <c r="E18" s="6"/>
      <c r="F18" s="8">
        <f>+F12-F17</f>
        <v>219609.87043327373</v>
      </c>
    </row>
    <row r="19" spans="1:13" ht="9.9499999999999993" customHeight="1" thickTop="1">
      <c r="E19" s="6"/>
      <c r="F19" s="6"/>
    </row>
    <row r="20" spans="1:13">
      <c r="B20" t="s">
        <v>124</v>
      </c>
      <c r="E20" s="6"/>
      <c r="F20" s="6"/>
    </row>
    <row r="21" spans="1:13">
      <c r="C21" t="s">
        <v>16</v>
      </c>
      <c r="E21" s="23">
        <f>+E12</f>
        <v>-261116.55000000002</v>
      </c>
    </row>
    <row r="22" spans="1:13">
      <c r="C22" t="s">
        <v>125</v>
      </c>
      <c r="E22" s="2">
        <f>+E17</f>
        <v>-253555</v>
      </c>
    </row>
    <row r="23" spans="1:13" ht="18" customHeight="1" thickBot="1">
      <c r="C23" t="s">
        <v>148</v>
      </c>
      <c r="F23" s="8">
        <f>+E21-E22</f>
        <v>-7561.5500000000175</v>
      </c>
      <c r="G23" s="6"/>
    </row>
    <row r="24" spans="1:13" ht="16.5" thickTop="1">
      <c r="A24" s="5">
        <f t="shared" si="0"/>
        <v>1</v>
      </c>
      <c r="E24" s="6"/>
      <c r="F24" s="6"/>
    </row>
    <row r="25" spans="1:13">
      <c r="A25" s="5">
        <f t="shared" si="0"/>
        <v>2</v>
      </c>
      <c r="B25" s="10" t="s">
        <v>47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>
      <c r="A26" s="5">
        <f t="shared" si="0"/>
        <v>3</v>
      </c>
      <c r="B26" s="10" t="s">
        <v>48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5">
        <f t="shared" si="0"/>
        <v>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5">
        <f t="shared" si="0"/>
        <v>5</v>
      </c>
      <c r="B28" s="94" t="s">
        <v>14</v>
      </c>
      <c r="C28" s="94"/>
      <c r="D28" s="11"/>
      <c r="E28" s="13" t="s">
        <v>49</v>
      </c>
      <c r="F28" s="13" t="s">
        <v>50</v>
      </c>
      <c r="H28" s="14"/>
      <c r="I28" s="14"/>
      <c r="J28" s="14"/>
      <c r="K28" s="14" t="s">
        <v>51</v>
      </c>
      <c r="L28" s="14"/>
      <c r="M28" s="14"/>
    </row>
    <row r="29" spans="1:13">
      <c r="A29" s="5">
        <f t="shared" si="0"/>
        <v>6</v>
      </c>
      <c r="B29" s="14"/>
      <c r="C29" s="14"/>
      <c r="D29" s="14"/>
      <c r="E29" s="14"/>
      <c r="F29" s="14"/>
      <c r="H29" s="14"/>
      <c r="I29" s="14"/>
      <c r="J29" s="14"/>
      <c r="K29" s="14"/>
      <c r="L29" s="14"/>
      <c r="M29" s="14"/>
    </row>
    <row r="30" spans="1:13">
      <c r="A30" s="5">
        <f t="shared" si="0"/>
        <v>7</v>
      </c>
      <c r="B30" s="12" t="s">
        <v>52</v>
      </c>
      <c r="C30" s="12"/>
      <c r="D30" s="12"/>
      <c r="E30" s="15">
        <f t="shared" ref="E30:E37" si="1">L30</f>
        <v>0.3443027669872844</v>
      </c>
      <c r="F30" s="16">
        <f>(+adjustment!$F$23*E30)</f>
        <v>-2603.4625877127064</v>
      </c>
      <c r="H30" s="12"/>
      <c r="I30" s="12"/>
      <c r="J30" s="12"/>
      <c r="K30" s="17">
        <v>38910</v>
      </c>
      <c r="L30" s="15">
        <f t="shared" ref="L30:L37" si="2">(+K30/$K$39)</f>
        <v>0.3443027669872844</v>
      </c>
      <c r="M30" s="14"/>
    </row>
    <row r="31" spans="1:13">
      <c r="A31" s="5">
        <f t="shared" si="0"/>
        <v>8</v>
      </c>
      <c r="B31" s="12" t="s">
        <v>53</v>
      </c>
      <c r="C31" s="12"/>
      <c r="D31" s="12"/>
      <c r="E31" s="15">
        <f t="shared" si="1"/>
        <v>1.179531196078258E-2</v>
      </c>
      <c r="F31" s="17">
        <f>(+adjustment!$F$23*E31)</f>
        <v>-89.190841157055715</v>
      </c>
      <c r="H31" s="12"/>
      <c r="I31" s="12"/>
      <c r="J31" s="12"/>
      <c r="K31" s="17">
        <v>1333</v>
      </c>
      <c r="L31" s="15">
        <f t="shared" si="2"/>
        <v>1.179531196078258E-2</v>
      </c>
      <c r="M31" s="14"/>
    </row>
    <row r="32" spans="1:13">
      <c r="A32" s="5">
        <f t="shared" si="0"/>
        <v>9</v>
      </c>
      <c r="B32" s="12" t="s">
        <v>54</v>
      </c>
      <c r="C32" s="12"/>
      <c r="D32" s="12"/>
      <c r="E32" s="15">
        <f t="shared" si="1"/>
        <v>0.15048977533160487</v>
      </c>
      <c r="F32" s="17">
        <f>(+adjustment!$F$23*E32)</f>
        <v>-1137.9359606586995</v>
      </c>
      <c r="H32" s="12"/>
      <c r="I32" s="12"/>
      <c r="J32" s="12"/>
      <c r="K32" s="17">
        <v>17007</v>
      </c>
      <c r="L32" s="15">
        <f t="shared" si="2"/>
        <v>0.15048977533160487</v>
      </c>
      <c r="M32" s="14"/>
    </row>
    <row r="33" spans="1:13">
      <c r="A33" s="5">
        <f t="shared" si="0"/>
        <v>10</v>
      </c>
      <c r="B33" s="12" t="s">
        <v>55</v>
      </c>
      <c r="C33" s="12"/>
      <c r="D33" s="12"/>
      <c r="E33" s="15">
        <f t="shared" si="1"/>
        <v>0.26905345497340966</v>
      </c>
      <c r="F33" s="17">
        <f>(+adjustment!$F$23*E33)</f>
        <v>-2034.4611524541904</v>
      </c>
      <c r="H33" s="12"/>
      <c r="I33" s="12"/>
      <c r="J33" s="12"/>
      <c r="K33" s="17">
        <v>30406</v>
      </c>
      <c r="L33" s="15">
        <f t="shared" si="2"/>
        <v>0.26905345497340966</v>
      </c>
      <c r="M33" s="14"/>
    </row>
    <row r="34" spans="1:13">
      <c r="A34" s="5">
        <f t="shared" si="0"/>
        <v>11</v>
      </c>
      <c r="B34" s="12" t="s">
        <v>56</v>
      </c>
      <c r="C34" s="12"/>
      <c r="D34" s="12"/>
      <c r="E34" s="15">
        <f t="shared" si="1"/>
        <v>6.9134862977940206E-2</v>
      </c>
      <c r="F34" s="17">
        <f>(+adjustment!$F$23*E34)</f>
        <v>-522.766723150845</v>
      </c>
      <c r="H34" s="12"/>
      <c r="I34" s="12"/>
      <c r="J34" s="12"/>
      <c r="K34" s="17">
        <v>7813</v>
      </c>
      <c r="L34" s="15">
        <f t="shared" si="2"/>
        <v>6.9134862977940206E-2</v>
      </c>
      <c r="M34" s="14"/>
    </row>
    <row r="35" spans="1:13">
      <c r="A35" s="5">
        <f t="shared" si="0"/>
        <v>12</v>
      </c>
      <c r="B35" s="12" t="s">
        <v>57</v>
      </c>
      <c r="C35" s="12"/>
      <c r="D35" s="12"/>
      <c r="E35" s="15">
        <f t="shared" si="1"/>
        <v>5.7100636221252797E-2</v>
      </c>
      <c r="F35" s="17">
        <f>(+adjustment!$F$23*E35)</f>
        <v>-431.76931581881507</v>
      </c>
      <c r="H35" s="12"/>
      <c r="I35" s="12"/>
      <c r="J35" s="12"/>
      <c r="K35" s="17">
        <v>6453</v>
      </c>
      <c r="L35" s="15">
        <f t="shared" si="2"/>
        <v>5.7100636221252797E-2</v>
      </c>
      <c r="M35" s="14"/>
    </row>
    <row r="36" spans="1:13">
      <c r="A36" s="5">
        <f t="shared" si="0"/>
        <v>13</v>
      </c>
      <c r="B36" s="63" t="s">
        <v>130</v>
      </c>
      <c r="C36" s="12"/>
      <c r="D36" s="12"/>
      <c r="E36" s="15">
        <f t="shared" si="1"/>
        <v>0</v>
      </c>
      <c r="F36" s="17">
        <f>(+adjustment!$F$23*E36)</f>
        <v>0</v>
      </c>
      <c r="H36" s="12"/>
      <c r="I36" s="12"/>
      <c r="J36" s="12"/>
      <c r="K36" s="17"/>
      <c r="L36" s="15"/>
      <c r="M36" s="14"/>
    </row>
    <row r="37" spans="1:13">
      <c r="A37" s="5">
        <f t="shared" si="0"/>
        <v>14</v>
      </c>
      <c r="B37" s="12" t="s">
        <v>58</v>
      </c>
      <c r="C37" s="12"/>
      <c r="D37" s="12"/>
      <c r="E37" s="18">
        <f t="shared" si="1"/>
        <v>9.8123191547725447E-2</v>
      </c>
      <c r="F37" s="19">
        <f>(+adjustment!$F$23*E37)</f>
        <v>-741.96341904770509</v>
      </c>
      <c r="H37" s="12"/>
      <c r="I37" s="12"/>
      <c r="J37" s="12"/>
      <c r="K37" s="17">
        <v>11089</v>
      </c>
      <c r="L37" s="15">
        <f t="shared" si="2"/>
        <v>9.8123191547725447E-2</v>
      </c>
      <c r="M37" s="14"/>
    </row>
    <row r="38" spans="1:13">
      <c r="A38" s="5">
        <f t="shared" si="0"/>
        <v>15</v>
      </c>
      <c r="B38" s="12"/>
      <c r="C38" s="12"/>
      <c r="D38" s="12"/>
      <c r="E38" s="15"/>
      <c r="F38" s="12"/>
      <c r="H38" s="12"/>
      <c r="I38" s="12"/>
      <c r="J38" s="12"/>
      <c r="K38" s="17"/>
      <c r="L38" s="14"/>
      <c r="M38" s="14"/>
    </row>
    <row r="39" spans="1:13" ht="16.5" thickBot="1">
      <c r="A39" s="5">
        <f t="shared" si="0"/>
        <v>16</v>
      </c>
      <c r="B39" s="12" t="s">
        <v>59</v>
      </c>
      <c r="C39" s="12"/>
      <c r="D39" s="12"/>
      <c r="E39" s="20">
        <f>SUM(E30:E37)</f>
        <v>1.0000000000000002</v>
      </c>
      <c r="F39" s="21">
        <f>SUM(F30:F37)</f>
        <v>-7561.5500000000175</v>
      </c>
      <c r="H39" s="12"/>
      <c r="I39" s="12"/>
      <c r="J39" s="12"/>
      <c r="K39" s="17">
        <f>SUM(K30:K37)</f>
        <v>113011</v>
      </c>
      <c r="L39" s="22">
        <f>SUM(L30:L37)</f>
        <v>1.0000000000000002</v>
      </c>
      <c r="M39" s="14"/>
    </row>
    <row r="40" spans="1:13" ht="16.5" thickTop="1">
      <c r="A40" s="5">
        <f t="shared" si="0"/>
        <v>17</v>
      </c>
      <c r="B40" s="12"/>
      <c r="C40" s="12"/>
      <c r="D40" s="12"/>
      <c r="E40" s="15"/>
      <c r="F40" s="12"/>
      <c r="H40" s="12"/>
      <c r="I40" s="12"/>
      <c r="J40" s="12"/>
      <c r="K40" s="17"/>
      <c r="L40" s="14"/>
      <c r="M40" s="14"/>
    </row>
    <row r="41" spans="1:13">
      <c r="A41" s="5">
        <f t="shared" si="0"/>
        <v>18</v>
      </c>
    </row>
  </sheetData>
  <mergeCells count="5">
    <mergeCell ref="B28:C28"/>
    <mergeCell ref="B4:F4"/>
    <mergeCell ref="B5:F5"/>
    <mergeCell ref="B7:F7"/>
    <mergeCell ref="B6:F6"/>
  </mergeCells>
  <phoneticPr fontId="8" type="noConversion"/>
  <pageMargins left="0.75" right="0.75" top="0.75" bottom="0.7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opLeftCell="A22" workbookViewId="0">
      <selection activeCell="G27" sqref="G27"/>
    </sheetView>
  </sheetViews>
  <sheetFormatPr defaultRowHeight="15.75"/>
  <cols>
    <col min="1" max="1" width="8.625" style="25" customWidth="1"/>
    <col min="3" max="3" width="35.625" customWidth="1"/>
    <col min="4" max="4" width="14.625" customWidth="1"/>
    <col min="6" max="8" width="14.625" customWidth="1"/>
    <col min="9" max="9" width="9.625" customWidth="1"/>
    <col min="11" max="11" width="10.5" bestFit="1" customWidth="1"/>
    <col min="12" max="12" width="10.125" bestFit="1" customWidth="1"/>
  </cols>
  <sheetData>
    <row r="1" spans="1:12" ht="18.75">
      <c r="A1" s="24">
        <v>1</v>
      </c>
      <c r="B1" s="95" t="str">
        <f>narative!B4</f>
        <v>Cumberland Valley Electric</v>
      </c>
      <c r="C1" s="95"/>
      <c r="D1" s="95"/>
      <c r="E1" s="95"/>
      <c r="F1" s="95"/>
      <c r="G1" s="95"/>
      <c r="H1" s="26" t="s">
        <v>11</v>
      </c>
      <c r="I1" s="10"/>
      <c r="J1" s="10"/>
      <c r="K1" s="10"/>
    </row>
    <row r="2" spans="1:12" ht="18.75">
      <c r="A2" s="24">
        <f t="shared" ref="A2:A39" si="0">(+A1+1)</f>
        <v>2</v>
      </c>
      <c r="B2" s="98" t="str">
        <f>narative!B5</f>
        <v>Case No. 2014-00xxx</v>
      </c>
      <c r="C2" s="98"/>
      <c r="D2" s="98"/>
      <c r="E2" s="98"/>
      <c r="F2" s="98"/>
      <c r="G2" s="98"/>
      <c r="H2" s="29" t="s">
        <v>12</v>
      </c>
      <c r="I2" s="14"/>
      <c r="J2" s="14"/>
      <c r="K2" s="14"/>
    </row>
    <row r="3" spans="1:12" ht="18.75">
      <c r="A3" s="24">
        <f t="shared" si="0"/>
        <v>3</v>
      </c>
      <c r="B3" s="99">
        <f>+narative!B6</f>
        <v>42338</v>
      </c>
      <c r="C3" s="99"/>
      <c r="D3" s="99"/>
      <c r="E3" s="99"/>
      <c r="F3" s="99"/>
      <c r="G3" s="99"/>
      <c r="H3" s="14"/>
      <c r="I3" s="14"/>
      <c r="J3" s="14"/>
      <c r="K3" s="14"/>
    </row>
    <row r="4" spans="1:12">
      <c r="A4" s="24">
        <f t="shared" si="0"/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2">
      <c r="A5" s="24">
        <f t="shared" si="0"/>
        <v>5</v>
      </c>
      <c r="B5" s="12"/>
      <c r="C5" s="12"/>
      <c r="D5" s="12"/>
      <c r="E5" s="12"/>
      <c r="F5" s="12"/>
      <c r="G5" s="12"/>
      <c r="H5" s="30" t="s">
        <v>13</v>
      </c>
      <c r="I5" s="14"/>
      <c r="J5" s="14"/>
      <c r="K5" s="14"/>
    </row>
    <row r="6" spans="1:12">
      <c r="A6" s="24">
        <f t="shared" si="0"/>
        <v>6</v>
      </c>
      <c r="B6" s="12" t="s">
        <v>14</v>
      </c>
      <c r="C6" s="12"/>
      <c r="D6" s="30" t="s">
        <v>15</v>
      </c>
      <c r="E6" s="30"/>
      <c r="F6" s="30" t="s">
        <v>16</v>
      </c>
      <c r="G6" s="30" t="s">
        <v>15</v>
      </c>
      <c r="H6" s="30" t="s">
        <v>17</v>
      </c>
      <c r="I6" s="14"/>
      <c r="J6" s="14"/>
      <c r="K6" s="14"/>
    </row>
    <row r="7" spans="1:12">
      <c r="A7" s="24">
        <f t="shared" si="0"/>
        <v>7</v>
      </c>
      <c r="B7" s="31" t="s">
        <v>18</v>
      </c>
      <c r="C7" s="31" t="s">
        <v>19</v>
      </c>
      <c r="D7" s="13" t="s">
        <v>20</v>
      </c>
      <c r="E7" s="13" t="s">
        <v>21</v>
      </c>
      <c r="F7" s="13" t="s">
        <v>22</v>
      </c>
      <c r="G7" s="13" t="s">
        <v>129</v>
      </c>
      <c r="H7" s="13" t="s">
        <v>23</v>
      </c>
      <c r="I7" s="14"/>
      <c r="J7" s="14"/>
      <c r="K7" s="14"/>
    </row>
    <row r="8" spans="1:12">
      <c r="A8" s="24">
        <f t="shared" si="0"/>
        <v>8</v>
      </c>
      <c r="B8" s="12"/>
      <c r="C8" s="12"/>
      <c r="D8" s="12"/>
      <c r="E8" s="32"/>
      <c r="F8" s="12"/>
      <c r="G8" s="12"/>
      <c r="H8" s="17"/>
      <c r="I8" s="14"/>
      <c r="J8" s="14"/>
      <c r="K8" s="14" t="s">
        <v>126</v>
      </c>
    </row>
    <row r="9" spans="1:12">
      <c r="A9" s="24">
        <f t="shared" si="0"/>
        <v>9</v>
      </c>
      <c r="B9" s="33" t="s">
        <v>24</v>
      </c>
      <c r="C9" s="33"/>
      <c r="D9" s="65"/>
      <c r="E9" s="36"/>
      <c r="F9" s="35"/>
      <c r="G9" s="35"/>
      <c r="H9" s="37"/>
      <c r="I9" s="38"/>
      <c r="J9" s="38"/>
      <c r="K9" s="38"/>
    </row>
    <row r="10" spans="1:12">
      <c r="A10" s="24">
        <f t="shared" si="0"/>
        <v>10</v>
      </c>
      <c r="B10" s="39">
        <v>361</v>
      </c>
      <c r="C10" s="63" t="s">
        <v>35</v>
      </c>
      <c r="D10" s="70">
        <f>+changes!H8</f>
        <v>5485</v>
      </c>
      <c r="E10" s="40"/>
      <c r="F10" s="70">
        <v>0</v>
      </c>
      <c r="G10" s="70">
        <v>0</v>
      </c>
      <c r="H10" s="65"/>
      <c r="I10" s="38"/>
      <c r="J10" s="38"/>
      <c r="K10" s="50">
        <f>+changes!D8</f>
        <v>5485</v>
      </c>
      <c r="L10" s="72"/>
    </row>
    <row r="11" spans="1:12">
      <c r="A11" s="24">
        <f t="shared" si="0"/>
        <v>11</v>
      </c>
      <c r="B11" s="39">
        <v>362</v>
      </c>
      <c r="C11" s="34" t="s">
        <v>25</v>
      </c>
      <c r="D11" s="65">
        <f>+changes!H9</f>
        <v>768921</v>
      </c>
      <c r="E11" s="92">
        <v>6.7000000000000004E-2</v>
      </c>
      <c r="F11" s="65">
        <f t="shared" ref="F11:F19" si="1">D11*E11</f>
        <v>51517.707000000002</v>
      </c>
      <c r="G11" s="65">
        <v>23673.677</v>
      </c>
      <c r="H11" s="65"/>
      <c r="I11" s="91">
        <v>3.1E-2</v>
      </c>
      <c r="J11" s="38"/>
      <c r="K11" s="50">
        <f>+changes!D9</f>
        <v>758413</v>
      </c>
      <c r="L11" s="72">
        <f>((+D11+K11)/2)*I11</f>
        <v>23673.677</v>
      </c>
    </row>
    <row r="12" spans="1:12">
      <c r="A12" s="24">
        <f t="shared" si="0"/>
        <v>12</v>
      </c>
      <c r="B12" s="39">
        <v>364</v>
      </c>
      <c r="C12" s="34" t="s">
        <v>26</v>
      </c>
      <c r="D12" s="65">
        <f>+changes!H10</f>
        <v>29674571</v>
      </c>
      <c r="E12" s="92">
        <v>3.8975524219349425E-2</v>
      </c>
      <c r="F12" s="65">
        <f t="shared" si="1"/>
        <v>1156581.9607093041</v>
      </c>
      <c r="G12" s="65">
        <v>1164988.92</v>
      </c>
      <c r="H12" s="65"/>
      <c r="I12" s="91">
        <v>0.04</v>
      </c>
      <c r="J12" s="38"/>
      <c r="K12" s="50">
        <f>+changes!D10</f>
        <v>28574875</v>
      </c>
      <c r="L12" s="72">
        <f t="shared" ref="L12:L17" si="2">((+D12+K12)/2)*I12</f>
        <v>1164988.92</v>
      </c>
    </row>
    <row r="13" spans="1:12">
      <c r="A13" s="24">
        <f t="shared" si="0"/>
        <v>13</v>
      </c>
      <c r="B13" s="39">
        <v>365</v>
      </c>
      <c r="C13" s="34" t="s">
        <v>27</v>
      </c>
      <c r="D13" s="65">
        <f>+changes!H11</f>
        <v>27905005</v>
      </c>
      <c r="E13" s="92">
        <v>3.2675524219349425E-2</v>
      </c>
      <c r="F13" s="65">
        <f t="shared" si="1"/>
        <v>911810.66671856679</v>
      </c>
      <c r="G13" s="65">
        <v>770471.08600000001</v>
      </c>
      <c r="H13" s="65"/>
      <c r="I13" s="91">
        <v>2.8000000000000001E-2</v>
      </c>
      <c r="J13" s="38"/>
      <c r="K13" s="50">
        <f>+changes!D11</f>
        <v>27128644</v>
      </c>
      <c r="L13" s="72">
        <f t="shared" si="2"/>
        <v>770471.08600000001</v>
      </c>
    </row>
    <row r="14" spans="1:12">
      <c r="A14" s="24">
        <f t="shared" si="0"/>
        <v>14</v>
      </c>
      <c r="B14" s="39">
        <v>367</v>
      </c>
      <c r="C14" s="34" t="s">
        <v>28</v>
      </c>
      <c r="D14" s="65">
        <f>+changes!H12</f>
        <v>3889519</v>
      </c>
      <c r="E14" s="92">
        <v>4.0192074392827334E-2</v>
      </c>
      <c r="F14" s="65">
        <f t="shared" si="1"/>
        <v>156327.83700031537</v>
      </c>
      <c r="G14" s="65">
        <v>152215.58000000002</v>
      </c>
      <c r="H14" s="65"/>
      <c r="I14" s="91">
        <v>0.04</v>
      </c>
      <c r="J14" s="38"/>
      <c r="K14" s="50">
        <f>+changes!D12</f>
        <v>3721260</v>
      </c>
      <c r="L14" s="72">
        <f t="shared" si="2"/>
        <v>152215.58000000002</v>
      </c>
    </row>
    <row r="15" spans="1:12">
      <c r="A15" s="24">
        <f t="shared" si="0"/>
        <v>15</v>
      </c>
      <c r="B15" s="39">
        <v>368</v>
      </c>
      <c r="C15" s="34" t="s">
        <v>29</v>
      </c>
      <c r="D15" s="65">
        <f>+changes!H13</f>
        <v>10656531</v>
      </c>
      <c r="E15" s="92">
        <v>2.3900000000000001E-2</v>
      </c>
      <c r="F15" s="65">
        <f t="shared" si="1"/>
        <v>254691.09090000001</v>
      </c>
      <c r="G15" s="65">
        <v>327978.29499999998</v>
      </c>
      <c r="H15" s="65"/>
      <c r="I15" s="91">
        <v>3.1E-2</v>
      </c>
      <c r="J15" s="38"/>
      <c r="K15" s="50">
        <f>+changes!D13</f>
        <v>10503359</v>
      </c>
      <c r="L15" s="72">
        <f t="shared" si="2"/>
        <v>327978.29499999998</v>
      </c>
    </row>
    <row r="16" spans="1:12">
      <c r="A16" s="24">
        <f t="shared" si="0"/>
        <v>16</v>
      </c>
      <c r="B16" s="39">
        <v>369</v>
      </c>
      <c r="C16" s="34" t="s">
        <v>30</v>
      </c>
      <c r="D16" s="65">
        <f>+changes!H14</f>
        <v>8314588</v>
      </c>
      <c r="E16" s="92">
        <v>4.1392074392827334E-2</v>
      </c>
      <c r="F16" s="65">
        <f t="shared" si="1"/>
        <v>344158.04504170944</v>
      </c>
      <c r="G16" s="65">
        <v>298028.14199999999</v>
      </c>
      <c r="H16" s="65"/>
      <c r="I16" s="91">
        <v>3.5999999999999997E-2</v>
      </c>
      <c r="J16" s="38"/>
      <c r="K16" s="50">
        <f>+changes!D14</f>
        <v>8242531</v>
      </c>
      <c r="L16" s="72">
        <f t="shared" si="2"/>
        <v>298028.14199999999</v>
      </c>
    </row>
    <row r="17" spans="1:12">
      <c r="A17" s="24">
        <f t="shared" si="0"/>
        <v>17</v>
      </c>
      <c r="B17" s="39">
        <v>370</v>
      </c>
      <c r="C17" s="34" t="s">
        <v>31</v>
      </c>
      <c r="D17" s="65">
        <f>+changes!H15</f>
        <v>1045775</v>
      </c>
      <c r="E17" s="92">
        <v>3.4000000000000002E-2</v>
      </c>
      <c r="F17" s="65">
        <f t="shared" si="1"/>
        <v>35556.350000000006</v>
      </c>
      <c r="G17" s="65">
        <v>53829.514000000003</v>
      </c>
      <c r="H17" s="65"/>
      <c r="I17" s="91">
        <v>3.4000000000000002E-2</v>
      </c>
      <c r="J17" s="38"/>
      <c r="K17" s="50">
        <f>+changes!D15</f>
        <v>1643420</v>
      </c>
      <c r="L17" s="72">
        <f t="shared" si="2"/>
        <v>45716.315000000002</v>
      </c>
    </row>
    <row r="18" spans="1:12">
      <c r="A18" s="24"/>
      <c r="B18" s="39">
        <v>370</v>
      </c>
      <c r="C18" s="63" t="s">
        <v>159</v>
      </c>
      <c r="D18" s="65">
        <f>SUM(changes!H16:H23)</f>
        <v>5610227</v>
      </c>
      <c r="E18" s="92">
        <v>6.7000000000000004E-2</v>
      </c>
      <c r="F18" s="65">
        <f t="shared" ref="F18" si="3">D18*E18</f>
        <v>375885.20900000003</v>
      </c>
      <c r="G18" s="65">
        <v>314291</v>
      </c>
      <c r="H18" s="65"/>
      <c r="I18" s="91">
        <v>6.7000000000000004E-2</v>
      </c>
      <c r="J18" s="38"/>
      <c r="K18" s="50">
        <f>SUM(changes!D16:D23)</f>
        <v>5326464</v>
      </c>
      <c r="L18" s="72">
        <v>314291</v>
      </c>
    </row>
    <row r="19" spans="1:12">
      <c r="A19" s="24">
        <f>(+A17+1)</f>
        <v>18</v>
      </c>
      <c r="B19" s="39" t="s">
        <v>32</v>
      </c>
      <c r="C19" s="34" t="s">
        <v>33</v>
      </c>
      <c r="D19" s="66">
        <f>+changes!H24</f>
        <v>4912562</v>
      </c>
      <c r="E19" s="92">
        <v>4.8892074392827334E-2</v>
      </c>
      <c r="F19" s="69">
        <f t="shared" si="1"/>
        <v>240185.34676337664</v>
      </c>
      <c r="G19" s="66">
        <v>193697.34</v>
      </c>
      <c r="H19" s="65"/>
      <c r="I19" s="91">
        <v>0.04</v>
      </c>
      <c r="J19" s="41"/>
      <c r="K19" s="50">
        <f>+changes!D24</f>
        <v>4772305</v>
      </c>
      <c r="L19" s="73">
        <f>((+D19+K19)/2)*I19</f>
        <v>193697.34</v>
      </c>
    </row>
    <row r="20" spans="1:12">
      <c r="A20" s="24">
        <f t="shared" si="0"/>
        <v>19</v>
      </c>
      <c r="B20" s="39"/>
      <c r="C20" s="34"/>
      <c r="D20" s="65"/>
      <c r="E20" s="40"/>
      <c r="F20" s="65"/>
      <c r="G20" s="65"/>
      <c r="H20" s="65"/>
      <c r="I20" s="42"/>
      <c r="J20" s="42"/>
      <c r="K20" s="62"/>
      <c r="L20" s="72">
        <f>SUM(L11:L19)</f>
        <v>3291060.3549999995</v>
      </c>
    </row>
    <row r="21" spans="1:12">
      <c r="A21" s="24">
        <f t="shared" si="0"/>
        <v>20</v>
      </c>
      <c r="B21" s="44"/>
      <c r="C21" s="45"/>
      <c r="D21" s="67">
        <f>SUM(D9:D19)</f>
        <v>92783184</v>
      </c>
      <c r="E21" s="46"/>
      <c r="F21" s="67">
        <f>SUM(F11:F20)</f>
        <v>3526714.2131332732</v>
      </c>
      <c r="G21" s="67">
        <f>SUM(G11:G20)</f>
        <v>3299173.5539999995</v>
      </c>
      <c r="H21" s="68"/>
      <c r="I21" s="47">
        <f>F21-G21</f>
        <v>227540.65913327364</v>
      </c>
      <c r="J21" s="43"/>
      <c r="K21" s="62"/>
      <c r="L21" s="72">
        <v>3299174</v>
      </c>
    </row>
    <row r="22" spans="1:12">
      <c r="A22" s="24">
        <f t="shared" si="0"/>
        <v>21</v>
      </c>
      <c r="B22" s="44"/>
      <c r="C22" s="45"/>
      <c r="D22" s="68"/>
      <c r="E22" s="48"/>
      <c r="F22" s="68"/>
      <c r="G22" s="68"/>
      <c r="H22" s="68"/>
      <c r="I22" s="49"/>
      <c r="J22" s="49"/>
      <c r="K22" s="47"/>
      <c r="L22" s="72">
        <f>+L21-L20</f>
        <v>8113.6450000004843</v>
      </c>
    </row>
    <row r="23" spans="1:12">
      <c r="A23" s="24">
        <f t="shared" si="0"/>
        <v>22</v>
      </c>
      <c r="B23" s="33" t="s">
        <v>34</v>
      </c>
      <c r="C23" s="33"/>
      <c r="D23" s="65"/>
      <c r="E23" s="36"/>
      <c r="F23" s="65"/>
      <c r="G23" s="65"/>
      <c r="H23" s="65"/>
      <c r="I23" s="38"/>
      <c r="J23" s="38"/>
      <c r="K23" s="38"/>
      <c r="L23" s="72"/>
    </row>
    <row r="24" spans="1:12">
      <c r="A24" s="24">
        <f t="shared" si="0"/>
        <v>23</v>
      </c>
      <c r="B24" s="39">
        <v>389</v>
      </c>
      <c r="C24" s="34" t="s">
        <v>35</v>
      </c>
      <c r="D24" s="65">
        <f>+changes!H28</f>
        <v>98652</v>
      </c>
      <c r="E24" s="36"/>
      <c r="F24" s="65"/>
      <c r="G24" s="65"/>
      <c r="H24" s="65"/>
      <c r="I24" s="38"/>
      <c r="J24" s="38"/>
    </row>
    <row r="25" spans="1:12">
      <c r="A25" s="24">
        <f t="shared" si="0"/>
        <v>24</v>
      </c>
      <c r="B25" s="39">
        <v>390</v>
      </c>
      <c r="C25" s="34" t="s">
        <v>36</v>
      </c>
      <c r="D25" s="65">
        <f>+changes!H29</f>
        <v>2160806</v>
      </c>
      <c r="E25" s="40">
        <v>2.3800000000000002E-2</v>
      </c>
      <c r="F25" s="65">
        <f t="shared" ref="F25:F32" si="4">((+D25-H25)*E25)</f>
        <v>51427.182800000002</v>
      </c>
      <c r="G25" s="65">
        <v>46595</v>
      </c>
      <c r="H25" s="65"/>
      <c r="I25" s="37"/>
      <c r="J25" s="38"/>
      <c r="K25" s="50">
        <f>+changes!D29</f>
        <v>2142981</v>
      </c>
      <c r="L25" s="72">
        <f>(((+D25+K25)/2)-H25)*E25</f>
        <v>51215.065300000002</v>
      </c>
    </row>
    <row r="26" spans="1:12">
      <c r="A26" s="24">
        <f t="shared" si="0"/>
        <v>25</v>
      </c>
      <c r="B26" s="39">
        <v>391</v>
      </c>
      <c r="C26" s="34" t="s">
        <v>37</v>
      </c>
      <c r="D26" s="65">
        <f>+changes!H30</f>
        <v>764856</v>
      </c>
      <c r="E26" s="40">
        <v>0.05</v>
      </c>
      <c r="F26" s="65">
        <f t="shared" si="4"/>
        <v>38242.800000000003</v>
      </c>
      <c r="G26" s="65">
        <v>52786</v>
      </c>
      <c r="H26" s="65">
        <v>0</v>
      </c>
      <c r="I26" s="37"/>
      <c r="J26" s="38"/>
      <c r="K26" s="50">
        <f>+changes!D30</f>
        <v>916246</v>
      </c>
      <c r="L26" s="72">
        <f>(((+D26+K26)/2)-H26)*E26</f>
        <v>42027.55</v>
      </c>
    </row>
    <row r="27" spans="1:12">
      <c r="A27" s="24">
        <f t="shared" si="0"/>
        <v>26</v>
      </c>
      <c r="B27" s="39">
        <v>392</v>
      </c>
      <c r="C27" s="34" t="s">
        <v>38</v>
      </c>
      <c r="D27" s="65">
        <f>+changes!H31</f>
        <v>3126912</v>
      </c>
      <c r="E27" s="40">
        <v>0.1125</v>
      </c>
      <c r="F27" s="65">
        <f t="shared" si="4"/>
        <v>261116.55000000002</v>
      </c>
      <c r="G27" s="65">
        <f>271947-5250-13142</f>
        <v>253555</v>
      </c>
      <c r="H27" s="65">
        <f>425793+380083</f>
        <v>805876</v>
      </c>
      <c r="I27" s="37"/>
      <c r="J27" s="50"/>
      <c r="K27" s="50">
        <f>+changes!D31</f>
        <v>3097462</v>
      </c>
      <c r="L27" s="72">
        <f>271947-5250-13142</f>
        <v>253555</v>
      </c>
    </row>
    <row r="28" spans="1:12">
      <c r="A28" s="24">
        <f t="shared" si="0"/>
        <v>27</v>
      </c>
      <c r="B28" s="39">
        <v>394</v>
      </c>
      <c r="C28" s="34" t="s">
        <v>39</v>
      </c>
      <c r="D28" s="65">
        <f>+changes!H32</f>
        <v>98943</v>
      </c>
      <c r="E28" s="40">
        <v>6.6699999999999995E-2</v>
      </c>
      <c r="F28" s="65">
        <f t="shared" si="4"/>
        <v>6599.4980999999998</v>
      </c>
      <c r="G28" s="65">
        <v>6566</v>
      </c>
      <c r="H28" s="65">
        <v>0</v>
      </c>
      <c r="I28" s="37"/>
      <c r="J28" s="50"/>
      <c r="K28" s="50">
        <f>+changes!D32</f>
        <v>97931</v>
      </c>
      <c r="L28" s="72">
        <f t="shared" ref="L28:L32" si="5">(((+D28+K28)/2)-H28)*E28</f>
        <v>6565.7478999999994</v>
      </c>
    </row>
    <row r="29" spans="1:12">
      <c r="A29" s="24">
        <f t="shared" si="0"/>
        <v>28</v>
      </c>
      <c r="B29" s="39">
        <v>395</v>
      </c>
      <c r="C29" s="34" t="s">
        <v>40</v>
      </c>
      <c r="D29" s="65">
        <f>+changes!H33</f>
        <v>86567</v>
      </c>
      <c r="E29" s="40">
        <v>0.04</v>
      </c>
      <c r="F29" s="65">
        <f t="shared" si="4"/>
        <v>3462.6800000000003</v>
      </c>
      <c r="G29" s="65">
        <v>3595</v>
      </c>
      <c r="H29" s="65">
        <v>0</v>
      </c>
      <c r="I29" s="37"/>
      <c r="J29" s="50"/>
      <c r="K29" s="50">
        <f>+changes!D33</f>
        <v>93176</v>
      </c>
      <c r="L29" s="72">
        <f t="shared" si="5"/>
        <v>3594.86</v>
      </c>
    </row>
    <row r="30" spans="1:12">
      <c r="A30" s="24">
        <f t="shared" si="0"/>
        <v>29</v>
      </c>
      <c r="B30" s="39">
        <v>396</v>
      </c>
      <c r="C30" s="34" t="s">
        <v>41</v>
      </c>
      <c r="D30" s="65">
        <f>+changes!H34</f>
        <v>304997</v>
      </c>
      <c r="E30" s="40">
        <v>0.06</v>
      </c>
      <c r="F30" s="65">
        <f t="shared" si="4"/>
        <v>18299.82</v>
      </c>
      <c r="G30" s="65">
        <v>18323</v>
      </c>
      <c r="H30" s="65">
        <v>0</v>
      </c>
      <c r="I30" s="37"/>
      <c r="J30" s="50"/>
      <c r="K30" s="50">
        <f>+changes!D34</f>
        <v>305767</v>
      </c>
      <c r="L30" s="72">
        <f t="shared" si="5"/>
        <v>18322.919999999998</v>
      </c>
    </row>
    <row r="31" spans="1:12">
      <c r="A31" s="24">
        <f t="shared" si="0"/>
        <v>30</v>
      </c>
      <c r="B31" s="39">
        <v>397</v>
      </c>
      <c r="C31" s="34" t="s">
        <v>42</v>
      </c>
      <c r="D31" s="65">
        <f>+changes!H35</f>
        <v>713658</v>
      </c>
      <c r="E31" s="40">
        <v>0.05</v>
      </c>
      <c r="F31" s="65">
        <f t="shared" si="4"/>
        <v>35682.9</v>
      </c>
      <c r="G31" s="65">
        <v>34400</v>
      </c>
      <c r="H31" s="65">
        <v>0</v>
      </c>
      <c r="I31" s="37"/>
      <c r="J31" s="50"/>
      <c r="K31" s="50">
        <f>+changes!D35</f>
        <v>488960</v>
      </c>
      <c r="L31" s="72">
        <f t="shared" si="5"/>
        <v>30065.45</v>
      </c>
    </row>
    <row r="32" spans="1:12">
      <c r="A32" s="24">
        <f t="shared" si="0"/>
        <v>31</v>
      </c>
      <c r="B32" s="39">
        <v>398</v>
      </c>
      <c r="C32" s="34" t="s">
        <v>43</v>
      </c>
      <c r="D32" s="66">
        <f>+changes!H36</f>
        <v>442434</v>
      </c>
      <c r="E32" s="40">
        <v>5.5599999999999997E-2</v>
      </c>
      <c r="F32" s="69">
        <f t="shared" si="4"/>
        <v>24599.330399999999</v>
      </c>
      <c r="G32" s="69">
        <v>23980</v>
      </c>
      <c r="H32" s="65">
        <v>0</v>
      </c>
      <c r="I32" s="37"/>
      <c r="J32" s="50"/>
      <c r="K32" s="50">
        <f>+changes!D36</f>
        <v>420146</v>
      </c>
      <c r="L32" s="73">
        <f t="shared" si="5"/>
        <v>23979.723999999998</v>
      </c>
    </row>
    <row r="33" spans="1:12">
      <c r="A33" s="24">
        <f t="shared" si="0"/>
        <v>32</v>
      </c>
      <c r="B33" s="34"/>
      <c r="C33" s="34"/>
      <c r="D33" s="69">
        <f>SUM(D24:D32)</f>
        <v>7797825</v>
      </c>
      <c r="E33" s="36"/>
      <c r="F33" s="69">
        <f>SUM(F24:F32)</f>
        <v>439430.76130000007</v>
      </c>
      <c r="G33" s="69">
        <f>SUM(G24:G32)</f>
        <v>439800</v>
      </c>
      <c r="H33" s="65">
        <f>186245+253555-G33</f>
        <v>0</v>
      </c>
      <c r="I33" s="38"/>
      <c r="J33" s="38"/>
      <c r="K33" s="38"/>
      <c r="L33" s="72">
        <f>SUM(L25:L32)</f>
        <v>429326.31719999999</v>
      </c>
    </row>
    <row r="34" spans="1:12">
      <c r="A34" s="24">
        <f t="shared" si="0"/>
        <v>33</v>
      </c>
      <c r="B34" s="34"/>
      <c r="C34" s="34"/>
      <c r="D34" s="65"/>
      <c r="E34" s="36"/>
      <c r="F34" s="65"/>
      <c r="G34" s="65"/>
      <c r="H34" s="65"/>
      <c r="I34" s="38"/>
      <c r="J34" s="38"/>
      <c r="K34" s="38"/>
      <c r="L34" s="72">
        <f>+L27</f>
        <v>253555</v>
      </c>
    </row>
    <row r="35" spans="1:12" ht="16.5" thickBot="1">
      <c r="A35" s="24">
        <f t="shared" si="0"/>
        <v>34</v>
      </c>
      <c r="B35" s="34"/>
      <c r="C35" s="34" t="s">
        <v>44</v>
      </c>
      <c r="D35" s="71">
        <f>(+D21+D33)</f>
        <v>100581009</v>
      </c>
      <c r="E35" s="36"/>
      <c r="F35" s="71">
        <f>(+F21+F33)</f>
        <v>3966144.9744332731</v>
      </c>
      <c r="G35" s="71">
        <f>(+G21+G33)</f>
        <v>3738973.5539999995</v>
      </c>
      <c r="H35" s="65"/>
      <c r="I35" s="38"/>
      <c r="J35" s="38"/>
      <c r="K35" s="38"/>
      <c r="L35" s="72">
        <f>+L33-L34</f>
        <v>175771.31719999999</v>
      </c>
    </row>
    <row r="36" spans="1:12" ht="16.5" thickTop="1">
      <c r="A36" s="24">
        <f t="shared" si="0"/>
        <v>35</v>
      </c>
      <c r="B36" s="34"/>
      <c r="C36" s="34"/>
      <c r="D36" s="65"/>
      <c r="E36" s="34"/>
      <c r="F36" s="65"/>
      <c r="G36" s="65"/>
      <c r="H36" s="65"/>
      <c r="I36" s="38"/>
      <c r="J36" s="38"/>
      <c r="K36" s="38"/>
      <c r="L36" s="74">
        <v>186245</v>
      </c>
    </row>
    <row r="37" spans="1:12">
      <c r="A37" s="24">
        <f t="shared" si="0"/>
        <v>36</v>
      </c>
      <c r="B37" s="34"/>
      <c r="C37" s="34"/>
      <c r="D37" s="34"/>
      <c r="E37" s="34"/>
      <c r="F37" s="34"/>
      <c r="G37" s="34"/>
      <c r="H37" s="37"/>
      <c r="I37" s="38"/>
      <c r="J37" s="38"/>
      <c r="K37" s="38"/>
      <c r="L37" s="74">
        <f>+L36-L35</f>
        <v>10473.68280000001</v>
      </c>
    </row>
    <row r="38" spans="1:12">
      <c r="A38" s="24">
        <f t="shared" si="0"/>
        <v>37</v>
      </c>
      <c r="B38" s="34" t="s">
        <v>45</v>
      </c>
      <c r="C38" s="34"/>
      <c r="D38" s="34"/>
      <c r="E38" s="34"/>
      <c r="F38" s="34"/>
      <c r="G38" s="34"/>
      <c r="H38" s="37"/>
      <c r="I38" s="38"/>
      <c r="J38" s="38"/>
      <c r="K38" s="38"/>
    </row>
    <row r="39" spans="1:12">
      <c r="A39" s="24">
        <f t="shared" si="0"/>
        <v>38</v>
      </c>
      <c r="B39" s="34"/>
      <c r="C39" s="34"/>
      <c r="D39" s="34"/>
      <c r="E39" s="34"/>
      <c r="F39" s="34"/>
      <c r="G39" s="34"/>
      <c r="H39" s="37"/>
      <c r="I39" s="38"/>
      <c r="J39" s="38"/>
      <c r="K39" s="38"/>
    </row>
    <row r="40" spans="1:12"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2"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1:12">
      <c r="A42" s="24" t="s">
        <v>117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1:12">
      <c r="A43" s="24"/>
      <c r="B43" s="87"/>
      <c r="C43" s="87"/>
      <c r="D43" s="88" t="s">
        <v>149</v>
      </c>
      <c r="E43" s="88" t="s">
        <v>150</v>
      </c>
      <c r="F43" s="38"/>
      <c r="G43" s="38"/>
      <c r="H43" s="38"/>
      <c r="I43" s="38"/>
      <c r="J43" s="38"/>
      <c r="K43" s="38"/>
    </row>
    <row r="44" spans="1:12">
      <c r="A44" s="24"/>
      <c r="B44" s="100" t="s">
        <v>151</v>
      </c>
      <c r="C44" s="100"/>
      <c r="D44" s="89" t="s">
        <v>21</v>
      </c>
      <c r="E44" s="89" t="s">
        <v>21</v>
      </c>
      <c r="F44" s="38"/>
      <c r="G44" s="38"/>
      <c r="H44" s="38"/>
      <c r="I44" s="38"/>
      <c r="J44" s="38"/>
      <c r="K44" s="38"/>
    </row>
    <row r="45" spans="1:12">
      <c r="B45" s="90">
        <v>362</v>
      </c>
      <c r="C45" s="87" t="s">
        <v>152</v>
      </c>
      <c r="D45" s="91">
        <v>6.7000000000000004E-2</v>
      </c>
      <c r="E45" s="91">
        <v>3.1E-2</v>
      </c>
      <c r="F45" s="38"/>
      <c r="G45" s="38"/>
      <c r="H45" s="38"/>
      <c r="I45" s="38"/>
      <c r="J45" s="38"/>
      <c r="K45" s="38"/>
    </row>
    <row r="46" spans="1:12">
      <c r="B46" s="90">
        <v>364</v>
      </c>
      <c r="C46" s="87" t="s">
        <v>153</v>
      </c>
      <c r="D46" s="91">
        <v>3.8975524219349425E-2</v>
      </c>
      <c r="E46" s="91">
        <v>0.04</v>
      </c>
      <c r="F46" s="38"/>
      <c r="G46" s="38"/>
      <c r="H46" s="38"/>
      <c r="I46" s="38"/>
      <c r="J46" s="38"/>
      <c r="K46" s="38"/>
    </row>
    <row r="47" spans="1:12">
      <c r="B47" s="90">
        <v>365</v>
      </c>
      <c r="C47" s="87" t="s">
        <v>154</v>
      </c>
      <c r="D47" s="91">
        <v>3.2675524219349425E-2</v>
      </c>
      <c r="E47" s="91">
        <v>2.8000000000000001E-2</v>
      </c>
      <c r="F47" s="38"/>
      <c r="G47" s="38"/>
      <c r="H47" s="38"/>
      <c r="I47" s="38"/>
      <c r="J47" s="38"/>
      <c r="K47" s="38"/>
    </row>
    <row r="48" spans="1:12">
      <c r="B48" s="90">
        <v>367</v>
      </c>
      <c r="C48" s="87" t="s">
        <v>155</v>
      </c>
      <c r="D48" s="91">
        <v>4.0192074392827334E-2</v>
      </c>
      <c r="E48" s="91">
        <v>0.04</v>
      </c>
      <c r="F48" s="38"/>
      <c r="G48" s="38"/>
      <c r="H48" s="38"/>
      <c r="I48" s="38"/>
      <c r="J48" s="38"/>
      <c r="K48" s="38"/>
    </row>
    <row r="49" spans="2:11">
      <c r="B49" s="90">
        <v>368</v>
      </c>
      <c r="C49" s="87" t="s">
        <v>156</v>
      </c>
      <c r="D49" s="91">
        <v>2.3900000000000001E-2</v>
      </c>
      <c r="E49" s="91">
        <v>3.1E-2</v>
      </c>
      <c r="F49" s="38"/>
      <c r="G49" s="38"/>
      <c r="H49" s="38"/>
      <c r="I49" s="38"/>
      <c r="J49" s="38"/>
      <c r="K49" s="38"/>
    </row>
    <row r="50" spans="2:11">
      <c r="B50" s="90">
        <v>369</v>
      </c>
      <c r="C50" s="87" t="s">
        <v>73</v>
      </c>
      <c r="D50" s="91">
        <v>4.1392074392827334E-2</v>
      </c>
      <c r="E50" s="91">
        <v>3.5999999999999997E-2</v>
      </c>
      <c r="F50" s="38"/>
      <c r="G50" s="38"/>
      <c r="H50" s="38"/>
      <c r="I50" s="38"/>
      <c r="J50" s="38"/>
      <c r="K50" s="38"/>
    </row>
    <row r="51" spans="2:11">
      <c r="B51" s="90">
        <v>370</v>
      </c>
      <c r="C51" s="87" t="s">
        <v>74</v>
      </c>
      <c r="D51" s="91">
        <v>3.4000000000000002E-2</v>
      </c>
      <c r="E51" s="91">
        <v>3.4000000000000002E-2</v>
      </c>
      <c r="F51" s="38"/>
      <c r="G51" s="38"/>
      <c r="H51" s="38"/>
      <c r="I51" s="38"/>
      <c r="J51" s="38"/>
      <c r="K51" s="38"/>
    </row>
    <row r="52" spans="2:11">
      <c r="B52" s="90">
        <v>370.01</v>
      </c>
      <c r="C52" s="87" t="s">
        <v>157</v>
      </c>
      <c r="D52" s="91">
        <v>6.7000000000000004E-2</v>
      </c>
      <c r="E52" s="91">
        <v>6.7000000000000004E-2</v>
      </c>
      <c r="F52" s="38"/>
      <c r="G52" s="38"/>
      <c r="H52" s="38"/>
      <c r="I52" s="38"/>
      <c r="J52" s="38"/>
      <c r="K52" s="38"/>
    </row>
    <row r="53" spans="2:11">
      <c r="B53" s="90">
        <v>371</v>
      </c>
      <c r="C53" s="87" t="s">
        <v>158</v>
      </c>
      <c r="D53" s="91">
        <v>4.8892074392827334E-2</v>
      </c>
      <c r="E53" s="91">
        <v>0.04</v>
      </c>
      <c r="F53" s="38"/>
      <c r="G53" s="38"/>
      <c r="H53" s="38"/>
      <c r="I53" s="38"/>
      <c r="J53" s="38"/>
      <c r="K53" s="38"/>
    </row>
  </sheetData>
  <mergeCells count="4">
    <mergeCell ref="B1:G1"/>
    <mergeCell ref="B2:G2"/>
    <mergeCell ref="B3:G3"/>
    <mergeCell ref="B44:C44"/>
  </mergeCells>
  <phoneticPr fontId="1" type="noConversion"/>
  <printOptions horizontalCentered="1"/>
  <pageMargins left="0.75" right="0.75" top="0.75" bottom="0.75" header="0.5" footer="0.5"/>
  <pageSetup scale="8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72"/>
  <sheetViews>
    <sheetView defaultGridColor="0" colorId="22" zoomScale="87" workbookViewId="0"/>
  </sheetViews>
  <sheetFormatPr defaultColWidth="9.625" defaultRowHeight="15.75"/>
  <cols>
    <col min="1" max="1" width="4.625" style="25" customWidth="1"/>
    <col min="3" max="3" width="32.375" customWidth="1"/>
    <col min="4" max="6" width="11.625" customWidth="1"/>
    <col min="7" max="7" width="11.625" hidden="1" customWidth="1"/>
    <col min="8" max="8" width="11.625" customWidth="1"/>
  </cols>
  <sheetData>
    <row r="1" spans="1:12" ht="18.75">
      <c r="A1" s="24">
        <v>1</v>
      </c>
      <c r="B1" s="98" t="str">
        <f>narative!B4</f>
        <v>Cumberland Valley Electric</v>
      </c>
      <c r="C1" s="98"/>
      <c r="D1" s="98"/>
      <c r="E1" s="98"/>
      <c r="F1" s="98"/>
      <c r="G1" s="98"/>
      <c r="H1" s="29" t="s">
        <v>0</v>
      </c>
      <c r="I1" s="14"/>
      <c r="J1" s="14"/>
      <c r="K1" s="14"/>
      <c r="L1" s="14"/>
    </row>
    <row r="2" spans="1:12" ht="18.75">
      <c r="A2" s="24">
        <f t="shared" ref="A2:A41" si="0">(A1+1)</f>
        <v>2</v>
      </c>
      <c r="B2" s="98" t="str">
        <f>narative!B5</f>
        <v>Case No. 2014-00xxx</v>
      </c>
      <c r="C2" s="98"/>
      <c r="D2" s="98"/>
      <c r="E2" s="98"/>
      <c r="F2" s="98"/>
      <c r="G2" s="98"/>
      <c r="H2" s="29" t="s">
        <v>60</v>
      </c>
      <c r="I2" s="14"/>
      <c r="J2" s="14"/>
      <c r="K2" s="14"/>
      <c r="L2" s="14"/>
    </row>
    <row r="3" spans="1:12" ht="18.75">
      <c r="A3" s="24">
        <f t="shared" si="0"/>
        <v>3</v>
      </c>
      <c r="B3" s="99">
        <f>narative!B6</f>
        <v>42338</v>
      </c>
      <c r="C3" s="99"/>
      <c r="D3" s="99"/>
      <c r="E3" s="99"/>
      <c r="F3" s="99"/>
      <c r="G3" s="99"/>
      <c r="H3" s="14"/>
      <c r="I3" s="14"/>
      <c r="J3" s="14"/>
      <c r="K3" s="14"/>
      <c r="L3" s="14"/>
    </row>
    <row r="4" spans="1:12">
      <c r="A4" s="24">
        <f t="shared" si="0"/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>
      <c r="A5" s="24">
        <f t="shared" si="0"/>
        <v>5</v>
      </c>
      <c r="B5" s="12"/>
      <c r="C5" s="12"/>
      <c r="D5" s="30" t="s">
        <v>61</v>
      </c>
      <c r="E5" s="30"/>
      <c r="F5" s="30"/>
      <c r="G5" s="12"/>
      <c r="H5" s="30" t="s">
        <v>62</v>
      </c>
      <c r="I5" s="14"/>
      <c r="J5" s="14"/>
      <c r="K5" s="14"/>
      <c r="L5" s="14"/>
    </row>
    <row r="6" spans="1:12">
      <c r="A6" s="24">
        <f t="shared" si="0"/>
        <v>6</v>
      </c>
      <c r="B6" s="51" t="s">
        <v>63</v>
      </c>
      <c r="C6" s="34"/>
      <c r="D6" s="13" t="s">
        <v>20</v>
      </c>
      <c r="E6" s="13" t="s">
        <v>64</v>
      </c>
      <c r="F6" s="13" t="s">
        <v>65</v>
      </c>
      <c r="G6" s="13" t="s">
        <v>66</v>
      </c>
      <c r="H6" s="13" t="s">
        <v>20</v>
      </c>
      <c r="I6" s="14"/>
      <c r="J6" s="14"/>
      <c r="K6" s="14"/>
      <c r="L6" s="14"/>
    </row>
    <row r="7" spans="1:12">
      <c r="A7" s="24">
        <f t="shared" si="0"/>
        <v>7</v>
      </c>
      <c r="B7" s="12"/>
      <c r="C7" s="12"/>
      <c r="D7" s="13"/>
      <c r="E7" s="13"/>
      <c r="F7" s="13"/>
      <c r="G7" s="12"/>
      <c r="H7" s="13"/>
      <c r="I7" s="14"/>
      <c r="J7" s="14"/>
      <c r="K7" s="14"/>
      <c r="L7" s="14"/>
    </row>
    <row r="8" spans="1:12">
      <c r="A8" s="24">
        <f t="shared" si="0"/>
        <v>8</v>
      </c>
      <c r="B8" s="52">
        <v>360</v>
      </c>
      <c r="C8" s="63" t="s">
        <v>77</v>
      </c>
      <c r="D8" s="17">
        <v>5485</v>
      </c>
      <c r="E8" s="17">
        <f>(+H8-D8+F8)-G8</f>
        <v>0</v>
      </c>
      <c r="F8" s="17"/>
      <c r="G8" s="17"/>
      <c r="H8" s="17">
        <v>5485</v>
      </c>
      <c r="I8" s="14"/>
      <c r="J8" s="14"/>
      <c r="K8" s="14"/>
      <c r="L8" s="14"/>
    </row>
    <row r="9" spans="1:12">
      <c r="A9" s="24">
        <f t="shared" si="0"/>
        <v>9</v>
      </c>
      <c r="B9" s="52" t="s">
        <v>67</v>
      </c>
      <c r="C9" s="12" t="s">
        <v>68</v>
      </c>
      <c r="D9" s="17">
        <f>169341+589072</f>
        <v>758413</v>
      </c>
      <c r="E9" s="17">
        <f t="shared" ref="E9:E24" si="1">(+H9-D9+F9)-G9</f>
        <v>26508</v>
      </c>
      <c r="F9" s="17">
        <v>16000</v>
      </c>
      <c r="G9" s="17"/>
      <c r="H9" s="17">
        <f>169341+599580</f>
        <v>768921</v>
      </c>
      <c r="I9" s="14"/>
      <c r="J9" s="14"/>
      <c r="K9" s="14"/>
      <c r="L9" s="14"/>
    </row>
    <row r="10" spans="1:12">
      <c r="A10" s="24">
        <f t="shared" si="0"/>
        <v>10</v>
      </c>
      <c r="B10" s="52">
        <v>364</v>
      </c>
      <c r="C10" s="12" t="s">
        <v>69</v>
      </c>
      <c r="D10" s="17">
        <v>28574875</v>
      </c>
      <c r="E10" s="17">
        <f t="shared" si="1"/>
        <v>1509377</v>
      </c>
      <c r="F10" s="17">
        <v>409681</v>
      </c>
      <c r="G10" s="17"/>
      <c r="H10" s="17">
        <v>29674571</v>
      </c>
      <c r="I10" s="14"/>
      <c r="J10" s="14"/>
      <c r="K10" s="14"/>
      <c r="L10" s="14"/>
    </row>
    <row r="11" spans="1:12">
      <c r="A11" s="24">
        <f t="shared" si="0"/>
        <v>11</v>
      </c>
      <c r="B11" s="52">
        <v>365</v>
      </c>
      <c r="C11" s="12" t="s">
        <v>70</v>
      </c>
      <c r="D11" s="17">
        <v>27128644</v>
      </c>
      <c r="E11" s="17">
        <f t="shared" si="1"/>
        <v>947093</v>
      </c>
      <c r="F11" s="17">
        <v>170732</v>
      </c>
      <c r="G11" s="17"/>
      <c r="H11" s="17">
        <v>27905005</v>
      </c>
      <c r="I11" s="14"/>
      <c r="J11" s="14"/>
      <c r="K11" s="14"/>
      <c r="L11" s="14"/>
    </row>
    <row r="12" spans="1:12">
      <c r="A12" s="24">
        <f t="shared" si="0"/>
        <v>12</v>
      </c>
      <c r="B12" s="52">
        <v>367</v>
      </c>
      <c r="C12" s="12" t="s">
        <v>71</v>
      </c>
      <c r="D12" s="17">
        <v>3721260</v>
      </c>
      <c r="E12" s="17">
        <f t="shared" si="1"/>
        <v>182668</v>
      </c>
      <c r="F12" s="17">
        <v>14409</v>
      </c>
      <c r="G12" s="17"/>
      <c r="H12" s="17">
        <v>3889519</v>
      </c>
      <c r="I12" s="14"/>
      <c r="J12" s="14"/>
      <c r="K12" s="14"/>
      <c r="L12" s="14"/>
    </row>
    <row r="13" spans="1:12">
      <c r="A13" s="24">
        <f t="shared" si="0"/>
        <v>13</v>
      </c>
      <c r="B13" s="52">
        <v>368</v>
      </c>
      <c r="C13" s="12" t="s">
        <v>72</v>
      </c>
      <c r="D13" s="17">
        <v>10503359</v>
      </c>
      <c r="E13" s="17">
        <f t="shared" si="1"/>
        <v>177004</v>
      </c>
      <c r="F13" s="17">
        <v>23832</v>
      </c>
      <c r="G13" s="17"/>
      <c r="H13" s="17">
        <v>10656531</v>
      </c>
      <c r="I13" s="14"/>
      <c r="J13" s="14"/>
      <c r="K13" s="14"/>
      <c r="L13" s="14"/>
    </row>
    <row r="14" spans="1:12">
      <c r="A14" s="24">
        <f t="shared" si="0"/>
        <v>14</v>
      </c>
      <c r="B14" s="52">
        <v>369</v>
      </c>
      <c r="C14" s="12" t="s">
        <v>73</v>
      </c>
      <c r="D14" s="17">
        <v>8242531</v>
      </c>
      <c r="E14" s="17">
        <f t="shared" si="1"/>
        <v>273887</v>
      </c>
      <c r="F14" s="17">
        <v>201830</v>
      </c>
      <c r="G14" s="17"/>
      <c r="H14" s="17">
        <v>8314588</v>
      </c>
      <c r="I14" s="14"/>
      <c r="J14" s="14"/>
      <c r="K14" s="14"/>
      <c r="L14" s="14"/>
    </row>
    <row r="15" spans="1:12">
      <c r="A15" s="24">
        <f t="shared" si="0"/>
        <v>15</v>
      </c>
      <c r="B15" s="52">
        <v>370</v>
      </c>
      <c r="C15" s="12" t="s">
        <v>74</v>
      </c>
      <c r="D15" s="17">
        <f>2120667-477247</f>
        <v>1643420</v>
      </c>
      <c r="E15" s="17">
        <f t="shared" ref="E15" si="2">(+H15-D15+F15)-G15</f>
        <v>100023</v>
      </c>
      <c r="F15" s="17">
        <f>1174915-477247</f>
        <v>697668</v>
      </c>
      <c r="G15" s="17"/>
      <c r="H15" s="17">
        <v>1045775</v>
      </c>
      <c r="I15" s="14"/>
      <c r="J15" s="14"/>
      <c r="K15" s="14"/>
      <c r="L15" s="14"/>
    </row>
    <row r="16" spans="1:12">
      <c r="A16" s="24">
        <f t="shared" si="0"/>
        <v>16</v>
      </c>
      <c r="B16" s="86" t="s">
        <v>132</v>
      </c>
      <c r="C16" s="63" t="s">
        <v>133</v>
      </c>
      <c r="D16" s="17">
        <v>353008</v>
      </c>
      <c r="E16" s="17">
        <f t="shared" si="1"/>
        <v>199730</v>
      </c>
      <c r="F16" s="17">
        <v>16412</v>
      </c>
      <c r="G16" s="17"/>
      <c r="H16" s="17">
        <v>536326</v>
      </c>
      <c r="I16" s="14"/>
      <c r="J16" s="14"/>
      <c r="K16" s="14"/>
      <c r="L16" s="14"/>
    </row>
    <row r="17" spans="1:12">
      <c r="A17" s="24">
        <f t="shared" si="0"/>
        <v>17</v>
      </c>
      <c r="B17" s="86" t="s">
        <v>135</v>
      </c>
      <c r="C17" s="63" t="s">
        <v>134</v>
      </c>
      <c r="D17" s="17">
        <f>477247-353008</f>
        <v>124239</v>
      </c>
      <c r="E17" s="17">
        <f t="shared" si="1"/>
        <v>0</v>
      </c>
      <c r="F17" s="17">
        <v>2208</v>
      </c>
      <c r="G17" s="17"/>
      <c r="H17" s="17">
        <v>122031</v>
      </c>
      <c r="I17" s="14"/>
      <c r="J17" s="14"/>
      <c r="K17" s="14"/>
      <c r="L17" s="14"/>
    </row>
    <row r="18" spans="1:12">
      <c r="A18" s="24">
        <f t="shared" si="0"/>
        <v>18</v>
      </c>
      <c r="B18" s="86" t="s">
        <v>136</v>
      </c>
      <c r="C18" s="63" t="s">
        <v>137</v>
      </c>
      <c r="D18" s="17">
        <v>17367</v>
      </c>
      <c r="E18" s="17">
        <f t="shared" si="1"/>
        <v>0</v>
      </c>
      <c r="F18" s="17">
        <v>1705</v>
      </c>
      <c r="G18" s="17"/>
      <c r="H18" s="17">
        <v>15662</v>
      </c>
      <c r="I18" s="14"/>
      <c r="J18" s="14"/>
      <c r="K18" s="14"/>
      <c r="L18" s="14"/>
    </row>
    <row r="19" spans="1:12">
      <c r="A19" s="24">
        <f t="shared" si="0"/>
        <v>19</v>
      </c>
      <c r="B19" s="86" t="s">
        <v>138</v>
      </c>
      <c r="C19" s="63" t="s">
        <v>139</v>
      </c>
      <c r="D19" s="17">
        <v>3609188</v>
      </c>
      <c r="E19" s="17">
        <f t="shared" si="1"/>
        <v>0</v>
      </c>
      <c r="F19" s="17">
        <v>26304</v>
      </c>
      <c r="G19" s="17"/>
      <c r="H19" s="17">
        <v>3582884</v>
      </c>
      <c r="I19" s="14"/>
      <c r="J19" s="14"/>
      <c r="K19" s="14"/>
      <c r="L19" s="14"/>
    </row>
    <row r="20" spans="1:12">
      <c r="A20" s="24">
        <f t="shared" si="0"/>
        <v>20</v>
      </c>
      <c r="B20" s="86" t="s">
        <v>140</v>
      </c>
      <c r="C20" s="63" t="s">
        <v>141</v>
      </c>
      <c r="D20" s="17">
        <v>369776</v>
      </c>
      <c r="E20" s="17">
        <f t="shared" si="1"/>
        <v>0</v>
      </c>
      <c r="F20" s="17">
        <v>0</v>
      </c>
      <c r="G20" s="17"/>
      <c r="H20" s="17">
        <v>369776</v>
      </c>
      <c r="I20" s="14"/>
      <c r="J20" s="14"/>
      <c r="K20" s="14"/>
      <c r="L20" s="14"/>
    </row>
    <row r="21" spans="1:12">
      <c r="A21" s="24">
        <f t="shared" si="0"/>
        <v>21</v>
      </c>
      <c r="B21" s="86" t="s">
        <v>142</v>
      </c>
      <c r="C21" s="63" t="s">
        <v>143</v>
      </c>
      <c r="D21" s="17">
        <v>307200</v>
      </c>
      <c r="E21" s="17">
        <f t="shared" si="1"/>
        <v>0</v>
      </c>
      <c r="F21" s="17">
        <v>154</v>
      </c>
      <c r="G21" s="17"/>
      <c r="H21" s="17">
        <v>307046</v>
      </c>
      <c r="I21" s="14"/>
      <c r="J21" s="14"/>
      <c r="K21" s="14"/>
      <c r="L21" s="14"/>
    </row>
    <row r="22" spans="1:12">
      <c r="A22" s="24">
        <f t="shared" si="0"/>
        <v>22</v>
      </c>
      <c r="B22" s="86" t="s">
        <v>144</v>
      </c>
      <c r="C22" s="63" t="s">
        <v>145</v>
      </c>
      <c r="D22" s="17">
        <v>185270</v>
      </c>
      <c r="E22" s="17">
        <f t="shared" si="1"/>
        <v>144942</v>
      </c>
      <c r="F22" s="17">
        <v>3873</v>
      </c>
      <c r="G22" s="17"/>
      <c r="H22" s="17">
        <v>326339</v>
      </c>
      <c r="I22" s="14"/>
      <c r="J22" s="14"/>
      <c r="K22" s="14"/>
      <c r="L22" s="14"/>
    </row>
    <row r="23" spans="1:12">
      <c r="A23" s="24">
        <f t="shared" si="0"/>
        <v>23</v>
      </c>
      <c r="B23" s="86" t="s">
        <v>146</v>
      </c>
      <c r="C23" s="63" t="s">
        <v>147</v>
      </c>
      <c r="D23" s="64">
        <v>360416</v>
      </c>
      <c r="E23" s="17">
        <f t="shared" si="1"/>
        <v>0</v>
      </c>
      <c r="F23" s="64">
        <v>10253</v>
      </c>
      <c r="H23" s="64">
        <v>350163</v>
      </c>
      <c r="I23" s="14"/>
      <c r="J23" s="14"/>
      <c r="K23" s="14"/>
      <c r="L23" s="14"/>
    </row>
    <row r="24" spans="1:12">
      <c r="A24" s="24">
        <f t="shared" si="0"/>
        <v>24</v>
      </c>
      <c r="B24" s="52">
        <v>371</v>
      </c>
      <c r="C24" s="12" t="s">
        <v>75</v>
      </c>
      <c r="D24" s="19">
        <v>4772305</v>
      </c>
      <c r="E24" s="19">
        <f t="shared" si="1"/>
        <v>277900</v>
      </c>
      <c r="F24" s="19">
        <v>137643</v>
      </c>
      <c r="G24" s="19"/>
      <c r="H24" s="19">
        <v>4912562</v>
      </c>
      <c r="I24" s="14"/>
      <c r="J24" s="14"/>
      <c r="K24" s="14"/>
      <c r="L24" s="14"/>
    </row>
    <row r="25" spans="1:12">
      <c r="A25" s="24">
        <f t="shared" si="0"/>
        <v>25</v>
      </c>
      <c r="B25" s="52"/>
      <c r="C25" s="12"/>
      <c r="D25" s="17"/>
      <c r="E25" s="17"/>
      <c r="F25" s="17"/>
      <c r="G25" s="12"/>
      <c r="H25" s="17"/>
      <c r="I25" s="14"/>
      <c r="J25" s="14"/>
      <c r="K25" s="14"/>
      <c r="L25" s="14"/>
    </row>
    <row r="26" spans="1:12">
      <c r="A26" s="24">
        <f t="shared" si="0"/>
        <v>26</v>
      </c>
      <c r="B26" s="52"/>
      <c r="C26" s="12" t="s">
        <v>76</v>
      </c>
      <c r="D26" s="19">
        <f>SUM(D7:D24)</f>
        <v>90676756</v>
      </c>
      <c r="E26" s="19">
        <f>SUM(E7:E24)</f>
        <v>3839132</v>
      </c>
      <c r="F26" s="19">
        <f>SUM(F7:F24)</f>
        <v>1732704</v>
      </c>
      <c r="G26" s="19">
        <f>SUM(G7:G24)</f>
        <v>0</v>
      </c>
      <c r="H26" s="19">
        <f>SUM(H7:H24)</f>
        <v>92783184</v>
      </c>
      <c r="I26" s="14"/>
      <c r="J26" s="14"/>
      <c r="K26" s="14"/>
      <c r="L26" s="14"/>
    </row>
    <row r="27" spans="1:12">
      <c r="A27" s="24">
        <f t="shared" si="0"/>
        <v>27</v>
      </c>
      <c r="B27" s="52"/>
      <c r="C27" s="12"/>
      <c r="D27" s="17"/>
      <c r="E27" s="17"/>
      <c r="F27" s="17"/>
      <c r="G27" s="12"/>
      <c r="H27" s="17"/>
      <c r="I27" s="14"/>
      <c r="J27" s="14"/>
      <c r="K27" s="14"/>
      <c r="L27" s="14"/>
    </row>
    <row r="28" spans="1:12">
      <c r="A28" s="24">
        <f t="shared" si="0"/>
        <v>28</v>
      </c>
      <c r="B28" s="52">
        <v>389</v>
      </c>
      <c r="C28" s="12" t="s">
        <v>77</v>
      </c>
      <c r="D28" s="17">
        <v>98652</v>
      </c>
      <c r="E28" s="17">
        <f t="shared" ref="E28:E36" si="3">(+H28-D28+F28)</f>
        <v>0</v>
      </c>
      <c r="F28" s="17"/>
      <c r="G28" s="12"/>
      <c r="H28" s="17">
        <v>98652</v>
      </c>
      <c r="I28" s="14"/>
      <c r="J28" s="14"/>
      <c r="K28" s="14"/>
      <c r="L28" s="14"/>
    </row>
    <row r="29" spans="1:12">
      <c r="A29" s="24">
        <f t="shared" si="0"/>
        <v>29</v>
      </c>
      <c r="B29" s="52">
        <v>390</v>
      </c>
      <c r="C29" s="12" t="s">
        <v>78</v>
      </c>
      <c r="D29" s="17">
        <f>5382+1160846+185661+86661+153166+33473+435093+82699</f>
        <v>2142981</v>
      </c>
      <c r="E29" s="17">
        <f t="shared" si="3"/>
        <v>17825</v>
      </c>
      <c r="F29" s="17"/>
      <c r="G29" s="12"/>
      <c r="H29" s="17">
        <f>2142981+17825</f>
        <v>2160806</v>
      </c>
      <c r="I29" s="14"/>
      <c r="J29" s="14"/>
      <c r="K29" s="14"/>
      <c r="L29" s="14"/>
    </row>
    <row r="30" spans="1:12">
      <c r="A30" s="24">
        <f t="shared" si="0"/>
        <v>30</v>
      </c>
      <c r="B30" s="52">
        <v>391</v>
      </c>
      <c r="C30" s="12" t="s">
        <v>79</v>
      </c>
      <c r="D30" s="17">
        <v>916246</v>
      </c>
      <c r="E30" s="17">
        <f t="shared" si="3"/>
        <v>51073</v>
      </c>
      <c r="F30" s="17">
        <v>202463</v>
      </c>
      <c r="G30" s="12"/>
      <c r="H30" s="17">
        <v>764856</v>
      </c>
      <c r="I30" s="14"/>
      <c r="J30" s="14"/>
      <c r="K30" s="14"/>
      <c r="L30" s="14"/>
    </row>
    <row r="31" spans="1:12">
      <c r="A31" s="24">
        <f t="shared" si="0"/>
        <v>31</v>
      </c>
      <c r="B31" s="52">
        <v>392</v>
      </c>
      <c r="C31" s="12" t="s">
        <v>80</v>
      </c>
      <c r="D31" s="17">
        <v>3097462</v>
      </c>
      <c r="E31" s="17">
        <f t="shared" si="3"/>
        <v>148219</v>
      </c>
      <c r="F31" s="17">
        <v>118769</v>
      </c>
      <c r="G31" s="12"/>
      <c r="H31" s="17">
        <v>3126912</v>
      </c>
      <c r="I31" s="14"/>
      <c r="J31" s="14"/>
      <c r="K31" s="14"/>
      <c r="L31" s="14"/>
    </row>
    <row r="32" spans="1:12">
      <c r="A32" s="24">
        <f t="shared" si="0"/>
        <v>32</v>
      </c>
      <c r="B32" s="52">
        <v>394</v>
      </c>
      <c r="C32" s="12" t="s">
        <v>81</v>
      </c>
      <c r="D32" s="17">
        <v>97931</v>
      </c>
      <c r="E32" s="17">
        <f t="shared" si="3"/>
        <v>1012</v>
      </c>
      <c r="F32" s="17"/>
      <c r="G32" s="12"/>
      <c r="H32" s="17">
        <v>98943</v>
      </c>
      <c r="I32" s="14"/>
      <c r="J32" s="14"/>
      <c r="K32" s="14"/>
      <c r="L32" s="14"/>
    </row>
    <row r="33" spans="1:12">
      <c r="A33" s="24">
        <f t="shared" si="0"/>
        <v>33</v>
      </c>
      <c r="B33" s="52">
        <v>395</v>
      </c>
      <c r="C33" s="12" t="s">
        <v>82</v>
      </c>
      <c r="D33" s="17">
        <v>93176</v>
      </c>
      <c r="E33" s="17">
        <f t="shared" si="3"/>
        <v>0</v>
      </c>
      <c r="F33" s="17">
        <v>6609</v>
      </c>
      <c r="G33" s="12"/>
      <c r="H33" s="17">
        <v>86567</v>
      </c>
      <c r="I33" s="14"/>
      <c r="J33" s="14"/>
      <c r="K33" s="14"/>
      <c r="L33" s="14"/>
    </row>
    <row r="34" spans="1:12">
      <c r="A34" s="24">
        <f t="shared" si="0"/>
        <v>34</v>
      </c>
      <c r="B34" s="52">
        <v>396</v>
      </c>
      <c r="C34" s="12" t="s">
        <v>83</v>
      </c>
      <c r="D34" s="17">
        <v>305767</v>
      </c>
      <c r="E34" s="17">
        <f t="shared" si="3"/>
        <v>0</v>
      </c>
      <c r="F34" s="17">
        <v>770</v>
      </c>
      <c r="G34" s="12"/>
      <c r="H34" s="64">
        <v>304997</v>
      </c>
      <c r="I34" s="14"/>
      <c r="J34" s="14"/>
      <c r="K34" s="14"/>
      <c r="L34" s="14"/>
    </row>
    <row r="35" spans="1:12">
      <c r="A35" s="24">
        <f t="shared" si="0"/>
        <v>35</v>
      </c>
      <c r="B35" s="52">
        <v>397</v>
      </c>
      <c r="C35" s="12" t="s">
        <v>84</v>
      </c>
      <c r="D35" s="17">
        <v>488960</v>
      </c>
      <c r="E35" s="17">
        <f t="shared" si="3"/>
        <v>224698</v>
      </c>
      <c r="F35" s="17"/>
      <c r="G35" s="12"/>
      <c r="H35" s="17">
        <v>713658</v>
      </c>
      <c r="I35" s="14"/>
      <c r="J35" s="14"/>
      <c r="K35" s="14"/>
      <c r="L35" s="14"/>
    </row>
    <row r="36" spans="1:12">
      <c r="A36" s="24">
        <f t="shared" si="0"/>
        <v>36</v>
      </c>
      <c r="B36" s="52">
        <v>398</v>
      </c>
      <c r="C36" s="12" t="s">
        <v>85</v>
      </c>
      <c r="D36" s="19">
        <v>420146</v>
      </c>
      <c r="E36" s="19">
        <f t="shared" si="3"/>
        <v>22288</v>
      </c>
      <c r="F36" s="19"/>
      <c r="G36" s="19"/>
      <c r="H36" s="19">
        <v>442434</v>
      </c>
      <c r="I36" s="14"/>
      <c r="J36" s="14"/>
      <c r="K36" s="14"/>
      <c r="L36" s="14"/>
    </row>
    <row r="37" spans="1:12">
      <c r="A37" s="24">
        <f t="shared" si="0"/>
        <v>37</v>
      </c>
      <c r="B37" s="52"/>
      <c r="C37" s="12"/>
      <c r="D37" s="17"/>
      <c r="E37" s="17"/>
      <c r="F37" s="17"/>
      <c r="G37" s="17"/>
      <c r="H37" s="17"/>
      <c r="I37" s="14"/>
      <c r="J37" s="14"/>
      <c r="K37" s="14"/>
      <c r="L37" s="14"/>
    </row>
    <row r="38" spans="1:12">
      <c r="A38" s="24">
        <f t="shared" si="0"/>
        <v>38</v>
      </c>
      <c r="B38" s="52"/>
      <c r="C38" s="12" t="s">
        <v>86</v>
      </c>
      <c r="D38" s="19">
        <f>SUM(D27:D36)</f>
        <v>7661321</v>
      </c>
      <c r="E38" s="19">
        <f>SUM(E27:E36)</f>
        <v>465115</v>
      </c>
      <c r="F38" s="19">
        <f>SUM(F27:F36)</f>
        <v>328611</v>
      </c>
      <c r="G38" s="19">
        <f>SUM(G27:G36)</f>
        <v>0</v>
      </c>
      <c r="H38" s="19">
        <f>SUM(H27:H36)</f>
        <v>7797825</v>
      </c>
      <c r="I38" s="14"/>
      <c r="J38" s="14"/>
      <c r="K38" s="14"/>
      <c r="L38" s="14"/>
    </row>
    <row r="39" spans="1:12" ht="15" customHeight="1">
      <c r="A39" s="24">
        <f t="shared" si="0"/>
        <v>39</v>
      </c>
      <c r="B39" s="12"/>
      <c r="C39" s="12"/>
      <c r="D39" s="17"/>
      <c r="E39" s="17"/>
      <c r="F39" s="17"/>
      <c r="G39" s="17"/>
      <c r="H39" s="17"/>
      <c r="I39" s="12"/>
      <c r="J39" s="17"/>
      <c r="K39" s="14"/>
      <c r="L39" s="14"/>
    </row>
    <row r="40" spans="1:12" ht="16.5" thickBot="1">
      <c r="A40" s="24">
        <f t="shared" si="0"/>
        <v>40</v>
      </c>
      <c r="B40" s="12"/>
      <c r="C40" s="12" t="s">
        <v>87</v>
      </c>
      <c r="D40" s="53">
        <f>(+D26+D38)</f>
        <v>98338077</v>
      </c>
      <c r="E40" s="53">
        <f>(+E26+E38)</f>
        <v>4304247</v>
      </c>
      <c r="F40" s="53">
        <f>(+F26+F38)</f>
        <v>2061315</v>
      </c>
      <c r="G40" s="53">
        <f>(+G26+G38)</f>
        <v>0</v>
      </c>
      <c r="H40" s="53">
        <f>(+H26+H38)</f>
        <v>100581009</v>
      </c>
      <c r="I40" s="12"/>
      <c r="J40" s="17"/>
      <c r="K40" s="14"/>
      <c r="L40" s="14"/>
    </row>
    <row r="41" spans="1:12" ht="16.5" thickTop="1">
      <c r="A41" s="24">
        <f t="shared" si="0"/>
        <v>41</v>
      </c>
      <c r="B41" s="12"/>
      <c r="C41" s="12"/>
      <c r="D41" s="12"/>
      <c r="E41" s="12"/>
      <c r="F41" s="12"/>
      <c r="G41" s="12"/>
      <c r="H41" s="12"/>
      <c r="I41" s="54"/>
      <c r="J41" s="54"/>
      <c r="K41" s="55"/>
      <c r="L41" s="55"/>
    </row>
    <row r="42" spans="1:12" ht="15" customHeight="1">
      <c r="A42" s="24"/>
      <c r="B42" s="56"/>
      <c r="C42" s="56"/>
      <c r="D42" s="56"/>
      <c r="E42" s="56"/>
      <c r="F42" s="56"/>
      <c r="G42" s="56"/>
      <c r="H42" s="56"/>
      <c r="I42" s="54"/>
      <c r="J42" s="54"/>
      <c r="K42" s="55"/>
      <c r="L42" s="55"/>
    </row>
    <row r="43" spans="1:12" ht="15" customHeight="1">
      <c r="A43" s="24"/>
      <c r="B43" s="56"/>
      <c r="C43" s="56"/>
      <c r="D43" s="56"/>
      <c r="E43" s="56"/>
      <c r="F43" s="56"/>
      <c r="G43" s="56"/>
      <c r="H43" s="56"/>
      <c r="I43" s="54"/>
      <c r="J43" s="54"/>
      <c r="K43" s="55"/>
      <c r="L43" s="55"/>
    </row>
    <row r="44" spans="1:12" ht="15" customHeight="1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</row>
    <row r="45" spans="1:12" ht="15" customHeight="1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</row>
    <row r="46" spans="1:12"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</row>
    <row r="54" spans="12:12">
      <c r="L54" s="1"/>
    </row>
    <row r="55" spans="12:12">
      <c r="L55" s="1"/>
    </row>
    <row r="56" spans="12:12">
      <c r="L56" s="1"/>
    </row>
    <row r="57" spans="12:12">
      <c r="L57" s="1"/>
    </row>
    <row r="58" spans="12:12">
      <c r="L58" s="1"/>
    </row>
    <row r="59" spans="12:12">
      <c r="L59" s="1"/>
    </row>
    <row r="60" spans="12:12">
      <c r="L60" s="1"/>
    </row>
    <row r="61" spans="12:12">
      <c r="L61" s="1"/>
    </row>
    <row r="62" spans="12:12">
      <c r="L62" s="1"/>
    </row>
    <row r="63" spans="12:12">
      <c r="L63" s="1"/>
    </row>
    <row r="64" spans="12:12">
      <c r="L64" s="1"/>
    </row>
    <row r="65" spans="12:12">
      <c r="L65" s="1"/>
    </row>
    <row r="66" spans="12:12">
      <c r="L66" s="1"/>
    </row>
    <row r="67" spans="12:12">
      <c r="L67" s="1"/>
    </row>
    <row r="68" spans="12:12">
      <c r="L68" s="1"/>
    </row>
    <row r="69" spans="12:12" ht="15" customHeight="1">
      <c r="L69" s="1"/>
    </row>
    <row r="70" spans="12:12" ht="15" customHeight="1">
      <c r="L70" s="1"/>
    </row>
    <row r="71" spans="12:12">
      <c r="L71" s="1"/>
    </row>
    <row r="72" spans="12:12">
      <c r="L72" s="1"/>
    </row>
  </sheetData>
  <mergeCells count="3">
    <mergeCell ref="B1:G1"/>
    <mergeCell ref="B2:G2"/>
    <mergeCell ref="B3:G3"/>
  </mergeCells>
  <phoneticPr fontId="1" type="noConversion"/>
  <pageMargins left="0.65" right="0.58699999999999997" top="0.5" bottom="0.58699999999999997" header="0.5" footer="0.5"/>
  <pageSetup orientation="landscape" horizontalDpi="4294967293" r:id="rId1"/>
  <headerFooter alignWithMargins="0"/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workbookViewId="0">
      <selection activeCell="I24" sqref="I24"/>
    </sheetView>
  </sheetViews>
  <sheetFormatPr defaultRowHeight="15.75"/>
  <cols>
    <col min="1" max="1" width="6.625" style="25" customWidth="1"/>
    <col min="2" max="2" width="26.375" customWidth="1"/>
    <col min="3" max="9" width="11.625" customWidth="1"/>
    <col min="13" max="13" width="9.875" bestFit="1" customWidth="1"/>
  </cols>
  <sheetData>
    <row r="1" spans="1:11" ht="18.75">
      <c r="A1" s="24">
        <f>(changes!A43+1)</f>
        <v>1</v>
      </c>
      <c r="B1" s="27" t="str">
        <f>changes!B1</f>
        <v>Cumberland Valley Electric</v>
      </c>
      <c r="C1" s="27"/>
      <c r="D1" s="27"/>
      <c r="E1" s="27"/>
      <c r="F1" s="27"/>
      <c r="G1" s="27"/>
      <c r="H1" s="27"/>
      <c r="I1" s="29" t="s">
        <v>0</v>
      </c>
      <c r="J1" s="54"/>
    </row>
    <row r="2" spans="1:11" ht="18.75">
      <c r="A2" s="24">
        <f t="shared" ref="A2:A29" si="0">(A1+1)</f>
        <v>2</v>
      </c>
      <c r="B2" s="27" t="str">
        <f>changes!B2</f>
        <v>Case No. 2014-00xxx</v>
      </c>
      <c r="C2" s="27"/>
      <c r="D2" s="27"/>
      <c r="E2" s="27"/>
      <c r="F2" s="27"/>
      <c r="G2" s="27"/>
      <c r="H2" s="27"/>
      <c r="I2" s="29" t="s">
        <v>88</v>
      </c>
      <c r="J2" s="54"/>
    </row>
    <row r="3" spans="1:11" ht="18.75">
      <c r="A3" s="24">
        <f t="shared" si="0"/>
        <v>3</v>
      </c>
      <c r="B3" s="57">
        <f>changes!B3</f>
        <v>42338</v>
      </c>
      <c r="C3" s="28"/>
      <c r="D3" s="28"/>
      <c r="E3" s="28"/>
      <c r="F3" s="28"/>
      <c r="G3" s="28"/>
      <c r="H3" s="28"/>
      <c r="I3" s="12"/>
      <c r="J3" s="54"/>
    </row>
    <row r="4" spans="1:11">
      <c r="A4" s="24">
        <f t="shared" si="0"/>
        <v>4</v>
      </c>
      <c r="B4" s="56"/>
      <c r="C4" s="56"/>
      <c r="D4" s="56"/>
      <c r="E4" s="56"/>
      <c r="F4" s="56"/>
      <c r="G4" s="56"/>
      <c r="H4" s="56"/>
      <c r="I4" s="56"/>
      <c r="J4" s="54"/>
    </row>
    <row r="5" spans="1:11">
      <c r="A5" s="24">
        <f t="shared" si="0"/>
        <v>5</v>
      </c>
      <c r="B5" s="51" t="s">
        <v>89</v>
      </c>
      <c r="C5" s="34"/>
      <c r="D5" s="34"/>
      <c r="E5" s="34"/>
      <c r="F5" s="34"/>
      <c r="G5" s="34"/>
      <c r="H5" s="34"/>
      <c r="I5" s="34"/>
      <c r="J5" s="54"/>
    </row>
    <row r="6" spans="1:11">
      <c r="A6" s="24">
        <f t="shared" si="0"/>
        <v>6</v>
      </c>
      <c r="B6" s="56"/>
      <c r="C6" s="58" t="s">
        <v>61</v>
      </c>
      <c r="D6" s="58"/>
      <c r="E6" s="58" t="s">
        <v>90</v>
      </c>
      <c r="F6" s="58" t="s">
        <v>91</v>
      </c>
      <c r="G6" s="58" t="s">
        <v>92</v>
      </c>
      <c r="H6" s="58" t="s">
        <v>93</v>
      </c>
      <c r="I6" s="58" t="s">
        <v>62</v>
      </c>
      <c r="J6" s="54"/>
    </row>
    <row r="7" spans="1:11">
      <c r="A7" s="24">
        <f t="shared" si="0"/>
        <v>7</v>
      </c>
      <c r="B7" s="56"/>
      <c r="C7" s="13" t="s">
        <v>20</v>
      </c>
      <c r="D7" s="13" t="s">
        <v>94</v>
      </c>
      <c r="E7" s="13" t="s">
        <v>95</v>
      </c>
      <c r="F7" s="13" t="s">
        <v>95</v>
      </c>
      <c r="G7" s="13" t="s">
        <v>96</v>
      </c>
      <c r="H7" s="13" t="s">
        <v>97</v>
      </c>
      <c r="I7" s="13" t="s">
        <v>20</v>
      </c>
      <c r="J7" s="54"/>
      <c r="K7" s="80"/>
    </row>
    <row r="8" spans="1:11">
      <c r="A8" s="24">
        <f t="shared" si="0"/>
        <v>8</v>
      </c>
      <c r="B8" s="55"/>
      <c r="C8" s="55"/>
      <c r="D8" s="55"/>
      <c r="E8" s="55"/>
      <c r="F8" s="55"/>
      <c r="G8" s="55"/>
      <c r="H8" s="55"/>
      <c r="I8" s="55"/>
      <c r="J8" s="55"/>
      <c r="K8" s="80"/>
    </row>
    <row r="9" spans="1:11">
      <c r="A9" s="24">
        <f t="shared" si="0"/>
        <v>9</v>
      </c>
      <c r="B9" s="55"/>
      <c r="C9" s="55"/>
      <c r="D9" s="55"/>
      <c r="E9" s="55"/>
      <c r="F9" s="55"/>
      <c r="G9" s="55"/>
      <c r="H9" s="55"/>
      <c r="I9" s="55"/>
      <c r="J9" s="55"/>
      <c r="K9" s="80"/>
    </row>
    <row r="10" spans="1:11">
      <c r="A10" s="24">
        <f t="shared" si="0"/>
        <v>10</v>
      </c>
      <c r="B10" s="56" t="s">
        <v>98</v>
      </c>
      <c r="C10" s="59">
        <v>30582170</v>
      </c>
      <c r="D10" s="59">
        <f>calculated!G21</f>
        <v>3299173.5539999995</v>
      </c>
      <c r="E10" s="59">
        <f>changes!F26</f>
        <v>1732704</v>
      </c>
      <c r="F10" s="59">
        <v>598862</v>
      </c>
      <c r="G10" s="59">
        <v>96396</v>
      </c>
      <c r="H10" s="59">
        <f>(E10+F10-G10)</f>
        <v>2235170</v>
      </c>
      <c r="I10" s="59">
        <f>+C10+D10-H10</f>
        <v>31646173.553999998</v>
      </c>
      <c r="J10" s="60"/>
      <c r="K10" s="80"/>
    </row>
    <row r="11" spans="1:11">
      <c r="A11" s="24">
        <f t="shared" si="0"/>
        <v>11</v>
      </c>
      <c r="B11" s="56"/>
      <c r="C11" s="60"/>
      <c r="D11" s="60"/>
      <c r="E11" s="60"/>
      <c r="F11" s="60"/>
      <c r="G11" s="60"/>
      <c r="H11" s="60"/>
      <c r="I11" s="60"/>
      <c r="J11" s="60"/>
      <c r="K11" s="80"/>
    </row>
    <row r="12" spans="1:11">
      <c r="A12" s="24">
        <f t="shared" si="0"/>
        <v>12</v>
      </c>
      <c r="B12" s="56" t="s">
        <v>77</v>
      </c>
      <c r="C12" s="60"/>
      <c r="D12" s="60"/>
      <c r="E12" s="60"/>
      <c r="F12" s="60"/>
      <c r="G12" s="60"/>
      <c r="H12" s="60"/>
      <c r="I12" s="60"/>
      <c r="J12" s="60"/>
      <c r="K12" s="80"/>
    </row>
    <row r="13" spans="1:11">
      <c r="A13" s="24">
        <f t="shared" si="0"/>
        <v>13</v>
      </c>
      <c r="B13" s="56" t="s">
        <v>78</v>
      </c>
      <c r="C13" s="60">
        <v>986049</v>
      </c>
      <c r="D13" s="60">
        <f>calculated!G25</f>
        <v>46595</v>
      </c>
      <c r="E13" s="60">
        <f>changes!F29</f>
        <v>0</v>
      </c>
      <c r="F13" s="60"/>
      <c r="G13" s="60"/>
      <c r="H13" s="60"/>
      <c r="I13" s="60">
        <f t="shared" ref="I13:I20" si="1">C13+D13-G13</f>
        <v>1032644</v>
      </c>
      <c r="J13" s="60"/>
      <c r="K13" s="80"/>
    </row>
    <row r="14" spans="1:11">
      <c r="A14" s="24">
        <f t="shared" si="0"/>
        <v>14</v>
      </c>
      <c r="B14" s="56" t="s">
        <v>79</v>
      </c>
      <c r="C14" s="60">
        <v>489162</v>
      </c>
      <c r="D14" s="60">
        <f>calculated!G26</f>
        <v>52786</v>
      </c>
      <c r="E14" s="60">
        <f>changes!F30</f>
        <v>202463</v>
      </c>
      <c r="F14" s="60"/>
      <c r="G14" s="60">
        <v>202263</v>
      </c>
      <c r="H14" s="60"/>
      <c r="I14" s="60">
        <f t="shared" si="1"/>
        <v>339685</v>
      </c>
      <c r="J14" s="60"/>
      <c r="K14" s="80"/>
    </row>
    <row r="15" spans="1:11">
      <c r="A15" s="24">
        <f t="shared" si="0"/>
        <v>15</v>
      </c>
      <c r="B15" s="56" t="s">
        <v>80</v>
      </c>
      <c r="C15" s="60">
        <v>2589339</v>
      </c>
      <c r="D15" s="60">
        <f>calculated!G27</f>
        <v>253555</v>
      </c>
      <c r="E15" s="60">
        <f>changes!F31</f>
        <v>118769</v>
      </c>
      <c r="F15" s="60"/>
      <c r="G15" s="60">
        <v>100377</v>
      </c>
      <c r="H15" s="60"/>
      <c r="I15" s="60">
        <f t="shared" si="1"/>
        <v>2742517</v>
      </c>
      <c r="J15" s="60"/>
      <c r="K15" s="80"/>
    </row>
    <row r="16" spans="1:11">
      <c r="A16" s="24">
        <f t="shared" si="0"/>
        <v>16</v>
      </c>
      <c r="B16" s="56" t="s">
        <v>81</v>
      </c>
      <c r="C16" s="60">
        <v>0</v>
      </c>
      <c r="D16" s="60">
        <f>calculated!G28</f>
        <v>6566</v>
      </c>
      <c r="E16" s="60">
        <f>changes!F32</f>
        <v>0</v>
      </c>
      <c r="F16" s="60"/>
      <c r="G16" s="60"/>
      <c r="H16" s="60"/>
      <c r="I16" s="60">
        <f t="shared" si="1"/>
        <v>6566</v>
      </c>
      <c r="J16" s="60"/>
      <c r="K16" s="80"/>
    </row>
    <row r="17" spans="1:12">
      <c r="A17" s="24">
        <f t="shared" si="0"/>
        <v>17</v>
      </c>
      <c r="B17" s="56" t="s">
        <v>82</v>
      </c>
      <c r="C17" s="60">
        <v>0</v>
      </c>
      <c r="D17" s="60">
        <f>calculated!G29</f>
        <v>3595</v>
      </c>
      <c r="E17" s="60">
        <f>changes!F33</f>
        <v>6609</v>
      </c>
      <c r="F17" s="60"/>
      <c r="G17" s="60">
        <v>6609</v>
      </c>
      <c r="H17" s="60"/>
      <c r="I17" s="60">
        <f t="shared" si="1"/>
        <v>-3014</v>
      </c>
      <c r="J17" s="60"/>
      <c r="K17" s="80"/>
    </row>
    <row r="18" spans="1:12">
      <c r="A18" s="24">
        <f t="shared" si="0"/>
        <v>18</v>
      </c>
      <c r="B18" s="56" t="s">
        <v>83</v>
      </c>
      <c r="C18" s="60">
        <v>0</v>
      </c>
      <c r="D18" s="60">
        <f>calculated!G30</f>
        <v>18323</v>
      </c>
      <c r="E18" s="60">
        <f>changes!F34</f>
        <v>770</v>
      </c>
      <c r="F18" s="60"/>
      <c r="G18" s="60">
        <v>770</v>
      </c>
      <c r="H18" s="60"/>
      <c r="I18" s="60">
        <f t="shared" si="1"/>
        <v>17553</v>
      </c>
      <c r="J18" s="60"/>
      <c r="K18" s="80"/>
    </row>
    <row r="19" spans="1:12">
      <c r="A19" s="24">
        <f t="shared" si="0"/>
        <v>19</v>
      </c>
      <c r="B19" s="56" t="s">
        <v>84</v>
      </c>
      <c r="C19" s="60">
        <v>215554</v>
      </c>
      <c r="D19" s="60">
        <f>calculated!G31</f>
        <v>34400</v>
      </c>
      <c r="E19" s="60">
        <f>changes!F35</f>
        <v>0</v>
      </c>
      <c r="F19" s="60"/>
      <c r="G19" s="60"/>
      <c r="H19" s="60"/>
      <c r="I19" s="60">
        <f t="shared" si="1"/>
        <v>249954</v>
      </c>
      <c r="J19" s="60"/>
      <c r="K19" s="1"/>
    </row>
    <row r="20" spans="1:12">
      <c r="A20" s="24">
        <f t="shared" si="0"/>
        <v>20</v>
      </c>
      <c r="B20" s="56" t="s">
        <v>99</v>
      </c>
      <c r="C20" s="59">
        <v>0</v>
      </c>
      <c r="D20" s="59">
        <f>calculated!G32</f>
        <v>23980</v>
      </c>
      <c r="E20" s="59">
        <f>changes!F36</f>
        <v>0</v>
      </c>
      <c r="F20" s="59"/>
      <c r="G20" s="59"/>
      <c r="H20" s="59"/>
      <c r="I20" s="59">
        <f t="shared" si="1"/>
        <v>23980</v>
      </c>
      <c r="J20" s="60"/>
      <c r="K20" s="1"/>
    </row>
    <row r="21" spans="1:12">
      <c r="A21" s="24">
        <f t="shared" si="0"/>
        <v>21</v>
      </c>
      <c r="B21" s="56"/>
      <c r="C21" s="60"/>
      <c r="D21" s="60"/>
      <c r="E21" s="60"/>
      <c r="F21" s="60"/>
      <c r="G21" s="60"/>
      <c r="H21" s="60"/>
      <c r="I21" s="60"/>
      <c r="J21" s="60"/>
      <c r="K21" s="1"/>
    </row>
    <row r="22" spans="1:12">
      <c r="A22" s="24">
        <f t="shared" si="0"/>
        <v>22</v>
      </c>
      <c r="B22" s="56" t="s">
        <v>86</v>
      </c>
      <c r="C22" s="59">
        <f t="shared" ref="C22:I22" si="2">SUM(C11:C20)</f>
        <v>4280104</v>
      </c>
      <c r="D22" s="59">
        <f t="shared" si="2"/>
        <v>439800</v>
      </c>
      <c r="E22" s="59">
        <f t="shared" si="2"/>
        <v>328611</v>
      </c>
      <c r="F22" s="59">
        <f t="shared" si="2"/>
        <v>0</v>
      </c>
      <c r="G22" s="59">
        <f t="shared" si="2"/>
        <v>310019</v>
      </c>
      <c r="H22" s="59">
        <f t="shared" si="2"/>
        <v>0</v>
      </c>
      <c r="I22" s="59">
        <f t="shared" si="2"/>
        <v>4409885</v>
      </c>
      <c r="J22" s="60"/>
      <c r="K22" s="1"/>
    </row>
    <row r="23" spans="1:12">
      <c r="A23" s="24">
        <f t="shared" si="0"/>
        <v>23</v>
      </c>
      <c r="B23" s="56"/>
      <c r="C23" s="60"/>
      <c r="D23" s="60"/>
      <c r="E23" s="60"/>
      <c r="F23" s="60"/>
      <c r="G23" s="60"/>
      <c r="H23" s="60"/>
      <c r="I23" s="60"/>
      <c r="J23" s="60"/>
      <c r="K23" s="1"/>
    </row>
    <row r="24" spans="1:12">
      <c r="A24" s="24">
        <f t="shared" si="0"/>
        <v>24</v>
      </c>
      <c r="B24" s="56" t="s">
        <v>100</v>
      </c>
      <c r="C24" s="59">
        <v>14460</v>
      </c>
      <c r="D24" s="59"/>
      <c r="E24" s="59"/>
      <c r="F24" s="59">
        <f>I24-C24</f>
        <v>3973</v>
      </c>
      <c r="G24" s="59"/>
      <c r="H24" s="59">
        <f>(E24+F24-G24)</f>
        <v>3973</v>
      </c>
      <c r="I24" s="93">
        <v>18433</v>
      </c>
      <c r="J24" s="60"/>
      <c r="K24" s="1"/>
    </row>
    <row r="25" spans="1:12">
      <c r="A25" s="24">
        <f t="shared" si="0"/>
        <v>25</v>
      </c>
      <c r="B25" s="56"/>
      <c r="C25" s="60"/>
      <c r="D25" s="60"/>
      <c r="E25" s="60"/>
      <c r="F25" s="60"/>
      <c r="G25" s="60"/>
      <c r="H25" s="60"/>
      <c r="I25" s="60"/>
      <c r="J25" s="60"/>
      <c r="K25" s="1"/>
    </row>
    <row r="26" spans="1:12" ht="16.5" thickBot="1">
      <c r="A26" s="24">
        <f t="shared" si="0"/>
        <v>26</v>
      </c>
      <c r="B26" s="56" t="s">
        <v>101</v>
      </c>
      <c r="C26" s="61">
        <f t="shared" ref="C26:I26" si="3">(+C10+C22-C24)</f>
        <v>34847814</v>
      </c>
      <c r="D26" s="61">
        <f t="shared" si="3"/>
        <v>3738973.5539999995</v>
      </c>
      <c r="E26" s="61">
        <f t="shared" si="3"/>
        <v>2061315</v>
      </c>
      <c r="F26" s="61">
        <f t="shared" si="3"/>
        <v>594889</v>
      </c>
      <c r="G26" s="61">
        <f t="shared" si="3"/>
        <v>406415</v>
      </c>
      <c r="H26" s="61">
        <f t="shared" si="3"/>
        <v>2231197</v>
      </c>
      <c r="I26" s="61">
        <f t="shared" si="3"/>
        <v>36037625.553999998</v>
      </c>
      <c r="J26" s="60"/>
      <c r="K26" s="4"/>
      <c r="L26" s="6"/>
    </row>
    <row r="27" spans="1:12" ht="16.5" thickTop="1">
      <c r="A27" s="24">
        <f t="shared" si="0"/>
        <v>27</v>
      </c>
      <c r="B27" s="56"/>
      <c r="C27" s="60"/>
      <c r="D27" s="60"/>
      <c r="E27" s="60"/>
      <c r="F27" s="60"/>
      <c r="G27" s="60"/>
      <c r="H27" s="60"/>
      <c r="I27" s="60"/>
      <c r="J27" s="60"/>
      <c r="K27" s="4"/>
    </row>
    <row r="28" spans="1:12">
      <c r="A28" s="24">
        <f t="shared" si="0"/>
        <v>28</v>
      </c>
      <c r="B28" s="56"/>
      <c r="C28" s="56"/>
      <c r="D28" s="60"/>
      <c r="E28" s="56"/>
      <c r="F28" s="56"/>
      <c r="G28" s="56"/>
      <c r="H28" s="56"/>
      <c r="I28" s="56"/>
      <c r="J28" s="60"/>
      <c r="K28" s="3"/>
    </row>
    <row r="29" spans="1:12">
      <c r="A29" s="24">
        <f t="shared" si="0"/>
        <v>29</v>
      </c>
      <c r="B29" s="56"/>
      <c r="C29" s="56"/>
      <c r="D29" s="60"/>
      <c r="E29" s="56"/>
      <c r="F29" s="56"/>
      <c r="G29" s="56"/>
      <c r="H29" s="56"/>
      <c r="I29" s="60"/>
      <c r="J29" s="56"/>
      <c r="K29" s="3"/>
    </row>
    <row r="30" spans="1:12">
      <c r="A30" s="24"/>
      <c r="B30" s="55"/>
      <c r="C30" s="55"/>
      <c r="D30" s="55"/>
      <c r="E30" s="55"/>
      <c r="F30" s="55"/>
      <c r="G30" s="55"/>
      <c r="H30" s="55"/>
      <c r="I30" s="55"/>
      <c r="J30" s="55"/>
    </row>
    <row r="31" spans="1:12">
      <c r="A31" s="24"/>
      <c r="B31" s="55"/>
      <c r="C31" s="55"/>
      <c r="D31" s="55"/>
      <c r="E31" s="55"/>
      <c r="F31" s="55"/>
      <c r="G31" s="55"/>
      <c r="H31" s="55"/>
      <c r="I31" s="55"/>
      <c r="J31" s="55"/>
    </row>
    <row r="32" spans="1:12">
      <c r="A32" s="24"/>
      <c r="B32" s="55"/>
      <c r="C32" s="55"/>
      <c r="D32" s="55"/>
      <c r="E32" s="55"/>
      <c r="F32" s="55"/>
      <c r="G32" s="55"/>
      <c r="H32" s="55"/>
      <c r="I32" s="55"/>
      <c r="J32" s="55"/>
    </row>
    <row r="33" spans="1:10">
      <c r="A33" s="24"/>
      <c r="B33" s="55"/>
      <c r="C33" s="55"/>
      <c r="D33" s="55"/>
      <c r="E33" s="55"/>
      <c r="F33" s="55"/>
      <c r="G33" s="55"/>
      <c r="H33" s="55"/>
      <c r="I33" s="55"/>
      <c r="J33" s="55"/>
    </row>
  </sheetData>
  <phoneticPr fontId="1" type="noConversion"/>
  <printOptions horizontalCentered="1"/>
  <pageMargins left="0.75" right="0.75" top="1" bottom="1" header="0.5" footer="0.5"/>
  <pageSetup paperSize="0" scale="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80"/>
  <sheetViews>
    <sheetView defaultGridColor="0" colorId="22" zoomScale="87" workbookViewId="0">
      <selection activeCell="J4" sqref="J4"/>
    </sheetView>
  </sheetViews>
  <sheetFormatPr defaultColWidth="9.625" defaultRowHeight="15.75"/>
  <cols>
    <col min="1" max="1" width="4.625" style="25" customWidth="1"/>
    <col min="2" max="2" width="11.625" customWidth="1"/>
    <col min="3" max="4" width="15.625" customWidth="1"/>
    <col min="5" max="5" width="13.625" customWidth="1"/>
    <col min="6" max="6" width="16.625" customWidth="1"/>
    <col min="10" max="11" width="15.625" customWidth="1"/>
  </cols>
  <sheetData>
    <row r="1" spans="1:16">
      <c r="A1" s="24">
        <f>(A8156+1)</f>
        <v>1</v>
      </c>
      <c r="B1" s="63"/>
      <c r="C1" s="63"/>
      <c r="D1" s="63"/>
      <c r="E1" s="63"/>
      <c r="F1" s="76" t="s">
        <v>0</v>
      </c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>
      <c r="A2" s="24">
        <f t="shared" ref="A2:A29" si="0">(A1+1)</f>
        <v>2</v>
      </c>
      <c r="B2" s="63"/>
      <c r="C2" s="63"/>
      <c r="D2" s="63"/>
      <c r="E2" s="63"/>
      <c r="F2" s="76" t="s">
        <v>102</v>
      </c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>
      <c r="A3" s="24">
        <f t="shared" si="0"/>
        <v>3</v>
      </c>
      <c r="B3" s="63"/>
      <c r="C3" s="63"/>
      <c r="D3" s="63"/>
      <c r="E3" s="63"/>
      <c r="F3" s="76" t="s">
        <v>117</v>
      </c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>
      <c r="A4" s="24">
        <f t="shared" si="0"/>
        <v>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8.75">
      <c r="A5" s="24">
        <f t="shared" si="0"/>
        <v>5</v>
      </c>
      <c r="B5" s="27" t="str">
        <f>narative!B4</f>
        <v>Cumberland Valley Electric</v>
      </c>
      <c r="C5" s="27"/>
      <c r="D5" s="27"/>
      <c r="E5" s="27"/>
      <c r="F5" s="75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6" ht="18.75">
      <c r="A6" s="24">
        <f t="shared" si="0"/>
        <v>6</v>
      </c>
      <c r="B6" s="27" t="str">
        <f>narative!B5</f>
        <v>Case No. 2014-00xxx</v>
      </c>
      <c r="C6" s="27"/>
      <c r="D6" s="27"/>
      <c r="E6" s="27"/>
      <c r="F6" s="75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>
      <c r="A7" s="24">
        <f t="shared" si="0"/>
        <v>7</v>
      </c>
      <c r="B7" s="33" t="s">
        <v>103</v>
      </c>
      <c r="C7" s="75"/>
      <c r="D7" s="75"/>
      <c r="E7" s="75"/>
      <c r="F7" s="75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6" ht="18.75">
      <c r="A8" s="24">
        <f t="shared" si="0"/>
        <v>8</v>
      </c>
      <c r="B8" s="57">
        <f>narative!B6</f>
        <v>42338</v>
      </c>
      <c r="C8" s="75"/>
      <c r="D8" s="75"/>
      <c r="E8" s="75"/>
      <c r="F8" s="75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16">
      <c r="A9" s="24">
        <f t="shared" si="0"/>
        <v>9</v>
      </c>
      <c r="B9" s="51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1:16" ht="19.899999999999999" customHeight="1">
      <c r="A10" s="24">
        <f t="shared" si="0"/>
        <v>10</v>
      </c>
      <c r="B10" s="80"/>
      <c r="C10" s="80"/>
      <c r="D10" s="80" t="s">
        <v>104</v>
      </c>
      <c r="E10" s="80"/>
      <c r="F10" s="80" t="s">
        <v>105</v>
      </c>
      <c r="G10" s="77"/>
      <c r="H10" s="77"/>
      <c r="I10" s="80"/>
      <c r="J10" s="80"/>
      <c r="K10" s="80" t="s">
        <v>104</v>
      </c>
      <c r="L10" s="80"/>
      <c r="M10" s="80"/>
      <c r="N10" s="77"/>
      <c r="O10" s="77"/>
      <c r="P10" s="77"/>
    </row>
    <row r="11" spans="1:16" ht="19.899999999999999" customHeight="1">
      <c r="A11" s="24">
        <f t="shared" si="0"/>
        <v>11</v>
      </c>
      <c r="B11" s="80"/>
      <c r="C11" s="80" t="s">
        <v>106</v>
      </c>
      <c r="D11" s="80" t="s">
        <v>107</v>
      </c>
      <c r="E11" s="80"/>
      <c r="F11" s="80" t="s">
        <v>108</v>
      </c>
      <c r="G11" s="77"/>
      <c r="H11" s="77"/>
      <c r="I11" s="80"/>
      <c r="J11" s="80" t="s">
        <v>106</v>
      </c>
      <c r="K11" s="80" t="s">
        <v>107</v>
      </c>
      <c r="L11" s="80"/>
      <c r="M11" s="80"/>
      <c r="N11" s="77"/>
      <c r="O11" s="77"/>
      <c r="P11" s="77"/>
    </row>
    <row r="12" spans="1:16" ht="19.899999999999999" customHeight="1">
      <c r="A12" s="24">
        <f t="shared" si="0"/>
        <v>12</v>
      </c>
      <c r="B12" s="80" t="s">
        <v>46</v>
      </c>
      <c r="C12" s="80" t="s">
        <v>109</v>
      </c>
      <c r="D12" s="80" t="s">
        <v>110</v>
      </c>
      <c r="E12" s="80" t="s">
        <v>111</v>
      </c>
      <c r="F12" s="80" t="s">
        <v>112</v>
      </c>
      <c r="G12" s="77"/>
      <c r="H12" s="77"/>
      <c r="I12" s="80" t="s">
        <v>46</v>
      </c>
      <c r="J12" s="80" t="s">
        <v>109</v>
      </c>
      <c r="K12" s="80" t="s">
        <v>110</v>
      </c>
      <c r="L12" s="80" t="s">
        <v>111</v>
      </c>
      <c r="M12" s="80"/>
      <c r="N12" s="77"/>
      <c r="O12" s="77"/>
      <c r="P12" s="77"/>
    </row>
    <row r="13" spans="1:16" ht="19.899999999999999" customHeight="1">
      <c r="A13" s="24">
        <f t="shared" si="0"/>
        <v>13</v>
      </c>
      <c r="B13" s="13" t="s">
        <v>113</v>
      </c>
      <c r="C13" s="13" t="s">
        <v>114</v>
      </c>
      <c r="D13" s="13" t="s">
        <v>106</v>
      </c>
      <c r="E13" s="13" t="s">
        <v>115</v>
      </c>
      <c r="F13" s="13" t="s">
        <v>116</v>
      </c>
      <c r="G13" s="77"/>
      <c r="H13" s="77"/>
      <c r="I13" s="13" t="s">
        <v>113</v>
      </c>
      <c r="J13" s="13" t="s">
        <v>114</v>
      </c>
      <c r="K13" s="13" t="s">
        <v>106</v>
      </c>
      <c r="L13" s="13" t="s">
        <v>115</v>
      </c>
      <c r="M13" s="13"/>
      <c r="N13" s="77"/>
      <c r="O13" s="77"/>
      <c r="P13" s="77"/>
    </row>
    <row r="14" spans="1:16" ht="19.899999999999999" customHeight="1">
      <c r="A14" s="24">
        <f t="shared" si="0"/>
        <v>14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84"/>
      <c r="M14" s="77"/>
      <c r="N14" s="77"/>
      <c r="O14" s="77"/>
      <c r="P14" s="77"/>
    </row>
    <row r="15" spans="1:16" ht="19.899999999999999" customHeight="1">
      <c r="A15" s="24">
        <f t="shared" si="0"/>
        <v>15</v>
      </c>
      <c r="B15" s="80">
        <v>2013</v>
      </c>
      <c r="C15" s="64">
        <v>87827579</v>
      </c>
      <c r="D15" s="64">
        <v>29583974</v>
      </c>
      <c r="E15" s="83">
        <f>(D15/C15)</f>
        <v>0.33684150624258924</v>
      </c>
      <c r="F15" s="81">
        <f>(C15/C21)</f>
        <v>1.6102309853209549</v>
      </c>
      <c r="G15" s="82"/>
      <c r="H15" s="77"/>
      <c r="I15" s="80">
        <v>2008</v>
      </c>
      <c r="J15" s="64">
        <v>70781087</v>
      </c>
      <c r="K15" s="64">
        <v>24091895</v>
      </c>
      <c r="L15" s="83">
        <f t="shared" ref="L15:L24" si="1">(K15/J15)</f>
        <v>0.34037192732007632</v>
      </c>
      <c r="O15" s="77"/>
      <c r="P15" s="77"/>
    </row>
    <row r="16" spans="1:16" ht="19.899999999999999" customHeight="1">
      <c r="A16" s="24">
        <f t="shared" si="0"/>
        <v>16</v>
      </c>
      <c r="B16" s="80">
        <f>B15-1</f>
        <v>2012</v>
      </c>
      <c r="C16" s="64">
        <v>84228330</v>
      </c>
      <c r="D16" s="64">
        <v>28627790</v>
      </c>
      <c r="E16" s="83">
        <f>(D16/C16)</f>
        <v>0.33988314857958124</v>
      </c>
      <c r="F16" s="81">
        <f>(C16/C22)</f>
        <v>1.6206349185886586</v>
      </c>
      <c r="G16" s="82"/>
      <c r="H16" s="77"/>
      <c r="I16" s="80">
        <v>2007</v>
      </c>
      <c r="J16" s="64">
        <v>67254026</v>
      </c>
      <c r="K16" s="64">
        <v>23137215</v>
      </c>
      <c r="L16" s="83">
        <f t="shared" si="1"/>
        <v>0.34402721109960022</v>
      </c>
      <c r="M16" s="81"/>
      <c r="N16" s="77"/>
      <c r="O16" s="77"/>
      <c r="P16" s="77"/>
    </row>
    <row r="17" spans="1:16" ht="19.899999999999999" customHeight="1">
      <c r="A17" s="24">
        <f t="shared" si="0"/>
        <v>17</v>
      </c>
      <c r="B17" s="80">
        <f>B16-1</f>
        <v>2011</v>
      </c>
      <c r="C17" s="64">
        <v>80339656</v>
      </c>
      <c r="D17" s="64">
        <v>27248770</v>
      </c>
      <c r="E17" s="83">
        <f>(D17/C17)</f>
        <v>0.33916961257588657</v>
      </c>
      <c r="F17" s="81">
        <f>(C17/C23)</f>
        <v>1.6350935813204677</v>
      </c>
      <c r="G17" s="82"/>
      <c r="H17" s="77"/>
      <c r="I17" s="80">
        <f>I16-1</f>
        <v>2006</v>
      </c>
      <c r="J17" s="64">
        <v>63902620</v>
      </c>
      <c r="K17" s="64">
        <v>22061462</v>
      </c>
      <c r="L17" s="83">
        <f t="shared" si="1"/>
        <v>0.34523564135555007</v>
      </c>
      <c r="M17" s="81"/>
      <c r="N17" s="77"/>
      <c r="O17" s="77"/>
      <c r="P17" s="77"/>
    </row>
    <row r="18" spans="1:16" ht="19.899999999999999" customHeight="1">
      <c r="A18" s="24">
        <f t="shared" si="0"/>
        <v>18</v>
      </c>
      <c r="B18" s="80">
        <f>B17-1</f>
        <v>2010</v>
      </c>
      <c r="C18" s="64">
        <v>77808757</v>
      </c>
      <c r="D18" s="64">
        <v>26705165</v>
      </c>
      <c r="E18" s="83">
        <f>(D18/C18)</f>
        <v>0.34321541725695476</v>
      </c>
      <c r="F18" s="81">
        <f>(C18/C24)</f>
        <v>1.6449067042255117</v>
      </c>
      <c r="G18" s="82"/>
      <c r="H18" s="77"/>
      <c r="I18" s="80">
        <f>I17-1</f>
        <v>2005</v>
      </c>
      <c r="J18" s="64">
        <v>60240293</v>
      </c>
      <c r="K18" s="64">
        <v>21017586</v>
      </c>
      <c r="L18" s="83">
        <f t="shared" si="1"/>
        <v>0.34889581297355243</v>
      </c>
      <c r="M18" s="81"/>
      <c r="N18" s="77"/>
      <c r="O18" s="77"/>
      <c r="P18" s="77"/>
    </row>
    <row r="19" spans="1:16" ht="19.899999999999999" customHeight="1">
      <c r="A19" s="24">
        <f t="shared" si="0"/>
        <v>19</v>
      </c>
      <c r="B19" s="80">
        <f>B18-1</f>
        <v>2009</v>
      </c>
      <c r="C19" s="64">
        <v>74436346</v>
      </c>
      <c r="D19" s="64">
        <v>25434571</v>
      </c>
      <c r="E19" s="83">
        <f>(D19/C19)</f>
        <v>0.34169558779792869</v>
      </c>
      <c r="F19" s="81">
        <f>(C19/C25)</f>
        <v>1.6647616466070261</v>
      </c>
      <c r="G19" s="82"/>
      <c r="H19" s="77"/>
      <c r="I19" s="80">
        <f>I18-1</f>
        <v>2004</v>
      </c>
      <c r="J19" s="64">
        <v>57285119</v>
      </c>
      <c r="K19" s="64">
        <v>19877645</v>
      </c>
      <c r="L19" s="83">
        <f t="shared" si="1"/>
        <v>0.34699491503194746</v>
      </c>
      <c r="M19" s="81"/>
      <c r="N19" s="77"/>
      <c r="O19" s="77"/>
      <c r="P19" s="77"/>
    </row>
    <row r="20" spans="1:16" ht="19.899999999999999" customHeight="1">
      <c r="A20" s="24">
        <f t="shared" si="0"/>
        <v>20</v>
      </c>
      <c r="B20" s="80"/>
      <c r="C20" s="77"/>
      <c r="D20" s="77"/>
      <c r="E20" s="84"/>
      <c r="F20" s="84"/>
      <c r="G20" s="77"/>
      <c r="H20" s="77"/>
      <c r="I20" s="80">
        <f>I19-1</f>
        <v>2003</v>
      </c>
      <c r="J20" s="64">
        <v>54543466</v>
      </c>
      <c r="K20" s="64">
        <v>18899498</v>
      </c>
      <c r="L20" s="83">
        <f t="shared" si="1"/>
        <v>0.34650342902667752</v>
      </c>
      <c r="M20" s="81"/>
      <c r="N20" s="77"/>
      <c r="O20" s="77"/>
      <c r="P20" s="77"/>
    </row>
    <row r="21" spans="1:16" ht="19.899999999999999" customHeight="1">
      <c r="A21" s="24">
        <f t="shared" si="0"/>
        <v>21</v>
      </c>
      <c r="B21" s="80">
        <f>B15-10</f>
        <v>2003</v>
      </c>
      <c r="C21" s="64">
        <v>54543466</v>
      </c>
      <c r="D21" s="64">
        <v>18899498</v>
      </c>
      <c r="E21" s="83">
        <f>(D21/C21)</f>
        <v>0.34650342902667752</v>
      </c>
      <c r="F21" s="80"/>
      <c r="G21" s="82"/>
      <c r="H21" s="77"/>
      <c r="I21" s="80">
        <v>2002</v>
      </c>
      <c r="J21" s="64">
        <v>51972427</v>
      </c>
      <c r="K21" s="64">
        <v>17794780</v>
      </c>
      <c r="L21" s="83">
        <f t="shared" si="1"/>
        <v>0.34238885938499658</v>
      </c>
      <c r="M21" s="77"/>
      <c r="N21" s="77"/>
      <c r="O21" s="77"/>
      <c r="P21" s="77"/>
    </row>
    <row r="22" spans="1:16" ht="19.899999999999999" customHeight="1">
      <c r="A22" s="24">
        <f t="shared" si="0"/>
        <v>22</v>
      </c>
      <c r="B22" s="80">
        <f>B16-10</f>
        <v>2002</v>
      </c>
      <c r="C22" s="64">
        <v>51972427</v>
      </c>
      <c r="D22" s="64">
        <v>17794780</v>
      </c>
      <c r="E22" s="83">
        <f>(D22/C22)</f>
        <v>0.34238885938499658</v>
      </c>
      <c r="F22" s="80"/>
      <c r="G22" s="82"/>
      <c r="H22" s="77"/>
      <c r="I22" s="85">
        <v>2001</v>
      </c>
      <c r="J22" s="64">
        <v>49134592</v>
      </c>
      <c r="K22" s="64">
        <v>16781463</v>
      </c>
      <c r="L22" s="83">
        <f t="shared" si="1"/>
        <v>0.34154070110117124</v>
      </c>
      <c r="O22" s="77"/>
      <c r="P22" s="77"/>
    </row>
    <row r="23" spans="1:16" ht="19.899999999999999" customHeight="1">
      <c r="A23" s="24">
        <f t="shared" si="0"/>
        <v>23</v>
      </c>
      <c r="B23" s="80">
        <f>B17-10</f>
        <v>2001</v>
      </c>
      <c r="C23" s="64">
        <v>49134592</v>
      </c>
      <c r="D23" s="64">
        <v>16781463</v>
      </c>
      <c r="E23" s="83">
        <f>(D23/C23)</f>
        <v>0.34154070110117124</v>
      </c>
      <c r="F23" s="80"/>
      <c r="G23" s="82"/>
      <c r="H23" s="77"/>
      <c r="I23" s="85">
        <v>2000</v>
      </c>
      <c r="J23" s="64">
        <v>47302839</v>
      </c>
      <c r="K23" s="64">
        <v>15951121</v>
      </c>
      <c r="L23" s="83">
        <f t="shared" si="1"/>
        <v>0.33721276221919788</v>
      </c>
      <c r="O23" s="77"/>
      <c r="P23" s="77"/>
    </row>
    <row r="24" spans="1:16" ht="19.899999999999999" customHeight="1">
      <c r="A24" s="24">
        <f t="shared" si="0"/>
        <v>24</v>
      </c>
      <c r="B24" s="80">
        <f>B18-10</f>
        <v>2000</v>
      </c>
      <c r="C24" s="64">
        <v>47302839</v>
      </c>
      <c r="D24" s="64">
        <v>15951121</v>
      </c>
      <c r="E24" s="83">
        <f>(D24/C24)</f>
        <v>0.33721276221919788</v>
      </c>
      <c r="F24" s="80"/>
      <c r="G24" s="82"/>
      <c r="H24" s="77"/>
      <c r="I24" s="80">
        <v>1999</v>
      </c>
      <c r="J24" s="64">
        <v>44712915</v>
      </c>
      <c r="K24" s="64">
        <v>15003313</v>
      </c>
      <c r="L24" s="83">
        <f t="shared" si="1"/>
        <v>0.33554763763445078</v>
      </c>
      <c r="O24" s="77"/>
      <c r="P24" s="77"/>
    </row>
    <row r="25" spans="1:16" ht="19.899999999999999" customHeight="1">
      <c r="A25" s="24">
        <f t="shared" si="0"/>
        <v>25</v>
      </c>
      <c r="B25" s="80">
        <f>B19-10</f>
        <v>1999</v>
      </c>
      <c r="C25" s="64">
        <v>44712915</v>
      </c>
      <c r="D25" s="64">
        <v>15003313</v>
      </c>
      <c r="E25" s="83">
        <f>(D25/C25)</f>
        <v>0.33554763763445078</v>
      </c>
      <c r="F25" s="80"/>
      <c r="G25" s="82"/>
      <c r="H25" s="77"/>
      <c r="I25" s="80">
        <v>1998</v>
      </c>
      <c r="L25" s="85"/>
      <c r="O25" s="77"/>
      <c r="P25" s="77"/>
    </row>
    <row r="26" spans="1:16" ht="19.899999999999999" customHeight="1">
      <c r="A26" s="24">
        <f t="shared" si="0"/>
        <v>26</v>
      </c>
      <c r="B26" s="80"/>
      <c r="C26" s="64"/>
      <c r="D26" s="64"/>
      <c r="E26" s="82"/>
      <c r="F26" s="77"/>
      <c r="G26" s="77"/>
      <c r="H26" s="77"/>
      <c r="I26" s="80">
        <f>I16-10</f>
        <v>1997</v>
      </c>
      <c r="J26" s="64">
        <v>54543466</v>
      </c>
      <c r="K26" s="64">
        <v>18899498</v>
      </c>
      <c r="L26" s="83">
        <f>(K26/J26)</f>
        <v>0.34650342902667752</v>
      </c>
      <c r="O26" s="77"/>
      <c r="P26" s="77"/>
    </row>
    <row r="27" spans="1:16">
      <c r="A27" s="24">
        <f t="shared" si="0"/>
        <v>27</v>
      </c>
      <c r="B27" s="63"/>
      <c r="C27" s="64"/>
      <c r="D27" s="64"/>
      <c r="E27" s="64"/>
      <c r="F27" s="82"/>
      <c r="G27" s="77"/>
      <c r="H27" s="77"/>
      <c r="I27" s="80">
        <f>I17-10</f>
        <v>1996</v>
      </c>
      <c r="J27" s="64">
        <v>51972427</v>
      </c>
      <c r="K27" s="64">
        <v>17794780</v>
      </c>
      <c r="L27" s="83">
        <f>(K27/J27)</f>
        <v>0.34238885938499658</v>
      </c>
      <c r="N27" s="77"/>
      <c r="O27" s="77"/>
      <c r="P27" s="77"/>
    </row>
    <row r="28" spans="1:16">
      <c r="A28" s="24">
        <f t="shared" si="0"/>
        <v>28</v>
      </c>
      <c r="B28" s="63"/>
      <c r="C28" s="64"/>
      <c r="D28" s="64"/>
      <c r="E28" s="64"/>
      <c r="F28" s="82"/>
      <c r="G28" s="77"/>
      <c r="H28" s="77"/>
      <c r="I28" s="80">
        <f>I18-10</f>
        <v>1995</v>
      </c>
      <c r="J28" s="64">
        <v>49134592</v>
      </c>
      <c r="K28" s="64">
        <v>16781463</v>
      </c>
      <c r="L28" s="83">
        <f>(K28/J28)</f>
        <v>0.34154070110117124</v>
      </c>
      <c r="N28" s="77"/>
      <c r="O28" s="77"/>
      <c r="P28" s="77"/>
    </row>
    <row r="29" spans="1:16">
      <c r="A29" s="24">
        <f t="shared" si="0"/>
        <v>29</v>
      </c>
      <c r="B29" s="77"/>
      <c r="C29" s="77"/>
      <c r="D29" s="77"/>
      <c r="E29" s="77"/>
      <c r="F29" s="77"/>
      <c r="G29" s="77"/>
      <c r="H29" s="77"/>
      <c r="I29" s="80">
        <f>I19-10</f>
        <v>1994</v>
      </c>
      <c r="J29" s="64">
        <v>47302839</v>
      </c>
      <c r="K29" s="64">
        <v>15951121</v>
      </c>
      <c r="L29" s="83">
        <f>(K29/J29)</f>
        <v>0.33721276221919788</v>
      </c>
      <c r="N29" s="77"/>
      <c r="O29" s="77"/>
      <c r="P29" s="77"/>
    </row>
    <row r="30" spans="1:16">
      <c r="B30" s="77"/>
      <c r="C30" s="77"/>
      <c r="D30" s="77"/>
      <c r="E30" s="77"/>
      <c r="F30" s="77"/>
      <c r="G30" s="77"/>
      <c r="H30" s="77"/>
      <c r="I30" s="80">
        <f>I20-10</f>
        <v>1993</v>
      </c>
      <c r="J30" s="64">
        <v>44712915</v>
      </c>
      <c r="K30" s="64">
        <v>15003313</v>
      </c>
      <c r="L30" s="83">
        <f>(K30/J30)</f>
        <v>0.33554763763445078</v>
      </c>
      <c r="N30" s="77"/>
      <c r="O30" s="77"/>
      <c r="P30" s="77"/>
    </row>
    <row r="31" spans="1:16">
      <c r="B31" s="77"/>
      <c r="C31" s="77"/>
      <c r="D31" s="77"/>
      <c r="E31" s="77"/>
      <c r="F31" s="77"/>
      <c r="G31" s="77"/>
      <c r="H31" s="77"/>
      <c r="I31" s="80">
        <v>1998</v>
      </c>
      <c r="J31" s="64"/>
      <c r="K31" s="64"/>
      <c r="L31" s="81"/>
      <c r="M31" s="77"/>
      <c r="N31" s="77"/>
      <c r="O31" s="77"/>
      <c r="P31" s="77"/>
    </row>
    <row r="32" spans="1:16">
      <c r="B32" s="77"/>
      <c r="C32" s="77"/>
      <c r="D32" s="77"/>
      <c r="E32" s="77"/>
      <c r="F32" s="77"/>
      <c r="G32" s="77"/>
      <c r="H32" s="77"/>
      <c r="I32" s="80">
        <f>I16-10</f>
        <v>1997</v>
      </c>
      <c r="J32" s="64">
        <v>29557342</v>
      </c>
      <c r="K32" s="64">
        <v>3642560</v>
      </c>
      <c r="L32" s="83">
        <f>(K32/J32)</f>
        <v>0.12323706238537958</v>
      </c>
      <c r="M32" s="63"/>
      <c r="N32" s="77"/>
      <c r="O32" s="77"/>
      <c r="P32" s="77"/>
    </row>
    <row r="33" spans="2:16">
      <c r="B33" s="77"/>
      <c r="C33" s="77"/>
      <c r="D33" s="77"/>
      <c r="E33" s="77"/>
      <c r="F33" s="77"/>
      <c r="G33" s="77"/>
      <c r="H33" s="77"/>
      <c r="I33" s="80">
        <f>I17-10</f>
        <v>1996</v>
      </c>
      <c r="J33" s="64">
        <v>27286146</v>
      </c>
      <c r="K33" s="64">
        <v>3819774</v>
      </c>
      <c r="L33" s="83">
        <f>(K33/J33)</f>
        <v>0.13998950236504634</v>
      </c>
      <c r="M33" s="63"/>
      <c r="N33" s="77"/>
      <c r="O33" s="77"/>
      <c r="P33" s="77"/>
    </row>
    <row r="34" spans="2:16">
      <c r="B34" s="77"/>
      <c r="C34" s="77"/>
      <c r="D34" s="77"/>
      <c r="E34" s="77"/>
      <c r="F34" s="77"/>
      <c r="G34" s="77"/>
      <c r="H34" s="77"/>
      <c r="I34" s="80">
        <f>I18-10</f>
        <v>1995</v>
      </c>
      <c r="J34" s="64">
        <v>25134250</v>
      </c>
      <c r="K34" s="64">
        <v>4360987</v>
      </c>
      <c r="L34" s="83">
        <f>(K34/J34)</f>
        <v>0.17350774341784617</v>
      </c>
      <c r="M34" s="63"/>
      <c r="N34" s="77"/>
      <c r="O34" s="77"/>
      <c r="P34" s="77"/>
    </row>
    <row r="35" spans="2:16">
      <c r="B35" s="77"/>
      <c r="C35" s="77"/>
      <c r="D35" s="77"/>
      <c r="E35" s="77"/>
      <c r="F35" s="77"/>
      <c r="G35" s="77"/>
      <c r="H35" s="77"/>
      <c r="I35" s="80">
        <f>I19-10</f>
        <v>1994</v>
      </c>
      <c r="J35" s="64">
        <v>22796029</v>
      </c>
      <c r="K35" s="64">
        <v>4647621</v>
      </c>
      <c r="L35" s="83">
        <f>(K35/J35)</f>
        <v>0.20387853516066329</v>
      </c>
      <c r="M35" s="63"/>
      <c r="N35" s="77"/>
      <c r="O35" s="77"/>
      <c r="P35" s="77"/>
    </row>
    <row r="36" spans="2:16">
      <c r="B36" s="77"/>
      <c r="C36" s="77"/>
      <c r="D36" s="77"/>
      <c r="E36" s="77"/>
      <c r="F36" s="77"/>
      <c r="G36" s="77"/>
      <c r="H36" s="77"/>
      <c r="I36" s="80">
        <f>I20-10</f>
        <v>1993</v>
      </c>
      <c r="J36" s="64">
        <v>21100693</v>
      </c>
      <c r="K36" s="64">
        <v>4451559</v>
      </c>
      <c r="L36" s="83">
        <f>(K36/J36)</f>
        <v>0.21096743125924822</v>
      </c>
      <c r="M36" s="63"/>
      <c r="N36" s="77"/>
      <c r="O36" s="77"/>
      <c r="P36" s="77"/>
    </row>
    <row r="37" spans="2:16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84"/>
      <c r="M37" s="77"/>
      <c r="N37" s="77"/>
      <c r="O37" s="77"/>
      <c r="P37" s="77"/>
    </row>
    <row r="38" spans="2:16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84"/>
      <c r="M38" s="77"/>
      <c r="N38" s="77"/>
      <c r="O38" s="77"/>
      <c r="P38" s="77"/>
    </row>
    <row r="39" spans="2:16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</row>
    <row r="40" spans="2:16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</row>
    <row r="41" spans="2:16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  <row r="42" spans="2:16"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</row>
    <row r="43" spans="2:16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</row>
    <row r="44" spans="2:16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</row>
    <row r="45" spans="2:16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</row>
    <row r="46" spans="2:16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</row>
    <row r="47" spans="2:16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</row>
    <row r="48" spans="2:16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</row>
    <row r="49" spans="2:16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2:16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</row>
    <row r="51" spans="2:16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</row>
    <row r="52" spans="2:16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</row>
    <row r="53" spans="2:16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2:16"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</row>
    <row r="55" spans="2:16"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</row>
    <row r="56" spans="2:16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</row>
    <row r="57" spans="2:16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2:16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spans="2:16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</row>
    <row r="60" spans="2:16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</row>
    <row r="61" spans="2:16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</row>
    <row r="62" spans="2:16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</row>
    <row r="63" spans="2:16"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</row>
    <row r="64" spans="2:16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</row>
    <row r="65" spans="2:16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</row>
    <row r="66" spans="2:16"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</row>
    <row r="67" spans="2:16"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</row>
    <row r="68" spans="2:16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</row>
    <row r="69" spans="2:16"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</row>
    <row r="70" spans="2:16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</row>
    <row r="71" spans="2:16"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</row>
    <row r="72" spans="2:16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</row>
    <row r="73" spans="2:16"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</row>
    <row r="74" spans="2:16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</row>
    <row r="75" spans="2:16"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</row>
    <row r="76" spans="2:16"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</row>
    <row r="77" spans="2:16"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</row>
    <row r="78" spans="2:16"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</row>
    <row r="79" spans="2:16"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</row>
    <row r="80" spans="2:16"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</row>
  </sheetData>
  <phoneticPr fontId="1" type="noConversion"/>
  <pageMargins left="0.65" right="0.58699999999999997" top="0.5" bottom="0.58699999999999997" header="0.5" footer="0.5"/>
  <pageSetup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narative</vt:lpstr>
      <vt:lpstr>adjustment</vt:lpstr>
      <vt:lpstr>calculated</vt:lpstr>
      <vt:lpstr>changes</vt:lpstr>
      <vt:lpstr>reserve</vt:lpstr>
      <vt:lpstr>guideline curve</vt:lpstr>
      <vt:lpstr>adjustment!Print_Area</vt:lpstr>
      <vt:lpstr>calculated!Print_Area</vt:lpstr>
      <vt:lpstr>changes!Print_Area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D. Tolliver</dc:creator>
  <cp:lastModifiedBy>Robert D. Tolliver</cp:lastModifiedBy>
  <cp:lastPrinted>2014-04-24T15:12:46Z</cp:lastPrinted>
  <dcterms:created xsi:type="dcterms:W3CDTF">2008-10-31T14:30:02Z</dcterms:created>
  <dcterms:modified xsi:type="dcterms:W3CDTF">2016-06-21T16:38:05Z</dcterms:modified>
</cp:coreProperties>
</file>