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275" windowWidth="20115" windowHeight="7995"/>
  </bookViews>
  <sheets>
    <sheet name="Summary" sheetId="4" r:id="rId1"/>
    <sheet name="Revenue Analysis" sheetId="1" r:id="rId2"/>
    <sheet name="Sheet1" sheetId="5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1">'Revenue Analysis'!$A$1:$N$343</definedName>
    <definedName name="_xlnm.Print_Area" localSheetId="0">Summary!$A$1:$K$28</definedName>
  </definedNames>
  <calcPr calcId="145621"/>
</workbook>
</file>

<file path=xl/calcChain.xml><?xml version="1.0" encoding="utf-8"?>
<calcChain xmlns="http://schemas.openxmlformats.org/spreadsheetml/2006/main">
  <c r="G18" i="5" l="1"/>
  <c r="G19" i="5"/>
  <c r="G23" i="5"/>
  <c r="F7" i="5" l="1"/>
  <c r="F8" i="5"/>
  <c r="F9" i="5"/>
  <c r="F10" i="5"/>
  <c r="F11" i="5"/>
  <c r="F12" i="5"/>
  <c r="F13" i="5"/>
  <c r="F14" i="5"/>
  <c r="F15" i="5"/>
  <c r="F16" i="5"/>
  <c r="F17" i="5"/>
  <c r="F18" i="5"/>
  <c r="F19" i="5"/>
  <c r="F6" i="5"/>
  <c r="H19" i="5"/>
  <c r="C19" i="5" l="1"/>
  <c r="D19" i="5"/>
  <c r="L11" i="1" l="1"/>
  <c r="L75" i="1"/>
  <c r="P262" i="1" l="1"/>
  <c r="P12" i="1" l="1"/>
  <c r="L45" i="1" l="1"/>
  <c r="C7" i="4" l="1"/>
  <c r="L140" i="1" l="1"/>
  <c r="H109" i="1"/>
  <c r="L260" i="1"/>
  <c r="L261" i="1"/>
  <c r="L262" i="1"/>
  <c r="L263" i="1"/>
  <c r="L264" i="1"/>
  <c r="L265" i="1"/>
  <c r="L266" i="1"/>
  <c r="L267" i="1"/>
  <c r="L268" i="1"/>
  <c r="L259" i="1"/>
  <c r="L109" i="1" l="1"/>
  <c r="D21" i="1" l="1"/>
  <c r="C271" i="1" l="1"/>
  <c r="K31" i="1" s="1"/>
  <c r="I11" i="1" l="1"/>
  <c r="E11" i="1"/>
  <c r="M11" i="1"/>
  <c r="E298" i="1" l="1"/>
  <c r="H293" i="1"/>
  <c r="C295" i="1"/>
  <c r="C298" i="1"/>
  <c r="C11" i="4"/>
  <c r="C10" i="4"/>
  <c r="G88" i="4"/>
  <c r="F88" i="4"/>
  <c r="D88" i="4"/>
  <c r="C88" i="4"/>
  <c r="G87" i="4"/>
  <c r="F87" i="4"/>
  <c r="D87" i="4"/>
  <c r="C87" i="4"/>
  <c r="G86" i="4"/>
  <c r="F86" i="4"/>
  <c r="D86" i="4"/>
  <c r="C86" i="4"/>
  <c r="G85" i="4"/>
  <c r="F85" i="4"/>
  <c r="D85" i="4"/>
  <c r="C85" i="4"/>
  <c r="G84" i="4"/>
  <c r="F84" i="4"/>
  <c r="D84" i="4"/>
  <c r="C84" i="4"/>
  <c r="G83" i="4"/>
  <c r="F83" i="4"/>
  <c r="D83" i="4"/>
  <c r="C83" i="4"/>
  <c r="G82" i="4"/>
  <c r="F82" i="4"/>
  <c r="D82" i="4"/>
  <c r="C82" i="4"/>
  <c r="G81" i="4"/>
  <c r="F81" i="4"/>
  <c r="D81" i="4"/>
  <c r="C81" i="4"/>
  <c r="G80" i="4"/>
  <c r="F80" i="4"/>
  <c r="D80" i="4"/>
  <c r="C80" i="4"/>
  <c r="G79" i="4"/>
  <c r="F79" i="4"/>
  <c r="D79" i="4"/>
  <c r="C79" i="4"/>
  <c r="G78" i="4"/>
  <c r="F78" i="4"/>
  <c r="D78" i="4"/>
  <c r="C78" i="4"/>
  <c r="G77" i="4"/>
  <c r="F77" i="4"/>
  <c r="F90" i="4" s="1"/>
  <c r="D77" i="4"/>
  <c r="D90" i="4" s="1"/>
  <c r="C77" i="4"/>
  <c r="C90" i="4" s="1"/>
  <c r="A62" i="4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35" i="4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B68" i="4"/>
  <c r="A2" i="4"/>
  <c r="A3" i="4" s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B65" i="4"/>
  <c r="L293" i="1" l="1"/>
  <c r="M298" i="1" s="1"/>
  <c r="F293" i="1"/>
  <c r="D16" i="4"/>
  <c r="C304" i="1"/>
  <c r="G90" i="4"/>
  <c r="G91" i="4" s="1"/>
  <c r="D91" i="4"/>
  <c r="B66" i="4"/>
  <c r="I298" i="1" l="1"/>
  <c r="J293" i="1" s="1"/>
  <c r="C16" i="4" l="1"/>
  <c r="H16" i="4" l="1"/>
  <c r="F16" i="4" l="1"/>
  <c r="J16" i="4" l="1"/>
  <c r="K16" i="4" s="1"/>
  <c r="E265" i="1"/>
  <c r="E269" i="1" s="1"/>
  <c r="D15" i="4" l="1"/>
  <c r="C229" i="1" l="1"/>
  <c r="I229" i="1" s="1"/>
  <c r="E140" i="1"/>
  <c r="E139" i="1"/>
  <c r="E109" i="1"/>
  <c r="E108" i="1"/>
  <c r="I10" i="1"/>
  <c r="M10" i="1"/>
  <c r="I168" i="1"/>
  <c r="N107" i="1"/>
  <c r="C106" i="1"/>
  <c r="M106" i="1" s="1"/>
  <c r="L136" i="1"/>
  <c r="G141" i="1"/>
  <c r="E136" i="1"/>
  <c r="C136" i="1" s="1"/>
  <c r="M136" i="1" l="1"/>
  <c r="I106" i="1"/>
  <c r="N106" i="1"/>
  <c r="M229" i="1"/>
  <c r="N229" i="1" s="1"/>
  <c r="M168" i="1"/>
  <c r="N168" i="1" s="1"/>
  <c r="I136" i="1"/>
  <c r="N136" i="1" l="1"/>
  <c r="C264" i="1"/>
  <c r="C266" i="1"/>
  <c r="C265" i="1"/>
  <c r="C263" i="1"/>
  <c r="C261" i="1"/>
  <c r="C259" i="1"/>
  <c r="E228" i="1"/>
  <c r="C231" i="1"/>
  <c r="C230" i="1"/>
  <c r="C228" i="1"/>
  <c r="E200" i="1"/>
  <c r="E199" i="1"/>
  <c r="E198" i="1"/>
  <c r="C200" i="1"/>
  <c r="P203" i="1" s="1"/>
  <c r="C199" i="1"/>
  <c r="C198" i="1"/>
  <c r="E167" i="1"/>
  <c r="C169" i="1"/>
  <c r="C167" i="1"/>
  <c r="E137" i="1"/>
  <c r="E135" i="1"/>
  <c r="C137" i="1"/>
  <c r="C135" i="1"/>
  <c r="P142" i="1" s="1"/>
  <c r="E105" i="1"/>
  <c r="E110" i="1" s="1"/>
  <c r="C105" i="1"/>
  <c r="P112" i="1" s="1"/>
  <c r="E75" i="1"/>
  <c r="C75" i="1"/>
  <c r="P79" i="1" s="1"/>
  <c r="E45" i="1"/>
  <c r="E43" i="1"/>
  <c r="C45" i="1"/>
  <c r="C43" i="1"/>
  <c r="E10" i="1"/>
  <c r="P174" i="1" l="1"/>
  <c r="P231" i="1"/>
  <c r="P46" i="1"/>
  <c r="C323" i="1"/>
  <c r="D10" i="4"/>
  <c r="D9" i="4"/>
  <c r="C13" i="4"/>
  <c r="C9" i="4"/>
  <c r="C8" i="4"/>
  <c r="E169" i="1"/>
  <c r="E170" i="1" s="1"/>
  <c r="C12" i="4"/>
  <c r="E231" i="1"/>
  <c r="C14" i="4"/>
  <c r="E230" i="1"/>
  <c r="M230" i="1"/>
  <c r="E46" i="1"/>
  <c r="L139" i="1"/>
  <c r="D8" i="4" l="1"/>
  <c r="E232" i="1"/>
  <c r="I231" i="1"/>
  <c r="M169" i="1"/>
  <c r="M137" i="1"/>
  <c r="I135" i="1"/>
  <c r="D14" i="4" l="1"/>
  <c r="F230" i="1"/>
  <c r="F231" i="1"/>
  <c r="F228" i="1"/>
  <c r="F229" i="1"/>
  <c r="I199" i="1"/>
  <c r="I108" i="1"/>
  <c r="M262" i="1"/>
  <c r="M260" i="1"/>
  <c r="L231" i="1"/>
  <c r="M167" i="1"/>
  <c r="M170" i="1" s="1"/>
  <c r="M135" i="1"/>
  <c r="M109" i="1"/>
  <c r="L108" i="1"/>
  <c r="M43" i="1"/>
  <c r="L44" i="1"/>
  <c r="M44" i="1" s="1"/>
  <c r="N176" i="1" l="1"/>
  <c r="H12" i="4"/>
  <c r="M12" i="1"/>
  <c r="N11" i="1"/>
  <c r="M108" i="1"/>
  <c r="N108" i="1" s="1"/>
  <c r="I44" i="1"/>
  <c r="N44" i="1" s="1"/>
  <c r="M266" i="1"/>
  <c r="M261" i="1"/>
  <c r="M263" i="1"/>
  <c r="M264" i="1"/>
  <c r="M265" i="1"/>
  <c r="M259" i="1"/>
  <c r="M18" i="1" l="1"/>
  <c r="H7" i="4"/>
  <c r="M269" i="1"/>
  <c r="M45" i="1"/>
  <c r="M46" i="1" s="1"/>
  <c r="H15" i="4" l="1"/>
  <c r="M52" i="1"/>
  <c r="H8" i="4"/>
  <c r="E201" i="1" l="1"/>
  <c r="I167" i="1"/>
  <c r="I45" i="1"/>
  <c r="N45" i="1" s="1"/>
  <c r="I43" i="1"/>
  <c r="D13" i="4" l="1"/>
  <c r="N167" i="1"/>
  <c r="N43" i="1"/>
  <c r="N46" i="1" s="1"/>
  <c r="I46" i="1"/>
  <c r="C269" i="1"/>
  <c r="I259" i="1"/>
  <c r="I260" i="1"/>
  <c r="I261" i="1"/>
  <c r="I262" i="1"/>
  <c r="I263" i="1"/>
  <c r="I264" i="1"/>
  <c r="I265" i="1"/>
  <c r="I266" i="1"/>
  <c r="I267" i="1"/>
  <c r="I268" i="1"/>
  <c r="I137" i="1"/>
  <c r="N137" i="1" s="1"/>
  <c r="N135" i="1"/>
  <c r="I75" i="1"/>
  <c r="I82" i="1" s="1"/>
  <c r="M75" i="1"/>
  <c r="N10" i="1"/>
  <c r="N12" i="1" s="1"/>
  <c r="M82" i="1" l="1"/>
  <c r="M83" i="1" s="1"/>
  <c r="M84" i="1" s="1"/>
  <c r="N275" i="1"/>
  <c r="P270" i="1"/>
  <c r="N75" i="1"/>
  <c r="H9" i="4"/>
  <c r="F9" i="4"/>
  <c r="I52" i="1"/>
  <c r="M53" i="1" s="1"/>
  <c r="M54" i="1" s="1"/>
  <c r="F8" i="4"/>
  <c r="N265" i="1"/>
  <c r="N261" i="1"/>
  <c r="N264" i="1"/>
  <c r="N260" i="1"/>
  <c r="N263" i="1"/>
  <c r="N259" i="1"/>
  <c r="N266" i="1"/>
  <c r="N262" i="1"/>
  <c r="I269" i="1"/>
  <c r="I12" i="1"/>
  <c r="D12" i="4"/>
  <c r="M140" i="1"/>
  <c r="I109" i="1"/>
  <c r="N109" i="1" s="1"/>
  <c r="J9" i="4" l="1"/>
  <c r="K9" i="4" s="1"/>
  <c r="I18" i="1"/>
  <c r="M19" i="1" s="1"/>
  <c r="M20" i="1" s="1"/>
  <c r="F7" i="4"/>
  <c r="N10" i="4" s="1"/>
  <c r="J262" i="1"/>
  <c r="F15" i="4"/>
  <c r="J8" i="4"/>
  <c r="F110" i="1"/>
  <c r="F106" i="1"/>
  <c r="F108" i="1"/>
  <c r="F105" i="1"/>
  <c r="N269" i="1"/>
  <c r="J259" i="1"/>
  <c r="J267" i="1"/>
  <c r="J265" i="1"/>
  <c r="J269" i="1"/>
  <c r="I275" i="1"/>
  <c r="N276" i="1" s="1"/>
  <c r="N277" i="1" s="1"/>
  <c r="J260" i="1"/>
  <c r="J268" i="1"/>
  <c r="J263" i="1"/>
  <c r="J261" i="1"/>
  <c r="M139" i="1"/>
  <c r="J266" i="1"/>
  <c r="J264" i="1"/>
  <c r="J10" i="1"/>
  <c r="I169" i="1"/>
  <c r="N169" i="1" s="1"/>
  <c r="N170" i="1" s="1"/>
  <c r="I228" i="1"/>
  <c r="M228" i="1"/>
  <c r="I198" i="1"/>
  <c r="M198" i="1"/>
  <c r="J11" i="1"/>
  <c r="I200" i="1"/>
  <c r="M200" i="1"/>
  <c r="I105" i="1"/>
  <c r="M105" i="1"/>
  <c r="M110" i="1" s="1"/>
  <c r="M231" i="1"/>
  <c r="I140" i="1"/>
  <c r="N140" i="1" s="1"/>
  <c r="I139" i="1"/>
  <c r="M141" i="1" l="1"/>
  <c r="N147" i="1" s="1"/>
  <c r="N139" i="1"/>
  <c r="E326" i="1"/>
  <c r="H10" i="4"/>
  <c r="J7" i="4"/>
  <c r="K7" i="4" s="1"/>
  <c r="K8" i="4"/>
  <c r="J15" i="4"/>
  <c r="K15" i="4" s="1"/>
  <c r="N116" i="1"/>
  <c r="N141" i="1"/>
  <c r="I170" i="1"/>
  <c r="I110" i="1"/>
  <c r="J12" i="1"/>
  <c r="N231" i="1"/>
  <c r="N200" i="1"/>
  <c r="N105" i="1"/>
  <c r="N110" i="1" s="1"/>
  <c r="I230" i="1"/>
  <c r="M232" i="1"/>
  <c r="M199" i="1"/>
  <c r="M201" i="1" s="1"/>
  <c r="I201" i="1"/>
  <c r="N198" i="1"/>
  <c r="N228" i="1"/>
  <c r="I141" i="1"/>
  <c r="E141" i="1"/>
  <c r="H11" i="4" l="1"/>
  <c r="H13" i="4"/>
  <c r="I116" i="1"/>
  <c r="N117" i="1" s="1"/>
  <c r="N118" i="1" s="1"/>
  <c r="D21" i="4"/>
  <c r="N9" i="4"/>
  <c r="N11" i="4" s="1"/>
  <c r="M325" i="1"/>
  <c r="F11" i="4"/>
  <c r="I147" i="1"/>
  <c r="N148" i="1" s="1"/>
  <c r="N149" i="1" s="1"/>
  <c r="F12" i="4"/>
  <c r="J198" i="1"/>
  <c r="F13" i="4"/>
  <c r="J106" i="1"/>
  <c r="F10" i="4"/>
  <c r="D11" i="4"/>
  <c r="N237" i="1"/>
  <c r="H14" i="4"/>
  <c r="H19" i="4" s="1"/>
  <c r="J169" i="1"/>
  <c r="J170" i="1"/>
  <c r="J168" i="1"/>
  <c r="J136" i="1"/>
  <c r="F136" i="1"/>
  <c r="F138" i="1"/>
  <c r="F135" i="1"/>
  <c r="F137" i="1"/>
  <c r="F140" i="1"/>
  <c r="J140" i="1"/>
  <c r="N206" i="1"/>
  <c r="J105" i="1"/>
  <c r="I232" i="1"/>
  <c r="J141" i="1"/>
  <c r="J135" i="1"/>
  <c r="J137" i="1"/>
  <c r="J139" i="1"/>
  <c r="I206" i="1"/>
  <c r="J199" i="1"/>
  <c r="J110" i="1"/>
  <c r="J108" i="1"/>
  <c r="J109" i="1"/>
  <c r="I176" i="1"/>
  <c r="N177" i="1" s="1"/>
  <c r="N178" i="1" s="1"/>
  <c r="J167" i="1"/>
  <c r="J200" i="1"/>
  <c r="N199" i="1"/>
  <c r="N201" i="1" s="1"/>
  <c r="N230" i="1"/>
  <c r="N232" i="1" s="1"/>
  <c r="J12" i="4" l="1"/>
  <c r="K12" i="4" s="1"/>
  <c r="J13" i="4"/>
  <c r="K13" i="4" s="1"/>
  <c r="J11" i="4"/>
  <c r="K11" i="4" s="1"/>
  <c r="E145" i="1"/>
  <c r="I325" i="1"/>
  <c r="M330" i="1" s="1"/>
  <c r="M332" i="1" s="1"/>
  <c r="F14" i="4"/>
  <c r="I19" i="4"/>
  <c r="I16" i="4"/>
  <c r="I7" i="4"/>
  <c r="I12" i="4"/>
  <c r="I15" i="4"/>
  <c r="I8" i="4"/>
  <c r="I9" i="4"/>
  <c r="I10" i="4"/>
  <c r="J10" i="4"/>
  <c r="K10" i="4" s="1"/>
  <c r="I13" i="4"/>
  <c r="I14" i="4"/>
  <c r="I11" i="4"/>
  <c r="J230" i="1"/>
  <c r="J229" i="1"/>
  <c r="F141" i="1"/>
  <c r="N325" i="1"/>
  <c r="N207" i="1"/>
  <c r="N208" i="1" s="1"/>
  <c r="I237" i="1"/>
  <c r="N238" i="1" s="1"/>
  <c r="N239" i="1" s="1"/>
  <c r="J232" i="1"/>
  <c r="J231" i="1"/>
  <c r="J228" i="1"/>
  <c r="E273" i="1"/>
  <c r="F19" i="4" l="1"/>
  <c r="C19" i="4"/>
  <c r="E204" i="1"/>
  <c r="E235" i="1"/>
  <c r="E50" i="1"/>
  <c r="E80" i="1"/>
  <c r="E114" i="1"/>
  <c r="E174" i="1"/>
  <c r="G14" i="4"/>
  <c r="J14" i="4"/>
  <c r="K14" i="4" s="1"/>
  <c r="G10" i="4"/>
  <c r="G7" i="4"/>
  <c r="D47" i="4"/>
  <c r="G16" i="4"/>
  <c r="G9" i="4"/>
  <c r="G8" i="4"/>
  <c r="G15" i="4"/>
  <c r="G12" i="4"/>
  <c r="G11" i="4"/>
  <c r="G13" i="4"/>
  <c r="H24" i="4"/>
  <c r="E12" i="1"/>
  <c r="D7" i="4" s="1"/>
  <c r="D19" i="4" s="1"/>
  <c r="G19" i="4" l="1"/>
  <c r="J19" i="4"/>
  <c r="E325" i="1"/>
  <c r="K19" i="4" l="1"/>
  <c r="M354" i="1"/>
  <c r="I330" i="1"/>
  <c r="E327" i="1"/>
  <c r="E16" i="1"/>
  <c r="D22" i="4" l="1"/>
  <c r="D23" i="4" s="1"/>
  <c r="E328" i="1"/>
  <c r="F24" i="4"/>
  <c r="E11" i="4"/>
  <c r="E12" i="4"/>
  <c r="D44" i="4"/>
  <c r="D49" i="4" s="1"/>
  <c r="E15" i="4"/>
  <c r="E9" i="4"/>
  <c r="E8" i="4"/>
  <c r="E13" i="4"/>
  <c r="E16" i="4"/>
  <c r="E10" i="4"/>
  <c r="E14" i="4"/>
  <c r="E7" i="4"/>
  <c r="E19" i="4" l="1"/>
  <c r="P19" i="4"/>
</calcChain>
</file>

<file path=xl/sharedStrings.xml><?xml version="1.0" encoding="utf-8"?>
<sst xmlns="http://schemas.openxmlformats.org/spreadsheetml/2006/main" count="577" uniqueCount="145">
  <si>
    <t>Rate Class</t>
  </si>
  <si>
    <t>Billing Determinants</t>
  </si>
  <si>
    <t>Actual Test Year</t>
  </si>
  <si>
    <t>Proposed Test Year</t>
  </si>
  <si>
    <t>Type</t>
  </si>
  <si>
    <t>Amount</t>
  </si>
  <si>
    <t>Rates</t>
  </si>
  <si>
    <t>Revenue</t>
  </si>
  <si>
    <t>Percent</t>
  </si>
  <si>
    <t>Increase</t>
  </si>
  <si>
    <t>Form 7</t>
  </si>
  <si>
    <t xml:space="preserve"> </t>
  </si>
  <si>
    <t>Schedule I</t>
  </si>
  <si>
    <t>Customer Charge</t>
  </si>
  <si>
    <t>Residential,  Schools</t>
  </si>
  <si>
    <t>Energy kWh</t>
  </si>
  <si>
    <t>Churches</t>
  </si>
  <si>
    <t>Fuel Adjustment Clause</t>
  </si>
  <si>
    <t>Environmental Surcharge</t>
  </si>
  <si>
    <t>Average Customer</t>
  </si>
  <si>
    <t>Schedule 1</t>
  </si>
  <si>
    <t>Marketing Rate</t>
  </si>
  <si>
    <t xml:space="preserve">  Power</t>
  </si>
  <si>
    <t>Schedule II</t>
  </si>
  <si>
    <t>Commercial &amp; Small</t>
  </si>
  <si>
    <t xml:space="preserve">  Power Single Phase</t>
  </si>
  <si>
    <t xml:space="preserve">First 3000 </t>
  </si>
  <si>
    <t>Over 3000</t>
  </si>
  <si>
    <t>Demand Charge</t>
  </si>
  <si>
    <t xml:space="preserve">  Power Three Phase</t>
  </si>
  <si>
    <t>Schedule III</t>
  </si>
  <si>
    <t>Customer Charges</t>
  </si>
  <si>
    <t>Three Phase Schools</t>
  </si>
  <si>
    <t xml:space="preserve">  and Churches</t>
  </si>
  <si>
    <t>Schedule IV</t>
  </si>
  <si>
    <t xml:space="preserve">Large Power - </t>
  </si>
  <si>
    <t>Demand kW</t>
  </si>
  <si>
    <t xml:space="preserve">  Industrial</t>
  </si>
  <si>
    <t>Schedule IV-A</t>
  </si>
  <si>
    <t xml:space="preserve">Schedule VI </t>
  </si>
  <si>
    <t>175W MV</t>
  </si>
  <si>
    <t xml:space="preserve">Outdoor Lights -  </t>
  </si>
  <si>
    <t>400W MV</t>
  </si>
  <si>
    <t xml:space="preserve">  Security Lights</t>
  </si>
  <si>
    <t>100W Open Bottom</t>
  </si>
  <si>
    <t>100W Colonial Post</t>
  </si>
  <si>
    <t>100W Direct. Flood</t>
  </si>
  <si>
    <t>400W Direct. Flood</t>
  </si>
  <si>
    <t>400W Cobra Head</t>
  </si>
  <si>
    <t>Normalized Test Year</t>
  </si>
  <si>
    <t>Prepaid Service</t>
  </si>
  <si>
    <t>LED Open Bottom</t>
  </si>
  <si>
    <t>LED Cobra Head</t>
  </si>
  <si>
    <t>LED Directional</t>
  </si>
  <si>
    <t>Need Rates</t>
  </si>
  <si>
    <t>Prepay Charge</t>
  </si>
  <si>
    <t>Total for Base Rates</t>
  </si>
  <si>
    <t>Total kWh</t>
  </si>
  <si>
    <t xml:space="preserve">     </t>
  </si>
  <si>
    <t xml:space="preserve">                            </t>
  </si>
  <si>
    <t>KVA Charge</t>
  </si>
  <si>
    <t>Minimum</t>
  </si>
  <si>
    <t>Proposed</t>
  </si>
  <si>
    <t>Witness: Jim Adkins</t>
  </si>
  <si>
    <t>Normalized</t>
  </si>
  <si>
    <t>Rate</t>
  </si>
  <si>
    <t>Kwh</t>
  </si>
  <si>
    <t>Test Year</t>
  </si>
  <si>
    <t>of</t>
  </si>
  <si>
    <t>Case No.</t>
  </si>
  <si>
    <t xml:space="preserve">  Increase  </t>
  </si>
  <si>
    <t>Schedule</t>
  </si>
  <si>
    <t>Useage</t>
  </si>
  <si>
    <t>Total</t>
  </si>
  <si>
    <t>I - Residential, Schools and Churches</t>
  </si>
  <si>
    <t>I - Prepaid Service</t>
  </si>
  <si>
    <t>I - Marketing Rate</t>
  </si>
  <si>
    <t>II - Small Power, Single Phase</t>
  </si>
  <si>
    <t>II - Small Power, Three Phase</t>
  </si>
  <si>
    <t>III - Three Phase Schools and Churches</t>
  </si>
  <si>
    <t>IV - Large Power, Industrial</t>
  </si>
  <si>
    <t>IV-A - Large Power Rate</t>
  </si>
  <si>
    <t>S &amp; T - Outdoor Lighting Service</t>
  </si>
  <si>
    <t>Envirowatts</t>
  </si>
  <si>
    <t>Rounding differences</t>
  </si>
  <si>
    <t>Total from base rates</t>
  </si>
  <si>
    <t>Fuel adjustment billed</t>
  </si>
  <si>
    <t>Environmental surcharge billed</t>
  </si>
  <si>
    <t xml:space="preserve">  Increase</t>
  </si>
  <si>
    <t>Exhibit  18</t>
  </si>
  <si>
    <t>page  1 of  1</t>
  </si>
  <si>
    <t>Base rates for the test year</t>
  </si>
  <si>
    <t>Normalized revenues using rates effective</t>
  </si>
  <si>
    <t xml:space="preserve">    Case No. 2008-0525</t>
  </si>
  <si>
    <t>Normalized revenue adjustment</t>
  </si>
  <si>
    <t>Exhibit  J</t>
  </si>
  <si>
    <t xml:space="preserve">page    of     </t>
  </si>
  <si>
    <t>Analysis of Fuel Adjustment</t>
  </si>
  <si>
    <t>An analysis of fuel adjustment purchased and passed on to consumers</t>
  </si>
  <si>
    <t>is as follows:</t>
  </si>
  <si>
    <t>Sales to Consumers</t>
  </si>
  <si>
    <t>Purchase Power</t>
  </si>
  <si>
    <t>Environmental</t>
  </si>
  <si>
    <t>Month</t>
  </si>
  <si>
    <t>Fuel</t>
  </si>
  <si>
    <t>Surcharge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</si>
  <si>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</si>
  <si>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</si>
  <si>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</si>
  <si>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</si>
  <si>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</si>
  <si>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</si>
  <si>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</si>
  <si>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</si>
  <si>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</si>
  <si>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</si>
  <si>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</si>
  <si>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</si>
  <si>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The fuel purchased and environmental surcharge from East Kentucky Power</t>
  </si>
  <si>
    <t xml:space="preserve">Cooperative is passed on to the consumers using the Fuel Adjustment and </t>
  </si>
  <si>
    <t>Environmental Procedures established by this Commission.</t>
  </si>
  <si>
    <t xml:space="preserve">  kWh</t>
  </si>
  <si>
    <t>Billing adjustments</t>
  </si>
  <si>
    <t>Fuel adjustment</t>
  </si>
  <si>
    <t>Environmental surcharge</t>
  </si>
  <si>
    <t>Total revenues</t>
  </si>
  <si>
    <t>Quantity</t>
  </si>
  <si>
    <t>r</t>
  </si>
  <si>
    <t>Exhibit J</t>
  </si>
  <si>
    <t>Page 2 of 12</t>
  </si>
  <si>
    <t>WitnessL  James Adkins</t>
  </si>
  <si>
    <t>Page 3 of 12</t>
  </si>
  <si>
    <t>Page 4 of 12</t>
  </si>
  <si>
    <t>Page 5 of 12</t>
  </si>
  <si>
    <t>Page 6 of 12</t>
  </si>
  <si>
    <t>Page 7 of 12</t>
  </si>
  <si>
    <t>Page 8 of 12</t>
  </si>
  <si>
    <t>Page 9 of 12</t>
  </si>
  <si>
    <t>Page 10 of 12</t>
  </si>
  <si>
    <t>Page 11 of 12</t>
  </si>
  <si>
    <t>Page 12 of 12</t>
  </si>
  <si>
    <t xml:space="preserve">  </t>
  </si>
  <si>
    <t>Purchases</t>
  </si>
  <si>
    <t>FAC Transactions</t>
  </si>
  <si>
    <t>Environ. Surcharge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</si>
</sst>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0.00000"/>
    <numFmt numFmtId="168" formatCode="_(* #,##0.00000_);_(* \(#,##0.00000\);_(* &quot;-&quot;??_);_(@_)"/>
    <numFmt numFmtId="169" formatCode="[$-409]mmmm\ d\,\ yyyy;@"/>
    <numFmt numFmtId="170" formatCode="0.0%"/>
    <numFmt numFmtId="171" formatCode="&quot;$&quot;#,##0.00000_);\(&quot;$&quot;#,##0.00000\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  <font>
      <sz val="12"/>
      <name val="Calibri"/>
      <family val="2"/>
    </font>
    <font>
      <u/>
      <sz val="12"/>
      <name val="Calibri"/>
      <family val="2"/>
    </font>
    <font>
      <u val="double"/>
      <sz val="12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sz val="12"/>
      <color indexed="8"/>
      <name val="Calibri"/>
      <family val="2"/>
    </font>
    <font>
      <u/>
      <sz val="12"/>
      <color rgb="FF002060"/>
      <name val="Calibri"/>
      <family val="2"/>
    </font>
    <font>
      <sz val="11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1">
    <xf numFmtId="0" fontId="0" fillId="0" borderId="0" xfId="0"/>
    <xf numFmtId="0" fontId="3" fillId="2" borderId="0" xfId="1" applyFont="1" applyFill="1"/>
    <xf numFmtId="0" fontId="3" fillId="2" borderId="0" xfId="1" applyFont="1" applyFill="1" applyBorder="1" applyAlignment="1">
      <alignment horizontal="center"/>
    </xf>
    <xf numFmtId="0" fontId="4" fillId="2" borderId="0" xfId="0" applyFont="1" applyFill="1"/>
    <xf numFmtId="0" fontId="3" fillId="2" borderId="1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3" fontId="3" fillId="2" borderId="0" xfId="1" applyNumberFormat="1" applyFont="1" applyFill="1"/>
    <xf numFmtId="3" fontId="4" fillId="2" borderId="0" xfId="0" applyNumberFormat="1" applyFont="1" applyFill="1" applyBorder="1"/>
    <xf numFmtId="10" fontId="3" fillId="2" borderId="0" xfId="4" applyNumberFormat="1" applyFont="1" applyFill="1"/>
    <xf numFmtId="44" fontId="3" fillId="2" borderId="0" xfId="6" applyFont="1" applyFill="1"/>
    <xf numFmtId="164" fontId="3" fillId="2" borderId="0" xfId="6" applyNumberFormat="1" applyFont="1" applyFill="1"/>
    <xf numFmtId="44" fontId="3" fillId="2" borderId="0" xfId="3" applyFont="1" applyFill="1"/>
    <xf numFmtId="164" fontId="3" fillId="2" borderId="0" xfId="3" applyNumberFormat="1" applyFont="1" applyFill="1"/>
    <xf numFmtId="164" fontId="3" fillId="2" borderId="0" xfId="1" applyNumberFormat="1" applyFont="1" applyFill="1"/>
    <xf numFmtId="164" fontId="3" fillId="2" borderId="5" xfId="3" applyNumberFormat="1" applyFont="1" applyFill="1" applyBorder="1"/>
    <xf numFmtId="10" fontId="3" fillId="2" borderId="5" xfId="1" applyNumberFormat="1" applyFont="1" applyFill="1" applyBorder="1"/>
    <xf numFmtId="168" fontId="3" fillId="2" borderId="5" xfId="5" applyNumberFormat="1" applyFont="1" applyFill="1" applyBorder="1"/>
    <xf numFmtId="164" fontId="3" fillId="2" borderId="5" xfId="6" applyNumberFormat="1" applyFont="1" applyFill="1" applyBorder="1"/>
    <xf numFmtId="0" fontId="3" fillId="2" borderId="5" xfId="1" applyFont="1" applyFill="1" applyBorder="1"/>
    <xf numFmtId="166" fontId="3" fillId="2" borderId="5" xfId="6" applyNumberFormat="1" applyFont="1" applyFill="1" applyBorder="1"/>
    <xf numFmtId="164" fontId="3" fillId="2" borderId="5" xfId="1" applyNumberFormat="1" applyFont="1" applyFill="1" applyBorder="1"/>
    <xf numFmtId="10" fontId="3" fillId="2" borderId="0" xfId="4" applyNumberFormat="1" applyFont="1" applyFill="1" applyBorder="1"/>
    <xf numFmtId="10" fontId="3" fillId="2" borderId="0" xfId="1" applyNumberFormat="1" applyFont="1" applyFill="1"/>
    <xf numFmtId="165" fontId="3" fillId="2" borderId="0" xfId="5" applyNumberFormat="1" applyFont="1" applyFill="1"/>
    <xf numFmtId="164" fontId="3" fillId="2" borderId="6" xfId="1" applyNumberFormat="1" applyFont="1" applyFill="1" applyBorder="1"/>
    <xf numFmtId="43" fontId="3" fillId="2" borderId="0" xfId="5" applyFont="1" applyFill="1"/>
    <xf numFmtId="44" fontId="3" fillId="2" borderId="0" xfId="1" applyNumberFormat="1" applyFont="1" applyFill="1"/>
    <xf numFmtId="10" fontId="3" fillId="2" borderId="0" xfId="7" applyNumberFormat="1" applyFont="1" applyFill="1"/>
    <xf numFmtId="3" fontId="5" fillId="2" borderId="0" xfId="0" applyNumberFormat="1" applyFont="1" applyFill="1" applyBorder="1"/>
    <xf numFmtId="3" fontId="3" fillId="2" borderId="0" xfId="0" applyNumberFormat="1" applyFont="1" applyFill="1" applyBorder="1"/>
    <xf numFmtId="164" fontId="4" fillId="2" borderId="0" xfId="6" applyNumberFormat="1" applyFont="1" applyFill="1"/>
    <xf numFmtId="164" fontId="4" fillId="2" borderId="0" xfId="0" applyNumberFormat="1" applyFont="1" applyFill="1"/>
    <xf numFmtId="0" fontId="6" fillId="2" borderId="0" xfId="0" applyFont="1" applyFill="1"/>
    <xf numFmtId="44" fontId="4" fillId="2" borderId="0" xfId="6" applyFont="1" applyFill="1"/>
    <xf numFmtId="44" fontId="4" fillId="2" borderId="0" xfId="0" applyNumberFormat="1" applyFont="1" applyFill="1"/>
    <xf numFmtId="164" fontId="4" fillId="2" borderId="5" xfId="6" applyNumberFormat="1" applyFont="1" applyFill="1" applyBorder="1"/>
    <xf numFmtId="168" fontId="4" fillId="2" borderId="0" xfId="0" applyNumberFormat="1" applyFont="1" applyFill="1"/>
    <xf numFmtId="165" fontId="4" fillId="2" borderId="0" xfId="5" applyNumberFormat="1" applyFont="1" applyFill="1"/>
    <xf numFmtId="3" fontId="4" fillId="2" borderId="5" xfId="0" applyNumberFormat="1" applyFont="1" applyFill="1" applyBorder="1"/>
    <xf numFmtId="3" fontId="4" fillId="2" borderId="0" xfId="0" applyNumberFormat="1" applyFont="1" applyFill="1"/>
    <xf numFmtId="10" fontId="4" fillId="2" borderId="0" xfId="7" applyNumberFormat="1" applyFont="1" applyFill="1"/>
    <xf numFmtId="43" fontId="3" fillId="2" borderId="0" xfId="2" applyFont="1" applyFill="1"/>
    <xf numFmtId="166" fontId="3" fillId="2" borderId="0" xfId="1" applyNumberFormat="1" applyFont="1" applyFill="1"/>
    <xf numFmtId="3" fontId="3" fillId="2" borderId="5" xfId="1" applyNumberFormat="1" applyFont="1" applyFill="1" applyBorder="1"/>
    <xf numFmtId="9" fontId="4" fillId="2" borderId="0" xfId="7" applyFont="1" applyFill="1"/>
    <xf numFmtId="164" fontId="3" fillId="2" borderId="0" xfId="1" applyNumberFormat="1" applyFont="1" applyFill="1" applyBorder="1"/>
    <xf numFmtId="168" fontId="3" fillId="2" borderId="0" xfId="5" applyNumberFormat="1" applyFont="1" applyFill="1"/>
    <xf numFmtId="10" fontId="3" fillId="2" borderId="5" xfId="4" applyNumberFormat="1" applyFont="1" applyFill="1" applyBorder="1"/>
    <xf numFmtId="164" fontId="3" fillId="2" borderId="0" xfId="0" applyNumberFormat="1" applyFont="1" applyFill="1"/>
    <xf numFmtId="10" fontId="3" fillId="2" borderId="6" xfId="4" applyNumberFormat="1" applyFont="1" applyFill="1" applyBorder="1"/>
    <xf numFmtId="164" fontId="3" fillId="2" borderId="4" xfId="1" applyNumberFormat="1" applyFont="1" applyFill="1" applyBorder="1"/>
    <xf numFmtId="0" fontId="3" fillId="2" borderId="0" xfId="0" applyFont="1" applyFill="1"/>
    <xf numFmtId="3" fontId="6" fillId="0" borderId="0" xfId="0" applyNumberFormat="1" applyFont="1"/>
    <xf numFmtId="165" fontId="3" fillId="2" borderId="0" xfId="2" applyNumberFormat="1" applyFont="1" applyFill="1"/>
    <xf numFmtId="43" fontId="3" fillId="2" borderId="0" xfId="1" applyNumberFormat="1" applyFont="1" applyFill="1"/>
    <xf numFmtId="165" fontId="3" fillId="2" borderId="0" xfId="1" applyNumberFormat="1" applyFont="1" applyFill="1"/>
    <xf numFmtId="3" fontId="5" fillId="2" borderId="0" xfId="1" applyNumberFormat="1" applyFont="1" applyFill="1" applyBorder="1"/>
    <xf numFmtId="167" fontId="3" fillId="2" borderId="0" xfId="1" applyNumberFormat="1" applyFont="1" applyFill="1"/>
    <xf numFmtId="167" fontId="4" fillId="2" borderId="0" xfId="0" applyNumberFormat="1" applyFont="1" applyFill="1"/>
    <xf numFmtId="165" fontId="3" fillId="2" borderId="6" xfId="1" applyNumberFormat="1" applyFont="1" applyFill="1" applyBorder="1"/>
    <xf numFmtId="9" fontId="3" fillId="2" borderId="6" xfId="7" applyFont="1" applyFill="1" applyBorder="1"/>
    <xf numFmtId="164" fontId="3" fillId="2" borderId="4" xfId="3" applyNumberFormat="1" applyFont="1" applyFill="1" applyBorder="1"/>
    <xf numFmtId="43" fontId="6" fillId="2" borderId="0" xfId="5" applyFont="1" applyFill="1"/>
    <xf numFmtId="9" fontId="3" fillId="2" borderId="5" xfId="4" applyFont="1" applyFill="1" applyBorder="1"/>
    <xf numFmtId="9" fontId="3" fillId="2" borderId="0" xfId="4" applyFont="1" applyFill="1" applyBorder="1"/>
    <xf numFmtId="0" fontId="3" fillId="2" borderId="0" xfId="1" applyFont="1" applyFill="1" applyBorder="1"/>
    <xf numFmtId="10" fontId="3" fillId="2" borderId="5" xfId="7" applyNumberFormat="1" applyFont="1" applyFill="1" applyBorder="1"/>
    <xf numFmtId="9" fontId="3" fillId="2" borderId="0" xfId="4" applyFont="1" applyFill="1"/>
    <xf numFmtId="164" fontId="3" fillId="2" borderId="0" xfId="3" applyNumberFormat="1" applyFont="1" applyFill="1" applyBorder="1"/>
    <xf numFmtId="166" fontId="3" fillId="2" borderId="0" xfId="6" applyNumberFormat="1" applyFont="1" applyFill="1"/>
    <xf numFmtId="164" fontId="3" fillId="2" borderId="0" xfId="6" applyNumberFormat="1" applyFont="1" applyFill="1" applyBorder="1"/>
    <xf numFmtId="164" fontId="4" fillId="0" borderId="0" xfId="6" applyNumberFormat="1" applyFont="1"/>
    <xf numFmtId="3" fontId="3" fillId="2" borderId="0" xfId="1" applyNumberFormat="1" applyFont="1" applyFill="1" applyBorder="1"/>
    <xf numFmtId="165" fontId="3" fillId="2" borderId="5" xfId="2" applyNumberFormat="1" applyFont="1" applyFill="1" applyBorder="1"/>
    <xf numFmtId="166" fontId="4" fillId="2" borderId="0" xfId="6" applyNumberFormat="1" applyFont="1" applyFill="1"/>
    <xf numFmtId="165" fontId="4" fillId="2" borderId="5" xfId="5" applyNumberFormat="1" applyFont="1" applyFill="1" applyBorder="1"/>
    <xf numFmtId="9" fontId="3" fillId="2" borderId="5" xfId="4" applyNumberFormat="1" applyFont="1" applyFill="1" applyBorder="1"/>
    <xf numFmtId="165" fontId="3" fillId="2" borderId="6" xfId="2" applyNumberFormat="1" applyFont="1" applyFill="1" applyBorder="1"/>
    <xf numFmtId="165" fontId="3" fillId="2" borderId="0" xfId="2" applyNumberFormat="1" applyFont="1" applyFill="1" applyBorder="1"/>
    <xf numFmtId="43" fontId="3" fillId="2" borderId="0" xfId="5" applyFont="1" applyFill="1" applyBorder="1"/>
    <xf numFmtId="44" fontId="3" fillId="2" borderId="0" xfId="6" applyFont="1" applyFill="1" applyBorder="1"/>
    <xf numFmtId="165" fontId="3" fillId="2" borderId="0" xfId="1" applyNumberFormat="1" applyFont="1" applyFill="1" applyBorder="1"/>
    <xf numFmtId="165" fontId="3" fillId="2" borderId="5" xfId="1" applyNumberFormat="1" applyFont="1" applyFill="1" applyBorder="1"/>
    <xf numFmtId="165" fontId="3" fillId="2" borderId="6" xfId="4" applyNumberFormat="1" applyFont="1" applyFill="1" applyBorder="1"/>
    <xf numFmtId="3" fontId="3" fillId="2" borderId="0" xfId="1" applyNumberFormat="1" applyFont="1" applyFill="1" applyAlignment="1">
      <alignment horizontal="center"/>
    </xf>
    <xf numFmtId="164" fontId="4" fillId="2" borderId="6" xfId="0" applyNumberFormat="1" applyFont="1" applyFill="1" applyBorder="1"/>
    <xf numFmtId="0" fontId="4" fillId="2" borderId="1" xfId="0" applyFont="1" applyFill="1" applyBorder="1"/>
    <xf numFmtId="3" fontId="3" fillId="2" borderId="6" xfId="1" applyNumberFormat="1" applyFont="1" applyFill="1" applyBorder="1"/>
    <xf numFmtId="171" fontId="4" fillId="2" borderId="0" xfId="0" applyNumberFormat="1" applyFont="1" applyFill="1"/>
    <xf numFmtId="44" fontId="3" fillId="0" borderId="0" xfId="3" applyFont="1"/>
    <xf numFmtId="0" fontId="3" fillId="0" borderId="0" xfId="0" applyFont="1"/>
    <xf numFmtId="0" fontId="3" fillId="0" borderId="0" xfId="0" applyFont="1" applyFill="1" applyBorder="1"/>
    <xf numFmtId="0" fontId="3" fillId="0" borderId="0" xfId="0" applyFont="1" applyProtection="1"/>
    <xf numFmtId="37" fontId="3" fillId="0" borderId="0" xfId="0" applyNumberFormat="1" applyFont="1" applyProtection="1"/>
    <xf numFmtId="164" fontId="3" fillId="0" borderId="0" xfId="6" applyNumberFormat="1" applyFont="1" applyProtection="1"/>
    <xf numFmtId="171" fontId="3" fillId="0" borderId="0" xfId="0" applyNumberFormat="1" applyFont="1" applyProtection="1"/>
    <xf numFmtId="165" fontId="3" fillId="0" borderId="0" xfId="5" applyNumberFormat="1" applyFont="1" applyProtection="1"/>
    <xf numFmtId="7" fontId="3" fillId="0" borderId="0" xfId="0" applyNumberFormat="1" applyFont="1" applyProtection="1"/>
    <xf numFmtId="37" fontId="3" fillId="0" borderId="8" xfId="0" applyNumberFormat="1" applyFont="1" applyBorder="1" applyProtection="1"/>
    <xf numFmtId="37" fontId="3" fillId="0" borderId="7" xfId="0" applyNumberFormat="1" applyFont="1" applyBorder="1" applyProtection="1"/>
    <xf numFmtId="5" fontId="3" fillId="0" borderId="8" xfId="0" applyNumberFormat="1" applyFont="1" applyBorder="1" applyProtection="1"/>
    <xf numFmtId="5" fontId="4" fillId="2" borderId="0" xfId="0" applyNumberFormat="1" applyFont="1" applyFill="1"/>
    <xf numFmtId="5" fontId="4" fillId="2" borderId="0" xfId="6" applyNumberFormat="1" applyFont="1" applyFill="1"/>
    <xf numFmtId="5" fontId="7" fillId="0" borderId="0" xfId="0" applyNumberFormat="1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Continuous"/>
    </xf>
    <xf numFmtId="0" fontId="8" fillId="0" borderId="0" xfId="0" applyFont="1" applyAlignment="1" applyProtection="1">
      <alignment horizontal="center"/>
    </xf>
    <xf numFmtId="37" fontId="7" fillId="0" borderId="0" xfId="0" applyNumberFormat="1" applyFont="1" applyProtection="1"/>
    <xf numFmtId="9" fontId="7" fillId="0" borderId="0" xfId="0" applyNumberFormat="1" applyFont="1" applyAlignment="1" applyProtection="1">
      <alignment horizontal="center"/>
    </xf>
    <xf numFmtId="170" fontId="7" fillId="0" borderId="0" xfId="0" applyNumberFormat="1" applyFont="1" applyAlignment="1" applyProtection="1">
      <alignment horizontal="center"/>
    </xf>
    <xf numFmtId="38" fontId="7" fillId="0" borderId="0" xfId="0" applyNumberFormat="1" applyFont="1" applyProtection="1"/>
    <xf numFmtId="37" fontId="7" fillId="0" borderId="7" xfId="0" applyNumberFormat="1" applyFont="1" applyBorder="1" applyProtection="1"/>
    <xf numFmtId="0" fontId="7" fillId="0" borderId="7" xfId="0" applyFont="1" applyBorder="1" applyProtection="1"/>
    <xf numFmtId="37" fontId="7" fillId="0" borderId="8" xfId="0" applyNumberFormat="1" applyFont="1" applyBorder="1" applyProtection="1"/>
    <xf numFmtId="37" fontId="7" fillId="0" borderId="5" xfId="0" applyNumberFormat="1" applyFont="1" applyBorder="1" applyProtection="1"/>
    <xf numFmtId="5" fontId="7" fillId="0" borderId="8" xfId="0" applyNumberFormat="1" applyFont="1" applyBorder="1" applyProtection="1"/>
    <xf numFmtId="5" fontId="9" fillId="0" borderId="0" xfId="0" applyNumberFormat="1" applyFont="1" applyProtection="1"/>
    <xf numFmtId="37" fontId="7" fillId="0" borderId="0" xfId="0" applyNumberFormat="1" applyFont="1" applyBorder="1" applyProtection="1"/>
    <xf numFmtId="5" fontId="7" fillId="0" borderId="0" xfId="0" applyNumberFormat="1" applyFont="1" applyBorder="1" applyProtection="1"/>
    <xf numFmtId="0" fontId="7" fillId="0" borderId="0" xfId="0" applyFont="1" applyAlignment="1" applyProtection="1">
      <alignment horizontal="right"/>
    </xf>
    <xf numFmtId="0" fontId="7" fillId="0" borderId="0" xfId="0" applyFont="1" applyBorder="1" applyProtection="1"/>
    <xf numFmtId="0" fontId="7" fillId="0" borderId="0" xfId="0" applyFont="1" applyAlignment="1" applyProtection="1">
      <alignment horizontal="centerContinuous"/>
    </xf>
    <xf numFmtId="0" fontId="7" fillId="0" borderId="0" xfId="0" applyFont="1"/>
    <xf numFmtId="0" fontId="7" fillId="0" borderId="0" xfId="0" applyFont="1" applyAlignment="1" applyProtection="1">
      <alignment horizontal="left"/>
    </xf>
    <xf numFmtId="0" fontId="11" fillId="0" borderId="0" xfId="0" applyFont="1"/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Continuous"/>
    </xf>
    <xf numFmtId="0" fontId="11" fillId="0" borderId="0" xfId="0" applyFont="1" applyAlignment="1">
      <alignment horizontal="center"/>
    </xf>
    <xf numFmtId="0" fontId="11" fillId="0" borderId="0" xfId="0" applyFont="1" applyBorder="1" applyProtection="1"/>
    <xf numFmtId="37" fontId="11" fillId="0" borderId="0" xfId="0" applyNumberFormat="1" applyFont="1" applyBorder="1" applyProtection="1"/>
    <xf numFmtId="0" fontId="12" fillId="0" borderId="0" xfId="0" applyFont="1" applyBorder="1"/>
    <xf numFmtId="0" fontId="11" fillId="0" borderId="0" xfId="0" applyFont="1" applyBorder="1"/>
    <xf numFmtId="37" fontId="11" fillId="0" borderId="0" xfId="0" applyNumberFormat="1" applyFont="1" applyProtection="1"/>
    <xf numFmtId="37" fontId="11" fillId="0" borderId="8" xfId="0" applyNumberFormat="1" applyFont="1" applyBorder="1" applyProtection="1"/>
    <xf numFmtId="164" fontId="4" fillId="2" borderId="0" xfId="0" applyNumberFormat="1" applyFont="1" applyFill="1" applyBorder="1"/>
    <xf numFmtId="44" fontId="4" fillId="2" borderId="5" xfId="0" applyNumberFormat="1" applyFont="1" applyFill="1" applyBorder="1"/>
    <xf numFmtId="165" fontId="4" fillId="2" borderId="0" xfId="0" applyNumberFormat="1" applyFont="1" applyFill="1"/>
    <xf numFmtId="5" fontId="11" fillId="0" borderId="0" xfId="0" applyNumberFormat="1" applyFont="1"/>
    <xf numFmtId="0" fontId="4" fillId="2" borderId="0" xfId="0" applyFont="1" applyFill="1" applyBorder="1"/>
    <xf numFmtId="0" fontId="4" fillId="2" borderId="0" xfId="0" applyFont="1" applyFill="1" applyAlignment="1">
      <alignment horizontal="right"/>
    </xf>
    <xf numFmtId="0" fontId="7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38" fontId="7" fillId="2" borderId="7" xfId="0" applyNumberFormat="1" applyFont="1" applyFill="1" applyBorder="1" applyProtection="1"/>
    <xf numFmtId="10" fontId="7" fillId="0" borderId="0" xfId="0" applyNumberFormat="1" applyFont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170" fontId="7" fillId="0" borderId="5" xfId="7" applyNumberFormat="1" applyFont="1" applyBorder="1" applyProtection="1"/>
    <xf numFmtId="10" fontId="7" fillId="0" borderId="8" xfId="7" applyNumberFormat="1" applyFont="1" applyBorder="1" applyProtection="1"/>
    <xf numFmtId="37" fontId="11" fillId="0" borderId="0" xfId="0" applyNumberFormat="1" applyFont="1"/>
    <xf numFmtId="165" fontId="11" fillId="0" borderId="0" xfId="5" applyNumberFormat="1" applyFont="1"/>
    <xf numFmtId="38" fontId="14" fillId="0" borderId="9" xfId="0" applyNumberFormat="1" applyFont="1" applyBorder="1"/>
    <xf numFmtId="38" fontId="14" fillId="0" borderId="11" xfId="0" applyNumberFormat="1" applyFont="1" applyBorder="1"/>
    <xf numFmtId="37" fontId="7" fillId="0" borderId="9" xfId="0" applyNumberFormat="1" applyFont="1" applyBorder="1" applyProtection="1"/>
    <xf numFmtId="37" fontId="7" fillId="0" borderId="11" xfId="0" applyNumberFormat="1" applyFont="1" applyBorder="1" applyProtection="1"/>
    <xf numFmtId="37" fontId="7" fillId="0" borderId="10" xfId="0" applyNumberFormat="1" applyFont="1" applyBorder="1" applyProtection="1"/>
    <xf numFmtId="0" fontId="15" fillId="0" borderId="9" xfId="0" applyFont="1" applyBorder="1"/>
    <xf numFmtId="0" fontId="15" fillId="0" borderId="10" xfId="0" applyFont="1" applyBorder="1"/>
    <xf numFmtId="0" fontId="15" fillId="0" borderId="1" xfId="0" applyFont="1" applyBorder="1"/>
    <xf numFmtId="0" fontId="15" fillId="0" borderId="11" xfId="0" applyFont="1" applyBorder="1"/>
    <xf numFmtId="38" fontId="15" fillId="0" borderId="10" xfId="0" applyNumberFormat="1" applyFont="1" applyBorder="1"/>
    <xf numFmtId="0" fontId="15" fillId="0" borderId="0" xfId="0" applyFont="1"/>
    <xf numFmtId="38" fontId="15" fillId="0" borderId="1" xfId="0" applyNumberFormat="1" applyFont="1" applyBorder="1"/>
    <xf numFmtId="10" fontId="7" fillId="0" borderId="0" xfId="7" applyNumberFormat="1" applyFont="1" applyAlignment="1" applyProtection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38" fontId="14" fillId="0" borderId="0" xfId="0" applyNumberFormat="1" applyFont="1" applyBorder="1"/>
    <xf numFmtId="38" fontId="15" fillId="0" borderId="0" xfId="0" applyNumberFormat="1" applyFont="1" applyBorder="1"/>
    <xf numFmtId="165" fontId="7" fillId="0" borderId="0" xfId="5" applyNumberFormat="1" applyFont="1" applyBorder="1" applyProtection="1"/>
    <xf numFmtId="165" fontId="15" fillId="0" borderId="0" xfId="5" applyNumberFormat="1" applyFont="1" applyBorder="1"/>
    <xf numFmtId="0" fontId="15" fillId="0" borderId="12" xfId="0" applyFont="1" applyBorder="1"/>
    <xf numFmtId="0" fontId="8" fillId="0" borderId="1" xfId="0" applyFont="1" applyBorder="1" applyAlignment="1" applyProtection="1">
      <alignment horizontal="center"/>
    </xf>
    <xf numFmtId="0" fontId="15" fillId="0" borderId="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37" fontId="15" fillId="0" borderId="10" xfId="0" applyNumberFormat="1" applyFont="1" applyBorder="1"/>
    <xf numFmtId="165" fontId="15" fillId="0" borderId="0" xfId="0" applyNumberFormat="1" applyFont="1"/>
    <xf numFmtId="165" fontId="15" fillId="0" borderId="13" xfId="5" applyNumberFormat="1" applyFont="1" applyBorder="1"/>
    <xf numFmtId="0" fontId="7" fillId="0" borderId="0" xfId="0" applyFont="1" applyAlignment="1" applyProtection="1">
      <alignment horizontal="center"/>
    </xf>
    <xf numFmtId="169" fontId="7" fillId="0" borderId="0" xfId="0" applyNumberFormat="1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</cellXfs>
  <cellStyles count="8">
    <cellStyle name="Comma" xfId="5" builtinId="3"/>
    <cellStyle name="Comma 2" xfId="2"/>
    <cellStyle name="Currency" xfId="6" builtinId="4"/>
    <cellStyle name="Currency 2" xfId="3"/>
    <cellStyle name="Normal" xfId="0" builtinId="0"/>
    <cellStyle name="Normal 2" xfId="1"/>
    <cellStyle name="Percent" xfId="7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VE%20Rate%20Case%202015\CVE%20Filings\cve%20billing%20analysis%2011-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ve%20schedule%20s-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VE%20Rate%20Case%202015\Billing%20Analysis\CVE%20Billing%20Determinants%20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VE%20Rate%20Case%202015\Billing%20Analysis\Revenue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rate class"/>
      <sheetName val="summary"/>
      <sheetName val="average use"/>
      <sheetName val="public notice"/>
      <sheetName val="power cost"/>
      <sheetName val="additional"/>
      <sheetName val="explanation"/>
    </sheetNames>
    <sheetDataSet>
      <sheetData sheetId="0" refreshError="1">
        <row r="5">
          <cell r="C5">
            <v>22013</v>
          </cell>
        </row>
        <row r="182">
          <cell r="J182">
            <v>4970</v>
          </cell>
          <cell r="K182">
            <v>1368</v>
          </cell>
        </row>
        <row r="183">
          <cell r="J183">
            <v>5040</v>
          </cell>
          <cell r="K183">
            <v>1378</v>
          </cell>
        </row>
        <row r="184">
          <cell r="J184">
            <v>4970</v>
          </cell>
          <cell r="K184">
            <v>1390</v>
          </cell>
        </row>
        <row r="185">
          <cell r="J185">
            <v>5180</v>
          </cell>
          <cell r="K185">
            <v>1390</v>
          </cell>
        </row>
        <row r="186">
          <cell r="J186">
            <v>5180</v>
          </cell>
          <cell r="K186">
            <v>1390</v>
          </cell>
        </row>
        <row r="187">
          <cell r="J187">
            <v>5110</v>
          </cell>
          <cell r="K187">
            <v>1382</v>
          </cell>
        </row>
        <row r="188">
          <cell r="J188">
            <v>60760</v>
          </cell>
          <cell r="K188">
            <v>16404</v>
          </cell>
        </row>
        <row r="191">
          <cell r="K191" t="str">
            <v>Fuel</v>
          </cell>
        </row>
        <row r="192">
          <cell r="K192" t="str">
            <v>Charge</v>
          </cell>
        </row>
        <row r="194">
          <cell r="K194">
            <v>-93896.15</v>
          </cell>
        </row>
      </sheetData>
      <sheetData sheetId="1" refreshError="1">
        <row r="1">
          <cell r="A1" t="str">
            <v>Cumberland Valley Electric</v>
          </cell>
        </row>
        <row r="294">
          <cell r="B294">
            <v>27600</v>
          </cell>
        </row>
        <row r="298">
          <cell r="E298">
            <v>779.7</v>
          </cell>
          <cell r="G298">
            <v>779.7</v>
          </cell>
        </row>
      </sheetData>
      <sheetData sheetId="2" refreshError="1"/>
      <sheetData sheetId="3" refreshError="1"/>
      <sheetData sheetId="4" refreshError="1"/>
      <sheetData sheetId="5" refreshError="1">
        <row r="26">
          <cell r="E26">
            <v>482056733</v>
          </cell>
        </row>
        <row r="54">
          <cell r="O54">
            <v>-37919</v>
          </cell>
          <cell r="Q54">
            <v>497956</v>
          </cell>
        </row>
        <row r="55">
          <cell r="O55">
            <v>-186080</v>
          </cell>
          <cell r="Q55">
            <v>476284</v>
          </cell>
        </row>
        <row r="56">
          <cell r="O56">
            <v>-169487</v>
          </cell>
          <cell r="Q56">
            <v>491511</v>
          </cell>
        </row>
        <row r="57">
          <cell r="O57">
            <v>-171712</v>
          </cell>
          <cell r="Q57">
            <v>309221</v>
          </cell>
        </row>
        <row r="58">
          <cell r="O58">
            <v>-169424</v>
          </cell>
          <cell r="Q58">
            <v>196683</v>
          </cell>
        </row>
        <row r="59">
          <cell r="O59">
            <v>-243204</v>
          </cell>
          <cell r="Q59">
            <v>266978</v>
          </cell>
        </row>
        <row r="60">
          <cell r="O60">
            <v>-89820</v>
          </cell>
          <cell r="Q60">
            <v>425853</v>
          </cell>
        </row>
        <row r="61">
          <cell r="O61">
            <v>-110982</v>
          </cell>
          <cell r="Q61">
            <v>457113</v>
          </cell>
        </row>
        <row r="62">
          <cell r="O62">
            <v>-134650</v>
          </cell>
          <cell r="Q62">
            <v>364156</v>
          </cell>
        </row>
        <row r="63">
          <cell r="O63">
            <v>-117425</v>
          </cell>
          <cell r="Q63">
            <v>331163</v>
          </cell>
        </row>
        <row r="64">
          <cell r="O64">
            <v>-141395</v>
          </cell>
          <cell r="Q64">
            <v>325488</v>
          </cell>
        </row>
        <row r="65">
          <cell r="O65">
            <v>-126849</v>
          </cell>
          <cell r="Q65">
            <v>411075</v>
          </cell>
        </row>
      </sheetData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ed is"/>
      <sheetName val="adjusted bs "/>
      <sheetName val="adjustments"/>
      <sheetName val="proposed rev"/>
    </sheetNames>
    <sheetDataSet>
      <sheetData sheetId="0">
        <row r="9">
          <cell r="I9">
            <v>1975811.5593503206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T's BillAnal"/>
      <sheetName val="Totals"/>
      <sheetName val="Sheet3"/>
    </sheetNames>
    <sheetDataSet>
      <sheetData sheetId="0">
        <row r="17">
          <cell r="I17">
            <v>2188760.8500000006</v>
          </cell>
        </row>
        <row r="34">
          <cell r="C34">
            <v>1846</v>
          </cell>
          <cell r="D34">
            <v>1734061</v>
          </cell>
          <cell r="G34">
            <v>167189.5</v>
          </cell>
          <cell r="I34">
            <v>20882.2</v>
          </cell>
          <cell r="J34">
            <v>-6677.67</v>
          </cell>
          <cell r="K34">
            <v>25449.72</v>
          </cell>
        </row>
        <row r="51">
          <cell r="D51">
            <v>737631</v>
          </cell>
          <cell r="G51">
            <v>39876.69</v>
          </cell>
          <cell r="J51">
            <v>-2151.5800000000004</v>
          </cell>
          <cell r="K51">
            <v>4213.0600000000004</v>
          </cell>
        </row>
        <row r="68">
          <cell r="C68">
            <v>15967</v>
          </cell>
          <cell r="I68">
            <v>136333.84</v>
          </cell>
        </row>
        <row r="85">
          <cell r="C85">
            <v>1654</v>
          </cell>
          <cell r="H85">
            <v>127673.65000000001</v>
          </cell>
          <cell r="I85">
            <v>14129.84</v>
          </cell>
          <cell r="P85">
            <v>30254.419431279624</v>
          </cell>
        </row>
        <row r="102">
          <cell r="C102">
            <v>577</v>
          </cell>
          <cell r="D102">
            <v>15867403</v>
          </cell>
          <cell r="I102">
            <v>12563.08</v>
          </cell>
        </row>
        <row r="119">
          <cell r="C119">
            <v>15</v>
          </cell>
          <cell r="D119">
            <v>16450200</v>
          </cell>
          <cell r="G119">
            <v>901785.47999999986</v>
          </cell>
          <cell r="H119">
            <v>301766.21000000002</v>
          </cell>
          <cell r="I119">
            <v>522.41</v>
          </cell>
          <cell r="J119">
            <v>-62821.289999999994</v>
          </cell>
          <cell r="K119">
            <v>127752.46</v>
          </cell>
          <cell r="P119">
            <v>46071.177099236644</v>
          </cell>
        </row>
        <row r="136">
          <cell r="C136">
            <v>984</v>
          </cell>
          <cell r="D136">
            <v>90899192</v>
          </cell>
          <cell r="I136">
            <v>34244.050000000003</v>
          </cell>
          <cell r="P136">
            <v>293370.02843601903</v>
          </cell>
        </row>
        <row r="188">
          <cell r="C188">
            <v>85955</v>
          </cell>
          <cell r="E188">
            <v>17189</v>
          </cell>
          <cell r="G188">
            <v>332</v>
          </cell>
          <cell r="I188">
            <v>867</v>
          </cell>
          <cell r="K188">
            <v>16404</v>
          </cell>
          <cell r="M188">
            <v>601</v>
          </cell>
          <cell r="O188">
            <v>11273</v>
          </cell>
          <cell r="Q188">
            <v>69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"/>
      <sheetName val="New"/>
      <sheetName val="Sheet3"/>
    </sheetNames>
    <sheetDataSet>
      <sheetData sheetId="0" refreshError="1"/>
      <sheetData sheetId="1" refreshError="1">
        <row r="14">
          <cell r="J14">
            <v>19904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"/>
  <sheetViews>
    <sheetView tabSelected="1" zoomScale="85" zoomScaleNormal="85" workbookViewId="0">
      <selection activeCell="D22" sqref="D22"/>
    </sheetView>
  </sheetViews>
  <sheetFormatPr defaultColWidth="11" defaultRowHeight="15.75" x14ac:dyDescent="0.25"/>
  <cols>
    <col min="1" max="1" width="4.140625" style="125" customWidth="1"/>
    <col min="2" max="2" width="43.7109375" style="125" customWidth="1"/>
    <col min="3" max="3" width="15.5703125" style="125" customWidth="1"/>
    <col min="4" max="4" width="15" style="125" customWidth="1"/>
    <col min="5" max="5" width="9.7109375" style="125" customWidth="1"/>
    <col min="6" max="6" width="14.7109375" style="125" customWidth="1"/>
    <col min="7" max="7" width="11.7109375" style="125" customWidth="1"/>
    <col min="8" max="8" width="15.42578125" style="125" customWidth="1"/>
    <col min="9" max="9" width="8.7109375" style="125" customWidth="1"/>
    <col min="10" max="10" width="14.28515625" style="125" customWidth="1"/>
    <col min="11" max="11" width="9.7109375" style="125" customWidth="1"/>
    <col min="12" max="13" width="11" style="125"/>
    <col min="14" max="14" width="15.28515625" style="125" bestFit="1" customWidth="1"/>
    <col min="15" max="16384" width="11" style="125"/>
  </cols>
  <sheetData>
    <row r="1" spans="1:14" x14ac:dyDescent="0.25">
      <c r="A1" s="124">
        <v>1</v>
      </c>
      <c r="B1" s="104"/>
    </row>
    <row r="2" spans="1:14" ht="15.95" customHeight="1" x14ac:dyDescent="0.25">
      <c r="A2" s="124">
        <f t="shared" ref="A2:A28" si="0">(A1+1)</f>
        <v>2</v>
      </c>
      <c r="B2" s="126"/>
      <c r="C2" s="127"/>
      <c r="D2" s="127"/>
      <c r="E2" s="105" t="s">
        <v>8</v>
      </c>
      <c r="F2" s="105" t="s">
        <v>64</v>
      </c>
      <c r="G2" s="105" t="s">
        <v>8</v>
      </c>
      <c r="H2" s="127"/>
      <c r="I2" s="105" t="s">
        <v>8</v>
      </c>
    </row>
    <row r="3" spans="1:14" ht="15.95" customHeight="1" x14ac:dyDescent="0.25">
      <c r="A3" s="124">
        <f t="shared" si="0"/>
        <v>3</v>
      </c>
      <c r="B3" s="105" t="s">
        <v>65</v>
      </c>
      <c r="C3" s="105" t="s">
        <v>66</v>
      </c>
      <c r="D3" s="105" t="s">
        <v>67</v>
      </c>
      <c r="E3" s="105" t="s">
        <v>68</v>
      </c>
      <c r="F3" s="105" t="s">
        <v>69</v>
      </c>
      <c r="G3" s="105" t="s">
        <v>68</v>
      </c>
      <c r="H3" s="105" t="s">
        <v>62</v>
      </c>
      <c r="I3" s="105" t="s">
        <v>68</v>
      </c>
      <c r="J3" s="106" t="s">
        <v>70</v>
      </c>
      <c r="K3" s="128"/>
    </row>
    <row r="4" spans="1:14" ht="15.95" customHeight="1" x14ac:dyDescent="0.25">
      <c r="A4" s="124">
        <f t="shared" si="0"/>
        <v>4</v>
      </c>
      <c r="B4" s="107" t="s">
        <v>71</v>
      </c>
      <c r="C4" s="107" t="s">
        <v>72</v>
      </c>
      <c r="D4" s="143" t="s">
        <v>7</v>
      </c>
      <c r="E4" s="107" t="s">
        <v>73</v>
      </c>
      <c r="F4" s="142" t="s">
        <v>11</v>
      </c>
      <c r="G4" s="107" t="s">
        <v>73</v>
      </c>
      <c r="H4" s="107" t="s">
        <v>7</v>
      </c>
      <c r="I4" s="107" t="s">
        <v>73</v>
      </c>
      <c r="J4" s="107" t="s">
        <v>5</v>
      </c>
      <c r="K4" s="107" t="s">
        <v>8</v>
      </c>
    </row>
    <row r="5" spans="1:14" ht="15.95" customHeight="1" x14ac:dyDescent="0.25">
      <c r="A5" s="124">
        <f t="shared" si="0"/>
        <v>5</v>
      </c>
      <c r="G5" s="129"/>
    </row>
    <row r="6" spans="1:14" ht="15.95" customHeight="1" x14ac:dyDescent="0.25">
      <c r="A6" s="124">
        <f t="shared" si="0"/>
        <v>6</v>
      </c>
      <c r="E6" s="129"/>
      <c r="G6" s="129"/>
      <c r="I6" s="129"/>
      <c r="K6" s="129"/>
    </row>
    <row r="7" spans="1:14" ht="24.95" customHeight="1" x14ac:dyDescent="0.25">
      <c r="A7" s="124">
        <f t="shared" si="0"/>
        <v>7</v>
      </c>
      <c r="B7" s="104" t="s">
        <v>74</v>
      </c>
      <c r="C7" s="108">
        <f>('Revenue Analysis'!C11)</f>
        <v>300860320</v>
      </c>
      <c r="D7" s="103">
        <f>('Revenue Analysis'!E12)</f>
        <v>27951430.051600002</v>
      </c>
      <c r="E7" s="109">
        <f t="shared" ref="E7:E16" si="1">(D7/$D$19)</f>
        <v>0.68110098624140025</v>
      </c>
      <c r="F7" s="103">
        <f>('Revenue Analysis'!I12)</f>
        <v>28053473.581599999</v>
      </c>
      <c r="G7" s="109">
        <f t="shared" ref="G7:G16" si="2">(F7/$F$19)</f>
        <v>0.68107286723724514</v>
      </c>
      <c r="H7" s="103">
        <f>('Revenue Analysis'!M12)</f>
        <v>29682221.835200004</v>
      </c>
      <c r="I7" s="109">
        <f>(H7/$H$19)</f>
        <v>0.68762468620663697</v>
      </c>
      <c r="J7" s="103">
        <f>+H7-F7</f>
        <v>1628748.2536000051</v>
      </c>
      <c r="K7" s="145">
        <f t="shared" ref="K7:K16" si="3">+J7/F7</f>
        <v>5.8058701674229933E-2</v>
      </c>
    </row>
    <row r="8" spans="1:14" ht="24.95" customHeight="1" x14ac:dyDescent="0.25">
      <c r="A8" s="124">
        <f t="shared" si="0"/>
        <v>8</v>
      </c>
      <c r="B8" s="104" t="s">
        <v>75</v>
      </c>
      <c r="C8" s="108">
        <f>('Revenue Analysis'!C45)</f>
        <v>1734061</v>
      </c>
      <c r="D8" s="103">
        <f>('Revenue Analysis'!E46)</f>
        <v>169299.65000000002</v>
      </c>
      <c r="E8" s="110">
        <f>(D8/$D$19)</f>
        <v>4.1253759958776517E-3</v>
      </c>
      <c r="F8" s="103">
        <f>('Revenue Analysis'!I46)</f>
        <v>170141.22343000001</v>
      </c>
      <c r="G8" s="110">
        <f t="shared" si="2"/>
        <v>4.1306318285207469E-3</v>
      </c>
      <c r="H8" s="103">
        <f>('Revenue Analysis'!M46)</f>
        <v>181320.10796000002</v>
      </c>
      <c r="I8" s="110">
        <f t="shared" ref="I8:I16" si="4">(H8/$H$19)</f>
        <v>4.2005003207371402E-3</v>
      </c>
      <c r="J8" s="103">
        <f>+H8-F8</f>
        <v>11178.88453000001</v>
      </c>
      <c r="K8" s="163">
        <f t="shared" si="3"/>
        <v>6.5703562632481352E-2</v>
      </c>
    </row>
    <row r="9" spans="1:14" ht="24.95" customHeight="1" x14ac:dyDescent="0.25">
      <c r="A9" s="124">
        <f t="shared" si="0"/>
        <v>9</v>
      </c>
      <c r="B9" s="104" t="s">
        <v>76</v>
      </c>
      <c r="C9" s="108">
        <f>('Revenue Analysis'!C75)</f>
        <v>737631</v>
      </c>
      <c r="D9" s="108">
        <f>('Revenue Analysis'!E75)</f>
        <v>37815.210000000006</v>
      </c>
      <c r="E9" s="110">
        <f t="shared" si="1"/>
        <v>9.2145470834152665E-4</v>
      </c>
      <c r="F9" s="108">
        <f>('Revenue Analysis'!I75)</f>
        <v>37899.480779999998</v>
      </c>
      <c r="G9" s="110">
        <f t="shared" si="2"/>
        <v>9.2011094335809826E-4</v>
      </c>
      <c r="H9" s="108">
        <f>('Revenue Analysis'!M75)</f>
        <v>63701.813160000005</v>
      </c>
      <c r="I9" s="110">
        <f t="shared" si="4"/>
        <v>1.4757297997481148E-3</v>
      </c>
      <c r="J9" s="111">
        <f t="shared" ref="J9:J16" si="5">+H9-F9</f>
        <v>25802.332380000007</v>
      </c>
      <c r="K9" s="163">
        <f t="shared" si="3"/>
        <v>0.68080965356169743</v>
      </c>
      <c r="N9" s="139">
        <f>SUM(J7:J9)</f>
        <v>1665729.470510005</v>
      </c>
    </row>
    <row r="10" spans="1:14" ht="24.95" customHeight="1" x14ac:dyDescent="0.25">
      <c r="A10" s="124">
        <f t="shared" si="0"/>
        <v>10</v>
      </c>
      <c r="B10" s="104" t="s">
        <v>77</v>
      </c>
      <c r="C10" s="108">
        <f>('Revenue Analysis'!C108+'Revenue Analysis'!C109)</f>
        <v>14488863</v>
      </c>
      <c r="D10" s="108">
        <f>('Revenue Analysis'!E110)</f>
        <v>1493911.06559</v>
      </c>
      <c r="E10" s="110">
        <f t="shared" si="1"/>
        <v>3.6402584706825974E-2</v>
      </c>
      <c r="F10" s="108">
        <f>('Revenue Analysis'!I110)</f>
        <v>1500641.54559</v>
      </c>
      <c r="G10" s="110">
        <f t="shared" si="2"/>
        <v>3.6432074522873441E-2</v>
      </c>
      <c r="H10" s="108">
        <f>('Revenue Analysis'!M110)</f>
        <v>1598047.86109</v>
      </c>
      <c r="I10" s="110">
        <f t="shared" si="4"/>
        <v>3.7020717826522984E-2</v>
      </c>
      <c r="J10" s="111">
        <f t="shared" si="5"/>
        <v>97406.315500000026</v>
      </c>
      <c r="K10" s="163">
        <f t="shared" si="3"/>
        <v>6.4909781943764094E-2</v>
      </c>
      <c r="N10" s="139">
        <f>SUM(F7:F9)</f>
        <v>28261514.285810001</v>
      </c>
    </row>
    <row r="11" spans="1:14" ht="24.95" customHeight="1" x14ac:dyDescent="0.25">
      <c r="A11" s="124">
        <f t="shared" si="0"/>
        <v>11</v>
      </c>
      <c r="B11" s="104" t="s">
        <v>78</v>
      </c>
      <c r="C11" s="108">
        <f>('Revenue Analysis'!C139+'Revenue Analysis'!C140)</f>
        <v>7393144</v>
      </c>
      <c r="D11" s="108">
        <f>('Revenue Analysis'!E141)</f>
        <v>836667.3101</v>
      </c>
      <c r="E11" s="110">
        <f t="shared" si="1"/>
        <v>2.0387326480722574E-2</v>
      </c>
      <c r="F11" s="108">
        <f>('Revenue Analysis'!I141)</f>
        <v>837357.3101</v>
      </c>
      <c r="G11" s="110">
        <f t="shared" si="2"/>
        <v>2.0329081260936226E-2</v>
      </c>
      <c r="H11" s="108">
        <f>('Revenue Analysis'!M141)</f>
        <v>865013.97860000003</v>
      </c>
      <c r="I11" s="110">
        <f t="shared" si="4"/>
        <v>2.0039098450972535E-2</v>
      </c>
      <c r="J11" s="111">
        <f t="shared" si="5"/>
        <v>27656.668500000029</v>
      </c>
      <c r="K11" s="163">
        <f t="shared" si="3"/>
        <v>3.3028515027470381E-2</v>
      </c>
      <c r="N11" s="125">
        <f>(N9/N10)</f>
        <v>5.8939852042760546E-2</v>
      </c>
    </row>
    <row r="12" spans="1:14" ht="24.95" customHeight="1" x14ac:dyDescent="0.25">
      <c r="A12" s="124">
        <f t="shared" si="0"/>
        <v>12</v>
      </c>
      <c r="B12" s="104" t="s">
        <v>79</v>
      </c>
      <c r="C12" s="108">
        <f>('Revenue Analysis'!C169)</f>
        <v>15867403</v>
      </c>
      <c r="D12" s="108">
        <f>('Revenue Analysis'!E170)</f>
        <v>1269444.0274499999</v>
      </c>
      <c r="E12" s="110">
        <f t="shared" si="1"/>
        <v>3.0932928207190506E-2</v>
      </c>
      <c r="F12" s="108">
        <f>('Revenue Analysis'!I170)</f>
        <v>1270329.9474499999</v>
      </c>
      <c r="G12" s="110">
        <f t="shared" si="2"/>
        <v>3.0840646422287551E-2</v>
      </c>
      <c r="H12" s="108">
        <f>('Revenue Analysis'!M170)</f>
        <v>1301704.2012</v>
      </c>
      <c r="I12" s="110">
        <f t="shared" si="4"/>
        <v>3.0155557351927587E-2</v>
      </c>
      <c r="J12" s="111">
        <f t="shared" si="5"/>
        <v>31374.253750000149</v>
      </c>
      <c r="K12" s="163">
        <f t="shared" si="3"/>
        <v>2.4697720315087698E-2</v>
      </c>
    </row>
    <row r="13" spans="1:14" ht="24.95" customHeight="1" x14ac:dyDescent="0.25">
      <c r="A13" s="124">
        <f t="shared" si="0"/>
        <v>13</v>
      </c>
      <c r="B13" s="104" t="s">
        <v>80</v>
      </c>
      <c r="C13" s="108">
        <f>('Revenue Analysis'!C200)</f>
        <v>16450200</v>
      </c>
      <c r="D13" s="108">
        <f>('Revenue Analysis'!E201)</f>
        <v>1139142.93</v>
      </c>
      <c r="E13" s="110">
        <f t="shared" si="1"/>
        <v>2.7757841787007447E-2</v>
      </c>
      <c r="F13" s="108">
        <f>('Revenue Analysis'!I201)</f>
        <v>1143450.4339999999</v>
      </c>
      <c r="G13" s="110">
        <f t="shared" si="2"/>
        <v>2.7760307947706054E-2</v>
      </c>
      <c r="H13" s="108">
        <f>('Revenue Analysis'!M201)</f>
        <v>1144200.4339999999</v>
      </c>
      <c r="I13" s="110">
        <f t="shared" si="4"/>
        <v>2.6506791464435072E-2</v>
      </c>
      <c r="J13" s="111">
        <f t="shared" si="5"/>
        <v>750</v>
      </c>
      <c r="K13" s="163">
        <f t="shared" si="3"/>
        <v>6.5590949786635013E-4</v>
      </c>
    </row>
    <row r="14" spans="1:14" ht="24.95" customHeight="1" x14ac:dyDescent="0.25">
      <c r="A14" s="124">
        <f t="shared" si="0"/>
        <v>14</v>
      </c>
      <c r="B14" s="104" t="s">
        <v>81</v>
      </c>
      <c r="C14" s="108">
        <f>('Revenue Analysis'!C231)</f>
        <v>90899192</v>
      </c>
      <c r="D14" s="108">
        <f>('Revenue Analysis'!E232)</f>
        <v>6806613.45976</v>
      </c>
      <c r="E14" s="110">
        <f t="shared" si="1"/>
        <v>0.16585881766507868</v>
      </c>
      <c r="F14" s="108">
        <f>('Revenue Analysis'!I232)</f>
        <v>6811729.4097600002</v>
      </c>
      <c r="G14" s="110">
        <f t="shared" si="2"/>
        <v>0.16537289282395221</v>
      </c>
      <c r="H14" s="108">
        <f>('Revenue Analysis'!M232)</f>
        <v>6836329.4097600002</v>
      </c>
      <c r="I14" s="110">
        <f t="shared" si="4"/>
        <v>0.15837186620634758</v>
      </c>
      <c r="J14" s="111">
        <f t="shared" si="5"/>
        <v>24600</v>
      </c>
      <c r="K14" s="163">
        <f t="shared" si="3"/>
        <v>3.6114176768021001E-3</v>
      </c>
    </row>
    <row r="15" spans="1:14" ht="24.95" customHeight="1" x14ac:dyDescent="0.25">
      <c r="A15" s="124">
        <f t="shared" si="0"/>
        <v>15</v>
      </c>
      <c r="B15" s="104" t="s">
        <v>82</v>
      </c>
      <c r="C15" s="108">
        <v>11317722</v>
      </c>
      <c r="D15" s="108">
        <f>('Revenue Analysis'!E269)</f>
        <v>1333495</v>
      </c>
      <c r="E15" s="110">
        <f t="shared" si="1"/>
        <v>3.2493677710632413E-2</v>
      </c>
      <c r="F15" s="108">
        <f>('Revenue Analysis'!I269)</f>
        <v>1364318.03</v>
      </c>
      <c r="G15" s="110">
        <f t="shared" si="2"/>
        <v>3.3122457716787811E-2</v>
      </c>
      <c r="H15" s="108">
        <f>('Revenue Analysis'!M269)</f>
        <v>1492992.7921000002</v>
      </c>
      <c r="I15" s="110">
        <f t="shared" si="4"/>
        <v>3.4586989676058257E-2</v>
      </c>
      <c r="J15" s="111">
        <f t="shared" si="5"/>
        <v>128674.76210000017</v>
      </c>
      <c r="K15" s="163">
        <f t="shared" si="3"/>
        <v>9.431434553423014E-2</v>
      </c>
    </row>
    <row r="16" spans="1:14" ht="24.95" customHeight="1" x14ac:dyDescent="0.25">
      <c r="A16" s="124">
        <f t="shared" si="0"/>
        <v>16</v>
      </c>
      <c r="B16" s="104" t="s">
        <v>83</v>
      </c>
      <c r="C16" s="108">
        <f>+'[1]rate class'!B294</f>
        <v>27600</v>
      </c>
      <c r="D16" s="108">
        <f>('Revenue Analysis'!E298)</f>
        <v>780</v>
      </c>
      <c r="E16" s="110">
        <f t="shared" si="1"/>
        <v>1.9006496922968052E-5</v>
      </c>
      <c r="F16" s="108">
        <f>+'[1]rate class'!E298</f>
        <v>779.7</v>
      </c>
      <c r="G16" s="110">
        <f t="shared" si="2"/>
        <v>1.8929296332600295E-5</v>
      </c>
      <c r="H16" s="108">
        <f>+'[1]rate class'!G298</f>
        <v>779.7</v>
      </c>
      <c r="I16" s="110">
        <f t="shared" si="4"/>
        <v>1.8062696613887167E-5</v>
      </c>
      <c r="J16" s="111">
        <f t="shared" si="5"/>
        <v>0</v>
      </c>
      <c r="K16" s="163">
        <f t="shared" si="3"/>
        <v>0</v>
      </c>
    </row>
    <row r="17" spans="1:16" ht="24.95" customHeight="1" x14ac:dyDescent="0.25">
      <c r="A17" s="124">
        <f t="shared" si="0"/>
        <v>17</v>
      </c>
      <c r="B17" s="104" t="s">
        <v>84</v>
      </c>
      <c r="C17" s="112"/>
      <c r="D17" s="112"/>
      <c r="E17" s="146"/>
      <c r="F17" s="113"/>
      <c r="G17" s="105"/>
      <c r="H17" s="112">
        <v>0</v>
      </c>
      <c r="I17" s="105"/>
      <c r="J17" s="144">
        <v>-379</v>
      </c>
      <c r="K17" s="105"/>
    </row>
    <row r="18" spans="1:16" ht="24.95" customHeight="1" x14ac:dyDescent="0.25">
      <c r="A18" s="124">
        <f t="shared" si="0"/>
        <v>18</v>
      </c>
      <c r="B18" s="104"/>
      <c r="C18" s="108"/>
      <c r="D18" s="108"/>
      <c r="E18" s="105"/>
      <c r="F18" s="104"/>
      <c r="G18" s="105"/>
      <c r="H18" s="104"/>
      <c r="I18" s="105"/>
      <c r="J18" s="104"/>
      <c r="K18" s="105"/>
    </row>
    <row r="19" spans="1:16" ht="24.95" customHeight="1" thickBot="1" x14ac:dyDescent="0.3">
      <c r="A19" s="124">
        <f t="shared" si="0"/>
        <v>19</v>
      </c>
      <c r="B19" s="104" t="s">
        <v>85</v>
      </c>
      <c r="C19" s="114">
        <f t="shared" ref="C19:H19" si="6">SUM(C7:C17)</f>
        <v>459776136</v>
      </c>
      <c r="D19" s="115">
        <f t="shared" si="6"/>
        <v>41038598.704500005</v>
      </c>
      <c r="E19" s="147">
        <f t="shared" si="6"/>
        <v>1</v>
      </c>
      <c r="F19" s="116">
        <f t="shared" si="6"/>
        <v>41190120.662710004</v>
      </c>
      <c r="G19" s="148">
        <f t="shared" si="6"/>
        <v>0.99999999999999978</v>
      </c>
      <c r="H19" s="116">
        <f t="shared" si="6"/>
        <v>43166312.13307</v>
      </c>
      <c r="I19" s="109">
        <f>(H19/$H$19)</f>
        <v>1</v>
      </c>
      <c r="J19" s="116">
        <f>SUM(J7:J17)</f>
        <v>1975812.4703600055</v>
      </c>
      <c r="K19" s="145">
        <f>+J19/F19</f>
        <v>4.796811562022775E-2</v>
      </c>
      <c r="P19" s="139">
        <f>(J19-'[2]adjusted is'!$I$9)</f>
        <v>0.91100968490354717</v>
      </c>
    </row>
    <row r="20" spans="1:16" ht="24.95" customHeight="1" thickTop="1" x14ac:dyDescent="0.25">
      <c r="A20" s="124">
        <f t="shared" si="0"/>
        <v>20</v>
      </c>
      <c r="B20" s="104"/>
      <c r="C20" s="104"/>
      <c r="D20" s="104"/>
      <c r="E20" s="105"/>
      <c r="F20" s="104"/>
      <c r="G20" s="105"/>
      <c r="H20" s="104"/>
      <c r="I20" s="105"/>
      <c r="J20" s="104"/>
      <c r="K20" s="105"/>
    </row>
    <row r="21" spans="1:16" ht="24.95" customHeight="1" x14ac:dyDescent="0.25">
      <c r="A21" s="124">
        <f t="shared" si="0"/>
        <v>21</v>
      </c>
      <c r="B21" s="104" t="s">
        <v>86</v>
      </c>
      <c r="C21" s="104"/>
      <c r="D21" s="108">
        <f>('Revenue Analysis'!E326)</f>
        <v>-1665196</v>
      </c>
      <c r="E21" s="104"/>
      <c r="F21" s="104"/>
      <c r="G21" s="104"/>
      <c r="H21" s="104"/>
      <c r="I21" s="105"/>
      <c r="J21" s="103" t="s">
        <v>11</v>
      </c>
      <c r="K21" s="105"/>
    </row>
    <row r="22" spans="1:16" ht="24.95" customHeight="1" x14ac:dyDescent="0.25">
      <c r="A22" s="124">
        <f t="shared" si="0"/>
        <v>22</v>
      </c>
      <c r="B22" s="104" t="s">
        <v>87</v>
      </c>
      <c r="C22" s="104"/>
      <c r="D22" s="112">
        <f>('Revenue Analysis'!E327)</f>
        <v>4646102</v>
      </c>
      <c r="E22" s="104"/>
      <c r="F22" s="104"/>
      <c r="G22" s="104"/>
      <c r="H22" s="104"/>
      <c r="I22" s="104"/>
      <c r="J22" s="104"/>
      <c r="K22" s="104"/>
      <c r="N22" s="150" t="s">
        <v>141</v>
      </c>
    </row>
    <row r="23" spans="1:16" ht="24.95" customHeight="1" thickBot="1" x14ac:dyDescent="0.3">
      <c r="A23" s="124">
        <f t="shared" si="0"/>
        <v>23</v>
      </c>
      <c r="B23" s="104"/>
      <c r="C23" s="104"/>
      <c r="D23" s="116">
        <f>SUM(D19:D22)</f>
        <v>44019504.704500005</v>
      </c>
      <c r="E23" s="104"/>
      <c r="F23" s="104"/>
      <c r="G23" s="104"/>
      <c r="H23" s="104"/>
      <c r="I23" s="104"/>
      <c r="J23" s="104"/>
      <c r="K23" s="104"/>
      <c r="N23" s="149" t="s">
        <v>11</v>
      </c>
    </row>
    <row r="24" spans="1:16" ht="24.95" customHeight="1" thickTop="1" x14ac:dyDescent="0.25">
      <c r="A24" s="124">
        <f t="shared" si="0"/>
        <v>24</v>
      </c>
      <c r="B24" s="104" t="s">
        <v>88</v>
      </c>
      <c r="C24" s="104"/>
      <c r="D24" s="108" t="s">
        <v>11</v>
      </c>
      <c r="E24" s="104"/>
      <c r="F24" s="117">
        <f>(F19-D19)</f>
        <v>151521.95820999891</v>
      </c>
      <c r="G24" s="103"/>
      <c r="H24" s="117">
        <f>(H19-F19)</f>
        <v>1976191.470359996</v>
      </c>
      <c r="I24" s="104"/>
      <c r="J24" s="104"/>
      <c r="K24" s="104"/>
    </row>
    <row r="25" spans="1:16" ht="15.95" customHeight="1" x14ac:dyDescent="0.25">
      <c r="A25" s="124">
        <f t="shared" si="0"/>
        <v>25</v>
      </c>
      <c r="B25" s="104"/>
      <c r="C25" s="104"/>
      <c r="D25" s="108"/>
      <c r="E25" s="104"/>
      <c r="H25" s="104"/>
      <c r="I25" s="104"/>
      <c r="J25" s="104"/>
      <c r="K25" s="104"/>
    </row>
    <row r="26" spans="1:16" ht="15.95" customHeight="1" x14ac:dyDescent="0.25">
      <c r="A26" s="124">
        <f t="shared" si="0"/>
        <v>26</v>
      </c>
      <c r="B26" s="104"/>
      <c r="C26" s="104"/>
      <c r="D26" s="118"/>
      <c r="E26" s="104"/>
      <c r="F26" s="111"/>
      <c r="G26" s="104"/>
      <c r="H26" s="104"/>
      <c r="I26" s="104"/>
      <c r="J26" s="104"/>
      <c r="K26" s="104"/>
    </row>
    <row r="27" spans="1:16" ht="15.95" customHeight="1" x14ac:dyDescent="0.25">
      <c r="A27" s="124">
        <f t="shared" si="0"/>
        <v>27</v>
      </c>
      <c r="B27" s="104"/>
      <c r="C27" s="104"/>
      <c r="D27" s="119" t="s">
        <v>11</v>
      </c>
      <c r="E27" s="104"/>
      <c r="F27" s="104"/>
      <c r="G27" s="104"/>
      <c r="H27" s="104"/>
      <c r="I27" s="104"/>
      <c r="J27" s="104"/>
      <c r="K27" s="104"/>
    </row>
    <row r="28" spans="1:16" ht="15.95" customHeight="1" x14ac:dyDescent="0.25">
      <c r="A28" s="124">
        <f t="shared" si="0"/>
        <v>28</v>
      </c>
      <c r="B28" s="104"/>
      <c r="C28" s="104"/>
      <c r="D28" s="104"/>
      <c r="E28" s="104"/>
      <c r="F28" s="108"/>
      <c r="G28" s="104"/>
      <c r="H28" s="104"/>
      <c r="I28" s="104"/>
      <c r="J28" s="104"/>
      <c r="K28" s="104"/>
    </row>
    <row r="29" spans="1:16" ht="15.95" customHeight="1" x14ac:dyDescent="0.25">
      <c r="A29" s="124"/>
      <c r="B29" s="104"/>
      <c r="C29" s="104"/>
      <c r="D29" s="104"/>
      <c r="E29" s="104"/>
      <c r="F29" s="104"/>
      <c r="G29" s="104"/>
      <c r="H29" s="104"/>
      <c r="I29" s="104"/>
      <c r="J29" s="104"/>
      <c r="K29" s="104"/>
    </row>
    <row r="30" spans="1:16" x14ac:dyDescent="0.25">
      <c r="A30" s="124"/>
    </row>
    <row r="31" spans="1:16" x14ac:dyDescent="0.25">
      <c r="A31" s="124"/>
    </row>
    <row r="32" spans="1:16" x14ac:dyDescent="0.25">
      <c r="A32" s="124"/>
    </row>
    <row r="33" spans="1:7" x14ac:dyDescent="0.25">
      <c r="A33" s="124"/>
    </row>
    <row r="34" spans="1:7" x14ac:dyDescent="0.25">
      <c r="A34" s="124">
        <v>1</v>
      </c>
      <c r="E34" s="120" t="s">
        <v>89</v>
      </c>
    </row>
    <row r="35" spans="1:7" x14ac:dyDescent="0.25">
      <c r="A35" s="124">
        <f t="shared" ref="A35:A53" si="7">(A34+1)</f>
        <v>2</v>
      </c>
      <c r="E35" s="120" t="s">
        <v>90</v>
      </c>
    </row>
    <row r="36" spans="1:7" x14ac:dyDescent="0.25">
      <c r="A36" s="124">
        <f t="shared" si="7"/>
        <v>3</v>
      </c>
      <c r="E36" s="120" t="s">
        <v>63</v>
      </c>
    </row>
    <row r="37" spans="1:7" x14ac:dyDescent="0.25">
      <c r="A37" s="124">
        <f t="shared" si="7"/>
        <v>4</v>
      </c>
      <c r="B37" s="180" t="s">
        <v>11</v>
      </c>
      <c r="C37" s="180"/>
      <c r="D37" s="180"/>
      <c r="E37" s="180"/>
      <c r="F37" s="104"/>
      <c r="G37" s="104"/>
    </row>
    <row r="38" spans="1:7" x14ac:dyDescent="0.25">
      <c r="A38" s="124">
        <f t="shared" si="7"/>
        <v>5</v>
      </c>
      <c r="B38" s="180" t="s">
        <v>11</v>
      </c>
      <c r="C38" s="180"/>
      <c r="D38" s="180"/>
      <c r="E38" s="180"/>
      <c r="F38" s="104"/>
      <c r="G38" s="104"/>
    </row>
    <row r="39" spans="1:7" x14ac:dyDescent="0.25">
      <c r="A39" s="124">
        <f t="shared" si="7"/>
        <v>6</v>
      </c>
      <c r="B39" s="182" t="s">
        <v>11</v>
      </c>
      <c r="C39" s="182"/>
      <c r="D39" s="182"/>
      <c r="E39" s="182"/>
      <c r="F39" s="104"/>
      <c r="G39" s="104"/>
    </row>
    <row r="40" spans="1:7" x14ac:dyDescent="0.25">
      <c r="A40" s="124">
        <f t="shared" si="7"/>
        <v>7</v>
      </c>
      <c r="B40" s="181" t="s">
        <v>11</v>
      </c>
      <c r="C40" s="181"/>
      <c r="D40" s="181"/>
      <c r="E40" s="181"/>
      <c r="F40" s="104"/>
      <c r="G40" s="104"/>
    </row>
    <row r="41" spans="1:7" x14ac:dyDescent="0.25">
      <c r="A41" s="124">
        <f t="shared" si="7"/>
        <v>8</v>
      </c>
      <c r="B41" s="104"/>
      <c r="C41" s="104"/>
      <c r="D41" s="104"/>
      <c r="E41" s="104"/>
      <c r="F41" s="104"/>
      <c r="G41" s="104"/>
    </row>
    <row r="42" spans="1:7" x14ac:dyDescent="0.25">
      <c r="A42" s="124">
        <f t="shared" si="7"/>
        <v>9</v>
      </c>
      <c r="B42" s="104"/>
      <c r="C42" s="104"/>
      <c r="D42" s="104"/>
      <c r="E42" s="104"/>
      <c r="F42" s="104"/>
      <c r="G42" s="104"/>
    </row>
    <row r="43" spans="1:7" x14ac:dyDescent="0.25">
      <c r="A43" s="124">
        <f t="shared" si="7"/>
        <v>10</v>
      </c>
      <c r="B43" s="104"/>
      <c r="C43" s="104"/>
      <c r="D43" s="104"/>
      <c r="E43" s="104"/>
      <c r="F43" s="104"/>
      <c r="G43" s="104"/>
    </row>
    <row r="44" spans="1:7" x14ac:dyDescent="0.25">
      <c r="A44" s="124">
        <f t="shared" si="7"/>
        <v>11</v>
      </c>
      <c r="B44" s="104" t="s">
        <v>91</v>
      </c>
      <c r="C44" s="104"/>
      <c r="D44" s="108">
        <f>D19</f>
        <v>41038598.704500005</v>
      </c>
      <c r="E44" s="104"/>
      <c r="F44" s="104"/>
      <c r="G44" s="104"/>
    </row>
    <row r="45" spans="1:7" x14ac:dyDescent="0.25">
      <c r="A45" s="124">
        <f t="shared" si="7"/>
        <v>12</v>
      </c>
      <c r="B45" s="104"/>
      <c r="C45" s="104"/>
      <c r="D45" s="104"/>
      <c r="E45" s="104"/>
      <c r="F45" s="104"/>
      <c r="G45" s="104"/>
    </row>
    <row r="46" spans="1:7" x14ac:dyDescent="0.25">
      <c r="A46" s="124">
        <f t="shared" si="7"/>
        <v>13</v>
      </c>
      <c r="B46" s="104" t="s">
        <v>92</v>
      </c>
      <c r="C46" s="104"/>
      <c r="D46" s="104"/>
      <c r="E46" s="104"/>
      <c r="F46" s="104"/>
      <c r="G46" s="104"/>
    </row>
    <row r="47" spans="1:7" x14ac:dyDescent="0.25">
      <c r="A47" s="124">
        <f t="shared" si="7"/>
        <v>14</v>
      </c>
      <c r="B47" s="104" t="s">
        <v>93</v>
      </c>
      <c r="C47" s="104"/>
      <c r="D47" s="112">
        <f>F19</f>
        <v>41190120.662710004</v>
      </c>
      <c r="E47" s="104"/>
      <c r="F47" s="104"/>
      <c r="G47" s="104"/>
    </row>
    <row r="48" spans="1:7" x14ac:dyDescent="0.25">
      <c r="A48" s="124">
        <f t="shared" si="7"/>
        <v>15</v>
      </c>
      <c r="B48" s="104"/>
      <c r="C48" s="104"/>
      <c r="D48" s="104"/>
      <c r="E48" s="104"/>
      <c r="F48" s="104"/>
      <c r="G48" s="104"/>
    </row>
    <row r="49" spans="1:7" ht="16.5" thickBot="1" x14ac:dyDescent="0.3">
      <c r="A49" s="124">
        <f t="shared" si="7"/>
        <v>16</v>
      </c>
      <c r="B49" s="104" t="s">
        <v>94</v>
      </c>
      <c r="C49" s="104"/>
      <c r="D49" s="114">
        <f>+D47-D44</f>
        <v>151521.95820999891</v>
      </c>
      <c r="E49" s="104"/>
      <c r="F49" s="104"/>
      <c r="G49" s="104"/>
    </row>
    <row r="50" spans="1:7" ht="16.5" thickTop="1" x14ac:dyDescent="0.25">
      <c r="A50" s="124">
        <f t="shared" si="7"/>
        <v>17</v>
      </c>
      <c r="B50" s="104"/>
      <c r="C50" s="104"/>
      <c r="D50" s="104"/>
      <c r="E50" s="104"/>
      <c r="F50" s="104"/>
      <c r="G50" s="104"/>
    </row>
    <row r="51" spans="1:7" x14ac:dyDescent="0.25">
      <c r="A51" s="124">
        <f t="shared" si="7"/>
        <v>18</v>
      </c>
      <c r="B51" s="121"/>
      <c r="C51" s="130"/>
      <c r="D51" s="130"/>
      <c r="E51" s="126"/>
      <c r="F51" s="104"/>
      <c r="G51" s="104"/>
    </row>
    <row r="52" spans="1:7" x14ac:dyDescent="0.25">
      <c r="A52" s="124">
        <f t="shared" si="7"/>
        <v>19</v>
      </c>
      <c r="B52" s="121"/>
      <c r="C52" s="130"/>
      <c r="D52" s="131"/>
      <c r="E52" s="126"/>
      <c r="F52" s="104"/>
      <c r="G52" s="104"/>
    </row>
    <row r="53" spans="1:7" x14ac:dyDescent="0.25">
      <c r="A53" s="124">
        <f t="shared" si="7"/>
        <v>20</v>
      </c>
      <c r="B53" s="130"/>
      <c r="C53" s="130"/>
      <c r="D53" s="130"/>
      <c r="E53" s="126"/>
      <c r="F53" s="104"/>
      <c r="G53" s="104"/>
    </row>
    <row r="54" spans="1:7" x14ac:dyDescent="0.25">
      <c r="A54" s="124">
        <f>(A53+1)</f>
        <v>21</v>
      </c>
      <c r="B54" s="121"/>
      <c r="C54" s="121"/>
      <c r="D54" s="121"/>
      <c r="E54" s="104"/>
      <c r="F54" s="104"/>
      <c r="G54" s="104"/>
    </row>
    <row r="55" spans="1:7" x14ac:dyDescent="0.25">
      <c r="A55" s="124">
        <f>(A54+1)</f>
        <v>22</v>
      </c>
      <c r="B55" s="121"/>
      <c r="C55" s="121"/>
      <c r="D55" s="118"/>
      <c r="E55" s="104"/>
      <c r="F55" s="104"/>
      <c r="G55" s="104"/>
    </row>
    <row r="56" spans="1:7" x14ac:dyDescent="0.25">
      <c r="A56" s="124">
        <f>(A55+1)</f>
        <v>23</v>
      </c>
      <c r="B56" s="121"/>
      <c r="C56" s="121"/>
      <c r="D56" s="121"/>
      <c r="E56" s="104"/>
      <c r="F56" s="104"/>
      <c r="G56" s="104"/>
    </row>
    <row r="57" spans="1:7" x14ac:dyDescent="0.25">
      <c r="A57" s="124">
        <f>(A56+1)</f>
        <v>24</v>
      </c>
      <c r="B57" s="121"/>
      <c r="C57" s="121"/>
      <c r="D57" s="121"/>
      <c r="E57" s="104"/>
      <c r="F57" s="104"/>
      <c r="G57" s="104"/>
    </row>
    <row r="58" spans="1:7" x14ac:dyDescent="0.25">
      <c r="A58" s="124"/>
      <c r="B58" s="104"/>
      <c r="C58" s="104"/>
      <c r="D58" s="104"/>
      <c r="E58" s="104"/>
      <c r="F58" s="104"/>
      <c r="G58" s="104"/>
    </row>
    <row r="59" spans="1:7" x14ac:dyDescent="0.25">
      <c r="A59" s="124"/>
      <c r="B59" s="104"/>
      <c r="C59" s="104"/>
      <c r="D59" s="104"/>
      <c r="E59" s="104"/>
      <c r="F59" s="104"/>
      <c r="G59" s="104"/>
    </row>
    <row r="60" spans="1:7" x14ac:dyDescent="0.25">
      <c r="A60" s="124"/>
      <c r="B60" s="104"/>
      <c r="C60" s="104"/>
      <c r="D60" s="104"/>
      <c r="E60" s="104"/>
      <c r="F60" s="104"/>
      <c r="G60" s="104"/>
    </row>
    <row r="61" spans="1:7" x14ac:dyDescent="0.25">
      <c r="A61" s="124"/>
      <c r="B61" s="104"/>
      <c r="C61" s="104"/>
      <c r="D61" s="104"/>
      <c r="E61" s="104"/>
      <c r="F61" s="104"/>
      <c r="G61" s="104"/>
    </row>
    <row r="62" spans="1:7" x14ac:dyDescent="0.25">
      <c r="A62" s="124">
        <f t="shared" ref="A62:A99" si="8">(A61+1)</f>
        <v>1</v>
      </c>
      <c r="B62" s="104"/>
      <c r="C62" s="104"/>
      <c r="D62" s="104"/>
      <c r="E62" s="104"/>
      <c r="F62" s="104"/>
      <c r="G62" s="120" t="s">
        <v>95</v>
      </c>
    </row>
    <row r="63" spans="1:7" x14ac:dyDescent="0.25">
      <c r="A63" s="124">
        <f t="shared" si="8"/>
        <v>2</v>
      </c>
      <c r="B63" s="104"/>
      <c r="C63" s="104"/>
      <c r="D63" s="104"/>
      <c r="E63" s="104"/>
      <c r="F63" s="104"/>
      <c r="G63" s="120" t="s">
        <v>96</v>
      </c>
    </row>
    <row r="64" spans="1:7" x14ac:dyDescent="0.25">
      <c r="A64" s="124">
        <f t="shared" si="8"/>
        <v>3</v>
      </c>
      <c r="B64" s="104"/>
      <c r="C64" s="104"/>
      <c r="D64" s="104"/>
      <c r="E64" s="104"/>
      <c r="F64" s="104"/>
      <c r="G64" s="120" t="s">
        <v>63</v>
      </c>
    </row>
    <row r="65" spans="1:25" x14ac:dyDescent="0.25">
      <c r="A65" s="124">
        <f t="shared" si="8"/>
        <v>4</v>
      </c>
      <c r="B65" s="180" t="e">
        <f>#REF!</f>
        <v>#REF!</v>
      </c>
      <c r="C65" s="180"/>
      <c r="D65" s="180"/>
      <c r="E65" s="180"/>
      <c r="F65" s="180"/>
      <c r="G65" s="180"/>
    </row>
    <row r="66" spans="1:25" x14ac:dyDescent="0.25">
      <c r="A66" s="124">
        <f t="shared" si="8"/>
        <v>5</v>
      </c>
      <c r="B66" s="180" t="e">
        <f>#REF!</f>
        <v>#REF!</v>
      </c>
      <c r="C66" s="180"/>
      <c r="D66" s="180"/>
      <c r="E66" s="180"/>
      <c r="F66" s="180"/>
      <c r="G66" s="180"/>
    </row>
    <row r="67" spans="1:25" x14ac:dyDescent="0.25">
      <c r="A67" s="124">
        <f t="shared" si="8"/>
        <v>6</v>
      </c>
      <c r="B67" s="180" t="s">
        <v>97</v>
      </c>
      <c r="C67" s="180"/>
      <c r="D67" s="180"/>
      <c r="E67" s="180"/>
      <c r="F67" s="180"/>
      <c r="G67" s="180"/>
    </row>
    <row r="68" spans="1:25" x14ac:dyDescent="0.25">
      <c r="A68" s="124">
        <f t="shared" si="8"/>
        <v>7</v>
      </c>
      <c r="B68" s="181" t="e">
        <f>#REF!</f>
        <v>#REF!</v>
      </c>
      <c r="C68" s="181"/>
      <c r="D68" s="181"/>
      <c r="E68" s="181"/>
      <c r="F68" s="181"/>
      <c r="G68" s="181"/>
    </row>
    <row r="69" spans="1:25" x14ac:dyDescent="0.25">
      <c r="A69" s="124">
        <f t="shared" si="8"/>
        <v>8</v>
      </c>
      <c r="B69" s="104"/>
      <c r="C69" s="104"/>
      <c r="D69" s="104"/>
      <c r="E69" s="104"/>
      <c r="F69" s="104"/>
      <c r="G69" s="104"/>
    </row>
    <row r="70" spans="1:25" x14ac:dyDescent="0.25">
      <c r="A70" s="124">
        <f t="shared" si="8"/>
        <v>9</v>
      </c>
      <c r="B70" s="104"/>
      <c r="C70" s="104"/>
      <c r="D70" s="104"/>
      <c r="E70" s="104"/>
      <c r="F70" s="104"/>
      <c r="G70" s="104"/>
    </row>
    <row r="71" spans="1:25" x14ac:dyDescent="0.25">
      <c r="A71" s="124">
        <f t="shared" si="8"/>
        <v>10</v>
      </c>
      <c r="B71" s="104" t="s">
        <v>98</v>
      </c>
      <c r="C71" s="104"/>
      <c r="D71" s="104"/>
      <c r="E71" s="104"/>
      <c r="F71" s="104"/>
      <c r="G71" s="104"/>
    </row>
    <row r="72" spans="1:25" x14ac:dyDescent="0.25">
      <c r="A72" s="124">
        <f t="shared" si="8"/>
        <v>11</v>
      </c>
      <c r="B72" s="104" t="s">
        <v>99</v>
      </c>
      <c r="C72" s="104"/>
      <c r="D72" s="104"/>
      <c r="E72" s="104"/>
      <c r="F72" s="104"/>
      <c r="G72" s="104"/>
    </row>
    <row r="73" spans="1:25" x14ac:dyDescent="0.25">
      <c r="A73" s="124">
        <f t="shared" si="8"/>
        <v>12</v>
      </c>
      <c r="B73" s="104"/>
      <c r="C73" s="122" t="s">
        <v>100</v>
      </c>
      <c r="D73" s="122"/>
      <c r="E73" s="104"/>
      <c r="F73" s="122" t="s">
        <v>101</v>
      </c>
      <c r="G73" s="122"/>
    </row>
    <row r="74" spans="1:25" x14ac:dyDescent="0.25">
      <c r="A74" s="124">
        <f t="shared" si="8"/>
        <v>13</v>
      </c>
      <c r="B74" s="104"/>
      <c r="C74" s="127"/>
      <c r="D74" s="105" t="s">
        <v>102</v>
      </c>
      <c r="E74" s="104"/>
      <c r="F74" s="127"/>
      <c r="G74" s="105" t="s">
        <v>102</v>
      </c>
      <c r="J74" s="132"/>
    </row>
    <row r="75" spans="1:25" x14ac:dyDescent="0.25">
      <c r="A75" s="124">
        <f t="shared" si="8"/>
        <v>14</v>
      </c>
      <c r="B75" s="133" t="s">
        <v>103</v>
      </c>
      <c r="C75" s="107" t="s">
        <v>104</v>
      </c>
      <c r="D75" s="107" t="s">
        <v>105</v>
      </c>
      <c r="E75" s="104"/>
      <c r="F75" s="107" t="s">
        <v>104</v>
      </c>
      <c r="G75" s="107" t="s">
        <v>105</v>
      </c>
    </row>
    <row r="76" spans="1:25" x14ac:dyDescent="0.25">
      <c r="A76" s="124">
        <f t="shared" si="8"/>
        <v>15</v>
      </c>
      <c r="B76" s="104"/>
      <c r="C76" s="126"/>
      <c r="D76" s="126"/>
      <c r="E76" s="104"/>
      <c r="F76" s="104"/>
      <c r="G76" s="104"/>
    </row>
    <row r="77" spans="1:25" x14ac:dyDescent="0.25">
      <c r="A77" s="124">
        <f t="shared" si="8"/>
        <v>16</v>
      </c>
      <c r="B77" s="104" t="s">
        <v>106</v>
      </c>
      <c r="C77" s="134">
        <f>+[1]detail!J182</f>
        <v>4970</v>
      </c>
      <c r="D77" s="134">
        <f>+[1]detail!K182</f>
        <v>1368</v>
      </c>
      <c r="E77" s="104"/>
      <c r="F77" s="108">
        <f>+'[1]power cost'!O54</f>
        <v>-37919</v>
      </c>
      <c r="G77" s="108">
        <f>+'[1]power cost'!Q54</f>
        <v>497956</v>
      </c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34"/>
      <c r="V77" s="134"/>
      <c r="W77" s="134"/>
      <c r="X77" s="134"/>
      <c r="Y77" s="134"/>
    </row>
    <row r="78" spans="1:25" x14ac:dyDescent="0.25">
      <c r="A78" s="124">
        <f t="shared" si="8"/>
        <v>17</v>
      </c>
      <c r="B78" s="104" t="s">
        <v>107</v>
      </c>
      <c r="C78" s="134">
        <f>+[1]detail!J183</f>
        <v>5040</v>
      </c>
      <c r="D78" s="134">
        <f>+[1]detail!K183</f>
        <v>1378</v>
      </c>
      <c r="E78" s="104"/>
      <c r="F78" s="108">
        <f>+'[1]power cost'!O55</f>
        <v>-186080</v>
      </c>
      <c r="G78" s="108">
        <f>+'[1]power cost'!Q55</f>
        <v>476284</v>
      </c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34"/>
      <c r="V78" s="134"/>
      <c r="W78" s="134"/>
      <c r="X78" s="134"/>
      <c r="Y78" s="134"/>
    </row>
    <row r="79" spans="1:25" x14ac:dyDescent="0.25">
      <c r="A79" s="124">
        <f t="shared" si="8"/>
        <v>18</v>
      </c>
      <c r="B79" s="104" t="s">
        <v>108</v>
      </c>
      <c r="C79" s="134">
        <f>+[1]detail!J184</f>
        <v>4970</v>
      </c>
      <c r="D79" s="134">
        <f>+[1]detail!K184</f>
        <v>1390</v>
      </c>
      <c r="E79" s="104"/>
      <c r="F79" s="108">
        <f>+'[1]power cost'!O56</f>
        <v>-169487</v>
      </c>
      <c r="G79" s="108">
        <f>+'[1]power cost'!Q56</f>
        <v>491511</v>
      </c>
    </row>
    <row r="80" spans="1:25" x14ac:dyDescent="0.25">
      <c r="A80" s="124">
        <f t="shared" si="8"/>
        <v>19</v>
      </c>
      <c r="B80" s="104" t="s">
        <v>109</v>
      </c>
      <c r="C80" s="134">
        <f>+[1]detail!J185</f>
        <v>5180</v>
      </c>
      <c r="D80" s="134">
        <f>+[1]detail!K185</f>
        <v>1390</v>
      </c>
      <c r="E80" s="104"/>
      <c r="F80" s="108">
        <f>+'[1]power cost'!O57</f>
        <v>-171712</v>
      </c>
      <c r="G80" s="108">
        <f>+'[1]power cost'!Q57</f>
        <v>309221</v>
      </c>
    </row>
    <row r="81" spans="1:10" x14ac:dyDescent="0.25">
      <c r="A81" s="124">
        <f t="shared" si="8"/>
        <v>20</v>
      </c>
      <c r="B81" s="104" t="s">
        <v>110</v>
      </c>
      <c r="C81" s="134">
        <f>+[1]detail!J186</f>
        <v>5180</v>
      </c>
      <c r="D81" s="134">
        <f>+[1]detail!K186</f>
        <v>1390</v>
      </c>
      <c r="E81" s="104"/>
      <c r="F81" s="108">
        <f>+'[1]power cost'!O58</f>
        <v>-169424</v>
      </c>
      <c r="G81" s="108">
        <f>+'[1]power cost'!Q58</f>
        <v>196683</v>
      </c>
    </row>
    <row r="82" spans="1:10" x14ac:dyDescent="0.25">
      <c r="A82" s="124">
        <f t="shared" si="8"/>
        <v>21</v>
      </c>
      <c r="B82" s="104" t="s">
        <v>111</v>
      </c>
      <c r="C82" s="134">
        <f>+[1]detail!J187</f>
        <v>5110</v>
      </c>
      <c r="D82" s="134">
        <f>+[1]detail!K187</f>
        <v>1382</v>
      </c>
      <c r="E82" s="104"/>
      <c r="F82" s="108">
        <f>+'[1]power cost'!O59</f>
        <v>-243204</v>
      </c>
      <c r="G82" s="108">
        <f>+'[1]power cost'!Q59</f>
        <v>266978</v>
      </c>
    </row>
    <row r="83" spans="1:10" x14ac:dyDescent="0.25">
      <c r="A83" s="124">
        <f t="shared" si="8"/>
        <v>22</v>
      </c>
      <c r="B83" s="104" t="s">
        <v>112</v>
      </c>
      <c r="C83" s="134">
        <f>+[1]detail!J188</f>
        <v>60760</v>
      </c>
      <c r="D83" s="134">
        <f>+[1]detail!K188</f>
        <v>16404</v>
      </c>
      <c r="E83" s="104"/>
      <c r="F83" s="108">
        <f>+'[1]power cost'!O60</f>
        <v>-89820</v>
      </c>
      <c r="G83" s="108">
        <f>+'[1]power cost'!Q60</f>
        <v>425853</v>
      </c>
    </row>
    <row r="84" spans="1:10" x14ac:dyDescent="0.25">
      <c r="A84" s="124">
        <f t="shared" si="8"/>
        <v>23</v>
      </c>
      <c r="B84" s="104" t="s">
        <v>113</v>
      </c>
      <c r="C84" s="134" t="e">
        <f>+[1]detail!J189</f>
        <v>#REF!</v>
      </c>
      <c r="D84" s="134" t="e">
        <f>+[1]detail!K189</f>
        <v>#REF!</v>
      </c>
      <c r="E84" s="104"/>
      <c r="F84" s="108">
        <f>+'[1]power cost'!O61</f>
        <v>-110982</v>
      </c>
      <c r="G84" s="108">
        <f>+'[1]power cost'!Q61</f>
        <v>457113</v>
      </c>
    </row>
    <row r="85" spans="1:10" x14ac:dyDescent="0.25">
      <c r="A85" s="124">
        <f t="shared" si="8"/>
        <v>24</v>
      </c>
      <c r="B85" s="104" t="s">
        <v>114</v>
      </c>
      <c r="C85" s="134" t="e">
        <f>+[1]detail!J190</f>
        <v>#REF!</v>
      </c>
      <c r="D85" s="134" t="e">
        <f>+[1]detail!K190</f>
        <v>#REF!</v>
      </c>
      <c r="E85" s="104"/>
      <c r="F85" s="108">
        <f>+'[1]power cost'!O62</f>
        <v>-134650</v>
      </c>
      <c r="G85" s="108">
        <f>+'[1]power cost'!Q62</f>
        <v>364156</v>
      </c>
    </row>
    <row r="86" spans="1:10" x14ac:dyDescent="0.25">
      <c r="A86" s="124">
        <f t="shared" si="8"/>
        <v>25</v>
      </c>
      <c r="B86" s="104" t="s">
        <v>115</v>
      </c>
      <c r="C86" s="134" t="e">
        <f>+[1]detail!J191</f>
        <v>#REF!</v>
      </c>
      <c r="D86" s="134" t="str">
        <f>+[1]detail!K191</f>
        <v>Fuel</v>
      </c>
      <c r="E86" s="104"/>
      <c r="F86" s="108">
        <f>+'[1]power cost'!O63</f>
        <v>-117425</v>
      </c>
      <c r="G86" s="108">
        <f>+'[1]power cost'!Q63</f>
        <v>331163</v>
      </c>
      <c r="J86" s="133"/>
    </row>
    <row r="87" spans="1:10" x14ac:dyDescent="0.25">
      <c r="A87" s="124">
        <f t="shared" si="8"/>
        <v>26</v>
      </c>
      <c r="B87" s="104" t="s">
        <v>116</v>
      </c>
      <c r="C87" s="134" t="e">
        <f>+[1]detail!J192</f>
        <v>#REF!</v>
      </c>
      <c r="D87" s="134" t="str">
        <f>+[1]detail!K192</f>
        <v>Charge</v>
      </c>
      <c r="E87" s="104"/>
      <c r="F87" s="108">
        <f>+'[1]power cost'!O64</f>
        <v>-141395</v>
      </c>
      <c r="G87" s="108">
        <f>+'[1]power cost'!Q64</f>
        <v>325488</v>
      </c>
      <c r="H87" s="133"/>
      <c r="I87" s="133"/>
    </row>
    <row r="88" spans="1:10" x14ac:dyDescent="0.25">
      <c r="A88" s="124">
        <f t="shared" si="8"/>
        <v>27</v>
      </c>
      <c r="B88" s="104" t="s">
        <v>117</v>
      </c>
      <c r="C88" s="134" t="e">
        <f>+[1]detail!J193</f>
        <v>#REF!</v>
      </c>
      <c r="D88" s="134">
        <f>+[1]detail!K194</f>
        <v>-93896.15</v>
      </c>
      <c r="E88" s="104"/>
      <c r="F88" s="115">
        <f>+'[1]power cost'!O65</f>
        <v>-126849</v>
      </c>
      <c r="G88" s="115">
        <f>+'[1]power cost'!Q65</f>
        <v>411075</v>
      </c>
    </row>
    <row r="89" spans="1:10" x14ac:dyDescent="0.25">
      <c r="A89" s="124">
        <f t="shared" si="8"/>
        <v>28</v>
      </c>
      <c r="B89" s="104"/>
      <c r="C89" s="126"/>
      <c r="D89" s="126"/>
      <c r="E89" s="104"/>
      <c r="F89" s="104"/>
      <c r="G89" s="104"/>
    </row>
    <row r="90" spans="1:10" ht="16.5" thickBot="1" x14ac:dyDescent="0.3">
      <c r="A90" s="124">
        <f t="shared" si="8"/>
        <v>29</v>
      </c>
      <c r="B90" s="104" t="s">
        <v>73</v>
      </c>
      <c r="C90" s="135" t="e">
        <f>SUM(C77:C88)</f>
        <v>#REF!</v>
      </c>
      <c r="D90" s="135" t="e">
        <f>SUM(D77:D88)</f>
        <v>#REF!</v>
      </c>
      <c r="E90" s="104"/>
      <c r="F90" s="114">
        <f>SUM(F77:F88)</f>
        <v>-1698947</v>
      </c>
      <c r="G90" s="114">
        <f>SUM(G77:G88)</f>
        <v>4553481</v>
      </c>
    </row>
    <row r="91" spans="1:10" ht="20.100000000000001" customHeight="1" thickTop="1" x14ac:dyDescent="0.25">
      <c r="A91" s="124">
        <f t="shared" si="8"/>
        <v>30</v>
      </c>
      <c r="B91" s="104"/>
      <c r="C91" s="126"/>
      <c r="D91" s="134" t="e">
        <f>+C90+D90</f>
        <v>#REF!</v>
      </c>
      <c r="E91" s="104"/>
      <c r="F91" s="104"/>
      <c r="G91" s="134">
        <f>+F90+G90</f>
        <v>2854534</v>
      </c>
    </row>
    <row r="92" spans="1:10" x14ac:dyDescent="0.25">
      <c r="A92" s="124">
        <f t="shared" si="8"/>
        <v>31</v>
      </c>
      <c r="B92" s="104"/>
      <c r="C92" s="104"/>
      <c r="D92" s="104"/>
      <c r="E92" s="104"/>
      <c r="F92" s="104"/>
      <c r="G92" s="104"/>
    </row>
    <row r="93" spans="1:10" x14ac:dyDescent="0.25">
      <c r="A93" s="124">
        <f t="shared" si="8"/>
        <v>32</v>
      </c>
      <c r="B93" s="104" t="s">
        <v>118</v>
      </c>
      <c r="C93" s="104"/>
      <c r="D93" s="104"/>
      <c r="E93" s="104"/>
      <c r="F93" s="104"/>
      <c r="G93" s="104"/>
    </row>
    <row r="94" spans="1:10" x14ac:dyDescent="0.25">
      <c r="A94" s="124">
        <f t="shared" si="8"/>
        <v>33</v>
      </c>
      <c r="B94" s="104" t="s">
        <v>119</v>
      </c>
      <c r="C94" s="104"/>
      <c r="D94" s="104"/>
      <c r="E94" s="104"/>
      <c r="F94" s="121"/>
      <c r="G94" s="104"/>
    </row>
    <row r="95" spans="1:10" x14ac:dyDescent="0.25">
      <c r="A95" s="124">
        <f t="shared" si="8"/>
        <v>34</v>
      </c>
      <c r="B95" s="123" t="s">
        <v>120</v>
      </c>
      <c r="C95" s="104"/>
      <c r="D95" s="104"/>
      <c r="E95" s="104"/>
      <c r="F95" s="104"/>
      <c r="G95" s="104"/>
    </row>
    <row r="96" spans="1:10" x14ac:dyDescent="0.25">
      <c r="A96" s="124">
        <f t="shared" si="8"/>
        <v>35</v>
      </c>
      <c r="B96" s="104"/>
      <c r="C96" s="104"/>
      <c r="D96" s="104"/>
      <c r="E96" s="104"/>
      <c r="F96" s="104"/>
      <c r="G96" s="104"/>
    </row>
    <row r="97" spans="1:7" x14ac:dyDescent="0.25">
      <c r="A97" s="124">
        <f t="shared" si="8"/>
        <v>36</v>
      </c>
      <c r="B97" s="104"/>
      <c r="C97" s="104"/>
      <c r="D97" s="104"/>
      <c r="E97" s="104"/>
      <c r="F97" s="104"/>
      <c r="G97" s="104"/>
    </row>
    <row r="98" spans="1:7" x14ac:dyDescent="0.25">
      <c r="A98" s="124">
        <f t="shared" si="8"/>
        <v>37</v>
      </c>
      <c r="C98" s="104"/>
      <c r="D98" s="104"/>
      <c r="E98" s="104"/>
      <c r="F98" s="104"/>
      <c r="G98" s="104"/>
    </row>
    <row r="99" spans="1:7" x14ac:dyDescent="0.25">
      <c r="A99" s="124">
        <f t="shared" si="8"/>
        <v>38</v>
      </c>
      <c r="C99" s="104"/>
      <c r="D99" s="104"/>
      <c r="E99" s="104"/>
      <c r="F99" s="104"/>
      <c r="G99" s="104"/>
    </row>
  </sheetData>
  <mergeCells count="8">
    <mergeCell ref="B67:G67"/>
    <mergeCell ref="B68:G68"/>
    <mergeCell ref="B37:E37"/>
    <mergeCell ref="B38:E38"/>
    <mergeCell ref="B39:E39"/>
    <mergeCell ref="B40:E40"/>
    <mergeCell ref="B65:G65"/>
    <mergeCell ref="B66:G66"/>
  </mergeCells>
  <printOptions horizontalCentered="1" verticalCentered="1"/>
  <pageMargins left="0.7" right="0.7" top="0.75" bottom="0.75" header="0.3" footer="0.3"/>
  <pageSetup scale="75" orientation="landscape" r:id="rId1"/>
  <headerFooter>
    <oddHeader>&amp;C&amp;"-,Bold"&amp;12Cumberland Valley Electric
Case No. 2016-00169
Billing Analysis&amp;"-,Regular"&amp;11
&amp;R Revised Exhbit J
Page 1 of  12
Witness:  James Adkins</oddHead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7"/>
  <sheetViews>
    <sheetView topLeftCell="A124" zoomScale="115" zoomScaleNormal="115" workbookViewId="0">
      <selection activeCell="F271" sqref="F271"/>
    </sheetView>
  </sheetViews>
  <sheetFormatPr defaultRowHeight="12.75" x14ac:dyDescent="0.2"/>
  <cols>
    <col min="1" max="1" width="19.28515625" style="3" customWidth="1"/>
    <col min="2" max="6" width="12.28515625" style="3" customWidth="1"/>
    <col min="7" max="7" width="0.7109375" style="3" customWidth="1"/>
    <col min="8" max="8" width="10" style="3" customWidth="1"/>
    <col min="9" max="9" width="13.140625" style="3" customWidth="1"/>
    <col min="10" max="10" width="7.5703125" style="3" customWidth="1"/>
    <col min="11" max="11" width="1.140625" style="3" customWidth="1"/>
    <col min="12" max="12" width="9.85546875" style="3" customWidth="1"/>
    <col min="13" max="13" width="13.140625" style="3" customWidth="1"/>
    <col min="14" max="14" width="12.42578125" style="3" customWidth="1"/>
    <col min="15" max="15" width="12.85546875" style="3" customWidth="1"/>
    <col min="16" max="16" width="12.42578125" style="3" bestFit="1" customWidth="1"/>
    <col min="17" max="16384" width="9.140625" style="3"/>
  </cols>
  <sheetData>
    <row r="2" spans="1:16" x14ac:dyDescent="0.2">
      <c r="M2" s="141" t="s">
        <v>128</v>
      </c>
    </row>
    <row r="3" spans="1:16" x14ac:dyDescent="0.2">
      <c r="M3" s="141" t="s">
        <v>129</v>
      </c>
    </row>
    <row r="4" spans="1:16" x14ac:dyDescent="0.2">
      <c r="M4" s="141" t="s">
        <v>130</v>
      </c>
    </row>
    <row r="7" spans="1:16" x14ac:dyDescent="0.2">
      <c r="A7" s="1" t="s">
        <v>0</v>
      </c>
      <c r="B7" s="183" t="s">
        <v>1</v>
      </c>
      <c r="C7" s="184"/>
      <c r="D7" s="2"/>
      <c r="E7" s="185" t="s">
        <v>2</v>
      </c>
      <c r="F7" s="186"/>
      <c r="G7" s="2"/>
      <c r="H7" s="183" t="s">
        <v>49</v>
      </c>
      <c r="I7" s="187"/>
      <c r="J7" s="184"/>
      <c r="K7" s="2"/>
      <c r="L7" s="183" t="s">
        <v>3</v>
      </c>
      <c r="M7" s="187"/>
      <c r="N7" s="184"/>
      <c r="O7" s="1"/>
      <c r="P7" s="1"/>
    </row>
    <row r="8" spans="1:16" x14ac:dyDescent="0.2">
      <c r="A8" s="1"/>
      <c r="B8" s="4" t="s">
        <v>4</v>
      </c>
      <c r="C8" s="4" t="s">
        <v>126</v>
      </c>
      <c r="D8" s="1"/>
      <c r="E8" s="4" t="s">
        <v>7</v>
      </c>
      <c r="F8" s="4" t="s">
        <v>8</v>
      </c>
      <c r="G8" s="2"/>
      <c r="H8" s="4" t="s">
        <v>6</v>
      </c>
      <c r="I8" s="4" t="s">
        <v>7</v>
      </c>
      <c r="J8" s="4" t="s">
        <v>8</v>
      </c>
      <c r="K8" s="5"/>
      <c r="L8" s="4" t="s">
        <v>6</v>
      </c>
      <c r="M8" s="4" t="s">
        <v>7</v>
      </c>
      <c r="N8" s="4" t="s">
        <v>9</v>
      </c>
      <c r="O8" s="5" t="s">
        <v>10</v>
      </c>
      <c r="P8" s="5" t="s">
        <v>11</v>
      </c>
    </row>
    <row r="9" spans="1:16" x14ac:dyDescent="0.2">
      <c r="A9" s="1"/>
      <c r="B9" s="1"/>
      <c r="C9" s="1"/>
      <c r="D9" s="1"/>
      <c r="E9" s="2"/>
      <c r="F9" s="5"/>
      <c r="G9" s="5"/>
      <c r="H9" s="5"/>
      <c r="I9" s="5"/>
      <c r="J9" s="5"/>
      <c r="K9" s="5"/>
      <c r="L9" s="5"/>
      <c r="M9" s="5"/>
      <c r="N9" s="5"/>
      <c r="O9" s="1"/>
      <c r="P9" s="1"/>
    </row>
    <row r="10" spans="1:16" x14ac:dyDescent="0.2">
      <c r="A10" s="1" t="s">
        <v>12</v>
      </c>
      <c r="B10" s="1" t="s">
        <v>13</v>
      </c>
      <c r="C10" s="6">
        <v>262406</v>
      </c>
      <c r="D10" s="6"/>
      <c r="E10" s="7">
        <f>('[3]RT''s BillAnal'!$I$17)</f>
        <v>2188760.8500000006</v>
      </c>
      <c r="F10" s="8">
        <v>5.8248527399152226E-2</v>
      </c>
      <c r="G10" s="8"/>
      <c r="H10" s="9">
        <v>8.73</v>
      </c>
      <c r="I10" s="10">
        <f>(H10*C10)</f>
        <v>2290804.38</v>
      </c>
      <c r="J10" s="8">
        <f>(I10/I12)</f>
        <v>8.1658493139420571E-2</v>
      </c>
      <c r="K10" s="1"/>
      <c r="L10" s="11">
        <v>14.1</v>
      </c>
      <c r="M10" s="12">
        <f>(C10*L10)</f>
        <v>3699924.6</v>
      </c>
      <c r="N10" s="13">
        <f>(M10-I10)</f>
        <v>1409120.2200000002</v>
      </c>
      <c r="O10" s="1"/>
      <c r="P10" s="8" t="s">
        <v>11</v>
      </c>
    </row>
    <row r="11" spans="1:16" x14ac:dyDescent="0.2">
      <c r="A11" s="1" t="s">
        <v>14</v>
      </c>
      <c r="B11" s="1" t="s">
        <v>15</v>
      </c>
      <c r="C11" s="23">
        <v>300860320</v>
      </c>
      <c r="D11" s="6"/>
      <c r="E11" s="14">
        <f>(C11*H11)</f>
        <v>25762669.2016</v>
      </c>
      <c r="F11" s="15">
        <v>0.94175147260084779</v>
      </c>
      <c r="G11" s="15"/>
      <c r="H11" s="16">
        <v>8.5629999999999998E-2</v>
      </c>
      <c r="I11" s="17">
        <f>(H11*C11)</f>
        <v>25762669.2016</v>
      </c>
      <c r="J11" s="15">
        <f>(I11/I12)</f>
        <v>0.91834150686057947</v>
      </c>
      <c r="K11" s="18"/>
      <c r="L11" s="19">
        <f>0.08636</f>
        <v>8.6360000000000006E-2</v>
      </c>
      <c r="M11" s="14">
        <f>(C11*L11)</f>
        <v>25982297.235200003</v>
      </c>
      <c r="N11" s="20">
        <f>(M11-I11)</f>
        <v>219628.03360000253</v>
      </c>
      <c r="O11" s="1"/>
      <c r="P11" s="21" t="s">
        <v>11</v>
      </c>
    </row>
    <row r="12" spans="1:16" x14ac:dyDescent="0.2">
      <c r="A12" s="1" t="s">
        <v>16</v>
      </c>
      <c r="B12" s="1"/>
      <c r="C12" s="1" t="s">
        <v>11</v>
      </c>
      <c r="D12" s="1"/>
      <c r="E12" s="13">
        <f>SUM(E10:E11)</f>
        <v>27951430.051600002</v>
      </c>
      <c r="F12" s="22">
        <v>1</v>
      </c>
      <c r="G12" s="22"/>
      <c r="H12" s="22"/>
      <c r="I12" s="13">
        <f>(I10+I11)</f>
        <v>28053473.581599999</v>
      </c>
      <c r="J12" s="13">
        <f>(J10+J11)</f>
        <v>1</v>
      </c>
      <c r="K12" s="1"/>
      <c r="L12" s="1"/>
      <c r="M12" s="13">
        <f>(M10+M11)</f>
        <v>29682221.835200004</v>
      </c>
      <c r="N12" s="13">
        <f>SUM(N10:N11)</f>
        <v>1628748.2536000027</v>
      </c>
      <c r="O12" s="1"/>
      <c r="P12" s="23">
        <f>(C11/C10)</f>
        <v>1146.5451247303797</v>
      </c>
    </row>
    <row r="14" spans="1:16" x14ac:dyDescent="0.2">
      <c r="A14" s="1" t="s">
        <v>17</v>
      </c>
      <c r="B14" s="1"/>
      <c r="D14" s="1"/>
      <c r="E14" s="23">
        <v>-1090772</v>
      </c>
      <c r="F14" s="1"/>
      <c r="G14" s="1"/>
      <c r="H14" s="1"/>
      <c r="I14" s="1" t="s">
        <v>11</v>
      </c>
      <c r="J14" s="1"/>
      <c r="K14" s="1"/>
      <c r="L14" s="1"/>
      <c r="M14" s="1"/>
      <c r="N14" s="1"/>
      <c r="O14" s="1"/>
      <c r="P14" s="1"/>
    </row>
    <row r="15" spans="1:16" x14ac:dyDescent="0.2">
      <c r="A15" s="1" t="s">
        <v>18</v>
      </c>
      <c r="B15" s="1"/>
      <c r="C15" s="1"/>
      <c r="D15" s="1"/>
      <c r="E15" s="23">
        <v>3165909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">
      <c r="A16" s="1"/>
      <c r="B16" s="1"/>
      <c r="C16" s="1"/>
      <c r="D16" s="1"/>
      <c r="E16" s="24">
        <f>SUM(E12+E14+E15)</f>
        <v>30026567.051600002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8" spans="1:17" x14ac:dyDescent="0.2">
      <c r="A18" s="1" t="s">
        <v>19</v>
      </c>
      <c r="B18" s="1" t="s">
        <v>5</v>
      </c>
      <c r="C18" s="1"/>
      <c r="D18" s="1"/>
      <c r="E18" s="1"/>
      <c r="F18" s="1"/>
      <c r="G18" s="1"/>
      <c r="H18" s="1"/>
      <c r="I18" s="25">
        <f>(I12/C10)</f>
        <v>106.90865903066241</v>
      </c>
      <c r="J18" s="1"/>
      <c r="K18" s="1"/>
      <c r="L18" s="1"/>
      <c r="M18" s="9">
        <f>(M12/C10)</f>
        <v>113.1156369717156</v>
      </c>
      <c r="N18" s="11"/>
      <c r="O18" s="1"/>
      <c r="P18" s="1"/>
    </row>
    <row r="19" spans="1:17" x14ac:dyDescent="0.2">
      <c r="A19" s="1"/>
      <c r="B19" s="1" t="s">
        <v>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26">
        <f>(M18-I18)</f>
        <v>6.2069779410531964</v>
      </c>
      <c r="N19" s="11" t="s">
        <v>11</v>
      </c>
      <c r="O19" s="1"/>
      <c r="P19" s="1"/>
    </row>
    <row r="20" spans="1:17" x14ac:dyDescent="0.2">
      <c r="A20" s="1"/>
      <c r="B20" s="1" t="s">
        <v>8</v>
      </c>
      <c r="C20" s="1"/>
      <c r="D20" s="1"/>
      <c r="E20" s="1" t="s">
        <v>11</v>
      </c>
      <c r="F20" s="1"/>
      <c r="G20" s="1"/>
      <c r="H20" s="1"/>
      <c r="I20" s="1"/>
      <c r="J20" s="1"/>
      <c r="K20" s="1"/>
      <c r="L20" s="1"/>
      <c r="M20" s="27">
        <f>(M19/I18)</f>
        <v>5.8058701674229933E-2</v>
      </c>
      <c r="N20" s="8" t="s">
        <v>11</v>
      </c>
    </row>
    <row r="21" spans="1:17" x14ac:dyDescent="0.2">
      <c r="D21" s="36">
        <f>('Revenue Analysis'!L109)</f>
        <v>8.9050000000000004E-2</v>
      </c>
    </row>
    <row r="22" spans="1:17" x14ac:dyDescent="0.2">
      <c r="B22" s="28" t="s">
        <v>11</v>
      </c>
      <c r="C22" s="28" t="s">
        <v>11</v>
      </c>
      <c r="I22" s="31" t="s">
        <v>11</v>
      </c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Q23" s="3" t="s">
        <v>58</v>
      </c>
    </row>
    <row r="24" spans="1:17" x14ac:dyDescent="0.2">
      <c r="Q24" s="3" t="s">
        <v>59</v>
      </c>
    </row>
    <row r="31" spans="1:17" x14ac:dyDescent="0.2">
      <c r="K31" s="138">
        <f>('Revenue Analysis'!C271)</f>
        <v>11079691</v>
      </c>
    </row>
    <row r="36" spans="1:16" x14ac:dyDescent="0.2">
      <c r="M36" s="141" t="s">
        <v>128</v>
      </c>
    </row>
    <row r="37" spans="1:16" x14ac:dyDescent="0.2">
      <c r="M37" s="141" t="s">
        <v>131</v>
      </c>
    </row>
    <row r="38" spans="1:16" x14ac:dyDescent="0.2">
      <c r="M38" s="141" t="s">
        <v>130</v>
      </c>
    </row>
    <row r="40" spans="1:16" x14ac:dyDescent="0.2">
      <c r="A40" s="1" t="s">
        <v>0</v>
      </c>
      <c r="B40" s="183" t="s">
        <v>1</v>
      </c>
      <c r="C40" s="184"/>
      <c r="D40" s="2"/>
      <c r="E40" s="185" t="s">
        <v>2</v>
      </c>
      <c r="F40" s="186"/>
      <c r="G40" s="2"/>
      <c r="H40" s="183" t="s">
        <v>49</v>
      </c>
      <c r="I40" s="187"/>
      <c r="J40" s="184"/>
      <c r="K40" s="2"/>
      <c r="L40" s="183" t="s">
        <v>3</v>
      </c>
      <c r="M40" s="187"/>
      <c r="N40" s="184"/>
    </row>
    <row r="41" spans="1:16" x14ac:dyDescent="0.2">
      <c r="A41" s="1"/>
      <c r="B41" s="4" t="s">
        <v>4</v>
      </c>
      <c r="C41" s="4" t="s">
        <v>126</v>
      </c>
      <c r="D41" s="1"/>
      <c r="E41" s="4" t="s">
        <v>7</v>
      </c>
      <c r="F41" s="4" t="s">
        <v>8</v>
      </c>
      <c r="G41" s="2"/>
      <c r="H41" s="4" t="s">
        <v>6</v>
      </c>
      <c r="I41" s="4" t="s">
        <v>7</v>
      </c>
      <c r="J41" s="4" t="s">
        <v>8</v>
      </c>
      <c r="K41" s="5"/>
      <c r="L41" s="4" t="s">
        <v>6</v>
      </c>
      <c r="M41" s="4" t="s">
        <v>7</v>
      </c>
      <c r="N41" s="4" t="s">
        <v>9</v>
      </c>
    </row>
    <row r="43" spans="1:16" x14ac:dyDescent="0.2">
      <c r="A43" s="3" t="s">
        <v>50</v>
      </c>
      <c r="B43" s="1" t="s">
        <v>13</v>
      </c>
      <c r="C43" s="29">
        <f>('[3]RT''s BillAnal'!$C$34)</f>
        <v>1846</v>
      </c>
      <c r="E43" s="30">
        <f>('[3]RT''s BillAnal'!$I$34)</f>
        <v>20882.2</v>
      </c>
      <c r="H43" s="9">
        <v>8.73</v>
      </c>
      <c r="I43" s="30">
        <f>(C43*H43)</f>
        <v>16115.58</v>
      </c>
      <c r="L43" s="33">
        <v>14.1</v>
      </c>
      <c r="M43" s="12">
        <f>(C43*L43)</f>
        <v>26028.6</v>
      </c>
      <c r="N43" s="31">
        <f>(M43-I43)</f>
        <v>9913.0199999999986</v>
      </c>
      <c r="P43" s="32" t="s">
        <v>54</v>
      </c>
    </row>
    <row r="44" spans="1:16" x14ac:dyDescent="0.2">
      <c r="B44" s="1" t="s">
        <v>55</v>
      </c>
      <c r="C44" s="29">
        <v>1846</v>
      </c>
      <c r="H44" s="33">
        <v>3</v>
      </c>
      <c r="I44" s="30">
        <f>(C44*H44)</f>
        <v>5538</v>
      </c>
      <c r="L44" s="34">
        <f>(H44)</f>
        <v>3</v>
      </c>
      <c r="M44" s="12">
        <f>(C44*L44)</f>
        <v>5538</v>
      </c>
      <c r="N44" s="34">
        <f>(M44-I44)</f>
        <v>0</v>
      </c>
      <c r="P44" s="32"/>
    </row>
    <row r="45" spans="1:16" x14ac:dyDescent="0.2">
      <c r="B45" s="1" t="s">
        <v>15</v>
      </c>
      <c r="C45" s="29">
        <f>('[3]RT''s BillAnal'!$D$34)</f>
        <v>1734061</v>
      </c>
      <c r="E45" s="35">
        <f>('[3]RT''s BillAnal'!$G$34-'[3]RT''s BillAnal'!$J$34-'[3]RT''s BillAnal'!$K$34)</f>
        <v>148417.45000000001</v>
      </c>
      <c r="H45" s="16">
        <v>8.5629999999999998E-2</v>
      </c>
      <c r="I45" s="35">
        <f>(C45*H45)</f>
        <v>148487.64343</v>
      </c>
      <c r="L45" s="36">
        <f>(L11)</f>
        <v>8.6360000000000006E-2</v>
      </c>
      <c r="M45" s="14">
        <f>(C45*L45)</f>
        <v>149753.50796000002</v>
      </c>
      <c r="N45" s="137">
        <f>(M45-I45)</f>
        <v>1265.8645300000207</v>
      </c>
    </row>
    <row r="46" spans="1:16" x14ac:dyDescent="0.2">
      <c r="E46" s="31">
        <f>SUM(E43:E45)</f>
        <v>169299.65000000002</v>
      </c>
      <c r="I46" s="31">
        <f>SUM(I43:I45)</f>
        <v>170141.22343000001</v>
      </c>
      <c r="M46" s="30">
        <f>(SUM(M43:M45))</f>
        <v>181320.10796000002</v>
      </c>
      <c r="N46" s="30">
        <f>(SUM(N43:N45))</f>
        <v>11178.884530000019</v>
      </c>
      <c r="P46" s="3">
        <f>(C45/C43)</f>
        <v>939.36132177681475</v>
      </c>
    </row>
    <row r="48" spans="1:16" x14ac:dyDescent="0.2">
      <c r="A48" s="1" t="s">
        <v>17</v>
      </c>
      <c r="E48" s="37">
        <v>-6287</v>
      </c>
    </row>
    <row r="49" spans="1:13" x14ac:dyDescent="0.2">
      <c r="A49" s="1" t="s">
        <v>18</v>
      </c>
      <c r="E49" s="38">
        <v>19176</v>
      </c>
    </row>
    <row r="50" spans="1:13" x14ac:dyDescent="0.2">
      <c r="E50" s="39">
        <f>(E46+E48+E49)</f>
        <v>182188.65000000002</v>
      </c>
    </row>
    <row r="51" spans="1:13" x14ac:dyDescent="0.2">
      <c r="B51" s="3" t="s">
        <v>11</v>
      </c>
    </row>
    <row r="52" spans="1:13" x14ac:dyDescent="0.2">
      <c r="A52" s="1" t="s">
        <v>19</v>
      </c>
      <c r="B52" s="1" t="s">
        <v>5</v>
      </c>
      <c r="I52" s="33">
        <f>(I46/C43)</f>
        <v>92.167509983748658</v>
      </c>
      <c r="M52" s="33">
        <f>(M46/C43)</f>
        <v>98.223243748645729</v>
      </c>
    </row>
    <row r="53" spans="1:13" x14ac:dyDescent="0.2">
      <c r="A53" s="1"/>
      <c r="B53" s="1" t="s">
        <v>9</v>
      </c>
      <c r="M53" s="34">
        <f>(M52-I52)</f>
        <v>6.0557337648970702</v>
      </c>
    </row>
    <row r="54" spans="1:13" x14ac:dyDescent="0.2">
      <c r="A54" s="1"/>
      <c r="B54" s="1" t="s">
        <v>8</v>
      </c>
      <c r="M54" s="40">
        <f>(M53/I52)</f>
        <v>6.5703562632481241E-2</v>
      </c>
    </row>
    <row r="55" spans="1:13" x14ac:dyDescent="0.2">
      <c r="I55" s="31" t="s">
        <v>11</v>
      </c>
    </row>
    <row r="56" spans="1:13" x14ac:dyDescent="0.2">
      <c r="I56" s="31" t="s">
        <v>11</v>
      </c>
    </row>
    <row r="67" spans="1:16" x14ac:dyDescent="0.2">
      <c r="M67" s="141" t="s">
        <v>128</v>
      </c>
    </row>
    <row r="68" spans="1:16" x14ac:dyDescent="0.2">
      <c r="M68" s="141" t="s">
        <v>132</v>
      </c>
    </row>
    <row r="69" spans="1:16" x14ac:dyDescent="0.2">
      <c r="M69" s="141" t="s">
        <v>130</v>
      </c>
    </row>
    <row r="71" spans="1:16" x14ac:dyDescent="0.2">
      <c r="A71" s="1" t="s">
        <v>0</v>
      </c>
      <c r="B71" s="183" t="s">
        <v>1</v>
      </c>
      <c r="C71" s="184"/>
      <c r="D71" s="2"/>
      <c r="E71" s="185" t="s">
        <v>2</v>
      </c>
      <c r="F71" s="186"/>
      <c r="G71" s="2"/>
      <c r="H71" s="183" t="s">
        <v>49</v>
      </c>
      <c r="I71" s="187"/>
      <c r="J71" s="184"/>
      <c r="K71" s="2"/>
      <c r="L71" s="183" t="s">
        <v>3</v>
      </c>
      <c r="M71" s="187"/>
      <c r="N71" s="184"/>
      <c r="O71" s="1"/>
      <c r="P71" s="1"/>
    </row>
    <row r="72" spans="1:16" x14ac:dyDescent="0.2">
      <c r="A72" s="1"/>
      <c r="B72" s="4" t="s">
        <v>4</v>
      </c>
      <c r="C72" s="4" t="s">
        <v>126</v>
      </c>
      <c r="D72" s="1"/>
      <c r="E72" s="4" t="s">
        <v>7</v>
      </c>
      <c r="F72" s="4" t="s">
        <v>8</v>
      </c>
      <c r="G72" s="2"/>
      <c r="H72" s="4" t="s">
        <v>6</v>
      </c>
      <c r="I72" s="4" t="s">
        <v>7</v>
      </c>
      <c r="J72" s="4" t="s">
        <v>8</v>
      </c>
      <c r="K72" s="5"/>
      <c r="L72" s="4" t="s">
        <v>6</v>
      </c>
      <c r="M72" s="4" t="s">
        <v>7</v>
      </c>
      <c r="N72" s="4" t="s">
        <v>9</v>
      </c>
      <c r="O72" s="5" t="s">
        <v>11</v>
      </c>
      <c r="P72" s="5" t="s">
        <v>11</v>
      </c>
    </row>
    <row r="74" spans="1:16" x14ac:dyDescent="0.2">
      <c r="A74" s="1" t="s">
        <v>20</v>
      </c>
      <c r="B74" s="1" t="s">
        <v>13</v>
      </c>
      <c r="C74" s="41"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">
      <c r="A75" s="1" t="s">
        <v>21</v>
      </c>
      <c r="B75" s="1" t="s">
        <v>15</v>
      </c>
      <c r="C75" s="29">
        <f>('[3]RT''s BillAnal'!$D$51)</f>
        <v>737631</v>
      </c>
      <c r="D75" s="1"/>
      <c r="E75" s="29">
        <f>('[3]RT''s BillAnal'!$G$51-'[3]RT''s BillAnal'!$J$51-'[3]RT''s BillAnal'!$K$51)</f>
        <v>37815.210000000006</v>
      </c>
      <c r="F75" s="1"/>
      <c r="G75" s="1"/>
      <c r="H75" s="1">
        <v>5.1380000000000002E-2</v>
      </c>
      <c r="I75" s="23">
        <f>(C75*H75)</f>
        <v>37899.480779999998</v>
      </c>
      <c r="J75" s="1"/>
      <c r="K75" s="1"/>
      <c r="L75" s="42">
        <f>(L11)</f>
        <v>8.6360000000000006E-2</v>
      </c>
      <c r="M75" s="12">
        <f>(C75*L75)</f>
        <v>63701.813160000005</v>
      </c>
      <c r="N75" s="13">
        <f>(M75-I75)</f>
        <v>25802.332380000007</v>
      </c>
      <c r="O75" s="1"/>
      <c r="P75" s="1"/>
    </row>
    <row r="76" spans="1:16" x14ac:dyDescent="0.2">
      <c r="A76" s="1" t="s">
        <v>22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8" spans="1:16" x14ac:dyDescent="0.2">
      <c r="A78" s="1" t="s">
        <v>17</v>
      </c>
      <c r="B78" s="1" t="s">
        <v>11</v>
      </c>
      <c r="C78" s="1"/>
      <c r="D78" s="1"/>
      <c r="E78" s="6">
        <v>-2674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">
      <c r="A79" s="1" t="s">
        <v>18</v>
      </c>
      <c r="B79" s="1" t="s">
        <v>11</v>
      </c>
      <c r="C79" s="1"/>
      <c r="D79" s="1"/>
      <c r="E79" s="43">
        <v>4283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>
        <f>(C75/774)</f>
        <v>953.01162790697674</v>
      </c>
    </row>
    <row r="80" spans="1:16" x14ac:dyDescent="0.2">
      <c r="A80" s="1"/>
      <c r="B80" s="1" t="s">
        <v>11</v>
      </c>
      <c r="C80" s="1"/>
      <c r="D80" s="1"/>
      <c r="E80" s="39">
        <f>SUM(E75+E78+E79)</f>
        <v>39424.210000000006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">
      <c r="A82" s="1" t="s">
        <v>19</v>
      </c>
      <c r="B82" s="1" t="s">
        <v>5</v>
      </c>
      <c r="C82" s="1"/>
      <c r="D82" s="1"/>
      <c r="E82" s="1"/>
      <c r="F82" s="1"/>
      <c r="G82" s="1"/>
      <c r="H82" s="1"/>
      <c r="I82" s="9">
        <f>(I75/774)</f>
        <v>48.965737441860462</v>
      </c>
      <c r="J82" s="1"/>
      <c r="K82" s="1"/>
      <c r="L82" s="1"/>
      <c r="M82" s="11">
        <f>(M75/774)</f>
        <v>82.302084186046514</v>
      </c>
      <c r="N82" s="1"/>
      <c r="O82" s="1"/>
      <c r="P82" s="1"/>
    </row>
    <row r="83" spans="1:16" x14ac:dyDescent="0.2">
      <c r="A83" s="1"/>
      <c r="B83" s="1" t="s">
        <v>9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9">
        <f>(M82-I82)</f>
        <v>33.336346744186052</v>
      </c>
      <c r="N83" s="1"/>
      <c r="O83" s="1"/>
      <c r="P83" s="1"/>
    </row>
    <row r="84" spans="1:16" x14ac:dyDescent="0.2">
      <c r="A84" s="1"/>
      <c r="B84" s="1" t="s">
        <v>8</v>
      </c>
      <c r="C84" s="1"/>
      <c r="D84" s="1"/>
      <c r="E84" s="28" t="s">
        <v>11</v>
      </c>
      <c r="F84" s="28" t="s">
        <v>11</v>
      </c>
      <c r="G84" s="1"/>
      <c r="H84" s="1"/>
      <c r="I84" s="31" t="s">
        <v>11</v>
      </c>
      <c r="J84" s="1"/>
      <c r="K84" s="1"/>
      <c r="L84" s="1"/>
      <c r="M84" s="27">
        <f>(M83/I82)</f>
        <v>0.68080965356169731</v>
      </c>
      <c r="N84" s="1"/>
      <c r="O84" s="1"/>
      <c r="P84" s="1"/>
    </row>
    <row r="85" spans="1:16" x14ac:dyDescent="0.2">
      <c r="I85" s="31" t="s">
        <v>11</v>
      </c>
      <c r="M85" s="44"/>
    </row>
    <row r="90" spans="1:16" x14ac:dyDescent="0.2">
      <c r="I90" s="3" t="s">
        <v>11</v>
      </c>
    </row>
    <row r="98" spans="1:16" x14ac:dyDescent="0.2">
      <c r="M98" s="141" t="s">
        <v>128</v>
      </c>
    </row>
    <row r="99" spans="1:16" x14ac:dyDescent="0.2">
      <c r="M99" s="141" t="s">
        <v>133</v>
      </c>
    </row>
    <row r="100" spans="1:16" x14ac:dyDescent="0.2">
      <c r="M100" s="141" t="s">
        <v>130</v>
      </c>
    </row>
    <row r="102" spans="1:16" x14ac:dyDescent="0.2">
      <c r="A102" s="1" t="s">
        <v>0</v>
      </c>
      <c r="B102" s="183" t="s">
        <v>1</v>
      </c>
      <c r="C102" s="184"/>
      <c r="D102" s="2"/>
      <c r="E102" s="185" t="s">
        <v>2</v>
      </c>
      <c r="F102" s="186"/>
      <c r="G102" s="2"/>
      <c r="H102" s="183" t="s">
        <v>49</v>
      </c>
      <c r="I102" s="187"/>
      <c r="J102" s="184"/>
      <c r="K102" s="2"/>
      <c r="L102" s="183" t="s">
        <v>3</v>
      </c>
      <c r="M102" s="187"/>
      <c r="N102" s="184"/>
      <c r="O102" s="1"/>
      <c r="P102" s="1"/>
    </row>
    <row r="103" spans="1:16" x14ac:dyDescent="0.2">
      <c r="A103" s="1"/>
      <c r="B103" s="4" t="s">
        <v>4</v>
      </c>
      <c r="C103" s="4" t="s">
        <v>126</v>
      </c>
      <c r="D103" s="1"/>
      <c r="E103" s="4" t="s">
        <v>7</v>
      </c>
      <c r="F103" s="4" t="s">
        <v>8</v>
      </c>
      <c r="G103" s="2"/>
      <c r="H103" s="4" t="s">
        <v>6</v>
      </c>
      <c r="I103" s="4" t="s">
        <v>7</v>
      </c>
      <c r="J103" s="4" t="s">
        <v>8</v>
      </c>
      <c r="K103" s="5"/>
      <c r="L103" s="4" t="s">
        <v>6</v>
      </c>
      <c r="M103" s="4" t="s">
        <v>7</v>
      </c>
      <c r="N103" s="4" t="s">
        <v>9</v>
      </c>
      <c r="O103" s="5" t="s">
        <v>11</v>
      </c>
      <c r="P103" s="5" t="s">
        <v>11</v>
      </c>
    </row>
    <row r="105" spans="1:16" x14ac:dyDescent="0.2">
      <c r="A105" s="1" t="s">
        <v>23</v>
      </c>
      <c r="B105" s="1" t="s">
        <v>13</v>
      </c>
      <c r="C105" s="6">
        <f>('[3]RT''s BillAnal'!$C$68)</f>
        <v>15967</v>
      </c>
      <c r="D105" s="1"/>
      <c r="E105" s="45">
        <f>('[3]RT''s BillAnal'!$I$68)</f>
        <v>136333.84</v>
      </c>
      <c r="F105" s="8">
        <f>(E105/E$110)</f>
        <v>9.1259676121454247E-2</v>
      </c>
      <c r="G105" s="8"/>
      <c r="H105" s="11">
        <v>8.9600000000000009</v>
      </c>
      <c r="I105" s="12">
        <f>(C105*H105)</f>
        <v>143064.32000000001</v>
      </c>
      <c r="J105" s="8">
        <f>(I105/$I$110)</f>
        <v>9.5335438646510409E-2</v>
      </c>
      <c r="K105" s="1"/>
      <c r="L105" s="33">
        <v>15</v>
      </c>
      <c r="M105" s="37">
        <f>(L105*C105)</f>
        <v>239505</v>
      </c>
      <c r="N105" s="13">
        <f>(M105-I105)</f>
        <v>96440.68</v>
      </c>
      <c r="O105" s="1"/>
      <c r="P105" s="1"/>
    </row>
    <row r="106" spans="1:16" x14ac:dyDescent="0.2">
      <c r="A106" s="1" t="s">
        <v>60</v>
      </c>
      <c r="B106" s="1" t="s">
        <v>61</v>
      </c>
      <c r="C106" s="6">
        <f>(E106/0.75)</f>
        <v>4085.3333333333335</v>
      </c>
      <c r="D106" s="1"/>
      <c r="E106" s="45">
        <v>3064</v>
      </c>
      <c r="F106" s="8">
        <f>(E106/E$110)</f>
        <v>2.0509922381423116E-3</v>
      </c>
      <c r="G106" s="8"/>
      <c r="H106" s="11">
        <v>0.75</v>
      </c>
      <c r="I106" s="12">
        <f>(C106*H106)</f>
        <v>3064</v>
      </c>
      <c r="J106" s="8">
        <f>(I106/$I$110)</f>
        <v>2.0417933976333716E-3</v>
      </c>
      <c r="K106" s="1"/>
      <c r="L106" s="3">
        <v>0.75</v>
      </c>
      <c r="M106" s="37">
        <f>(L106*C106)</f>
        <v>3064</v>
      </c>
      <c r="N106" s="13">
        <f t="shared" ref="N106:N109" si="0">(M106-I106)</f>
        <v>0</v>
      </c>
      <c r="O106" s="1"/>
      <c r="P106" s="1"/>
    </row>
    <row r="107" spans="1:16" x14ac:dyDescent="0.2">
      <c r="A107" s="1" t="s">
        <v>24</v>
      </c>
      <c r="B107" s="1" t="s">
        <v>15</v>
      </c>
      <c r="C107" s="1"/>
      <c r="D107" s="1"/>
      <c r="E107" s="1"/>
      <c r="F107" s="8" t="s">
        <v>11</v>
      </c>
      <c r="G107" s="1"/>
      <c r="H107" s="1"/>
      <c r="I107" s="1"/>
      <c r="J107" s="1"/>
      <c r="K107" s="1"/>
      <c r="N107" s="13">
        <f t="shared" si="0"/>
        <v>0</v>
      </c>
      <c r="O107" s="1"/>
      <c r="P107" s="1"/>
    </row>
    <row r="108" spans="1:16" x14ac:dyDescent="0.2">
      <c r="A108" s="1" t="s">
        <v>25</v>
      </c>
      <c r="B108" s="1" t="s">
        <v>26</v>
      </c>
      <c r="C108" s="6">
        <v>10626321</v>
      </c>
      <c r="D108" s="1"/>
      <c r="E108" s="23">
        <f>(C108*H108)</f>
        <v>1011519.49599</v>
      </c>
      <c r="F108" s="8">
        <f t="shared" ref="F108:F110" si="1">(E108/E$110)</f>
        <v>0.67709485476668185</v>
      </c>
      <c r="G108" s="8"/>
      <c r="H108" s="46">
        <v>9.5189999999999997E-2</v>
      </c>
      <c r="I108" s="12">
        <f>(C108*H108)</f>
        <v>1011519.49599</v>
      </c>
      <c r="J108" s="8">
        <f>(I108/$I$110)</f>
        <v>0.67405803801886999</v>
      </c>
      <c r="K108" s="1"/>
      <c r="L108" s="36">
        <f>(H108)</f>
        <v>9.5189999999999997E-2</v>
      </c>
      <c r="M108" s="37">
        <f>(L108*C108)</f>
        <v>1011519.49599</v>
      </c>
      <c r="N108" s="13">
        <f t="shared" si="0"/>
        <v>0</v>
      </c>
      <c r="O108" s="1"/>
      <c r="P108" s="1"/>
    </row>
    <row r="109" spans="1:16" x14ac:dyDescent="0.2">
      <c r="A109" s="1"/>
      <c r="B109" s="1" t="s">
        <v>27</v>
      </c>
      <c r="C109" s="6">
        <v>3862542</v>
      </c>
      <c r="D109" s="1"/>
      <c r="E109" s="23">
        <f>(C109*H109)</f>
        <v>342993.72960000002</v>
      </c>
      <c r="F109" s="8">
        <v>0</v>
      </c>
      <c r="G109" s="8"/>
      <c r="H109" s="46">
        <f>0.0888</f>
        <v>8.8800000000000004E-2</v>
      </c>
      <c r="I109" s="12">
        <f>(C109*H109)</f>
        <v>342993.72960000002</v>
      </c>
      <c r="J109" s="47">
        <f>(I109/$I$110)</f>
        <v>0.22856472993698626</v>
      </c>
      <c r="K109" s="1"/>
      <c r="L109" s="36">
        <f>(H109)+0.00015+0.00004+0.00006</f>
        <v>8.9050000000000004E-2</v>
      </c>
      <c r="M109" s="37">
        <f>(L109*C109)</f>
        <v>343959.3651</v>
      </c>
      <c r="N109" s="13">
        <f t="shared" si="0"/>
        <v>965.63549999997485</v>
      </c>
      <c r="O109" s="1"/>
      <c r="P109" s="1"/>
    </row>
    <row r="110" spans="1:16" x14ac:dyDescent="0.2">
      <c r="A110" s="1"/>
      <c r="B110" s="1"/>
      <c r="C110" s="1"/>
      <c r="D110" s="1"/>
      <c r="E110" s="48">
        <f>SUM(E105:E109)</f>
        <v>1493911.06559</v>
      </c>
      <c r="F110" s="47">
        <f t="shared" si="1"/>
        <v>1</v>
      </c>
      <c r="G110" s="21"/>
      <c r="H110" s="1"/>
      <c r="I110" s="24">
        <f>SUM(I105:I109)</f>
        <v>1500641.54559</v>
      </c>
      <c r="J110" s="49">
        <f>(I110/$I$110)</f>
        <v>1</v>
      </c>
      <c r="K110" s="1"/>
      <c r="M110" s="24">
        <f>SUM(M105:M109)</f>
        <v>1598047.86109</v>
      </c>
      <c r="N110" s="24">
        <f>SUM(N105:N109)</f>
        <v>97406.315499999968</v>
      </c>
      <c r="O110" s="1"/>
      <c r="P110" s="1"/>
    </row>
    <row r="111" spans="1:16" x14ac:dyDescent="0.2">
      <c r="E111" s="51"/>
      <c r="M111" s="140"/>
      <c r="N111" s="140"/>
    </row>
    <row r="112" spans="1:16" x14ac:dyDescent="0.2">
      <c r="A112" s="1" t="s">
        <v>17</v>
      </c>
      <c r="B112" s="1" t="s">
        <v>11</v>
      </c>
      <c r="C112" s="1"/>
      <c r="D112" s="1"/>
      <c r="E112" s="6">
        <v>-52390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>
        <f>(C108+C109)/(C105)</f>
        <v>907.4255025991107</v>
      </c>
    </row>
    <row r="113" spans="1:16" x14ac:dyDescent="0.2">
      <c r="A113" s="1" t="s">
        <v>18</v>
      </c>
      <c r="B113" s="1" t="s">
        <v>11</v>
      </c>
      <c r="C113" s="1"/>
      <c r="D113" s="1"/>
      <c r="E113" s="6">
        <v>169207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">
      <c r="A114" s="1"/>
      <c r="B114" s="1" t="s">
        <v>11</v>
      </c>
      <c r="C114" s="1"/>
      <c r="D114" s="1"/>
      <c r="E114" s="24">
        <f>(E110+E112+E113)</f>
        <v>1610728.06559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6" spans="1:16" x14ac:dyDescent="0.2">
      <c r="A116" s="1" t="s">
        <v>19</v>
      </c>
      <c r="B116" s="1" t="s">
        <v>5</v>
      </c>
      <c r="C116" s="1"/>
      <c r="D116" s="1"/>
      <c r="E116" s="1"/>
      <c r="F116" s="1"/>
      <c r="G116" s="1"/>
      <c r="H116" s="1"/>
      <c r="I116" s="9">
        <f>(I110/C105)</f>
        <v>93.983938472474478</v>
      </c>
      <c r="J116" s="1"/>
      <c r="K116" s="1"/>
      <c r="L116" s="1"/>
      <c r="M116" s="1"/>
      <c r="N116" s="11">
        <f>(M110/C105)</f>
        <v>100.08441542493894</v>
      </c>
      <c r="O116" s="1"/>
      <c r="P116" s="1"/>
    </row>
    <row r="117" spans="1:16" x14ac:dyDescent="0.2">
      <c r="A117" s="1"/>
      <c r="B117" s="1" t="s">
        <v>9</v>
      </c>
      <c r="C117" s="1"/>
      <c r="D117" s="1"/>
      <c r="F117" s="1"/>
      <c r="G117" s="1"/>
      <c r="H117" s="1"/>
      <c r="I117" s="1"/>
      <c r="J117" s="1"/>
      <c r="K117" s="1"/>
      <c r="L117" s="1"/>
      <c r="M117" s="1"/>
      <c r="N117" s="9">
        <f>(N116-I116)</f>
        <v>6.1004769524644615</v>
      </c>
      <c r="O117" s="1"/>
      <c r="P117" s="1"/>
    </row>
    <row r="118" spans="1:16" x14ac:dyDescent="0.2">
      <c r="A118" s="1"/>
      <c r="B118" s="1" t="s">
        <v>8</v>
      </c>
      <c r="C118" s="1"/>
      <c r="D118" s="1"/>
      <c r="F118" s="1"/>
      <c r="G118" s="1"/>
      <c r="H118" s="1" t="s">
        <v>11</v>
      </c>
      <c r="I118" s="1"/>
      <c r="J118" s="1"/>
      <c r="K118" s="1"/>
      <c r="L118" s="1"/>
      <c r="M118" s="1"/>
      <c r="N118" s="8">
        <f>(N117/I116)</f>
        <v>6.4909781943764122E-2</v>
      </c>
      <c r="O118" s="1"/>
      <c r="P118" s="1"/>
    </row>
    <row r="119" spans="1:16" x14ac:dyDescent="0.2">
      <c r="I119" s="31" t="s">
        <v>11</v>
      </c>
    </row>
    <row r="120" spans="1:16" x14ac:dyDescent="0.2">
      <c r="B120" s="52" t="s">
        <v>11</v>
      </c>
      <c r="C120" s="52" t="s">
        <v>11</v>
      </c>
      <c r="D120" s="3" t="s">
        <v>11</v>
      </c>
      <c r="I120" s="31" t="s">
        <v>11</v>
      </c>
    </row>
    <row r="128" spans="1:16" x14ac:dyDescent="0.2">
      <c r="M128" s="141" t="s">
        <v>128</v>
      </c>
    </row>
    <row r="129" spans="1:16" x14ac:dyDescent="0.2">
      <c r="M129" s="141" t="s">
        <v>134</v>
      </c>
    </row>
    <row r="130" spans="1:16" x14ac:dyDescent="0.2">
      <c r="M130" s="141" t="s">
        <v>130</v>
      </c>
    </row>
    <row r="132" spans="1:16" x14ac:dyDescent="0.2">
      <c r="A132" s="1" t="s">
        <v>0</v>
      </c>
      <c r="B132" s="183" t="s">
        <v>1</v>
      </c>
      <c r="C132" s="184"/>
      <c r="D132" s="2"/>
      <c r="E132" s="185" t="s">
        <v>2</v>
      </c>
      <c r="F132" s="186"/>
      <c r="G132" s="2"/>
      <c r="H132" s="183" t="s">
        <v>49</v>
      </c>
      <c r="I132" s="187"/>
      <c r="J132" s="184"/>
      <c r="K132" s="2"/>
      <c r="L132" s="183" t="s">
        <v>3</v>
      </c>
      <c r="M132" s="187"/>
      <c r="N132" s="184"/>
      <c r="O132" s="1"/>
      <c r="P132" s="1"/>
    </row>
    <row r="133" spans="1:16" x14ac:dyDescent="0.2">
      <c r="A133" s="1"/>
      <c r="B133" s="4" t="s">
        <v>4</v>
      </c>
      <c r="C133" s="4" t="s">
        <v>126</v>
      </c>
      <c r="D133" s="1"/>
      <c r="E133" s="4" t="s">
        <v>7</v>
      </c>
      <c r="F133" s="4" t="s">
        <v>8</v>
      </c>
      <c r="G133" s="2"/>
      <c r="H133" s="4" t="s">
        <v>6</v>
      </c>
      <c r="I133" s="4" t="s">
        <v>7</v>
      </c>
      <c r="J133" s="4" t="s">
        <v>8</v>
      </c>
      <c r="K133" s="5"/>
      <c r="L133" s="4" t="s">
        <v>6</v>
      </c>
      <c r="M133" s="4" t="s">
        <v>7</v>
      </c>
      <c r="N133" s="4" t="s">
        <v>9</v>
      </c>
      <c r="O133" s="5" t="s">
        <v>11</v>
      </c>
      <c r="P133" s="5" t="s">
        <v>11</v>
      </c>
    </row>
    <row r="135" spans="1:16" x14ac:dyDescent="0.2">
      <c r="A135" s="1" t="s">
        <v>23</v>
      </c>
      <c r="B135" s="1" t="s">
        <v>13</v>
      </c>
      <c r="C135" s="6">
        <f>('[3]RT''s BillAnal'!$C$85)</f>
        <v>1654</v>
      </c>
      <c r="D135" s="1"/>
      <c r="E135" s="53">
        <f>('[3]RT''s BillAnal'!$I$85)</f>
        <v>14129.84</v>
      </c>
      <c r="F135" s="8">
        <f>(E135/E$141)</f>
        <v>1.6888241992281467E-2</v>
      </c>
      <c r="G135" s="8"/>
      <c r="H135" s="11">
        <v>8.9600000000000009</v>
      </c>
      <c r="I135" s="53">
        <f>(H135*C135)</f>
        <v>14819.840000000002</v>
      </c>
      <c r="J135" s="8">
        <f>(I135/$I$141)</f>
        <v>1.7698346716803807E-2</v>
      </c>
      <c r="K135" s="1"/>
      <c r="L135" s="33">
        <v>25</v>
      </c>
      <c r="M135" s="37">
        <f>(L135*C135)</f>
        <v>41350</v>
      </c>
      <c r="N135" s="54">
        <f>(M135-I135)</f>
        <v>26530.159999999996</v>
      </c>
      <c r="O135" s="1"/>
      <c r="P135" s="1"/>
    </row>
    <row r="136" spans="1:16" x14ac:dyDescent="0.2">
      <c r="A136" s="1" t="s">
        <v>60</v>
      </c>
      <c r="B136" s="1" t="s">
        <v>61</v>
      </c>
      <c r="C136" s="6">
        <f>(E136/0.75)</f>
        <v>26538.666666666668</v>
      </c>
      <c r="D136" s="1"/>
      <c r="E136" s="53">
        <f>([4]New!$J$14)</f>
        <v>19904</v>
      </c>
      <c r="F136" s="8">
        <f>(E136/E$141)</f>
        <v>2.3789623139000182E-2</v>
      </c>
      <c r="G136" s="8"/>
      <c r="H136" s="11">
        <v>0.75</v>
      </c>
      <c r="I136" s="53">
        <f>(H136*C136)</f>
        <v>19904</v>
      </c>
      <c r="J136" s="8">
        <f>(I136/$I$141)</f>
        <v>2.3770019990179577E-2</v>
      </c>
      <c r="K136" s="1"/>
      <c r="L136" s="33">
        <f>(H136)</f>
        <v>0.75</v>
      </c>
      <c r="M136" s="37">
        <f>(L136*C136)</f>
        <v>19904</v>
      </c>
      <c r="N136" s="54">
        <f t="shared" ref="N136:N140" si="2">(M136-I136)</f>
        <v>0</v>
      </c>
      <c r="O136" s="1"/>
      <c r="P136" s="1"/>
    </row>
    <row r="137" spans="1:16" x14ac:dyDescent="0.2">
      <c r="A137" s="1" t="s">
        <v>24</v>
      </c>
      <c r="B137" s="1" t="s">
        <v>28</v>
      </c>
      <c r="C137" s="6">
        <f>('[3]RT''s BillAnal'!$P$85)</f>
        <v>30254.419431279624</v>
      </c>
      <c r="D137" s="1"/>
      <c r="E137" s="53">
        <f>('[3]RT''s BillAnal'!$H$85)</f>
        <v>127673.65000000001</v>
      </c>
      <c r="F137" s="8">
        <f>(E137/E$141)</f>
        <v>0.15259787069335864</v>
      </c>
      <c r="G137" s="8"/>
      <c r="H137" s="1">
        <v>4.22</v>
      </c>
      <c r="I137" s="53">
        <f>(C137*H137)</f>
        <v>127673.65000000001</v>
      </c>
      <c r="J137" s="8">
        <f>(I137/$I$141)</f>
        <v>0.15247212684481468</v>
      </c>
      <c r="K137" s="1"/>
      <c r="L137" s="33">
        <v>4.22</v>
      </c>
      <c r="M137" s="37">
        <f>(L137*C137)</f>
        <v>127673.65000000001</v>
      </c>
      <c r="N137" s="54">
        <f t="shared" si="2"/>
        <v>0</v>
      </c>
      <c r="O137" s="1"/>
      <c r="P137" s="1"/>
    </row>
    <row r="138" spans="1:16" x14ac:dyDescent="0.2">
      <c r="A138" s="1" t="s">
        <v>29</v>
      </c>
      <c r="B138" s="1" t="s">
        <v>15</v>
      </c>
      <c r="C138" s="1"/>
      <c r="D138" s="1"/>
      <c r="E138" s="55"/>
      <c r="F138" s="8">
        <f>(E138/E$141)</f>
        <v>0</v>
      </c>
      <c r="G138" s="8"/>
      <c r="H138" s="1"/>
      <c r="I138" s="53" t="s">
        <v>11</v>
      </c>
      <c r="J138" s="8"/>
      <c r="K138" s="1"/>
      <c r="N138" s="54">
        <v>0</v>
      </c>
      <c r="O138" s="1"/>
      <c r="P138" s="1"/>
    </row>
    <row r="139" spans="1:16" x14ac:dyDescent="0.2">
      <c r="A139" s="1"/>
      <c r="B139" s="1" t="s">
        <v>26</v>
      </c>
      <c r="C139" s="6">
        <v>2887110</v>
      </c>
      <c r="D139" s="1"/>
      <c r="E139" s="53">
        <f>(C139*H139)</f>
        <v>274824.00089999998</v>
      </c>
      <c r="F139" s="8">
        <v>0</v>
      </c>
      <c r="G139" s="8"/>
      <c r="H139" s="1">
        <v>9.5189999999999997E-2</v>
      </c>
      <c r="I139" s="53">
        <f>(C139*H139)</f>
        <v>274824.00089999998</v>
      </c>
      <c r="J139" s="8">
        <f>(I139/$I$141)</f>
        <v>0.32820397885722113</v>
      </c>
      <c r="K139" s="1"/>
      <c r="L139" s="3">
        <f>(H139)</f>
        <v>9.5189999999999997E-2</v>
      </c>
      <c r="M139" s="37">
        <f>(L139*C139)</f>
        <v>274824.00089999998</v>
      </c>
      <c r="N139" s="54">
        <f t="shared" si="2"/>
        <v>0</v>
      </c>
      <c r="O139" s="1"/>
      <c r="P139" s="1"/>
    </row>
    <row r="140" spans="1:16" x14ac:dyDescent="0.2">
      <c r="A140" s="1"/>
      <c r="B140" s="1" t="s">
        <v>27</v>
      </c>
      <c r="C140" s="56">
        <v>4506034</v>
      </c>
      <c r="D140" s="1"/>
      <c r="E140" s="53">
        <f>(C140*H140)</f>
        <v>400135.81920000003</v>
      </c>
      <c r="F140" s="8">
        <f>(E140/E$141)</f>
        <v>0.47824961531265642</v>
      </c>
      <c r="G140" s="21"/>
      <c r="H140" s="57">
        <v>8.8800000000000004E-2</v>
      </c>
      <c r="I140" s="53">
        <f>(C140*H140)</f>
        <v>400135.81920000003</v>
      </c>
      <c r="J140" s="8">
        <f>(I140/$I$141)</f>
        <v>0.47785552759098082</v>
      </c>
      <c r="K140" s="1"/>
      <c r="L140" s="58">
        <f>(H140)+0.00025</f>
        <v>8.9050000000000004E-2</v>
      </c>
      <c r="M140" s="37">
        <f>(L140*C140)</f>
        <v>401262.32770000002</v>
      </c>
      <c r="N140" s="54">
        <f t="shared" si="2"/>
        <v>1126.5084999999963</v>
      </c>
      <c r="O140" s="1"/>
      <c r="P140" s="1"/>
    </row>
    <row r="141" spans="1:16" x14ac:dyDescent="0.2">
      <c r="A141" s="1"/>
      <c r="B141" s="1"/>
      <c r="C141" s="1"/>
      <c r="D141" s="1"/>
      <c r="E141" s="59">
        <f>SUM(E135:E140)</f>
        <v>836667.3101</v>
      </c>
      <c r="F141" s="60">
        <f t="shared" ref="F141:G141" si="3">SUM(F135:F140)</f>
        <v>0.67152535113729672</v>
      </c>
      <c r="G141" s="59">
        <f t="shared" si="3"/>
        <v>0</v>
      </c>
      <c r="H141" s="1"/>
      <c r="I141" s="59">
        <f>SUM(I135:I140)</f>
        <v>837357.3101</v>
      </c>
      <c r="J141" s="49">
        <f>(I141/$I$141)</f>
        <v>1</v>
      </c>
      <c r="K141" s="1"/>
      <c r="M141" s="59">
        <f>SUM(M135:M140)</f>
        <v>865013.97860000003</v>
      </c>
      <c r="N141" s="59">
        <f>SUM(N135:N140)</f>
        <v>27656.668499999992</v>
      </c>
      <c r="O141" s="1"/>
      <c r="P141" s="1"/>
    </row>
    <row r="142" spans="1:16" x14ac:dyDescent="0.2">
      <c r="C142" s="3" t="s">
        <v>11</v>
      </c>
      <c r="P142" s="3">
        <f>(C139+C140)/(C135)</f>
        <v>4469.8573155985487</v>
      </c>
    </row>
    <row r="143" spans="1:16" x14ac:dyDescent="0.2">
      <c r="A143" s="1" t="s">
        <v>17</v>
      </c>
      <c r="B143" s="1" t="s">
        <v>11</v>
      </c>
      <c r="C143" s="1"/>
      <c r="D143" s="1"/>
      <c r="E143" s="6">
        <v>-26804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">
      <c r="A144" s="1" t="s">
        <v>18</v>
      </c>
      <c r="B144" s="1" t="s">
        <v>11</v>
      </c>
      <c r="C144" s="1"/>
      <c r="D144" s="1"/>
      <c r="E144" s="6">
        <v>94765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">
      <c r="A145" s="1"/>
      <c r="B145" s="1" t="s">
        <v>11</v>
      </c>
      <c r="C145" s="1"/>
      <c r="D145" s="1"/>
      <c r="E145" s="61">
        <f>SUM(E141+E143+E144)</f>
        <v>904628.3101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7" spans="1:16" x14ac:dyDescent="0.2">
      <c r="A147" s="1" t="s">
        <v>19</v>
      </c>
      <c r="B147" s="1" t="s">
        <v>5</v>
      </c>
      <c r="C147" s="1"/>
      <c r="D147" s="1"/>
      <c r="E147" s="1"/>
      <c r="F147" s="1"/>
      <c r="G147" s="1"/>
      <c r="H147" s="1"/>
      <c r="I147" s="9">
        <f>(I141/C135)</f>
        <v>506.26197708585249</v>
      </c>
      <c r="J147" s="1"/>
      <c r="K147" s="1"/>
      <c r="L147" s="1"/>
      <c r="M147" s="1"/>
      <c r="N147" s="11">
        <f>(M141/C135)</f>
        <v>522.98305840386945</v>
      </c>
      <c r="O147" s="1"/>
      <c r="P147" s="1"/>
    </row>
    <row r="148" spans="1:16" x14ac:dyDescent="0.2">
      <c r="A148" s="1"/>
      <c r="B148" s="1" t="s">
        <v>9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9">
        <f>(N147-I147)</f>
        <v>16.721081318016957</v>
      </c>
      <c r="O148" s="1"/>
      <c r="P148" s="1"/>
    </row>
    <row r="149" spans="1:16" x14ac:dyDescent="0.2">
      <c r="A149" s="1"/>
      <c r="B149" s="1" t="s">
        <v>8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8">
        <f>(N148/I147)</f>
        <v>3.3028515027470402E-2</v>
      </c>
      <c r="O149" s="1"/>
      <c r="P149" s="1"/>
    </row>
    <row r="150" spans="1:16" x14ac:dyDescent="0.2">
      <c r="C150" s="3" t="s">
        <v>11</v>
      </c>
      <c r="D150" s="3">
        <v>6495034</v>
      </c>
      <c r="E150" s="3" t="s">
        <v>11</v>
      </c>
      <c r="I150" s="31" t="s">
        <v>11</v>
      </c>
    </row>
    <row r="151" spans="1:16" x14ac:dyDescent="0.2">
      <c r="B151" s="62" t="s">
        <v>11</v>
      </c>
      <c r="C151" s="62" t="s">
        <v>11</v>
      </c>
      <c r="I151" s="31" t="s">
        <v>11</v>
      </c>
    </row>
    <row r="160" spans="1:16" x14ac:dyDescent="0.2">
      <c r="M160" s="141" t="s">
        <v>128</v>
      </c>
    </row>
    <row r="161" spans="1:16" x14ac:dyDescent="0.2">
      <c r="M161" s="141" t="s">
        <v>135</v>
      </c>
    </row>
    <row r="162" spans="1:16" x14ac:dyDescent="0.2">
      <c r="M162" s="141" t="s">
        <v>130</v>
      </c>
    </row>
    <row r="164" spans="1:16" x14ac:dyDescent="0.2">
      <c r="A164" s="1" t="s">
        <v>0</v>
      </c>
      <c r="B164" s="183" t="s">
        <v>1</v>
      </c>
      <c r="C164" s="184"/>
      <c r="D164" s="2"/>
      <c r="E164" s="185" t="s">
        <v>2</v>
      </c>
      <c r="F164" s="186"/>
      <c r="G164" s="2"/>
      <c r="H164" s="183" t="s">
        <v>49</v>
      </c>
      <c r="I164" s="187"/>
      <c r="J164" s="184"/>
      <c r="K164" s="2"/>
      <c r="L164" s="183" t="s">
        <v>3</v>
      </c>
      <c r="M164" s="187"/>
      <c r="N164" s="184"/>
      <c r="O164" s="1"/>
      <c r="P164" s="1"/>
    </row>
    <row r="165" spans="1:16" x14ac:dyDescent="0.2">
      <c r="A165" s="1"/>
      <c r="B165" s="4" t="s">
        <v>4</v>
      </c>
      <c r="C165" s="4" t="s">
        <v>126</v>
      </c>
      <c r="D165" s="1"/>
      <c r="E165" s="4" t="s">
        <v>7</v>
      </c>
      <c r="F165" s="4" t="s">
        <v>8</v>
      </c>
      <c r="G165" s="2"/>
      <c r="H165" s="4" t="s">
        <v>6</v>
      </c>
      <c r="I165" s="4" t="s">
        <v>7</v>
      </c>
      <c r="J165" s="4" t="s">
        <v>8</v>
      </c>
      <c r="K165" s="5"/>
      <c r="L165" s="4" t="s">
        <v>6</v>
      </c>
      <c r="M165" s="4" t="s">
        <v>7</v>
      </c>
      <c r="N165" s="4" t="s">
        <v>9</v>
      </c>
      <c r="O165" s="5" t="s">
        <v>11</v>
      </c>
      <c r="P165" s="5" t="s">
        <v>11</v>
      </c>
    </row>
    <row r="167" spans="1:16" x14ac:dyDescent="0.2">
      <c r="A167" s="1" t="s">
        <v>30</v>
      </c>
      <c r="B167" s="1" t="s">
        <v>31</v>
      </c>
      <c r="C167" s="1">
        <f>('[3]RT''s BillAnal'!$C$102)</f>
        <v>577</v>
      </c>
      <c r="D167" s="1"/>
      <c r="E167" s="12">
        <f>('[3]RT''s BillAnal'!$I$102)</f>
        <v>12563.08</v>
      </c>
      <c r="F167" s="1"/>
      <c r="G167" s="1"/>
      <c r="H167" s="11">
        <v>25</v>
      </c>
      <c r="I167" s="12">
        <f>(C167*H167)</f>
        <v>14425</v>
      </c>
      <c r="J167" s="27">
        <f>(I167/$I$170)</f>
        <v>1.1355317592060285E-2</v>
      </c>
      <c r="K167" s="1"/>
      <c r="L167" s="33">
        <v>45</v>
      </c>
      <c r="M167" s="37">
        <f>(L167*C167)</f>
        <v>25965</v>
      </c>
      <c r="N167" s="13">
        <f>(M167-I167)</f>
        <v>11540</v>
      </c>
      <c r="O167" s="1"/>
      <c r="P167" s="1"/>
    </row>
    <row r="168" spans="1:16" x14ac:dyDescent="0.2">
      <c r="A168" s="1" t="s">
        <v>60</v>
      </c>
      <c r="B168" s="1" t="s">
        <v>61</v>
      </c>
      <c r="C168" s="23">
        <v>0</v>
      </c>
      <c r="D168" s="1"/>
      <c r="E168" s="11">
        <v>976</v>
      </c>
      <c r="F168" s="1"/>
      <c r="G168" s="1"/>
      <c r="H168" s="11">
        <v>0.75</v>
      </c>
      <c r="I168" s="12">
        <f>(C168*H168)</f>
        <v>0</v>
      </c>
      <c r="J168" s="27">
        <f>(I168/$I$170)</f>
        <v>0</v>
      </c>
      <c r="K168" s="1"/>
      <c r="L168" s="33">
        <v>0.75</v>
      </c>
      <c r="M168" s="37">
        <f>(L168*C168)</f>
        <v>0</v>
      </c>
      <c r="N168" s="13">
        <f>(M168-I168)</f>
        <v>0</v>
      </c>
      <c r="O168" s="1"/>
      <c r="P168" s="1"/>
    </row>
    <row r="169" spans="1:16" x14ac:dyDescent="0.2">
      <c r="A169" s="1" t="s">
        <v>32</v>
      </c>
      <c r="B169" s="1" t="s">
        <v>15</v>
      </c>
      <c r="C169" s="6">
        <f>('[3]RT''s BillAnal'!$D$102)</f>
        <v>15867403</v>
      </c>
      <c r="D169" s="1"/>
      <c r="E169" s="23">
        <f>(C169*H169)</f>
        <v>1255904.9474499999</v>
      </c>
      <c r="F169" s="63">
        <v>1</v>
      </c>
      <c r="G169" s="64"/>
      <c r="H169" s="65">
        <v>7.9149999999999998E-2</v>
      </c>
      <c r="I169" s="12">
        <f>(C169*H169)</f>
        <v>1255904.9474499999</v>
      </c>
      <c r="J169" s="66">
        <f>(I169/$I$170)</f>
        <v>0.98864468240793968</v>
      </c>
      <c r="K169" s="1"/>
      <c r="L169" s="58">
        <v>8.0399999999999999E-2</v>
      </c>
      <c r="M169" s="37">
        <f>(L169*C169)</f>
        <v>1275739.2012</v>
      </c>
      <c r="N169" s="13">
        <f>(M169-I169)</f>
        <v>19834.253750000149</v>
      </c>
      <c r="O169" s="1"/>
      <c r="P169" s="1"/>
    </row>
    <row r="170" spans="1:16" x14ac:dyDescent="0.2">
      <c r="A170" s="65" t="s">
        <v>33</v>
      </c>
      <c r="B170" s="1"/>
      <c r="C170" s="1"/>
      <c r="D170" s="1"/>
      <c r="E170" s="50">
        <f>SUM(E167:E169)</f>
        <v>1269444.0274499999</v>
      </c>
      <c r="F170" s="67">
        <v>1</v>
      </c>
      <c r="G170" s="67"/>
      <c r="H170" s="1"/>
      <c r="I170" s="50">
        <f>SUM(I167:I169)</f>
        <v>1270329.9474499999</v>
      </c>
      <c r="J170" s="66">
        <f>(I170/$I$170)</f>
        <v>1</v>
      </c>
      <c r="K170" s="1"/>
      <c r="L170" s="50" t="s">
        <v>11</v>
      </c>
      <c r="M170" s="50">
        <f>SUM(M167:M169)</f>
        <v>1301704.2012</v>
      </c>
      <c r="N170" s="50">
        <f>SUM(N167:N169)</f>
        <v>31374.253750000149</v>
      </c>
      <c r="O170" s="1"/>
      <c r="P170" s="1"/>
    </row>
    <row r="172" spans="1:16" x14ac:dyDescent="0.2">
      <c r="A172" s="1" t="s">
        <v>17</v>
      </c>
      <c r="B172" s="1" t="s">
        <v>11</v>
      </c>
      <c r="C172" s="1"/>
      <c r="D172" s="1"/>
      <c r="E172" s="6">
        <v>-57527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">
      <c r="A173" s="1" t="s">
        <v>18</v>
      </c>
      <c r="B173" s="1" t="s">
        <v>11</v>
      </c>
      <c r="C173" s="1"/>
      <c r="D173" s="1"/>
      <c r="E173" s="6">
        <v>143783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">
      <c r="A174" s="1"/>
      <c r="B174" s="1" t="s">
        <v>11</v>
      </c>
      <c r="C174" s="1"/>
      <c r="D174" s="1"/>
      <c r="E174" s="50">
        <f>SUM(E170:E173)</f>
        <v>1355700.0274499999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>
        <f>(C169/C167)</f>
        <v>27499.831889081455</v>
      </c>
    </row>
    <row r="175" spans="1: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2" t="s">
        <v>11</v>
      </c>
      <c r="O175" s="1"/>
      <c r="P175" s="1"/>
    </row>
    <row r="176" spans="1:16" x14ac:dyDescent="0.2">
      <c r="A176" s="1" t="s">
        <v>19</v>
      </c>
      <c r="B176" s="1" t="s">
        <v>5</v>
      </c>
      <c r="C176" s="1"/>
      <c r="D176" s="1"/>
      <c r="E176" s="1"/>
      <c r="F176" s="1"/>
      <c r="G176" s="1"/>
      <c r="H176" s="1"/>
      <c r="I176" s="9">
        <f>(I170/C167)</f>
        <v>2201.6116940207971</v>
      </c>
      <c r="J176" s="1"/>
      <c r="K176" s="1"/>
      <c r="L176" s="1"/>
      <c r="M176" s="1"/>
      <c r="N176" s="9">
        <f>(M170/C167)</f>
        <v>2255.9864838821491</v>
      </c>
      <c r="O176" s="1"/>
      <c r="P176" s="1"/>
    </row>
    <row r="177" spans="1:16" x14ac:dyDescent="0.2">
      <c r="A177" s="1"/>
      <c r="B177" s="1" t="s">
        <v>9</v>
      </c>
      <c r="C177" s="1"/>
      <c r="D177" s="1"/>
      <c r="F177" s="1"/>
      <c r="G177" s="1"/>
      <c r="H177" s="1"/>
      <c r="I177" s="1"/>
      <c r="J177" s="1"/>
      <c r="K177" s="1"/>
      <c r="L177" s="1"/>
      <c r="M177" s="1"/>
      <c r="N177" s="9">
        <f>(N176-I176)</f>
        <v>54.374789861351928</v>
      </c>
      <c r="O177" s="1"/>
      <c r="P177" s="1"/>
    </row>
    <row r="178" spans="1:16" x14ac:dyDescent="0.2">
      <c r="A178" s="1"/>
      <c r="B178" s="1" t="s">
        <v>8</v>
      </c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27">
        <f>(N177/I176)</f>
        <v>2.4697720315087629E-2</v>
      </c>
      <c r="O178" s="1"/>
      <c r="P178" s="1"/>
    </row>
    <row r="180" spans="1:16" x14ac:dyDescent="0.2">
      <c r="I180" s="31" t="s">
        <v>11</v>
      </c>
    </row>
    <row r="191" spans="1:16" x14ac:dyDescent="0.2">
      <c r="M191" s="141" t="s">
        <v>128</v>
      </c>
    </row>
    <row r="192" spans="1:16" x14ac:dyDescent="0.2">
      <c r="M192" s="141" t="s">
        <v>136</v>
      </c>
    </row>
    <row r="193" spans="1:16" x14ac:dyDescent="0.2">
      <c r="M193" s="141" t="s">
        <v>130</v>
      </c>
    </row>
    <row r="195" spans="1:16" x14ac:dyDescent="0.2">
      <c r="A195" s="1" t="s">
        <v>0</v>
      </c>
      <c r="B195" s="183" t="s">
        <v>1</v>
      </c>
      <c r="C195" s="184"/>
      <c r="D195" s="2"/>
      <c r="E195" s="185" t="s">
        <v>2</v>
      </c>
      <c r="F195" s="186"/>
      <c r="G195" s="2"/>
      <c r="H195" s="183" t="s">
        <v>49</v>
      </c>
      <c r="I195" s="187"/>
      <c r="J195" s="184"/>
      <c r="K195" s="2"/>
      <c r="L195" s="183" t="s">
        <v>3</v>
      </c>
      <c r="M195" s="187"/>
      <c r="N195" s="184"/>
      <c r="O195" s="1"/>
      <c r="P195" s="1"/>
    </row>
    <row r="196" spans="1:16" x14ac:dyDescent="0.2">
      <c r="A196" s="1"/>
      <c r="B196" s="4" t="s">
        <v>4</v>
      </c>
      <c r="C196" s="4" t="s">
        <v>126</v>
      </c>
      <c r="D196" s="1"/>
      <c r="E196" s="4" t="s">
        <v>7</v>
      </c>
      <c r="F196" s="4" t="s">
        <v>8</v>
      </c>
      <c r="G196" s="2"/>
      <c r="H196" s="4" t="s">
        <v>6</v>
      </c>
      <c r="I196" s="4" t="s">
        <v>7</v>
      </c>
      <c r="J196" s="4" t="s">
        <v>8</v>
      </c>
      <c r="K196" s="5"/>
      <c r="L196" s="4" t="s">
        <v>6</v>
      </c>
      <c r="M196" s="4" t="s">
        <v>7</v>
      </c>
      <c r="N196" s="4" t="s">
        <v>9</v>
      </c>
      <c r="O196" s="5" t="s">
        <v>11</v>
      </c>
      <c r="P196" s="5" t="s">
        <v>11</v>
      </c>
    </row>
    <row r="198" spans="1:16" x14ac:dyDescent="0.2">
      <c r="A198" s="1" t="s">
        <v>34</v>
      </c>
      <c r="B198" s="1" t="s">
        <v>31</v>
      </c>
      <c r="C198" s="1">
        <f>('[3]RT''s BillAnal'!$C$119)</f>
        <v>15</v>
      </c>
      <c r="D198" s="1"/>
      <c r="E198" s="11">
        <f>('[3]RT''s BillAnal'!$I$119)</f>
        <v>522.41</v>
      </c>
      <c r="F198" s="8">
        <v>0</v>
      </c>
      <c r="G198" s="8"/>
      <c r="H198" s="1">
        <v>50</v>
      </c>
      <c r="I198" s="9">
        <f>(C198*H198)</f>
        <v>750</v>
      </c>
      <c r="J198" s="8">
        <f>(I198/$I$201)</f>
        <v>6.5590949786635013E-4</v>
      </c>
      <c r="K198" s="1"/>
      <c r="L198" s="9">
        <v>100</v>
      </c>
      <c r="M198" s="12">
        <f>(L198*C198)</f>
        <v>1500</v>
      </c>
      <c r="N198" s="13">
        <f>(M198-I198)</f>
        <v>750</v>
      </c>
      <c r="O198" s="1"/>
      <c r="P198" s="1"/>
    </row>
    <row r="199" spans="1:16" x14ac:dyDescent="0.2">
      <c r="A199" s="1" t="s">
        <v>35</v>
      </c>
      <c r="B199" s="1" t="s">
        <v>36</v>
      </c>
      <c r="C199" s="6">
        <f>('[3]RT''s BillAnal'!$P$119)</f>
        <v>46071.177099236644</v>
      </c>
      <c r="D199" s="1"/>
      <c r="E199" s="53">
        <f>('[3]RT''s BillAnal'!$H$119)</f>
        <v>301766.21000000002</v>
      </c>
      <c r="F199" s="8">
        <v>0.29296956849533617</v>
      </c>
      <c r="G199" s="8"/>
      <c r="H199" s="1">
        <v>6.55</v>
      </c>
      <c r="I199" s="12">
        <f>(C199*H199)</f>
        <v>301766.21000000002</v>
      </c>
      <c r="J199" s="8">
        <f>(I199/$I$201)</f>
        <v>0.26390843103217543</v>
      </c>
      <c r="K199" s="1"/>
      <c r="L199" s="9">
        <v>6.55</v>
      </c>
      <c r="M199" s="12">
        <f>(L199*C199)</f>
        <v>301766.21000000002</v>
      </c>
      <c r="N199" s="13">
        <f>(M199-I199)</f>
        <v>0</v>
      </c>
      <c r="O199" s="1"/>
      <c r="P199" s="1"/>
    </row>
    <row r="200" spans="1:16" x14ac:dyDescent="0.2">
      <c r="A200" s="65" t="s">
        <v>37</v>
      </c>
      <c r="B200" s="1" t="s">
        <v>15</v>
      </c>
      <c r="C200" s="6">
        <f>('[3]RT''s BillAnal'!$D$119)</f>
        <v>16450200</v>
      </c>
      <c r="D200" s="1"/>
      <c r="E200" s="53">
        <f>('[3]RT''s BillAnal'!$G$119-'[3]RT''s BillAnal'!$J$119-'[3]RT''s BillAnal'!$K$119)</f>
        <v>836854.30999999994</v>
      </c>
      <c r="F200" s="47">
        <v>0.70703043150466383</v>
      </c>
      <c r="G200" s="21"/>
      <c r="H200" s="1">
        <v>5.1119999999999999E-2</v>
      </c>
      <c r="I200" s="68">
        <f>(C200*H200)</f>
        <v>840934.22399999993</v>
      </c>
      <c r="J200" s="8">
        <f>(I200/$I$201)</f>
        <v>0.73543565946995826</v>
      </c>
      <c r="K200" s="1"/>
      <c r="L200" s="69">
        <v>5.1119999999999999E-2</v>
      </c>
      <c r="M200" s="14">
        <f>(L200*C200)</f>
        <v>840934.22399999993</v>
      </c>
      <c r="N200" s="20">
        <f>(M200-I200)</f>
        <v>0</v>
      </c>
      <c r="O200" s="1"/>
      <c r="P200" s="1"/>
    </row>
    <row r="201" spans="1:16" x14ac:dyDescent="0.2">
      <c r="A201" s="1"/>
      <c r="B201" s="1"/>
      <c r="C201" s="1"/>
      <c r="D201" s="1"/>
      <c r="E201" s="50">
        <f>SUM(E198:E200)</f>
        <v>1139142.93</v>
      </c>
      <c r="F201" s="8">
        <v>1</v>
      </c>
      <c r="G201" s="8"/>
      <c r="H201" s="1"/>
      <c r="I201" s="24">
        <f>SUM(I198:I200)</f>
        <v>1143450.4339999999</v>
      </c>
      <c r="J201" s="49"/>
      <c r="K201" s="1"/>
      <c r="L201" s="1"/>
      <c r="M201" s="24">
        <f>SUM(M198:M200)</f>
        <v>1144200.4339999999</v>
      </c>
      <c r="N201" s="24">
        <f>SUM(N198:N200)</f>
        <v>750</v>
      </c>
      <c r="O201" s="1"/>
      <c r="P201" s="1"/>
    </row>
    <row r="202" spans="1:16" x14ac:dyDescent="0.2">
      <c r="A202" s="1" t="s">
        <v>17</v>
      </c>
      <c r="B202" s="1" t="s">
        <v>11</v>
      </c>
      <c r="C202" s="1"/>
      <c r="D202" s="1"/>
      <c r="E202" s="6">
        <v>-59640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x14ac:dyDescent="0.2">
      <c r="A203" s="1" t="s">
        <v>18</v>
      </c>
      <c r="B203" s="1" t="s">
        <v>11</v>
      </c>
      <c r="C203" s="1"/>
      <c r="D203" s="1"/>
      <c r="E203" s="6">
        <v>129025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23">
        <f>(C200/C198)</f>
        <v>1096680</v>
      </c>
    </row>
    <row r="204" spans="1:16" x14ac:dyDescent="0.2">
      <c r="A204" s="1"/>
      <c r="B204" s="1" t="s">
        <v>11</v>
      </c>
      <c r="C204" s="1" t="s">
        <v>11</v>
      </c>
      <c r="D204" s="1"/>
      <c r="E204" s="50">
        <f>SUM(E201:E203)</f>
        <v>1208527.93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6" spans="1:16" x14ac:dyDescent="0.2">
      <c r="A206" s="1" t="s">
        <v>19</v>
      </c>
      <c r="B206" s="1" t="s">
        <v>5</v>
      </c>
      <c r="C206" s="1"/>
      <c r="D206" s="1"/>
      <c r="E206" s="1"/>
      <c r="F206" s="1"/>
      <c r="G206" s="1"/>
      <c r="H206" s="1"/>
      <c r="I206" s="9">
        <f>(I201/C198)</f>
        <v>76230.02893333332</v>
      </c>
      <c r="J206" s="1"/>
      <c r="K206" s="1"/>
      <c r="L206" s="1"/>
      <c r="M206" s="1"/>
      <c r="N206" s="12">
        <f>(M201/C198)</f>
        <v>76280.02893333332</v>
      </c>
      <c r="O206" s="1"/>
      <c r="P206" s="1"/>
    </row>
    <row r="207" spans="1:16" x14ac:dyDescent="0.2">
      <c r="A207" s="1"/>
      <c r="B207" s="1" t="s">
        <v>9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41">
        <f>(N206-I206)</f>
        <v>50</v>
      </c>
      <c r="O207" s="1"/>
      <c r="P207" s="1"/>
    </row>
    <row r="208" spans="1:16" x14ac:dyDescent="0.2">
      <c r="A208" s="1"/>
      <c r="B208" s="1" t="s">
        <v>8</v>
      </c>
      <c r="C208" s="1"/>
      <c r="D208" s="1"/>
      <c r="E208" s="1" t="s">
        <v>11</v>
      </c>
      <c r="F208" s="1"/>
      <c r="G208" s="1"/>
      <c r="H208" s="1"/>
      <c r="I208" s="1"/>
      <c r="J208" s="1"/>
      <c r="K208" s="1"/>
      <c r="L208" s="1"/>
      <c r="M208" s="1"/>
      <c r="N208" s="8">
        <f>(N207/I206)</f>
        <v>6.5590949786635013E-4</v>
      </c>
      <c r="O208" s="1"/>
      <c r="P208" s="1"/>
    </row>
    <row r="209" spans="1:1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x14ac:dyDescent="0.2">
      <c r="E210" s="3" t="s">
        <v>11</v>
      </c>
    </row>
    <row r="211" spans="1:16" x14ac:dyDescent="0.2">
      <c r="I211" s="31" t="s">
        <v>11</v>
      </c>
    </row>
    <row r="213" spans="1:16" x14ac:dyDescent="0.2">
      <c r="I213" s="31" t="s">
        <v>11</v>
      </c>
    </row>
    <row r="221" spans="1:16" x14ac:dyDescent="0.2">
      <c r="M221" s="141" t="s">
        <v>128</v>
      </c>
    </row>
    <row r="222" spans="1:16" x14ac:dyDescent="0.2">
      <c r="M222" s="141" t="s">
        <v>137</v>
      </c>
    </row>
    <row r="223" spans="1:16" x14ac:dyDescent="0.2">
      <c r="M223" s="141" t="s">
        <v>130</v>
      </c>
    </row>
    <row r="225" spans="1:16" x14ac:dyDescent="0.2">
      <c r="A225" s="1" t="s">
        <v>0</v>
      </c>
      <c r="B225" s="183" t="s">
        <v>1</v>
      </c>
      <c r="C225" s="184"/>
      <c r="D225" s="2"/>
      <c r="E225" s="185" t="s">
        <v>2</v>
      </c>
      <c r="F225" s="186"/>
      <c r="G225" s="2"/>
      <c r="H225" s="183" t="s">
        <v>49</v>
      </c>
      <c r="I225" s="187"/>
      <c r="J225" s="184"/>
      <c r="K225" s="2"/>
      <c r="L225" s="183" t="s">
        <v>3</v>
      </c>
      <c r="M225" s="187"/>
      <c r="N225" s="184"/>
      <c r="O225" s="1"/>
      <c r="P225" s="1"/>
    </row>
    <row r="226" spans="1:16" x14ac:dyDescent="0.2">
      <c r="A226" s="1"/>
      <c r="B226" s="4" t="s">
        <v>4</v>
      </c>
      <c r="C226" s="4" t="s">
        <v>126</v>
      </c>
      <c r="D226" s="1"/>
      <c r="E226" s="4" t="s">
        <v>7</v>
      </c>
      <c r="F226" s="4" t="s">
        <v>8</v>
      </c>
      <c r="G226" s="2"/>
      <c r="H226" s="4" t="s">
        <v>6</v>
      </c>
      <c r="I226" s="4" t="s">
        <v>7</v>
      </c>
      <c r="J226" s="4" t="s">
        <v>8</v>
      </c>
      <c r="K226" s="5"/>
      <c r="L226" s="4" t="s">
        <v>6</v>
      </c>
      <c r="M226" s="4" t="s">
        <v>7</v>
      </c>
      <c r="N226" s="4" t="s">
        <v>9</v>
      </c>
      <c r="O226" s="5" t="s">
        <v>11</v>
      </c>
      <c r="P226" s="5" t="s">
        <v>11</v>
      </c>
    </row>
    <row r="228" spans="1:16" x14ac:dyDescent="0.2">
      <c r="A228" s="1" t="s">
        <v>38</v>
      </c>
      <c r="B228" s="1" t="s">
        <v>31</v>
      </c>
      <c r="C228" s="1">
        <f>('[3]RT''s BillAnal'!$C$136)</f>
        <v>984</v>
      </c>
      <c r="D228" s="1"/>
      <c r="E228" s="70">
        <f>('[3]RT''s BillAnal'!$I$136)</f>
        <v>34244.050000000003</v>
      </c>
      <c r="F228" s="8">
        <f>(E228/E$232)</f>
        <v>5.0309967214162091E-3</v>
      </c>
      <c r="G228" s="8"/>
      <c r="H228" s="9">
        <v>40</v>
      </c>
      <c r="I228" s="12">
        <f>(C228*H228)</f>
        <v>39360</v>
      </c>
      <c r="J228" s="8">
        <f>(I228/$I$232)</f>
        <v>5.7782682828833604E-3</v>
      </c>
      <c r="K228" s="1"/>
      <c r="L228" s="33">
        <v>65</v>
      </c>
      <c r="M228" s="37">
        <f>(C228*L228)</f>
        <v>63960</v>
      </c>
      <c r="N228" s="13">
        <f>(M228-I228)</f>
        <v>24600</v>
      </c>
      <c r="O228" s="1"/>
      <c r="P228" s="1"/>
    </row>
    <row r="229" spans="1:16" x14ac:dyDescent="0.2">
      <c r="A229" s="1" t="s">
        <v>60</v>
      </c>
      <c r="B229" s="1" t="s">
        <v>61</v>
      </c>
      <c r="C229" s="23">
        <f>(E229/0.75)</f>
        <v>12660</v>
      </c>
      <c r="D229" s="1"/>
      <c r="E229" s="71">
        <v>9495</v>
      </c>
      <c r="F229" s="8">
        <f t="shared" ref="F229:F231" si="4">(E229/E$232)</f>
        <v>1.3949668298535631E-3</v>
      </c>
      <c r="G229" s="8"/>
      <c r="H229" s="1">
        <v>0.75</v>
      </c>
      <c r="I229" s="12">
        <f>(C229*H229)</f>
        <v>9495</v>
      </c>
      <c r="J229" s="8">
        <f>(I229/$I$232)</f>
        <v>1.3939191398876399E-3</v>
      </c>
      <c r="K229" s="1"/>
      <c r="L229" s="33">
        <v>0.75</v>
      </c>
      <c r="M229" s="37">
        <f t="shared" ref="M229:M230" si="5">(C229*L229)</f>
        <v>9495</v>
      </c>
      <c r="N229" s="13">
        <f>(M229-I229)</f>
        <v>0</v>
      </c>
      <c r="O229" s="1"/>
      <c r="P229" s="1"/>
    </row>
    <row r="230" spans="1:16" x14ac:dyDescent="0.2">
      <c r="A230" s="1" t="s">
        <v>35</v>
      </c>
      <c r="B230" s="1" t="s">
        <v>36</v>
      </c>
      <c r="C230" s="53">
        <f>('[3]RT''s BillAnal'!$P$136)</f>
        <v>293370.02843601903</v>
      </c>
      <c r="D230" s="1"/>
      <c r="E230" s="53">
        <f>(C230*H230)</f>
        <v>1238021.5200000003</v>
      </c>
      <c r="F230" s="8">
        <f t="shared" si="4"/>
        <v>0.18188509268508582</v>
      </c>
      <c r="G230" s="8"/>
      <c r="H230" s="1">
        <v>4.22</v>
      </c>
      <c r="I230" s="12">
        <f>(C230*H230)</f>
        <v>1238021.5200000003</v>
      </c>
      <c r="J230" s="8">
        <f>(I230/$I$232)</f>
        <v>0.18174848786948802</v>
      </c>
      <c r="K230" s="1"/>
      <c r="L230" s="33">
        <v>4.22</v>
      </c>
      <c r="M230" s="37">
        <f t="shared" si="5"/>
        <v>1238021.5200000003</v>
      </c>
      <c r="N230" s="13">
        <f>(M230-I230)</f>
        <v>0</v>
      </c>
      <c r="O230" s="1"/>
      <c r="P230" s="1"/>
    </row>
    <row r="231" spans="1:16" x14ac:dyDescent="0.2">
      <c r="A231" s="65" t="s">
        <v>37</v>
      </c>
      <c r="B231" s="1" t="s">
        <v>15</v>
      </c>
      <c r="C231" s="72">
        <f>('[3]RT''s BillAnal'!$D$136)</f>
        <v>90899192</v>
      </c>
      <c r="D231" s="1"/>
      <c r="E231" s="73">
        <f>(C231*H231)</f>
        <v>5524852.8897599997</v>
      </c>
      <c r="F231" s="47">
        <f t="shared" si="4"/>
        <v>0.81168894376364442</v>
      </c>
      <c r="G231" s="21"/>
      <c r="H231" s="1">
        <v>6.0780000000000001E-2</v>
      </c>
      <c r="I231" s="68">
        <f>(C231*H231)</f>
        <v>5524852.8897599997</v>
      </c>
      <c r="J231" s="8">
        <f>(I231/$I$232)</f>
        <v>0.81107932470774091</v>
      </c>
      <c r="K231" s="1"/>
      <c r="L231" s="74">
        <f>(H231)</f>
        <v>6.0780000000000001E-2</v>
      </c>
      <c r="M231" s="75">
        <f>(C231*L231)</f>
        <v>5524852.8897599997</v>
      </c>
      <c r="N231" s="20">
        <f>(M231-I231)</f>
        <v>0</v>
      </c>
      <c r="O231" s="1"/>
      <c r="P231" s="23">
        <f>(C231/C228)</f>
        <v>92377.227642276426</v>
      </c>
    </row>
    <row r="232" spans="1:16" x14ac:dyDescent="0.2">
      <c r="A232" s="1"/>
      <c r="B232" s="1"/>
      <c r="C232" s="1"/>
      <c r="D232" s="1"/>
      <c r="E232" s="73">
        <f>SUM(E228:E231)</f>
        <v>6806613.45976</v>
      </c>
      <c r="F232" s="76">
        <v>1</v>
      </c>
      <c r="G232" s="8"/>
      <c r="H232" s="1"/>
      <c r="I232" s="77">
        <f>SUM(I228:I231)</f>
        <v>6811729.4097600002</v>
      </c>
      <c r="J232" s="49">
        <f>(I232/$I$232)</f>
        <v>1</v>
      </c>
      <c r="K232" s="1"/>
      <c r="M232" s="77">
        <f>SUM(M228:M231)</f>
        <v>6836329.4097600002</v>
      </c>
      <c r="N232" s="77">
        <f>SUM(N228:N231)</f>
        <v>24600</v>
      </c>
      <c r="O232" s="1"/>
      <c r="P232" s="1"/>
    </row>
    <row r="233" spans="1:16" x14ac:dyDescent="0.2">
      <c r="A233" s="1" t="s">
        <v>17</v>
      </c>
      <c r="B233" s="1" t="s">
        <v>11</v>
      </c>
      <c r="C233" s="1"/>
      <c r="D233" s="1"/>
      <c r="E233" s="6">
        <v>-329556</v>
      </c>
      <c r="F233" s="1"/>
      <c r="G233" s="1"/>
      <c r="H233" s="1"/>
      <c r="I233" s="65"/>
      <c r="J233" s="1"/>
      <c r="K233" s="1"/>
      <c r="L233" s="1"/>
      <c r="M233" s="1"/>
      <c r="N233" s="1"/>
      <c r="O233" s="1"/>
      <c r="P233" s="1"/>
    </row>
    <row r="234" spans="1:16" x14ac:dyDescent="0.2">
      <c r="A234" s="1" t="s">
        <v>18</v>
      </c>
      <c r="B234" s="1" t="s">
        <v>11</v>
      </c>
      <c r="C234" s="6">
        <v>269418.61137440754</v>
      </c>
      <c r="D234" s="1"/>
      <c r="E234" s="6">
        <v>770949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x14ac:dyDescent="0.2">
      <c r="A235" s="1"/>
      <c r="B235" s="1" t="s">
        <v>11</v>
      </c>
      <c r="C235" s="1"/>
      <c r="D235" s="1"/>
      <c r="E235" s="55">
        <f>SUM(E232:E234)</f>
        <v>7248006.45976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7" spans="1:16" x14ac:dyDescent="0.2">
      <c r="A237" s="1" t="s">
        <v>19</v>
      </c>
      <c r="B237" s="1" t="s">
        <v>5</v>
      </c>
      <c r="C237" s="1"/>
      <c r="D237" s="1"/>
      <c r="E237" s="1"/>
      <c r="F237" s="1"/>
      <c r="G237" s="1"/>
      <c r="H237" s="1"/>
      <c r="I237" s="9">
        <f>(I232/C228)</f>
        <v>6922.4892375609761</v>
      </c>
      <c r="J237" s="1"/>
      <c r="K237" s="1"/>
      <c r="L237" s="1"/>
      <c r="M237" s="1"/>
      <c r="N237" s="9">
        <f>(M232/C228)</f>
        <v>6947.4892375609761</v>
      </c>
      <c r="O237" s="1"/>
      <c r="P237" s="1"/>
    </row>
    <row r="238" spans="1:16" x14ac:dyDescent="0.2">
      <c r="B238" s="1" t="s">
        <v>9</v>
      </c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41">
        <f>(N237-I237)</f>
        <v>25</v>
      </c>
      <c r="O238" s="1"/>
      <c r="P238" s="1"/>
    </row>
    <row r="239" spans="1:16" x14ac:dyDescent="0.2">
      <c r="B239" s="1" t="s">
        <v>8</v>
      </c>
      <c r="C239" s="1"/>
      <c r="D239" s="1"/>
      <c r="E239" s="23" t="s">
        <v>11</v>
      </c>
      <c r="F239" s="1"/>
      <c r="G239" s="1"/>
      <c r="H239" s="1" t="s">
        <v>11</v>
      </c>
      <c r="I239" s="1"/>
      <c r="J239" s="1"/>
      <c r="K239" s="1"/>
      <c r="L239" s="1"/>
      <c r="M239" s="1"/>
      <c r="N239" s="8">
        <f>(N238/I237)</f>
        <v>3.6114176768021001E-3</v>
      </c>
      <c r="O239" s="1"/>
      <c r="P239" s="1"/>
    </row>
    <row r="240" spans="1:16" x14ac:dyDescent="0.2">
      <c r="B240" s="1"/>
      <c r="C240" s="1"/>
      <c r="D240" s="1"/>
      <c r="E240" s="23" t="s">
        <v>11</v>
      </c>
      <c r="F240" s="1"/>
      <c r="G240" s="1"/>
      <c r="H240" s="1" t="s">
        <v>11</v>
      </c>
      <c r="I240" s="1"/>
      <c r="J240" s="1"/>
      <c r="K240" s="1"/>
      <c r="L240" s="1"/>
      <c r="M240" s="1"/>
      <c r="N240" s="1"/>
      <c r="O240" s="1"/>
      <c r="P240" s="1"/>
    </row>
    <row r="241" spans="1:16" x14ac:dyDescent="0.2">
      <c r="E241" s="37" t="s">
        <v>11</v>
      </c>
    </row>
    <row r="242" spans="1:16" x14ac:dyDescent="0.2">
      <c r="E242" s="37" t="s">
        <v>11</v>
      </c>
      <c r="I242" s="31" t="s">
        <v>11</v>
      </c>
    </row>
    <row r="252" spans="1:16" x14ac:dyDescent="0.2">
      <c r="M252" s="141" t="s">
        <v>128</v>
      </c>
    </row>
    <row r="253" spans="1:16" x14ac:dyDescent="0.2">
      <c r="M253" s="141" t="s">
        <v>138</v>
      </c>
    </row>
    <row r="254" spans="1:16" x14ac:dyDescent="0.2">
      <c r="M254" s="141" t="s">
        <v>130</v>
      </c>
    </row>
    <row r="256" spans="1:16" x14ac:dyDescent="0.2">
      <c r="A256" s="1" t="s">
        <v>0</v>
      </c>
      <c r="B256" s="183" t="s">
        <v>1</v>
      </c>
      <c r="C256" s="184"/>
      <c r="D256" s="2"/>
      <c r="E256" s="185" t="s">
        <v>2</v>
      </c>
      <c r="F256" s="186"/>
      <c r="G256" s="2"/>
      <c r="H256" s="183" t="s">
        <v>49</v>
      </c>
      <c r="I256" s="187"/>
      <c r="J256" s="184"/>
      <c r="K256" s="2"/>
      <c r="L256" s="183" t="s">
        <v>3</v>
      </c>
      <c r="M256" s="187"/>
      <c r="N256" s="184"/>
      <c r="O256" s="1"/>
      <c r="P256" s="1"/>
    </row>
    <row r="257" spans="1:16" x14ac:dyDescent="0.2">
      <c r="A257" s="1"/>
      <c r="B257" s="4" t="s">
        <v>4</v>
      </c>
      <c r="C257" s="4" t="s">
        <v>126</v>
      </c>
      <c r="D257" s="1"/>
      <c r="E257" s="4" t="s">
        <v>7</v>
      </c>
      <c r="F257" s="4" t="s">
        <v>8</v>
      </c>
      <c r="G257" s="2"/>
      <c r="H257" s="4" t="s">
        <v>6</v>
      </c>
      <c r="I257" s="4" t="s">
        <v>7</v>
      </c>
      <c r="J257" s="4" t="s">
        <v>8</v>
      </c>
      <c r="K257" s="5"/>
      <c r="L257" s="4" t="s">
        <v>6</v>
      </c>
      <c r="M257" s="4" t="s">
        <v>7</v>
      </c>
      <c r="N257" s="4" t="s">
        <v>9</v>
      </c>
      <c r="O257" s="5" t="s">
        <v>11</v>
      </c>
      <c r="P257" s="5" t="s">
        <v>11</v>
      </c>
    </row>
    <row r="259" spans="1:16" x14ac:dyDescent="0.2">
      <c r="A259" s="1" t="s">
        <v>39</v>
      </c>
      <c r="B259" s="1" t="s">
        <v>40</v>
      </c>
      <c r="C259" s="72">
        <f>('[3]RT''s BillAnal'!$C$188+'[3]RT''s BillAnal'!$I$188)</f>
        <v>86822</v>
      </c>
      <c r="D259" s="1"/>
      <c r="E259" s="53">
        <v>726753</v>
      </c>
      <c r="F259" s="8" t="s">
        <v>11</v>
      </c>
      <c r="G259" s="8"/>
      <c r="H259" s="25">
        <v>8.57</v>
      </c>
      <c r="I259" s="23">
        <f>(C259*H259)</f>
        <v>744064.54</v>
      </c>
      <c r="J259" s="8">
        <f>(I259/$I$269)</f>
        <v>0.5453747027003667</v>
      </c>
      <c r="K259" s="1"/>
      <c r="L259" s="9">
        <f>(H259*1.07)+0.25</f>
        <v>9.4199000000000002</v>
      </c>
      <c r="M259" s="53">
        <f t="shared" ref="M259:M266" si="6">(L259*C259)</f>
        <v>817854.55780000007</v>
      </c>
      <c r="N259" s="55">
        <f>(M259-I259)</f>
        <v>73790.017800000031</v>
      </c>
      <c r="O259" s="89" t="s">
        <v>11</v>
      </c>
      <c r="P259" s="1"/>
    </row>
    <row r="260" spans="1:16" x14ac:dyDescent="0.2">
      <c r="A260" s="1" t="s">
        <v>41</v>
      </c>
      <c r="B260" s="1" t="s">
        <v>42</v>
      </c>
      <c r="C260" s="6">
        <v>0</v>
      </c>
      <c r="D260" s="1"/>
      <c r="E260" s="53" t="s">
        <v>11</v>
      </c>
      <c r="F260" s="8" t="s">
        <v>11</v>
      </c>
      <c r="G260" s="8"/>
      <c r="H260" s="25">
        <v>12.76</v>
      </c>
      <c r="I260" s="23">
        <f t="shared" ref="I260:I268" si="7">(C260*H260)</f>
        <v>0</v>
      </c>
      <c r="J260" s="8">
        <f t="shared" ref="J260:J269" si="8">(I260/$I$269)</f>
        <v>0</v>
      </c>
      <c r="K260" s="1"/>
      <c r="L260" s="9">
        <f t="shared" ref="L260:L268" si="9">(H260*1.07)+0.25</f>
        <v>13.9032</v>
      </c>
      <c r="M260" s="53">
        <f t="shared" si="6"/>
        <v>0</v>
      </c>
      <c r="N260" s="55">
        <f>(M260-I260)</f>
        <v>0</v>
      </c>
      <c r="O260" s="90" t="s">
        <v>11</v>
      </c>
      <c r="P260" s="1"/>
    </row>
    <row r="261" spans="1:16" x14ac:dyDescent="0.2">
      <c r="A261" s="65" t="s">
        <v>43</v>
      </c>
      <c r="B261" s="65" t="s">
        <v>44</v>
      </c>
      <c r="C261" s="6">
        <f>('[3]RT''s BillAnal'!$E$188)</f>
        <v>17189</v>
      </c>
      <c r="D261" s="1"/>
      <c r="E261" s="53">
        <v>144445</v>
      </c>
      <c r="F261" s="8" t="s">
        <v>11</v>
      </c>
      <c r="G261" s="8"/>
      <c r="H261" s="25">
        <v>8.59</v>
      </c>
      <c r="I261" s="23">
        <f t="shared" si="7"/>
        <v>147653.51</v>
      </c>
      <c r="J261" s="8">
        <f t="shared" si="8"/>
        <v>0.10822514014565944</v>
      </c>
      <c r="K261" s="1"/>
      <c r="L261" s="9">
        <f t="shared" si="9"/>
        <v>9.4413</v>
      </c>
      <c r="M261" s="53">
        <f t="shared" si="6"/>
        <v>162286.50570000001</v>
      </c>
      <c r="N261" s="55">
        <f t="shared" ref="N261:N266" si="10">(M261-I261)</f>
        <v>14632.995699999999</v>
      </c>
      <c r="O261" s="90" t="s">
        <v>11</v>
      </c>
      <c r="P261" s="1"/>
    </row>
    <row r="262" spans="1:16" x14ac:dyDescent="0.2">
      <c r="A262" s="1"/>
      <c r="B262" s="65" t="s">
        <v>45</v>
      </c>
      <c r="C262" s="1">
        <v>0</v>
      </c>
      <c r="D262" s="1"/>
      <c r="E262" s="53" t="s">
        <v>11</v>
      </c>
      <c r="F262" s="8" t="s">
        <v>11</v>
      </c>
      <c r="G262" s="8"/>
      <c r="H262" s="25">
        <v>9.68</v>
      </c>
      <c r="I262" s="23">
        <f t="shared" si="7"/>
        <v>0</v>
      </c>
      <c r="J262" s="8">
        <f t="shared" si="8"/>
        <v>0</v>
      </c>
      <c r="K262" s="1"/>
      <c r="L262" s="9">
        <f t="shared" si="9"/>
        <v>10.6076</v>
      </c>
      <c r="M262" s="53">
        <f t="shared" si="6"/>
        <v>0</v>
      </c>
      <c r="N262" s="55">
        <f t="shared" si="10"/>
        <v>0</v>
      </c>
      <c r="O262" s="91" t="s">
        <v>11</v>
      </c>
      <c r="P262" s="1">
        <f>(22450/12)</f>
        <v>1870.8333333333333</v>
      </c>
    </row>
    <row r="263" spans="1:16" x14ac:dyDescent="0.2">
      <c r="A263" s="1"/>
      <c r="B263" s="65" t="s">
        <v>46</v>
      </c>
      <c r="C263" s="6">
        <f>('[3]RT''s BillAnal'!$G$188)</f>
        <v>332</v>
      </c>
      <c r="D263" s="1"/>
      <c r="E263" s="53">
        <v>3384</v>
      </c>
      <c r="F263" s="8" t="s">
        <v>11</v>
      </c>
      <c r="G263" s="8"/>
      <c r="H263" s="25">
        <v>10.42</v>
      </c>
      <c r="I263" s="23">
        <f t="shared" si="7"/>
        <v>3459.44</v>
      </c>
      <c r="J263" s="8">
        <f t="shared" si="8"/>
        <v>2.5356551214088989E-3</v>
      </c>
      <c r="K263" s="1"/>
      <c r="L263" s="9">
        <f t="shared" si="9"/>
        <v>11.3994</v>
      </c>
      <c r="M263" s="53">
        <f t="shared" si="6"/>
        <v>3784.6008000000002</v>
      </c>
      <c r="N263" s="55">
        <f t="shared" si="10"/>
        <v>325.16080000000011</v>
      </c>
      <c r="O263" s="91" t="s">
        <v>11</v>
      </c>
      <c r="P263" s="1"/>
    </row>
    <row r="264" spans="1:16" x14ac:dyDescent="0.2">
      <c r="A264" s="1"/>
      <c r="B264" s="65" t="s">
        <v>47</v>
      </c>
      <c r="C264" s="23">
        <f>('[3]RT''s BillAnal'!$M$188+'[3]RT''s BillAnal'!$O$188)</f>
        <v>11874</v>
      </c>
      <c r="D264" s="1"/>
      <c r="E264" s="53">
        <v>195458</v>
      </c>
      <c r="F264" s="8" t="s">
        <v>11</v>
      </c>
      <c r="G264" s="8"/>
      <c r="H264" s="25">
        <v>16.57</v>
      </c>
      <c r="I264" s="23">
        <f t="shared" si="7"/>
        <v>196752.18</v>
      </c>
      <c r="J264" s="8">
        <f t="shared" si="8"/>
        <v>0.14421284163487891</v>
      </c>
      <c r="K264" s="1"/>
      <c r="L264" s="9">
        <f t="shared" si="9"/>
        <v>17.979900000000001</v>
      </c>
      <c r="M264" s="53">
        <f t="shared" si="6"/>
        <v>213493.33259999999</v>
      </c>
      <c r="N264" s="55">
        <f t="shared" si="10"/>
        <v>16741.152600000001</v>
      </c>
      <c r="O264" s="91" t="s">
        <v>11</v>
      </c>
      <c r="P264" s="1"/>
    </row>
    <row r="265" spans="1:16" x14ac:dyDescent="0.2">
      <c r="A265" s="1"/>
      <c r="B265" s="65" t="s">
        <v>48</v>
      </c>
      <c r="C265" s="6">
        <f>('[3]RT''s BillAnal'!$K$188)</f>
        <v>16404</v>
      </c>
      <c r="D265" s="1"/>
      <c r="E265" s="53">
        <f>265882-3001</f>
        <v>262881</v>
      </c>
      <c r="F265" s="21" t="s">
        <v>11</v>
      </c>
      <c r="G265" s="21"/>
      <c r="H265" s="79">
        <v>16.57</v>
      </c>
      <c r="I265" s="23">
        <f t="shared" si="7"/>
        <v>271814.28000000003</v>
      </c>
      <c r="J265" s="8">
        <f t="shared" si="8"/>
        <v>0.19923087874166701</v>
      </c>
      <c r="K265" s="65"/>
      <c r="L265" s="9">
        <f t="shared" si="9"/>
        <v>17.979900000000001</v>
      </c>
      <c r="M265" s="53">
        <f t="shared" si="6"/>
        <v>294942.27960000001</v>
      </c>
      <c r="N265" s="55">
        <f t="shared" si="10"/>
        <v>23127.999599999981</v>
      </c>
      <c r="O265" s="91" t="s">
        <v>11</v>
      </c>
      <c r="P265" s="1"/>
    </row>
    <row r="266" spans="1:16" x14ac:dyDescent="0.2">
      <c r="A266" s="1"/>
      <c r="B266" s="65" t="s">
        <v>51</v>
      </c>
      <c r="C266" s="6">
        <f>('[3]RT''s BillAnal'!$Q$188)</f>
        <v>69</v>
      </c>
      <c r="D266" s="1"/>
      <c r="E266" s="53">
        <v>574</v>
      </c>
      <c r="F266" s="21"/>
      <c r="G266" s="21"/>
      <c r="H266" s="80">
        <v>8.32</v>
      </c>
      <c r="I266" s="23">
        <f t="shared" si="7"/>
        <v>574.08000000000004</v>
      </c>
      <c r="J266" s="8">
        <f t="shared" si="8"/>
        <v>4.2078165601901489E-4</v>
      </c>
      <c r="K266" s="65"/>
      <c r="L266" s="9">
        <f t="shared" si="9"/>
        <v>9.1524000000000001</v>
      </c>
      <c r="M266" s="53">
        <f t="shared" si="6"/>
        <v>631.51559999999995</v>
      </c>
      <c r="N266" s="55">
        <f t="shared" si="10"/>
        <v>57.435599999999909</v>
      </c>
      <c r="P266" s="1"/>
    </row>
    <row r="267" spans="1:16" x14ac:dyDescent="0.2">
      <c r="A267" s="1"/>
      <c r="B267" s="65" t="s">
        <v>52</v>
      </c>
      <c r="C267" s="6">
        <v>0</v>
      </c>
      <c r="D267" s="1"/>
      <c r="E267" s="78" t="s">
        <v>11</v>
      </c>
      <c r="F267" s="21"/>
      <c r="G267" s="21"/>
      <c r="H267" s="80">
        <v>14.19</v>
      </c>
      <c r="I267" s="23">
        <f t="shared" si="7"/>
        <v>0</v>
      </c>
      <c r="J267" s="8">
        <f t="shared" si="8"/>
        <v>0</v>
      </c>
      <c r="K267" s="1"/>
      <c r="L267" s="9">
        <f t="shared" si="9"/>
        <v>15.433300000000001</v>
      </c>
      <c r="M267" s="78"/>
      <c r="N267" s="81"/>
      <c r="O267" s="1"/>
      <c r="P267" s="1"/>
    </row>
    <row r="268" spans="1:16" x14ac:dyDescent="0.2">
      <c r="A268" s="1"/>
      <c r="B268" s="65" t="s">
        <v>53</v>
      </c>
      <c r="C268" s="43">
        <v>0</v>
      </c>
      <c r="D268" s="1"/>
      <c r="E268" s="73"/>
      <c r="F268" s="47"/>
      <c r="G268" s="21"/>
      <c r="H268" s="80">
        <v>17.420000000000002</v>
      </c>
      <c r="I268" s="23">
        <f t="shared" si="7"/>
        <v>0</v>
      </c>
      <c r="J268" s="8">
        <f t="shared" si="8"/>
        <v>0</v>
      </c>
      <c r="K268" s="1"/>
      <c r="L268" s="9">
        <f t="shared" si="9"/>
        <v>18.889400000000002</v>
      </c>
      <c r="M268" s="73"/>
      <c r="N268" s="82"/>
      <c r="O268" s="1"/>
      <c r="P268" s="1"/>
    </row>
    <row r="269" spans="1:16" x14ac:dyDescent="0.2">
      <c r="A269" s="1"/>
      <c r="B269" s="1"/>
      <c r="C269" s="43">
        <f>SUM(C259:C268)</f>
        <v>132690</v>
      </c>
      <c r="D269" s="18"/>
      <c r="E269" s="43">
        <f>SUM(E259:E268)</f>
        <v>1333495</v>
      </c>
      <c r="F269" s="47">
        <v>1</v>
      </c>
      <c r="G269" s="8"/>
      <c r="H269" s="8"/>
      <c r="I269" s="83">
        <f>SUM(I259:I268)</f>
        <v>1364318.03</v>
      </c>
      <c r="J269" s="49">
        <f t="shared" si="8"/>
        <v>1</v>
      </c>
      <c r="K269" s="1"/>
      <c r="L269" s="78">
        <v>0</v>
      </c>
      <c r="M269" s="87">
        <f>SUM(M259:M267)</f>
        <v>1492992.7921000002</v>
      </c>
      <c r="N269" s="87">
        <f>SUM(N259:N267)</f>
        <v>128674.76210000001</v>
      </c>
      <c r="O269" s="1"/>
      <c r="P269" s="1"/>
    </row>
    <row r="270" spans="1:16" x14ac:dyDescent="0.2">
      <c r="A270" s="1"/>
      <c r="B270" s="1"/>
      <c r="C270" s="39" t="s">
        <v>11</v>
      </c>
      <c r="D270" s="1"/>
      <c r="E270" s="55" t="s">
        <v>11</v>
      </c>
      <c r="F270" s="1"/>
      <c r="G270" s="1"/>
      <c r="H270" s="1"/>
      <c r="I270" s="1"/>
      <c r="J270" s="1"/>
      <c r="K270" s="1"/>
      <c r="L270" s="72" t="s">
        <v>11</v>
      </c>
      <c r="M270" s="72" t="s">
        <v>11</v>
      </c>
      <c r="N270" s="1"/>
      <c r="O270" s="1"/>
      <c r="P270" s="1">
        <f>(C271/C269)</f>
        <v>83.500572763584287</v>
      </c>
    </row>
    <row r="271" spans="1:16" x14ac:dyDescent="0.2">
      <c r="A271" s="1" t="s">
        <v>17</v>
      </c>
      <c r="B271" s="1" t="s">
        <v>11</v>
      </c>
      <c r="C271" s="23">
        <f>11079091+600</f>
        <v>11079691</v>
      </c>
      <c r="D271" s="1"/>
      <c r="E271" s="6">
        <v>-39546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>
        <v>11290722</v>
      </c>
    </row>
    <row r="272" spans="1:16" x14ac:dyDescent="0.2">
      <c r="A272" s="1" t="s">
        <v>18</v>
      </c>
      <c r="B272" s="1" t="s">
        <v>11</v>
      </c>
      <c r="C272" s="1"/>
      <c r="D272" s="1"/>
      <c r="E272" s="43">
        <v>149005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x14ac:dyDescent="0.2">
      <c r="A273" s="1"/>
      <c r="B273" s="1" t="s">
        <v>11</v>
      </c>
      <c r="C273" s="1" t="s">
        <v>11</v>
      </c>
      <c r="D273" s="1"/>
      <c r="E273" s="6">
        <f>SUM(E269:E272)</f>
        <v>1442954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5" spans="1:16" x14ac:dyDescent="0.2">
      <c r="A275" s="1" t="s">
        <v>19</v>
      </c>
      <c r="B275" s="1" t="s">
        <v>5</v>
      </c>
      <c r="C275" s="1"/>
      <c r="D275" s="1"/>
      <c r="E275" s="1"/>
      <c r="F275" s="1"/>
      <c r="G275" s="1"/>
      <c r="I275" s="9">
        <f>(I269/C269)</f>
        <v>10.281995855000376</v>
      </c>
      <c r="J275" s="1"/>
      <c r="K275" s="1"/>
      <c r="L275" s="1"/>
      <c r="M275" s="1"/>
      <c r="N275" s="11">
        <f>(M269/C269)</f>
        <v>11.251735564850405</v>
      </c>
      <c r="O275" s="1"/>
      <c r="P275" s="1"/>
    </row>
    <row r="276" spans="1:16" x14ac:dyDescent="0.2">
      <c r="A276" s="1"/>
      <c r="B276" s="1" t="s">
        <v>9</v>
      </c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9">
        <f>(N275-I275)</f>
        <v>0.96973970985002822</v>
      </c>
      <c r="O276" s="1"/>
      <c r="P276" s="1"/>
    </row>
    <row r="277" spans="1:16" x14ac:dyDescent="0.2">
      <c r="A277" s="1"/>
      <c r="B277" s="1" t="s">
        <v>8</v>
      </c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8">
        <f>(N276/I275)</f>
        <v>9.431434553423021E-2</v>
      </c>
      <c r="O277" s="1"/>
      <c r="P277" s="1"/>
    </row>
    <row r="279" spans="1:16" x14ac:dyDescent="0.2">
      <c r="A279" s="1"/>
      <c r="B279" s="1"/>
      <c r="C279" s="6" t="s">
        <v>11</v>
      </c>
      <c r="D279" s="1"/>
      <c r="E279" s="1"/>
      <c r="F279" s="1"/>
      <c r="G279" s="1"/>
      <c r="H279" s="1"/>
      <c r="I279" s="31" t="s">
        <v>11</v>
      </c>
      <c r="J279" s="1"/>
      <c r="K279" s="1"/>
      <c r="L279" s="1"/>
      <c r="M279" s="1"/>
      <c r="N279" s="1"/>
      <c r="O279" s="1"/>
      <c r="P279" s="1"/>
    </row>
    <row r="285" spans="1:16" x14ac:dyDescent="0.2">
      <c r="M285" s="141" t="s">
        <v>128</v>
      </c>
    </row>
    <row r="286" spans="1:16" x14ac:dyDescent="0.2">
      <c r="M286" s="141" t="s">
        <v>139</v>
      </c>
    </row>
    <row r="287" spans="1:16" x14ac:dyDescent="0.2">
      <c r="M287" s="141" t="s">
        <v>130</v>
      </c>
    </row>
    <row r="290" spans="1:16" x14ac:dyDescent="0.2">
      <c r="A290" s="1" t="s">
        <v>0</v>
      </c>
      <c r="B290" s="183" t="s">
        <v>1</v>
      </c>
      <c r="C290" s="184"/>
      <c r="D290" s="2"/>
      <c r="E290" s="185" t="s">
        <v>2</v>
      </c>
      <c r="F290" s="186"/>
      <c r="G290" s="2"/>
      <c r="H290" s="183" t="s">
        <v>49</v>
      </c>
      <c r="I290" s="187"/>
      <c r="J290" s="184"/>
      <c r="K290" s="2"/>
      <c r="L290" s="183" t="s">
        <v>3</v>
      </c>
      <c r="M290" s="187"/>
      <c r="N290" s="184"/>
      <c r="O290" s="1"/>
      <c r="P290" s="1"/>
    </row>
    <row r="291" spans="1:16" x14ac:dyDescent="0.2">
      <c r="A291" s="1"/>
      <c r="B291" s="4" t="s">
        <v>4</v>
      </c>
      <c r="C291" s="4" t="s">
        <v>126</v>
      </c>
      <c r="D291" s="1"/>
      <c r="E291" s="4" t="s">
        <v>7</v>
      </c>
      <c r="F291" s="4" t="s">
        <v>8</v>
      </c>
      <c r="G291" s="2"/>
      <c r="H291" s="4" t="s">
        <v>6</v>
      </c>
      <c r="I291" s="4" t="s">
        <v>7</v>
      </c>
      <c r="J291" s="4" t="s">
        <v>8</v>
      </c>
      <c r="K291" s="5"/>
      <c r="L291" s="4" t="s">
        <v>6</v>
      </c>
      <c r="M291" s="4" t="s">
        <v>7</v>
      </c>
      <c r="N291" s="4" t="s">
        <v>9</v>
      </c>
      <c r="O291" s="5" t="s">
        <v>11</v>
      </c>
      <c r="P291" s="5" t="s">
        <v>11</v>
      </c>
    </row>
    <row r="293" spans="1:16" x14ac:dyDescent="0.2">
      <c r="A293" s="92" t="s">
        <v>83</v>
      </c>
      <c r="B293" s="93"/>
      <c r="C293" s="94" t="s">
        <v>11</v>
      </c>
      <c r="D293" s="95">
        <v>2.8250000000000001E-2</v>
      </c>
      <c r="E293" s="96">
        <v>780</v>
      </c>
      <c r="F293" s="44">
        <f>(E293/E298)</f>
        <v>1</v>
      </c>
      <c r="H293" s="101">
        <f>(E293)</f>
        <v>780</v>
      </c>
      <c r="I293" s="102">
        <v>780</v>
      </c>
      <c r="J293" s="44">
        <f>(I293/I298)</f>
        <v>1</v>
      </c>
      <c r="L293" s="88">
        <f>(H293)</f>
        <v>780</v>
      </c>
      <c r="M293" s="30">
        <v>780</v>
      </c>
      <c r="N293" s="44">
        <v>0</v>
      </c>
    </row>
    <row r="294" spans="1:16" x14ac:dyDescent="0.2">
      <c r="A294" s="92"/>
      <c r="B294" s="93"/>
      <c r="C294" s="93"/>
      <c r="D294" s="97"/>
      <c r="E294" s="97"/>
      <c r="F294" s="93"/>
    </row>
    <row r="295" spans="1:16" ht="13.5" thickBot="1" x14ac:dyDescent="0.25">
      <c r="A295" s="92" t="s">
        <v>121</v>
      </c>
      <c r="C295" s="98">
        <f>2300*12</f>
        <v>27600</v>
      </c>
      <c r="D295" s="90"/>
      <c r="E295" s="90"/>
      <c r="F295" s="90"/>
    </row>
    <row r="296" spans="1:16" ht="13.5" thickTop="1" x14ac:dyDescent="0.2">
      <c r="A296" s="92"/>
      <c r="B296" s="93"/>
      <c r="C296" s="90"/>
      <c r="D296" s="90"/>
      <c r="E296" s="90"/>
      <c r="F296" s="90"/>
    </row>
    <row r="297" spans="1:16" x14ac:dyDescent="0.2">
      <c r="A297" s="92" t="s">
        <v>122</v>
      </c>
      <c r="B297" s="93"/>
      <c r="C297" s="99"/>
      <c r="D297" s="93"/>
      <c r="E297" s="93"/>
      <c r="F297" s="99" t="s">
        <v>11</v>
      </c>
    </row>
    <row r="298" spans="1:16" x14ac:dyDescent="0.2">
      <c r="A298" s="92"/>
      <c r="B298" s="93"/>
      <c r="C298" s="93">
        <f>SUM(C293:C297)</f>
        <v>27600</v>
      </c>
      <c r="D298" s="93"/>
      <c r="E298" s="93">
        <f>SUM(E293:E297)</f>
        <v>780</v>
      </c>
      <c r="I298" s="93">
        <f>SUM(I293:I297)</f>
        <v>780</v>
      </c>
      <c r="M298" s="93">
        <f>SUM(M293:M297)</f>
        <v>780</v>
      </c>
    </row>
    <row r="299" spans="1:16" x14ac:dyDescent="0.2">
      <c r="A299" s="92" t="s">
        <v>85</v>
      </c>
      <c r="B299" s="93"/>
    </row>
    <row r="300" spans="1:16" x14ac:dyDescent="0.2">
      <c r="A300" s="92"/>
      <c r="B300" s="93"/>
      <c r="C300" s="93"/>
      <c r="D300" s="93"/>
      <c r="E300" s="93"/>
    </row>
    <row r="301" spans="1:16" x14ac:dyDescent="0.2">
      <c r="A301" s="92" t="s">
        <v>123</v>
      </c>
      <c r="B301" s="93"/>
      <c r="C301" s="93"/>
      <c r="D301" s="93"/>
      <c r="E301" s="93"/>
    </row>
    <row r="302" spans="1:16" x14ac:dyDescent="0.2">
      <c r="A302" s="92" t="s">
        <v>124</v>
      </c>
      <c r="B302" s="93"/>
      <c r="C302" s="99"/>
      <c r="D302" s="93"/>
      <c r="E302" s="93"/>
    </row>
    <row r="303" spans="1:16" x14ac:dyDescent="0.2">
      <c r="A303" s="92"/>
      <c r="B303" s="93"/>
      <c r="C303" s="93"/>
      <c r="D303" s="93"/>
      <c r="E303" s="93"/>
    </row>
    <row r="304" spans="1:16" ht="13.5" thickBot="1" x14ac:dyDescent="0.25">
      <c r="A304" s="92" t="s">
        <v>125</v>
      </c>
      <c r="B304" s="93"/>
      <c r="C304" s="100">
        <f>SUM(C298:C302)</f>
        <v>27600</v>
      </c>
      <c r="D304" s="93"/>
      <c r="E304" s="90"/>
    </row>
    <row r="305" spans="1:16" ht="13.5" thickTop="1" x14ac:dyDescent="0.2">
      <c r="A305" s="92"/>
    </row>
    <row r="306" spans="1:16" x14ac:dyDescent="0.2">
      <c r="A306" s="92" t="s">
        <v>5</v>
      </c>
      <c r="M306" s="3" t="s">
        <v>11</v>
      </c>
    </row>
    <row r="307" spans="1:16" x14ac:dyDescent="0.2">
      <c r="A307" s="92" t="s">
        <v>8</v>
      </c>
      <c r="M307" s="3" t="s">
        <v>11</v>
      </c>
    </row>
    <row r="316" spans="1:16" x14ac:dyDescent="0.2">
      <c r="M316" s="141" t="s">
        <v>128</v>
      </c>
    </row>
    <row r="317" spans="1:16" x14ac:dyDescent="0.2">
      <c r="M317" s="141" t="s">
        <v>140</v>
      </c>
    </row>
    <row r="318" spans="1:16" x14ac:dyDescent="0.2">
      <c r="M318" s="141" t="s">
        <v>130</v>
      </c>
    </row>
    <row r="320" spans="1:16" x14ac:dyDescent="0.2">
      <c r="A320" s="1" t="s">
        <v>0</v>
      </c>
      <c r="B320" s="183" t="s">
        <v>1</v>
      </c>
      <c r="C320" s="184"/>
      <c r="D320" s="2"/>
      <c r="E320" s="185" t="s">
        <v>2</v>
      </c>
      <c r="F320" s="186"/>
      <c r="G320" s="2"/>
      <c r="H320" s="183" t="s">
        <v>49</v>
      </c>
      <c r="I320" s="187"/>
      <c r="J320" s="184"/>
      <c r="K320" s="2"/>
      <c r="L320" s="183" t="s">
        <v>3</v>
      </c>
      <c r="M320" s="187"/>
      <c r="N320" s="184"/>
      <c r="O320" s="1"/>
      <c r="P320" s="1"/>
    </row>
    <row r="321" spans="1:16" x14ac:dyDescent="0.2">
      <c r="A321" s="1"/>
      <c r="B321" s="4" t="s">
        <v>4</v>
      </c>
      <c r="C321" s="4" t="s">
        <v>126</v>
      </c>
      <c r="D321" s="1"/>
      <c r="E321" s="4" t="s">
        <v>7</v>
      </c>
      <c r="F321" s="4" t="s">
        <v>8</v>
      </c>
      <c r="G321" s="2"/>
      <c r="H321" s="4" t="s">
        <v>6</v>
      </c>
      <c r="I321" s="4" t="s">
        <v>7</v>
      </c>
      <c r="J321" s="4" t="s">
        <v>8</v>
      </c>
      <c r="K321" s="5"/>
      <c r="L321" s="4" t="s">
        <v>6</v>
      </c>
      <c r="M321" s="4" t="s">
        <v>7</v>
      </c>
      <c r="N321" s="4" t="s">
        <v>9</v>
      </c>
      <c r="O321" s="5" t="s">
        <v>11</v>
      </c>
      <c r="P321" s="5" t="s">
        <v>11</v>
      </c>
    </row>
    <row r="322" spans="1:16" x14ac:dyDescent="0.2">
      <c r="A322" s="1"/>
      <c r="B322" s="2"/>
      <c r="C322" s="5"/>
      <c r="D322" s="1"/>
      <c r="E322" s="2"/>
      <c r="F322" s="2"/>
      <c r="G322" s="2"/>
      <c r="H322" s="2"/>
      <c r="I322" s="2"/>
      <c r="J322" s="2"/>
      <c r="K322" s="5"/>
      <c r="L322" s="2"/>
      <c r="M322" s="2"/>
      <c r="N322" s="2"/>
      <c r="O322" s="5"/>
      <c r="P322" s="5"/>
    </row>
    <row r="323" spans="1:16" x14ac:dyDescent="0.2">
      <c r="A323" s="1" t="s">
        <v>57</v>
      </c>
      <c r="B323" s="2"/>
      <c r="C323" s="84">
        <f>SUM(C11,C45,C75,C108,C109,C139,C140,C169,C200,C231,C271,C295)</f>
        <v>459538105</v>
      </c>
      <c r="D323" s="1"/>
      <c r="E323" s="2"/>
      <c r="F323" s="2"/>
      <c r="G323" s="2"/>
      <c r="H323" s="2"/>
      <c r="I323" s="2"/>
      <c r="J323" s="2"/>
      <c r="K323" s="5"/>
      <c r="L323" s="2"/>
      <c r="M323" s="2"/>
      <c r="N323" s="2"/>
      <c r="O323" s="5"/>
      <c r="P323" s="5"/>
    </row>
    <row r="325" spans="1:16" x14ac:dyDescent="0.2">
      <c r="A325" s="3" t="s">
        <v>56</v>
      </c>
      <c r="E325" s="136">
        <f>SUM(E12,E46,E75,E110,E141,E170,E201,E232,E269,E293)</f>
        <v>41038598.704500005</v>
      </c>
      <c r="I325" s="85">
        <f>SUM(I12,I46,I75,I110,I141,I170,I201,I232,I269,I293)</f>
        <v>41190120.962710001</v>
      </c>
      <c r="M325" s="85">
        <f>SUM(M12,M46,M75,M110,M141,M170,M201,M232,M269,M293)</f>
        <v>43166312.433069997</v>
      </c>
      <c r="N325" s="85">
        <f>SUM(N12,N46,N75,N110,N141,N170,N201,N232,N269)</f>
        <v>1976191.4703600027</v>
      </c>
    </row>
    <row r="326" spans="1:16" x14ac:dyDescent="0.2">
      <c r="A326" s="1" t="s">
        <v>17</v>
      </c>
      <c r="B326" s="1" t="s">
        <v>11</v>
      </c>
      <c r="C326" s="1"/>
      <c r="D326" s="1"/>
      <c r="E326" s="55">
        <f>SUM(E14,E48,E78,E112,E143,E172,E202,E233,E271)</f>
        <v>-1665196</v>
      </c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x14ac:dyDescent="0.2">
      <c r="A327" s="1" t="s">
        <v>18</v>
      </c>
      <c r="B327" s="1" t="s">
        <v>11</v>
      </c>
      <c r="C327" s="1"/>
      <c r="D327" s="1"/>
      <c r="E327" s="55">
        <f>SUM(E15,E49,E79,E113,E144,E173,E203,E234,E272)</f>
        <v>4646102</v>
      </c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x14ac:dyDescent="0.2">
      <c r="A328" s="1"/>
      <c r="B328" s="1" t="s">
        <v>11</v>
      </c>
      <c r="C328" s="1"/>
      <c r="D328" s="1"/>
      <c r="E328" s="24">
        <f>SUM(E325:E327)</f>
        <v>44019504.704500005</v>
      </c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30" spans="1:16" x14ac:dyDescent="0.2">
      <c r="A330" s="1" t="s">
        <v>19</v>
      </c>
      <c r="B330" s="1" t="s">
        <v>5</v>
      </c>
      <c r="C330" s="1"/>
      <c r="D330" s="1"/>
      <c r="E330" s="1"/>
      <c r="F330" s="1"/>
      <c r="G330" s="1"/>
      <c r="H330" s="1"/>
      <c r="I330" s="13">
        <f>(I325-E325)</f>
        <v>151522.25820999593</v>
      </c>
      <c r="J330" s="1"/>
      <c r="K330" s="1"/>
      <c r="L330" s="1"/>
      <c r="M330" s="31">
        <f>(M325-I325)</f>
        <v>1976191.470359996</v>
      </c>
      <c r="N330" s="1"/>
      <c r="O330" s="1"/>
      <c r="P330" s="1"/>
    </row>
    <row r="331" spans="1:16" x14ac:dyDescent="0.2">
      <c r="A331" s="1" t="s">
        <v>127</v>
      </c>
      <c r="B331" s="1" t="s">
        <v>9</v>
      </c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x14ac:dyDescent="0.2">
      <c r="A332" s="1"/>
      <c r="B332" s="1" t="s">
        <v>8</v>
      </c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40">
        <f>(M330/I325)</f>
        <v>4.7977316506282418E-2</v>
      </c>
      <c r="O332" s="1"/>
      <c r="P332" s="1"/>
    </row>
    <row r="335" spans="1:16" x14ac:dyDescent="0.2">
      <c r="I335" s="136" t="s">
        <v>11</v>
      </c>
    </row>
    <row r="336" spans="1:16" x14ac:dyDescent="0.2">
      <c r="C336" s="37" t="s">
        <v>11</v>
      </c>
    </row>
    <row r="337" spans="3:14" x14ac:dyDescent="0.2">
      <c r="I337" s="31" t="s">
        <v>11</v>
      </c>
    </row>
    <row r="338" spans="3:14" x14ac:dyDescent="0.2">
      <c r="C338" s="39" t="s">
        <v>11</v>
      </c>
    </row>
    <row r="348" spans="3:14" x14ac:dyDescent="0.2">
      <c r="E348" s="37" t="s">
        <v>11</v>
      </c>
    </row>
    <row r="349" spans="3:14" x14ac:dyDescent="0.2">
      <c r="E349" s="31" t="s">
        <v>11</v>
      </c>
    </row>
    <row r="351" spans="3:14" x14ac:dyDescent="0.2">
      <c r="M351" s="86">
        <v>-3.6255091838357997E-3</v>
      </c>
      <c r="N351" s="1">
        <v>0.113215</v>
      </c>
    </row>
    <row r="352" spans="3:14" x14ac:dyDescent="0.2">
      <c r="E352" s="37" t="s">
        <v>11</v>
      </c>
    </row>
    <row r="353" spans="5:13" x14ac:dyDescent="0.2">
      <c r="E353" s="39" t="s">
        <v>11</v>
      </c>
      <c r="M353" s="55">
        <v>4648224.3099999996</v>
      </c>
    </row>
    <row r="354" spans="5:13" x14ac:dyDescent="0.2">
      <c r="M354" s="3">
        <f>(M353/E325)</f>
        <v>0.11326469364779523</v>
      </c>
    </row>
    <row r="355" spans="5:13" x14ac:dyDescent="0.2">
      <c r="E355" s="3" t="s">
        <v>11</v>
      </c>
    </row>
    <row r="356" spans="5:13" x14ac:dyDescent="0.2">
      <c r="E356" s="39" t="s">
        <v>11</v>
      </c>
    </row>
    <row r="357" spans="5:13" x14ac:dyDescent="0.2">
      <c r="E357" s="3" t="s">
        <v>11</v>
      </c>
    </row>
  </sheetData>
  <mergeCells count="44">
    <mergeCell ref="B7:C7"/>
    <mergeCell ref="L7:N7"/>
    <mergeCell ref="B71:C71"/>
    <mergeCell ref="E71:F71"/>
    <mergeCell ref="L71:N71"/>
    <mergeCell ref="H7:J7"/>
    <mergeCell ref="E7:F7"/>
    <mergeCell ref="H71:J71"/>
    <mergeCell ref="B40:C40"/>
    <mergeCell ref="E40:F40"/>
    <mergeCell ref="H40:J40"/>
    <mergeCell ref="L40:N40"/>
    <mergeCell ref="B102:C102"/>
    <mergeCell ref="E102:F102"/>
    <mergeCell ref="L102:N102"/>
    <mergeCell ref="B132:C132"/>
    <mergeCell ref="E132:F132"/>
    <mergeCell ref="L132:N132"/>
    <mergeCell ref="H102:J102"/>
    <mergeCell ref="H132:J132"/>
    <mergeCell ref="B164:C164"/>
    <mergeCell ref="E164:F164"/>
    <mergeCell ref="L164:N164"/>
    <mergeCell ref="B195:C195"/>
    <mergeCell ref="E195:F195"/>
    <mergeCell ref="L195:N195"/>
    <mergeCell ref="H164:J164"/>
    <mergeCell ref="H195:J195"/>
    <mergeCell ref="B320:C320"/>
    <mergeCell ref="E320:F320"/>
    <mergeCell ref="L320:N320"/>
    <mergeCell ref="H320:J320"/>
    <mergeCell ref="B225:C225"/>
    <mergeCell ref="E225:F225"/>
    <mergeCell ref="L225:N225"/>
    <mergeCell ref="B256:C256"/>
    <mergeCell ref="E256:F256"/>
    <mergeCell ref="L256:N256"/>
    <mergeCell ref="H225:J225"/>
    <mergeCell ref="H256:J256"/>
    <mergeCell ref="B290:C290"/>
    <mergeCell ref="E290:F290"/>
    <mergeCell ref="H290:J290"/>
    <mergeCell ref="L290:N290"/>
  </mergeCells>
  <printOptions horizontalCentered="1" verticalCentered="1"/>
  <pageMargins left="0.7" right="0.7" top="0.75" bottom="0.75" header="0.3" footer="0.3"/>
  <pageSetup scale="82" orientation="landscape" r:id="rId1"/>
  <headerFooter>
    <oddHeader xml:space="preserve">&amp;C&amp;"-,Bold"&amp;14 Cumberland Valley Electric
Case No. 2016-00169
Billing Analysis&amp;R </oddHeader>
  </headerFooter>
  <rowBreaks count="11" manualBreakCount="11">
    <brk id="34" max="13" man="1"/>
    <brk id="65" max="13" man="1"/>
    <brk id="96" max="13" man="1"/>
    <brk id="126" max="13" man="1"/>
    <brk id="158" max="13" man="1"/>
    <brk id="189" max="13" man="1"/>
    <brk id="219" max="13" man="1"/>
    <brk id="250" max="13" man="1"/>
    <brk id="283" max="13" man="1"/>
    <brk id="314" max="13" man="1"/>
    <brk id="34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23"/>
  <sheetViews>
    <sheetView workbookViewId="0">
      <selection activeCell="J14" sqref="J14"/>
    </sheetView>
  </sheetViews>
  <sheetFormatPr defaultRowHeight="15" x14ac:dyDescent="0.25"/>
  <cols>
    <col min="1" max="1" width="9.140625" style="161"/>
    <col min="2" max="2" width="13.7109375" style="161" customWidth="1"/>
    <col min="3" max="3" width="10.28515625" style="161" customWidth="1"/>
    <col min="4" max="5" width="10.85546875" style="161" customWidth="1"/>
    <col min="6" max="6" width="10.7109375" style="161" customWidth="1"/>
    <col min="7" max="7" width="11.140625" style="161" customWidth="1"/>
    <col min="8" max="8" width="9.85546875" style="161" bestFit="1" customWidth="1"/>
    <col min="9" max="16384" width="9.140625" style="161"/>
  </cols>
  <sheetData>
    <row r="5" spans="2:8" ht="15.75" x14ac:dyDescent="0.25">
      <c r="B5" s="156"/>
      <c r="C5" s="188" t="s">
        <v>143</v>
      </c>
      <c r="D5" s="188"/>
      <c r="E5" s="166"/>
      <c r="F5" s="172"/>
      <c r="G5" s="189" t="s">
        <v>144</v>
      </c>
      <c r="H5" s="190"/>
    </row>
    <row r="6" spans="2:8" ht="15.75" x14ac:dyDescent="0.25">
      <c r="B6" s="157" t="s">
        <v>103</v>
      </c>
      <c r="C6" s="158" t="s">
        <v>7</v>
      </c>
      <c r="D6" s="158" t="s">
        <v>142</v>
      </c>
      <c r="E6" s="167"/>
      <c r="F6" s="164" t="str">
        <f>(B6)</f>
        <v>Month</v>
      </c>
      <c r="G6" s="173" t="s">
        <v>7</v>
      </c>
      <c r="H6" s="165" t="s">
        <v>142</v>
      </c>
    </row>
    <row r="7" spans="2:8" ht="15.75" x14ac:dyDescent="0.25">
      <c r="B7" s="156" t="s">
        <v>116</v>
      </c>
      <c r="C7" s="153">
        <v>-91799.15</v>
      </c>
      <c r="D7" s="151">
        <v>-37919</v>
      </c>
      <c r="E7" s="168"/>
      <c r="F7" s="174" t="str">
        <f t="shared" ref="F7:F19" si="0">(B7)</f>
        <v>November</v>
      </c>
      <c r="G7" s="170">
        <v>433383.38000000006</v>
      </c>
      <c r="H7" s="153">
        <v>497956</v>
      </c>
    </row>
    <row r="8" spans="2:8" ht="15.75" x14ac:dyDescent="0.25">
      <c r="B8" s="159" t="s">
        <v>117</v>
      </c>
      <c r="C8" s="154">
        <v>-45233.41</v>
      </c>
      <c r="D8" s="152">
        <v>-186080</v>
      </c>
      <c r="E8" s="168"/>
      <c r="F8" s="175" t="str">
        <f t="shared" si="0"/>
        <v>December</v>
      </c>
      <c r="G8" s="171">
        <v>574006.88</v>
      </c>
      <c r="H8" s="154">
        <v>476284</v>
      </c>
    </row>
    <row r="9" spans="2:8" ht="15.75" x14ac:dyDescent="0.25">
      <c r="B9" s="159" t="s">
        <v>106</v>
      </c>
      <c r="C9" s="154">
        <v>-190425.63999999998</v>
      </c>
      <c r="D9" s="152">
        <v>-169487</v>
      </c>
      <c r="E9" s="168"/>
      <c r="F9" s="175" t="str">
        <f t="shared" si="0"/>
        <v>January</v>
      </c>
      <c r="G9" s="171">
        <v>502248.23000000004</v>
      </c>
      <c r="H9" s="154">
        <v>491511</v>
      </c>
    </row>
    <row r="10" spans="2:8" ht="15.75" x14ac:dyDescent="0.25">
      <c r="B10" s="159" t="s">
        <v>107</v>
      </c>
      <c r="C10" s="154">
        <v>-111138.33999999998</v>
      </c>
      <c r="D10" s="152">
        <v>-171712</v>
      </c>
      <c r="E10" s="168"/>
      <c r="F10" s="175" t="str">
        <f t="shared" si="0"/>
        <v>February</v>
      </c>
      <c r="G10" s="171">
        <v>350914.42000000004</v>
      </c>
      <c r="H10" s="154">
        <v>309221</v>
      </c>
    </row>
    <row r="11" spans="2:8" ht="15.75" x14ac:dyDescent="0.25">
      <c r="B11" s="159" t="s">
        <v>108</v>
      </c>
      <c r="C11" s="154">
        <v>-171763.91999999998</v>
      </c>
      <c r="D11" s="152">
        <v>-169424</v>
      </c>
      <c r="E11" s="168"/>
      <c r="F11" s="175" t="str">
        <f t="shared" si="0"/>
        <v>March</v>
      </c>
      <c r="G11" s="171">
        <v>246849.65000000002</v>
      </c>
      <c r="H11" s="154">
        <v>196683</v>
      </c>
    </row>
    <row r="12" spans="2:8" ht="15.75" x14ac:dyDescent="0.25">
      <c r="B12" s="159" t="s">
        <v>109</v>
      </c>
      <c r="C12" s="154">
        <v>-218687.4</v>
      </c>
      <c r="D12" s="152">
        <v>-243204</v>
      </c>
      <c r="E12" s="168"/>
      <c r="F12" s="175" t="str">
        <f t="shared" si="0"/>
        <v>April</v>
      </c>
      <c r="G12" s="171">
        <v>211941.39</v>
      </c>
      <c r="H12" s="154">
        <v>266978</v>
      </c>
    </row>
    <row r="13" spans="2:8" ht="15.75" x14ac:dyDescent="0.25">
      <c r="B13" s="159" t="s">
        <v>110</v>
      </c>
      <c r="C13" s="154">
        <v>-257630.54000000007</v>
      </c>
      <c r="D13" s="152">
        <v>-89820</v>
      </c>
      <c r="E13" s="168"/>
      <c r="F13" s="175" t="str">
        <f t="shared" si="0"/>
        <v>May</v>
      </c>
      <c r="G13" s="171">
        <v>317573.61</v>
      </c>
      <c r="H13" s="154">
        <v>425853</v>
      </c>
    </row>
    <row r="14" spans="2:8" ht="15.75" x14ac:dyDescent="0.25">
      <c r="B14" s="159" t="s">
        <v>111</v>
      </c>
      <c r="C14" s="154">
        <v>-67124.91</v>
      </c>
      <c r="D14" s="152">
        <v>-110982</v>
      </c>
      <c r="E14" s="168"/>
      <c r="F14" s="175" t="str">
        <f t="shared" si="0"/>
        <v>June</v>
      </c>
      <c r="G14" s="171">
        <v>466435.26999999996</v>
      </c>
      <c r="H14" s="154">
        <v>457113</v>
      </c>
    </row>
    <row r="15" spans="2:8" ht="15.75" x14ac:dyDescent="0.25">
      <c r="B15" s="159" t="s">
        <v>112</v>
      </c>
      <c r="C15" s="154">
        <v>-94507.46</v>
      </c>
      <c r="D15" s="152">
        <v>-134650</v>
      </c>
      <c r="E15" s="168"/>
      <c r="F15" s="175" t="str">
        <f t="shared" si="0"/>
        <v>July</v>
      </c>
      <c r="G15" s="171">
        <v>430734.82000000007</v>
      </c>
      <c r="H15" s="154">
        <v>364156</v>
      </c>
    </row>
    <row r="16" spans="2:8" ht="15.75" x14ac:dyDescent="0.25">
      <c r="B16" s="159" t="s">
        <v>113</v>
      </c>
      <c r="C16" s="154">
        <v>-125938.57999999999</v>
      </c>
      <c r="D16" s="152">
        <v>-117425</v>
      </c>
      <c r="E16" s="168"/>
      <c r="F16" s="175" t="str">
        <f t="shared" si="0"/>
        <v>August</v>
      </c>
      <c r="G16" s="171">
        <v>334548.19</v>
      </c>
      <c r="H16" s="154">
        <v>331163</v>
      </c>
    </row>
    <row r="17" spans="2:8" ht="15.75" x14ac:dyDescent="0.25">
      <c r="B17" s="159" t="s">
        <v>114</v>
      </c>
      <c r="C17" s="154">
        <v>-129139.14999999998</v>
      </c>
      <c r="D17" s="152">
        <v>-141395</v>
      </c>
      <c r="E17" s="168"/>
      <c r="F17" s="175" t="str">
        <f t="shared" si="0"/>
        <v>September</v>
      </c>
      <c r="G17" s="171">
        <v>362226.20000000007</v>
      </c>
      <c r="H17" s="154">
        <v>325488</v>
      </c>
    </row>
    <row r="18" spans="2:8" ht="15.75" x14ac:dyDescent="0.25">
      <c r="B18" s="159" t="s">
        <v>115</v>
      </c>
      <c r="C18" s="155">
        <v>-161808.52000000002</v>
      </c>
      <c r="D18" s="152">
        <v>-126849</v>
      </c>
      <c r="E18" s="168"/>
      <c r="F18" s="175" t="str">
        <f t="shared" si="0"/>
        <v>October</v>
      </c>
      <c r="G18" s="179">
        <f>(417428.27-2189)</f>
        <v>415239.27</v>
      </c>
      <c r="H18" s="155">
        <v>411075</v>
      </c>
    </row>
    <row r="19" spans="2:8" x14ac:dyDescent="0.25">
      <c r="B19" s="157" t="s">
        <v>73</v>
      </c>
      <c r="C19" s="160">
        <f>SUM(C7:C18)</f>
        <v>-1665197.02</v>
      </c>
      <c r="D19" s="162">
        <f>SUM(D7:D18)</f>
        <v>-1698947</v>
      </c>
      <c r="E19" s="169"/>
      <c r="F19" s="176" t="str">
        <f t="shared" si="0"/>
        <v>Total</v>
      </c>
      <c r="G19" s="177">
        <f>SUM(G7:G18)</f>
        <v>4646101.3100000005</v>
      </c>
      <c r="H19" s="177">
        <f>SUM(H7:H18)</f>
        <v>4553481</v>
      </c>
    </row>
    <row r="20" spans="2:8" ht="15.75" x14ac:dyDescent="0.25">
      <c r="C20" s="161" t="s">
        <v>11</v>
      </c>
      <c r="G20" s="104"/>
    </row>
    <row r="21" spans="2:8" ht="15.75" x14ac:dyDescent="0.25">
      <c r="G21" s="118">
        <v>4646101</v>
      </c>
    </row>
    <row r="23" spans="2:8" x14ac:dyDescent="0.25">
      <c r="G23" s="178">
        <f>(G19-G21)</f>
        <v>0.31000000052154064</v>
      </c>
    </row>
  </sheetData>
  <mergeCells count="2">
    <mergeCell ref="C5:D5"/>
    <mergeCell ref="G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Revenue Analysis</vt:lpstr>
      <vt:lpstr>Sheet1</vt:lpstr>
      <vt:lpstr>'Revenue Analysis'!Print_Area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Robert D. Tolliver</cp:lastModifiedBy>
  <cp:lastPrinted>2016-06-20T18:16:04Z</cp:lastPrinted>
  <dcterms:created xsi:type="dcterms:W3CDTF">2014-04-04T00:11:36Z</dcterms:created>
  <dcterms:modified xsi:type="dcterms:W3CDTF">2016-06-21T16:28:57Z</dcterms:modified>
</cp:coreProperties>
</file>