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840" windowHeight="12585"/>
  </bookViews>
  <sheets>
    <sheet name="KIUC Dem-Com Weighting" sheetId="1" r:id="rId1"/>
    <sheet name="Col. Dem-Com" sheetId="4" r:id="rId2"/>
    <sheet name="KIUC Average w. Dem-Com wght " sheetId="5" r:id="rId3"/>
    <sheet name="Col. Average" sheetId="6" r:id="rId4"/>
  </sheets>
  <externalReferences>
    <externalReference r:id="rId5"/>
    <externalReference r:id="rId6"/>
    <externalReference r:id="rId7"/>
    <externalReference r:id="rId8"/>
    <externalReference r:id="rId9"/>
  </externalReference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  <c r="O10"/>
  <c r="O9"/>
  <c r="O8"/>
  <c r="O7"/>
  <c r="O6"/>
  <c r="J10"/>
  <c r="I10"/>
  <c r="J9"/>
  <c r="I9"/>
  <c r="J8"/>
  <c r="I8"/>
  <c r="J7"/>
  <c r="I7"/>
  <c r="J6"/>
  <c r="I6"/>
  <c r="E11"/>
  <c r="D11"/>
  <c r="C11"/>
  <c r="E10"/>
  <c r="D10"/>
  <c r="C10"/>
  <c r="E9"/>
  <c r="D9"/>
  <c r="C9"/>
  <c r="E8"/>
  <c r="D8"/>
  <c r="C8"/>
  <c r="E7"/>
  <c r="D7"/>
  <c r="C7"/>
  <c r="E6"/>
  <c r="D6"/>
  <c r="C6"/>
  <c r="D20" i="6"/>
  <c r="D19"/>
  <c r="D18"/>
  <c r="D17"/>
  <c r="D16"/>
  <c r="D15"/>
  <c r="A15"/>
  <c r="A16" s="1"/>
  <c r="A17" s="1"/>
  <c r="A18" s="1"/>
  <c r="A19" s="1"/>
  <c r="A20" s="1"/>
  <c r="A14"/>
  <c r="E11"/>
  <c r="D11"/>
  <c r="C11"/>
  <c r="O10"/>
  <c r="N10"/>
  <c r="J10"/>
  <c r="I10"/>
  <c r="E10"/>
  <c r="D10"/>
  <c r="C10"/>
  <c r="C19" s="1"/>
  <c r="O9"/>
  <c r="N9"/>
  <c r="J9"/>
  <c r="I9"/>
  <c r="E9"/>
  <c r="D9"/>
  <c r="C9"/>
  <c r="O8"/>
  <c r="N8"/>
  <c r="L8"/>
  <c r="K8"/>
  <c r="J8"/>
  <c r="I8"/>
  <c r="E8"/>
  <c r="D8"/>
  <c r="C8"/>
  <c r="O7"/>
  <c r="N7"/>
  <c r="L7"/>
  <c r="K7"/>
  <c r="J7"/>
  <c r="I7"/>
  <c r="E7"/>
  <c r="D7"/>
  <c r="C7"/>
  <c r="O6"/>
  <c r="N6"/>
  <c r="L6"/>
  <c r="K6"/>
  <c r="J6"/>
  <c r="I6"/>
  <c r="E6"/>
  <c r="D6"/>
  <c r="C6"/>
  <c r="A6"/>
  <c r="A7" s="1"/>
  <c r="A8" s="1"/>
  <c r="A9" s="1"/>
  <c r="A10" s="1"/>
  <c r="A11" s="1"/>
  <c r="D20" i="5"/>
  <c r="D19"/>
  <c r="D18"/>
  <c r="D17"/>
  <c r="D16"/>
  <c r="A16"/>
  <c r="A17" s="1"/>
  <c r="A18" s="1"/>
  <c r="A19" s="1"/>
  <c r="A20" s="1"/>
  <c r="D15"/>
  <c r="A15"/>
  <c r="A14"/>
  <c r="E11"/>
  <c r="D11"/>
  <c r="C11"/>
  <c r="O10"/>
  <c r="N10"/>
  <c r="J10"/>
  <c r="I10"/>
  <c r="E10"/>
  <c r="E19" s="1"/>
  <c r="D10"/>
  <c r="C10"/>
  <c r="C19" s="1"/>
  <c r="O9"/>
  <c r="N9"/>
  <c r="J9"/>
  <c r="I9"/>
  <c r="E18" s="1"/>
  <c r="E9"/>
  <c r="D9"/>
  <c r="C9"/>
  <c r="M9" s="1"/>
  <c r="O8"/>
  <c r="N8"/>
  <c r="L8"/>
  <c r="K8"/>
  <c r="J8"/>
  <c r="I8"/>
  <c r="E8"/>
  <c r="D8"/>
  <c r="C8"/>
  <c r="O7"/>
  <c r="N7"/>
  <c r="L7"/>
  <c r="K7"/>
  <c r="J7"/>
  <c r="I7"/>
  <c r="F7"/>
  <c r="G7" s="1"/>
  <c r="E7"/>
  <c r="D7"/>
  <c r="C7"/>
  <c r="O6"/>
  <c r="O11" s="1"/>
  <c r="N6"/>
  <c r="L6"/>
  <c r="K6"/>
  <c r="J6"/>
  <c r="J11" s="1"/>
  <c r="I6"/>
  <c r="I11" s="1"/>
  <c r="E6"/>
  <c r="D6"/>
  <c r="C6"/>
  <c r="F6" s="1"/>
  <c r="G6" s="1"/>
  <c r="A6"/>
  <c r="A7" s="1"/>
  <c r="A8" s="1"/>
  <c r="A9" s="1"/>
  <c r="A10" s="1"/>
  <c r="A11" s="1"/>
  <c r="D20" i="4"/>
  <c r="A16"/>
  <c r="A17" s="1"/>
  <c r="A18" s="1"/>
  <c r="A19" s="1"/>
  <c r="A20" s="1"/>
  <c r="A15"/>
  <c r="A14"/>
  <c r="D11"/>
  <c r="C11"/>
  <c r="O10"/>
  <c r="N10"/>
  <c r="J10"/>
  <c r="I10"/>
  <c r="C10"/>
  <c r="O9"/>
  <c r="N9"/>
  <c r="J9"/>
  <c r="I9"/>
  <c r="C9"/>
  <c r="O8"/>
  <c r="N8"/>
  <c r="L8"/>
  <c r="K8"/>
  <c r="J8"/>
  <c r="I8"/>
  <c r="C8"/>
  <c r="O7"/>
  <c r="N7"/>
  <c r="L7"/>
  <c r="K7"/>
  <c r="J7"/>
  <c r="I7"/>
  <c r="C7"/>
  <c r="A7"/>
  <c r="A8" s="1"/>
  <c r="A9" s="1"/>
  <c r="A10" s="1"/>
  <c r="A11" s="1"/>
  <c r="O6"/>
  <c r="N6"/>
  <c r="L6"/>
  <c r="K6"/>
  <c r="K11" s="1"/>
  <c r="J6"/>
  <c r="I6"/>
  <c r="C6"/>
  <c r="A6"/>
  <c r="J11" i="6" l="1"/>
  <c r="O11"/>
  <c r="E18"/>
  <c r="F6"/>
  <c r="G6" s="1"/>
  <c r="E19"/>
  <c r="E15"/>
  <c r="I11"/>
  <c r="M9"/>
  <c r="E16"/>
  <c r="K11"/>
  <c r="C17" i="4"/>
  <c r="C19"/>
  <c r="M7" i="6"/>
  <c r="J11" i="4"/>
  <c r="C15" i="6"/>
  <c r="N11" i="4"/>
  <c r="O11"/>
  <c r="M9"/>
  <c r="N11" i="5"/>
  <c r="E16"/>
  <c r="C17"/>
  <c r="N11" i="6"/>
  <c r="M7" i="4"/>
  <c r="E15" i="5"/>
  <c r="L11"/>
  <c r="M8"/>
  <c r="L11" i="6"/>
  <c r="C17"/>
  <c r="E17"/>
  <c r="I11" i="4"/>
  <c r="M11" s="1"/>
  <c r="C15"/>
  <c r="L11"/>
  <c r="C16"/>
  <c r="M8"/>
  <c r="K11" i="5"/>
  <c r="C16"/>
  <c r="M7"/>
  <c r="E17"/>
  <c r="C16" i="6"/>
  <c r="M8"/>
  <c r="F19"/>
  <c r="G19" s="1"/>
  <c r="M6"/>
  <c r="F8"/>
  <c r="G8" s="1"/>
  <c r="F10"/>
  <c r="G10" s="1"/>
  <c r="M10"/>
  <c r="C18"/>
  <c r="F7"/>
  <c r="G7" s="1"/>
  <c r="F11"/>
  <c r="G11" s="1"/>
  <c r="F9"/>
  <c r="G9" s="1"/>
  <c r="F19" i="5"/>
  <c r="G19" s="1"/>
  <c r="M6"/>
  <c r="F8"/>
  <c r="G8" s="1"/>
  <c r="F10"/>
  <c r="G10" s="1"/>
  <c r="M10"/>
  <c r="C18"/>
  <c r="F18" s="1"/>
  <c r="G18" s="1"/>
  <c r="F11"/>
  <c r="G11" s="1"/>
  <c r="C15"/>
  <c r="F9"/>
  <c r="G9" s="1"/>
  <c r="M6" i="4"/>
  <c r="M10"/>
  <c r="C18"/>
  <c r="F16" i="6" l="1"/>
  <c r="G16" s="1"/>
  <c r="F15"/>
  <c r="G15" s="1"/>
  <c r="F17" i="5"/>
  <c r="G17" s="1"/>
  <c r="E20" i="6"/>
  <c r="F17"/>
  <c r="G17" s="1"/>
  <c r="F15" i="5"/>
  <c r="G15" s="1"/>
  <c r="M11"/>
  <c r="M11" i="6"/>
  <c r="C20" i="4"/>
  <c r="E20" i="5"/>
  <c r="C20" i="6"/>
  <c r="F16" i="5"/>
  <c r="G16" s="1"/>
  <c r="F18" i="6"/>
  <c r="G18" s="1"/>
  <c r="C20" i="5"/>
  <c r="F20" s="1"/>
  <c r="G20" s="1"/>
  <c r="F20" i="6" l="1"/>
  <c r="G20" s="1"/>
  <c r="A7" i="1"/>
  <c r="A8"/>
  <c r="A9" s="1"/>
  <c r="A10" s="1"/>
  <c r="A11" s="1"/>
  <c r="A14" s="1"/>
  <c r="A15" s="1"/>
  <c r="A16" s="1"/>
  <c r="A17" s="1"/>
  <c r="A18" s="1"/>
  <c r="A19" s="1"/>
  <c r="A20" s="1"/>
  <c r="A6"/>
  <c r="O11" l="1"/>
  <c r="C19" l="1"/>
  <c r="C18"/>
  <c r="L8"/>
  <c r="L7"/>
  <c r="L6"/>
  <c r="K8"/>
  <c r="K7"/>
  <c r="K6"/>
  <c r="N10"/>
  <c r="N9"/>
  <c r="N8"/>
  <c r="N6"/>
  <c r="N7"/>
  <c r="M10"/>
  <c r="M9"/>
  <c r="C16" l="1"/>
  <c r="C17"/>
  <c r="M6"/>
  <c r="C15"/>
  <c r="M7"/>
  <c r="M8"/>
  <c r="N11"/>
  <c r="K11"/>
  <c r="L11"/>
  <c r="I11"/>
  <c r="J11"/>
  <c r="C20" l="1"/>
  <c r="M11"/>
  <c r="E20" l="1"/>
  <c r="F20" s="1"/>
  <c r="G20" s="1"/>
  <c r="F11"/>
  <c r="G11" s="1"/>
  <c r="E17" l="1"/>
  <c r="F17" s="1"/>
  <c r="G17" s="1"/>
  <c r="F8"/>
  <c r="G8" s="1"/>
  <c r="E16"/>
  <c r="F16" s="1"/>
  <c r="G16" s="1"/>
  <c r="F7"/>
  <c r="G7" s="1"/>
  <c r="E19"/>
  <c r="F19" s="1"/>
  <c r="G19" s="1"/>
  <c r="F10"/>
  <c r="G10" s="1"/>
  <c r="E18" l="1"/>
  <c r="F18" s="1"/>
  <c r="G18" s="1"/>
  <c r="F9"/>
  <c r="G9" s="1"/>
  <c r="E15" l="1"/>
  <c r="F15" s="1"/>
  <c r="G15" s="1"/>
  <c r="F6"/>
  <c r="G6" s="1"/>
  <c r="E11" i="4" l="1"/>
  <c r="F11" l="1"/>
  <c r="G11" s="1"/>
  <c r="E20"/>
  <c r="F20" s="1"/>
  <c r="G20" s="1"/>
  <c r="E8" l="1"/>
  <c r="E10"/>
  <c r="E7"/>
  <c r="D16" l="1"/>
  <c r="D7"/>
  <c r="E16"/>
  <c r="F16" s="1"/>
  <c r="G16" s="1"/>
  <c r="F7"/>
  <c r="G7" s="1"/>
  <c r="F8"/>
  <c r="G8" s="1"/>
  <c r="E17"/>
  <c r="F17" s="1"/>
  <c r="G17" s="1"/>
  <c r="D17"/>
  <c r="D8"/>
  <c r="F10"/>
  <c r="G10" s="1"/>
  <c r="E19"/>
  <c r="F19" s="1"/>
  <c r="G19" s="1"/>
  <c r="D10"/>
  <c r="D19"/>
  <c r="E9"/>
  <c r="F9" l="1"/>
  <c r="G9" s="1"/>
  <c r="E18"/>
  <c r="F18" s="1"/>
  <c r="G18" s="1"/>
  <c r="D9"/>
  <c r="D18"/>
  <c r="E6"/>
  <c r="D15" l="1"/>
  <c r="D6"/>
  <c r="E15"/>
  <c r="F15" s="1"/>
  <c r="G15" s="1"/>
  <c r="F6"/>
  <c r="G6" s="1"/>
</calcChain>
</file>

<file path=xl/sharedStrings.xml><?xml version="1.0" encoding="utf-8"?>
<sst xmlns="http://schemas.openxmlformats.org/spreadsheetml/2006/main" count="216" uniqueCount="49">
  <si>
    <t>GS-OTHER</t>
  </si>
  <si>
    <t>IUS</t>
  </si>
  <si>
    <t>DS-ML</t>
  </si>
  <si>
    <t>DS/IS</t>
  </si>
  <si>
    <t>GS-RESIDENTIAL</t>
  </si>
  <si>
    <t>Unitized Return at Current Rates</t>
  </si>
  <si>
    <t xml:space="preserve">Percent Increase to Achieve Equalized ROR </t>
  </si>
  <si>
    <t xml:space="preserve">TOTAL COMPANY </t>
  </si>
  <si>
    <r>
      <t>Current Revenues</t>
    </r>
    <r>
      <rPr>
        <vertAlign val="superscript"/>
        <sz val="11"/>
        <color theme="1"/>
        <rFont val="Times New Roman"/>
        <family val="1"/>
      </rPr>
      <t>1</t>
    </r>
  </si>
  <si>
    <t>Gas Cost</t>
  </si>
  <si>
    <t xml:space="preserve">MPB-1 WP Current Revenues </t>
  </si>
  <si>
    <t>EECP, EAP, Gas Cost Uncollect. Riders</t>
  </si>
  <si>
    <t xml:space="preserve">Regulatory Adjustments </t>
  </si>
  <si>
    <t xml:space="preserve">Net Current Revenues </t>
  </si>
  <si>
    <t>(a)</t>
  </si>
  <si>
    <t>(b)</t>
  </si>
  <si>
    <t>(c)</t>
  </si>
  <si>
    <t>(f)</t>
  </si>
  <si>
    <t>(g)</t>
  </si>
  <si>
    <t>(h)</t>
  </si>
  <si>
    <t>(i)</t>
  </si>
  <si>
    <t>(j)</t>
  </si>
  <si>
    <t xml:space="preserve">Current Other Gas Department Revenue </t>
  </si>
  <si>
    <t xml:space="preserve">Proposed Other Gas Department Revenue </t>
  </si>
  <si>
    <r>
      <t xml:space="preserve">Revenues at Equalized Rate of Return </t>
    </r>
    <r>
      <rPr>
        <vertAlign val="superscript"/>
        <sz val="11"/>
        <color theme="1"/>
        <rFont val="Times New Roman"/>
        <family val="1"/>
      </rPr>
      <t>2</t>
    </r>
  </si>
  <si>
    <t xml:space="preserve">Total Company revenues differ slightly from the sum of class revenues due to rounding in Columbia's COS model. </t>
  </si>
  <si>
    <t>Revenue Increase to Achieve Equalized ROR</t>
  </si>
  <si>
    <t xml:space="preserve">(d) </t>
  </si>
  <si>
    <t xml:space="preserve">(e) </t>
  </si>
  <si>
    <r>
      <t>Current Revenues</t>
    </r>
    <r>
      <rPr>
        <vertAlign val="superscript"/>
        <sz val="11"/>
        <color theme="1"/>
        <rFont val="Times New Roman"/>
        <family val="1"/>
      </rPr>
      <t>3</t>
    </r>
  </si>
  <si>
    <t xml:space="preserve">EAP Recovery, Gas Cost Uncollectible Charge, and Regulatory Adjustments ("non-base distribution revenues"). </t>
  </si>
  <si>
    <t xml:space="preserve">2. Revenues include of non-base distribution revenues, including a proposed increase to Account 487 Forfeited Discounts of $132,048. </t>
  </si>
  <si>
    <t xml:space="preserve">Base Distribution-Only Revenues </t>
  </si>
  <si>
    <t xml:space="preserve">Revenues Including Cost of Gas and other Non-Base Distribution Revenues </t>
  </si>
  <si>
    <t xml:space="preserve">3. Current Revenues exclude non-base distribution revenues. </t>
  </si>
  <si>
    <r>
      <t>Unitized Return at Current Rates</t>
    </r>
    <r>
      <rPr>
        <vertAlign val="superscript"/>
        <sz val="11"/>
        <color theme="1"/>
        <rFont val="Times New Roman"/>
        <family val="1"/>
      </rPr>
      <t>4</t>
    </r>
  </si>
  <si>
    <r>
      <t>Revenues at Equalized Rate of Return</t>
    </r>
    <r>
      <rPr>
        <vertAlign val="superscript"/>
        <sz val="11"/>
        <color theme="1"/>
        <rFont val="Times New Roman"/>
        <family val="1"/>
      </rPr>
      <t xml:space="preserve"> 5</t>
    </r>
  </si>
  <si>
    <t xml:space="preserve">5. Current Revenues exclude non-base distribution revenues. </t>
  </si>
  <si>
    <t xml:space="preserve">Line </t>
  </si>
  <si>
    <t xml:space="preserve">No. </t>
  </si>
  <si>
    <t xml:space="preserve">4. Unitized Return as reported in the COS model. </t>
  </si>
  <si>
    <t>(k)</t>
  </si>
  <si>
    <t>(l)</t>
  </si>
  <si>
    <t>SUMMARY OF COLUMBIA AVERAGE COST-OF-SERVICE STUDY RESULTS</t>
  </si>
  <si>
    <t>1. Current Revenues include Cost of Gas, Other Gas Department Revenue, Energy Efficiency &amp; Conservation Rider,</t>
  </si>
  <si>
    <t xml:space="preserve">SUMMARY OF KIUC DEMAND/COMMODITY COST-OF-SERVICE STUDY RESULTS WITH LOAD FACTOR THROUGHPUT WEIGHTING </t>
  </si>
  <si>
    <t xml:space="preserve">SUMMARY OF COLUMBIA DEMAND/COMMODITY COST-OF-SERVICE STUDY RESULTS WITH 50% THROUGHPUT WEIGHTING </t>
  </si>
  <si>
    <t xml:space="preserve">SUMMARY OF KIUC AVERAGE COST-OF-SERVICE STUDY RESULTS INCORPORATING DEMAND/COMMODITY STUDY WITH LOAD FACTOR WEIGHTING </t>
  </si>
  <si>
    <t xml:space="preserve">Reconciliation to MPB-1 Current Revenues 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</si>
</sst>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Times New Roman"/>
      <family val="2"/>
    </font>
    <font>
      <sz val="11"/>
      <color theme="1"/>
      <name val="Times New Roman"/>
      <family val="2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37" fontId="3" fillId="0" borderId="0" xfId="0" applyNumberFormat="1" applyFont="1"/>
    <xf numFmtId="164" fontId="3" fillId="0" borderId="0" xfId="1" applyNumberFormat="1" applyFont="1"/>
    <xf numFmtId="37" fontId="3" fillId="0" borderId="1" xfId="0" applyNumberFormat="1" applyFont="1" applyBorder="1"/>
    <xf numFmtId="39" fontId="3" fillId="0" borderId="1" xfId="0" applyNumberFormat="1" applyFont="1" applyBorder="1"/>
    <xf numFmtId="5" fontId="4" fillId="0" borderId="0" xfId="0" applyNumberFormat="1" applyFont="1" applyFill="1" applyProtection="1"/>
    <xf numFmtId="37" fontId="3" fillId="0" borderId="0" xfId="0" applyNumberFormat="1" applyFont="1" applyBorder="1"/>
    <xf numFmtId="164" fontId="3" fillId="0" borderId="0" xfId="1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39" fontId="3" fillId="0" borderId="0" xfId="0" applyNumberFormat="1" applyFont="1" applyBorder="1"/>
    <xf numFmtId="10" fontId="3" fillId="0" borderId="6" xfId="2" applyNumberFormat="1" applyFont="1" applyBorder="1"/>
    <xf numFmtId="10" fontId="3" fillId="0" borderId="7" xfId="2" applyNumberFormat="1" applyFont="1" applyBorder="1"/>
    <xf numFmtId="0" fontId="3" fillId="0" borderId="8" xfId="0" applyFont="1" applyBorder="1"/>
    <xf numFmtId="10" fontId="3" fillId="0" borderId="7" xfId="2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4" fillId="0" borderId="5" xfId="1" applyNumberFormat="1" applyFont="1" applyFill="1" applyBorder="1" applyProtection="1"/>
    <xf numFmtId="164" fontId="4" fillId="0" borderId="8" xfId="1" applyNumberFormat="1" applyFont="1" applyFill="1" applyBorder="1" applyProtection="1"/>
    <xf numFmtId="37" fontId="3" fillId="0" borderId="7" xfId="0" applyNumberFormat="1" applyFont="1" applyBorder="1"/>
    <xf numFmtId="164" fontId="4" fillId="0" borderId="8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37" fontId="3" fillId="0" borderId="10" xfId="0" applyNumberFormat="1" applyFont="1" applyBorder="1"/>
    <xf numFmtId="37" fontId="3" fillId="0" borderId="11" xfId="0" applyNumberFormat="1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6" xfId="1" applyNumberFormat="1" applyFont="1" applyBorder="1"/>
    <xf numFmtId="37" fontId="4" fillId="0" borderId="6" xfId="0" applyNumberFormat="1" applyFont="1" applyBorder="1"/>
    <xf numFmtId="164" fontId="3" fillId="0" borderId="7" xfId="1" applyNumberFormat="1" applyFont="1" applyBorder="1"/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37" fontId="4" fillId="0" borderId="0" xfId="0" applyNumberFormat="1" applyFont="1" applyBorder="1"/>
    <xf numFmtId="37" fontId="3" fillId="0" borderId="6" xfId="0" applyNumberFormat="1" applyFont="1" applyBorder="1"/>
    <xf numFmtId="0" fontId="3" fillId="0" borderId="5" xfId="0" applyFont="1" applyBorder="1" applyAlignment="1">
      <alignment horizontal="center" wrapText="1"/>
    </xf>
    <xf numFmtId="164" fontId="4" fillId="0" borderId="12" xfId="0" applyNumberFormat="1" applyFont="1" applyBorder="1"/>
    <xf numFmtId="37" fontId="3" fillId="0" borderId="13" xfId="0" applyNumberFormat="1" applyFont="1" applyBorder="1"/>
    <xf numFmtId="37" fontId="3" fillId="0" borderId="14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%20&amp;%20PROJECTS/KIUC/Columbia%20Gas%20Case%202016-00162/Courtney's%20work/COS%20Models/KIUC%20WPs/KIUC%20WPs/Throughput%20Weighting%20Change%20Only/KIUC%20WP%20Average%20and%20Peak%20-%20Throughput%20Weighting%20Chang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%20&amp;%20PROJECTS/KIUC/Columbia%20Gas%20Case%202016-00162/Discovery/Staff/Set%202/CKY_R_PSCDR2_NUM48_Attachment_MPB_1_0722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%20&amp;%20PROJECTS/KIUC/Columbia%20Gas%20Case%202016-00162/Discovery/Staff/Set%201/CKY_R_PSCDR1_NUM29_ATT_B_061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S%20Models/KIUC%20WPs/KIUC%20WPs/Throughput%20Weighting%20Change%20Only/KIUC%20WP%20Average%20-%20Throughput%20Weighting%20Chang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%20&amp;%20PROJECTS/KIUC/Columbia%20Gas%20Case%202016-00162/Discovery/Staff/Set%201/CKY_R_PSCDR1_NUM29_ATT_C_061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otal Co"/>
      <sheetName val="Classification"/>
      <sheetName val="Customer"/>
      <sheetName val="Commodity"/>
      <sheetName val="Demand"/>
      <sheetName val="Input"/>
      <sheetName val="Customers"/>
      <sheetName val="Sales &amp; Rev"/>
      <sheetName val="Acct 487"/>
      <sheetName val="Prop Rev."/>
      <sheetName val="Design Day"/>
      <sheetName val="Meters"/>
      <sheetName val="Reg. Station"/>
      <sheetName val="Services-Size Index"/>
      <sheetName val="Services-Plant Records"/>
      <sheetName val="Services-AUC"/>
      <sheetName val="Services&amp;MT"/>
      <sheetName val="Min Syst - Mains"/>
      <sheetName val="Uncollectibles"/>
      <sheetName val="Classification Table"/>
      <sheetName val="Alloc Table Cust"/>
      <sheetName val="Alloc Table Dem"/>
      <sheetName val="Alloc Table Comm"/>
      <sheetName val="Revenue Req"/>
      <sheetName val="Alloc Table"/>
      <sheetName val="Return"/>
      <sheetName val="Capital Structure"/>
      <sheetName val="Gross Revenue Conversion Factor"/>
      <sheetName val="KIUC Switch"/>
    </sheetNames>
    <sheetDataSet>
      <sheetData sheetId="0" refreshError="1"/>
      <sheetData sheetId="1">
        <row r="12">
          <cell r="F12">
            <v>13807094.589999998</v>
          </cell>
          <cell r="G12">
            <v>7643846.9600000009</v>
          </cell>
          <cell r="H12">
            <v>25008.560000000001</v>
          </cell>
          <cell r="I12">
            <v>0</v>
          </cell>
          <cell r="J12">
            <v>0</v>
          </cell>
        </row>
        <row r="42">
          <cell r="E42">
            <v>118090544.39916581</v>
          </cell>
          <cell r="F42">
            <v>75257672.817070454</v>
          </cell>
          <cell r="G42">
            <v>29051001.037104532</v>
          </cell>
          <cell r="H42">
            <v>58335.688663701789</v>
          </cell>
          <cell r="I42">
            <v>127591.67629752506</v>
          </cell>
          <cell r="J42">
            <v>13595930.254462831</v>
          </cell>
        </row>
        <row r="97">
          <cell r="E97">
            <v>92682166.75</v>
          </cell>
          <cell r="F97">
            <v>59679824.439999998</v>
          </cell>
          <cell r="G97">
            <v>26685285.009999998</v>
          </cell>
          <cell r="H97">
            <v>48080.330000000009</v>
          </cell>
          <cell r="I97">
            <v>481734.93999999994</v>
          </cell>
          <cell r="J97">
            <v>5787242.0300000003</v>
          </cell>
        </row>
        <row r="117">
          <cell r="E117">
            <v>1</v>
          </cell>
          <cell r="F117">
            <v>0.77</v>
          </cell>
          <cell r="G117">
            <v>2.66</v>
          </cell>
          <cell r="H117">
            <v>1.49</v>
          </cell>
          <cell r="I117">
            <v>22.33</v>
          </cell>
          <cell r="J117">
            <v>-1</v>
          </cell>
        </row>
        <row r="390">
          <cell r="F390">
            <v>305532</v>
          </cell>
          <cell r="G390">
            <v>137766</v>
          </cell>
          <cell r="H390">
            <v>249</v>
          </cell>
          <cell r="I390">
            <v>2494</v>
          </cell>
          <cell r="J390">
            <v>29959</v>
          </cell>
        </row>
        <row r="391">
          <cell r="F391">
            <v>122833</v>
          </cell>
          <cell r="G391">
            <v>14082</v>
          </cell>
          <cell r="H391">
            <v>1</v>
          </cell>
          <cell r="I391">
            <v>5</v>
          </cell>
          <cell r="J391">
            <v>79</v>
          </cell>
        </row>
        <row r="393">
          <cell r="F393">
            <v>526293</v>
          </cell>
          <cell r="G393">
            <v>60338</v>
          </cell>
          <cell r="H393">
            <v>6</v>
          </cell>
          <cell r="I393">
            <v>23</v>
          </cell>
          <cell r="J393">
            <v>340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6">
          <cell r="F66">
            <v>391160</v>
          </cell>
        </row>
        <row r="67">
          <cell r="F67">
            <v>173234</v>
          </cell>
        </row>
        <row r="68">
          <cell r="F68">
            <v>291</v>
          </cell>
        </row>
        <row r="69">
          <cell r="F69">
            <v>2495</v>
          </cell>
        </row>
        <row r="70">
          <cell r="F70">
            <v>40868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9">
          <cell r="F19">
            <v>62480.81</v>
          </cell>
        </row>
        <row r="29">
          <cell r="F29">
            <v>30982.15</v>
          </cell>
        </row>
        <row r="30">
          <cell r="F30">
            <v>3602.51</v>
          </cell>
        </row>
        <row r="32">
          <cell r="F32">
            <v>113.21</v>
          </cell>
        </row>
      </sheetData>
      <sheetData sheetId="10">
        <row r="19">
          <cell r="F19">
            <v>62480.81</v>
          </cell>
        </row>
        <row r="417">
          <cell r="Q417">
            <v>1287639.22</v>
          </cell>
        </row>
        <row r="675">
          <cell r="Q675">
            <v>49571.429999999993</v>
          </cell>
        </row>
        <row r="725">
          <cell r="Q725">
            <v>5764</v>
          </cell>
        </row>
        <row r="795">
          <cell r="Q795">
            <v>181.14999999999998</v>
          </cell>
        </row>
        <row r="837">
          <cell r="Q837">
            <v>296450.64</v>
          </cell>
        </row>
      </sheetData>
      <sheetData sheetId="11"/>
      <sheetData sheetId="12">
        <row r="57">
          <cell r="F57">
            <v>43261042.460000001</v>
          </cell>
        </row>
        <row r="58">
          <cell r="F58">
            <v>18733089.300000001</v>
          </cell>
        </row>
        <row r="59">
          <cell r="F59">
            <v>4621275.5</v>
          </cell>
        </row>
        <row r="61">
          <cell r="F61">
            <v>22521.41</v>
          </cell>
        </row>
        <row r="62">
          <cell r="F62">
            <v>396.08</v>
          </cell>
        </row>
        <row r="63">
          <cell r="F63">
            <v>0</v>
          </cell>
        </row>
        <row r="64">
          <cell r="F64">
            <v>200.16</v>
          </cell>
        </row>
        <row r="65">
          <cell r="F65">
            <v>5993.82</v>
          </cell>
        </row>
        <row r="66">
          <cell r="F66">
            <v>9291.7800000000007</v>
          </cell>
        </row>
        <row r="67">
          <cell r="F67">
            <v>211.84000000000003</v>
          </cell>
        </row>
        <row r="68">
          <cell r="F68">
            <v>248.84000000000003</v>
          </cell>
        </row>
        <row r="69">
          <cell r="F69">
            <v>255.82</v>
          </cell>
        </row>
        <row r="70">
          <cell r="F70">
            <v>103.04000000000002</v>
          </cell>
        </row>
        <row r="71">
          <cell r="F71">
            <v>67640.579999999987</v>
          </cell>
        </row>
        <row r="72">
          <cell r="F72">
            <v>224062.07999999999</v>
          </cell>
        </row>
        <row r="73">
          <cell r="F73">
            <v>221010.71999999997</v>
          </cell>
        </row>
        <row r="74">
          <cell r="F74">
            <v>411572.36000000004</v>
          </cell>
        </row>
        <row r="75">
          <cell r="F75">
            <v>189660.33000000002</v>
          </cell>
        </row>
        <row r="76">
          <cell r="F76">
            <v>500855.39999999997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otal Co"/>
      <sheetName val="Classification"/>
      <sheetName val="Customer"/>
      <sheetName val="Commodity"/>
      <sheetName val="Demand"/>
      <sheetName val="Input"/>
      <sheetName val="Customers"/>
      <sheetName val="Sales &amp; Rev"/>
      <sheetName val="Acct 487"/>
      <sheetName val="Prop Rev."/>
      <sheetName val="Design Day"/>
      <sheetName val="Meters"/>
      <sheetName val="Reg. Station"/>
      <sheetName val="Services-Size Index"/>
      <sheetName val="Services-Plant Records"/>
      <sheetName val="Services-AUC"/>
      <sheetName val="Services&amp;MT"/>
      <sheetName val="Min Syst - Mains"/>
      <sheetName val="Uncollectibles"/>
      <sheetName val="Classification Table"/>
      <sheetName val="Alloc Table Cust"/>
      <sheetName val="Alloc Table Dem"/>
      <sheetName val="Alloc Table Comm"/>
      <sheetName val="Revenue Req"/>
      <sheetName val="Alloc Table"/>
      <sheetName val="Return"/>
      <sheetName val="Capital Structure"/>
      <sheetName val="Gross Revenue Conversion Factor"/>
    </sheetNames>
    <sheetDataSet>
      <sheetData sheetId="0"/>
      <sheetData sheetId="1">
        <row r="8">
          <cell r="E8">
            <v>92682166.749999985</v>
          </cell>
        </row>
        <row r="12">
          <cell r="F12">
            <v>13807094.589999998</v>
          </cell>
          <cell r="G12">
            <v>7643846.9600000009</v>
          </cell>
          <cell r="H12">
            <v>25008.560000000001</v>
          </cell>
          <cell r="I12">
            <v>0</v>
          </cell>
          <cell r="J12">
            <v>0</v>
          </cell>
        </row>
        <row r="42">
          <cell r="E42">
            <v>118090544.39916581</v>
          </cell>
          <cell r="F42">
            <v>73876083.374178842</v>
          </cell>
          <cell r="G42">
            <v>28492059.690684382</v>
          </cell>
          <cell r="H42">
            <v>56596.155739335816</v>
          </cell>
          <cell r="I42">
            <v>127591.67629752506</v>
          </cell>
          <cell r="J42">
            <v>15538212.261629906</v>
          </cell>
        </row>
        <row r="97">
          <cell r="E97">
            <v>92682166.75</v>
          </cell>
          <cell r="F97">
            <v>59679824.439999998</v>
          </cell>
          <cell r="G97">
            <v>26685285.009999998</v>
          </cell>
          <cell r="H97">
            <v>48080.330000000009</v>
          </cell>
          <cell r="I97">
            <v>481734.93999999994</v>
          </cell>
          <cell r="J97">
            <v>5787242.0300000003</v>
          </cell>
        </row>
        <row r="117">
          <cell r="E117">
            <v>1</v>
          </cell>
          <cell r="F117">
            <v>0.94</v>
          </cell>
          <cell r="G117">
            <v>2.86</v>
          </cell>
          <cell r="H117">
            <v>1.76</v>
          </cell>
          <cell r="I117">
            <v>22.33</v>
          </cell>
          <cell r="J117">
            <v>-1.42</v>
          </cell>
        </row>
        <row r="390">
          <cell r="F390">
            <v>305532</v>
          </cell>
          <cell r="G390">
            <v>137766</v>
          </cell>
          <cell r="H390">
            <v>249</v>
          </cell>
          <cell r="I390">
            <v>2494</v>
          </cell>
          <cell r="J390">
            <v>29959</v>
          </cell>
        </row>
        <row r="391">
          <cell r="F391">
            <v>122833</v>
          </cell>
          <cell r="G391">
            <v>14082</v>
          </cell>
          <cell r="H391">
            <v>1</v>
          </cell>
          <cell r="I391">
            <v>5</v>
          </cell>
          <cell r="J391">
            <v>79</v>
          </cell>
        </row>
        <row r="393">
          <cell r="F393">
            <v>526293</v>
          </cell>
          <cell r="G393">
            <v>60338</v>
          </cell>
          <cell r="H393">
            <v>6</v>
          </cell>
          <cell r="I393">
            <v>23</v>
          </cell>
          <cell r="J393">
            <v>340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66">
          <cell r="F66">
            <v>391160</v>
          </cell>
        </row>
        <row r="67">
          <cell r="F67">
            <v>173234</v>
          </cell>
        </row>
        <row r="68">
          <cell r="F68">
            <v>291</v>
          </cell>
        </row>
        <row r="69">
          <cell r="F69">
            <v>2495</v>
          </cell>
        </row>
        <row r="70">
          <cell r="F70">
            <v>40868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otal Co"/>
      <sheetName val="Classification"/>
      <sheetName val="Customer"/>
      <sheetName val="Commodity"/>
      <sheetName val="Demand"/>
      <sheetName val="Input"/>
      <sheetName val="Customers"/>
      <sheetName val="Sales &amp; Rev"/>
      <sheetName val="Acct 487"/>
      <sheetName val="Prop Rev."/>
      <sheetName val="Design Day"/>
      <sheetName val="Meters"/>
      <sheetName val="Reg. Station"/>
      <sheetName val="Services-Size Index"/>
      <sheetName val="Services-Plant Records"/>
      <sheetName val="Services-AUC"/>
      <sheetName val="Services&amp;MT"/>
      <sheetName val="Min Syst - Mains"/>
      <sheetName val="Uncollectibles"/>
      <sheetName val="Classification Table"/>
      <sheetName val="Alloc Table Cust"/>
      <sheetName val="Alloc Table Dem"/>
      <sheetName val="Alloc Table Comm"/>
      <sheetName val="Revenue Req"/>
      <sheetName val="Alloc Table"/>
      <sheetName val="Return"/>
      <sheetName val="Capital Structure"/>
      <sheetName val="Gross Revenue Conversion Factor"/>
      <sheetName val="KIUC Switch"/>
      <sheetName val="KIUC WP Average - Throughput We"/>
    </sheetNames>
    <sheetDataSet>
      <sheetData sheetId="0"/>
      <sheetData sheetId="1">
        <row r="12">
          <cell r="F12">
            <v>13807094.589999998</v>
          </cell>
          <cell r="G12">
            <v>7643846.9600000009</v>
          </cell>
          <cell r="H12">
            <v>25008.560000000001</v>
          </cell>
          <cell r="I12">
            <v>0</v>
          </cell>
          <cell r="J12">
            <v>0</v>
          </cell>
        </row>
        <row r="42">
          <cell r="E42">
            <v>118090544.39916581</v>
          </cell>
          <cell r="F42">
            <v>82093893.025998831</v>
          </cell>
          <cell r="G42">
            <v>26687986.157564521</v>
          </cell>
          <cell r="H42">
            <v>50517.704464778166</v>
          </cell>
          <cell r="I42">
            <v>127987.97120435577</v>
          </cell>
          <cell r="J42">
            <v>9130148.5673703086</v>
          </cell>
        </row>
        <row r="97">
          <cell r="E97">
            <v>92682166.75</v>
          </cell>
          <cell r="F97">
            <v>59679824.439999998</v>
          </cell>
          <cell r="G97">
            <v>26685285.009999998</v>
          </cell>
          <cell r="H97">
            <v>48080.330000000009</v>
          </cell>
          <cell r="I97">
            <v>481734.93999999994</v>
          </cell>
          <cell r="J97">
            <v>5787242.0300000003</v>
          </cell>
        </row>
        <row r="117">
          <cell r="E117">
            <v>1</v>
          </cell>
          <cell r="F117">
            <v>0.09</v>
          </cell>
          <cell r="G117">
            <v>3.58</v>
          </cell>
          <cell r="H117">
            <v>2.96</v>
          </cell>
          <cell r="I117">
            <v>22.32</v>
          </cell>
          <cell r="J117">
            <v>0.67</v>
          </cell>
        </row>
        <row r="390">
          <cell r="F390">
            <v>305532</v>
          </cell>
          <cell r="G390">
            <v>137766</v>
          </cell>
          <cell r="H390">
            <v>249</v>
          </cell>
          <cell r="I390">
            <v>2494</v>
          </cell>
          <cell r="J390">
            <v>29959</v>
          </cell>
        </row>
        <row r="391">
          <cell r="F391">
            <v>122833</v>
          </cell>
          <cell r="G391">
            <v>14082</v>
          </cell>
          <cell r="H391">
            <v>1</v>
          </cell>
          <cell r="I391">
            <v>5</v>
          </cell>
          <cell r="J391">
            <v>79</v>
          </cell>
        </row>
        <row r="393">
          <cell r="F393">
            <v>526293</v>
          </cell>
          <cell r="G393">
            <v>60338</v>
          </cell>
          <cell r="H393">
            <v>6</v>
          </cell>
          <cell r="I393">
            <v>23</v>
          </cell>
          <cell r="J393">
            <v>340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66">
          <cell r="F66">
            <v>391160</v>
          </cell>
        </row>
        <row r="67">
          <cell r="F67">
            <v>173234</v>
          </cell>
        </row>
        <row r="68">
          <cell r="F68">
            <v>291</v>
          </cell>
        </row>
        <row r="69">
          <cell r="F69">
            <v>2495</v>
          </cell>
        </row>
        <row r="70">
          <cell r="F70">
            <v>40868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otal Co"/>
      <sheetName val="Classification"/>
      <sheetName val="Customer"/>
      <sheetName val="Commodity"/>
      <sheetName val="Demand"/>
      <sheetName val="Input"/>
      <sheetName val="Customers"/>
      <sheetName val="Sales &amp; Rev"/>
      <sheetName val="Acct 487"/>
      <sheetName val="Prop Rev."/>
      <sheetName val="Design Day"/>
      <sheetName val="Meters"/>
      <sheetName val="Reg. Station"/>
      <sheetName val="Services-Size Index"/>
      <sheetName val="Services-Plant Records"/>
      <sheetName val="Services-AUC"/>
      <sheetName val="Services&amp;MT"/>
      <sheetName val="Min Syst - Mains"/>
      <sheetName val="Uncollectibles"/>
      <sheetName val="Classification Table"/>
      <sheetName val="Alloc Table Cust"/>
      <sheetName val="Alloc Table Dem"/>
      <sheetName val="Alloc Table Comm"/>
      <sheetName val="Revenue Req"/>
      <sheetName val="Alloc Table"/>
      <sheetName val="Return"/>
      <sheetName val="Capital Structure"/>
      <sheetName val="Gross Revenue Conversion Factor"/>
    </sheetNames>
    <sheetDataSet>
      <sheetData sheetId="0"/>
      <sheetData sheetId="1">
        <row r="12">
          <cell r="F12">
            <v>13807094.589999998</v>
          </cell>
          <cell r="G12">
            <v>7643846.9600000009</v>
          </cell>
          <cell r="H12">
            <v>25008.560000000001</v>
          </cell>
          <cell r="I12">
            <v>0</v>
          </cell>
          <cell r="J12">
            <v>0</v>
          </cell>
        </row>
        <row r="42">
          <cell r="E42">
            <v>118090544.39916581</v>
          </cell>
          <cell r="F42">
            <v>81405823.791585237</v>
          </cell>
          <cell r="G42">
            <v>26409553.110090688</v>
          </cell>
          <cell r="H42">
            <v>49552.48900557989</v>
          </cell>
          <cell r="I42">
            <v>127987.97120435577</v>
          </cell>
          <cell r="J42">
            <v>10097621.989941405</v>
          </cell>
        </row>
        <row r="97">
          <cell r="E97">
            <v>92682166.75</v>
          </cell>
          <cell r="F97">
            <v>59679824.439999998</v>
          </cell>
          <cell r="G97">
            <v>26685285.009999998</v>
          </cell>
          <cell r="H97">
            <v>48080.330000000009</v>
          </cell>
          <cell r="I97">
            <v>481734.93999999994</v>
          </cell>
          <cell r="J97">
            <v>5787242.0300000003</v>
          </cell>
        </row>
        <row r="117">
          <cell r="E117">
            <v>1</v>
          </cell>
          <cell r="F117">
            <v>0.14000000000000001</v>
          </cell>
          <cell r="G117">
            <v>3.7</v>
          </cell>
          <cell r="H117">
            <v>3.19</v>
          </cell>
          <cell r="I117">
            <v>22.32</v>
          </cell>
          <cell r="J117">
            <v>0.19</v>
          </cell>
        </row>
        <row r="390">
          <cell r="F390">
            <v>305532</v>
          </cell>
          <cell r="G390">
            <v>137766</v>
          </cell>
          <cell r="H390">
            <v>249</v>
          </cell>
          <cell r="I390">
            <v>2494</v>
          </cell>
          <cell r="J390">
            <v>29959</v>
          </cell>
        </row>
        <row r="391">
          <cell r="F391">
            <v>122833</v>
          </cell>
          <cell r="G391">
            <v>14082</v>
          </cell>
          <cell r="H391">
            <v>1</v>
          </cell>
          <cell r="I391">
            <v>5</v>
          </cell>
          <cell r="J391">
            <v>79</v>
          </cell>
        </row>
        <row r="393">
          <cell r="F393">
            <v>526293</v>
          </cell>
          <cell r="G393">
            <v>60338</v>
          </cell>
          <cell r="H393">
            <v>6</v>
          </cell>
          <cell r="I393">
            <v>23</v>
          </cell>
          <cell r="J393">
            <v>340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66">
          <cell r="F66">
            <v>391160</v>
          </cell>
        </row>
        <row r="67">
          <cell r="F67">
            <v>173234</v>
          </cell>
        </row>
        <row r="68">
          <cell r="F68">
            <v>291</v>
          </cell>
        </row>
        <row r="69">
          <cell r="F69">
            <v>2495</v>
          </cell>
        </row>
        <row r="70">
          <cell r="F70">
            <v>40868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>
      <selection activeCell="B32" sqref="B32"/>
    </sheetView>
  </sheetViews>
  <sheetFormatPr defaultRowHeight="15"/>
  <cols>
    <col min="1" max="1" width="5.85546875" style="1" customWidth="1"/>
    <col min="2" max="2" width="23.7109375" style="1" customWidth="1"/>
    <col min="3" max="7" width="20.5703125" style="1" customWidth="1"/>
    <col min="8" max="8" width="5.28515625" style="1" customWidth="1"/>
    <col min="9" max="15" width="17" style="1" customWidth="1"/>
    <col min="16" max="16384" width="9.140625" style="1"/>
  </cols>
  <sheetData>
    <row r="1" spans="1:17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3" spans="1:17">
      <c r="A3" s="9" t="s">
        <v>38</v>
      </c>
      <c r="B3" s="37" t="s">
        <v>33</v>
      </c>
      <c r="C3" s="38"/>
      <c r="D3" s="38"/>
      <c r="E3" s="38"/>
      <c r="F3" s="38"/>
      <c r="G3" s="39"/>
      <c r="I3" s="37" t="s">
        <v>48</v>
      </c>
      <c r="J3" s="38"/>
      <c r="K3" s="38"/>
      <c r="L3" s="38"/>
      <c r="M3" s="38"/>
      <c r="N3" s="38"/>
      <c r="O3" s="39"/>
    </row>
    <row r="4" spans="1:17">
      <c r="A4" s="26" t="s">
        <v>39</v>
      </c>
      <c r="B4" s="19"/>
      <c r="C4" s="20" t="s">
        <v>14</v>
      </c>
      <c r="D4" s="20" t="s">
        <v>15</v>
      </c>
      <c r="E4" s="20" t="s">
        <v>16</v>
      </c>
      <c r="F4" s="20" t="s">
        <v>27</v>
      </c>
      <c r="G4" s="21" t="s">
        <v>28</v>
      </c>
      <c r="I4" s="19" t="s">
        <v>17</v>
      </c>
      <c r="J4" s="20" t="s">
        <v>18</v>
      </c>
      <c r="K4" s="20" t="s">
        <v>19</v>
      </c>
      <c r="L4" s="20" t="s">
        <v>20</v>
      </c>
      <c r="M4" s="20" t="s">
        <v>21</v>
      </c>
      <c r="N4" s="20" t="s">
        <v>41</v>
      </c>
      <c r="O4" s="21" t="s">
        <v>42</v>
      </c>
    </row>
    <row r="5" spans="1:17" ht="57" customHeight="1">
      <c r="A5" s="9">
        <v>1</v>
      </c>
      <c r="B5" s="11"/>
      <c r="C5" s="12" t="s">
        <v>8</v>
      </c>
      <c r="D5" s="12" t="s">
        <v>5</v>
      </c>
      <c r="E5" s="12" t="s">
        <v>24</v>
      </c>
      <c r="F5" s="12" t="s">
        <v>26</v>
      </c>
      <c r="G5" s="13" t="s">
        <v>6</v>
      </c>
      <c r="I5" s="30" t="s">
        <v>9</v>
      </c>
      <c r="J5" s="31" t="s">
        <v>22</v>
      </c>
      <c r="K5" s="31" t="s">
        <v>11</v>
      </c>
      <c r="L5" s="31" t="s">
        <v>12</v>
      </c>
      <c r="M5" s="31" t="s">
        <v>13</v>
      </c>
      <c r="N5" s="32" t="s">
        <v>10</v>
      </c>
      <c r="O5" s="27" t="s">
        <v>23</v>
      </c>
    </row>
    <row r="6" spans="1:17">
      <c r="A6" s="9">
        <f>A5+1</f>
        <v>2</v>
      </c>
      <c r="B6" s="11" t="s">
        <v>4</v>
      </c>
      <c r="C6" s="7">
        <f>'[1]Total Co'!$F$97</f>
        <v>59679824.439999998</v>
      </c>
      <c r="D6" s="14">
        <f>'[1]Total Co'!$F$117</f>
        <v>0.77</v>
      </c>
      <c r="E6" s="7">
        <f>'[1]Total Co'!$F$42</f>
        <v>75257672.817070454</v>
      </c>
      <c r="F6" s="7">
        <f t="shared" ref="F6:F11" si="0">E6-C6</f>
        <v>15577848.377070457</v>
      </c>
      <c r="G6" s="15">
        <f t="shared" ref="G6:G11" si="1">F6/C6</f>
        <v>0.26102369642075401</v>
      </c>
      <c r="I6" s="22">
        <f>'[1]Total Co'!$F$12</f>
        <v>13807094.589999998</v>
      </c>
      <c r="J6" s="7">
        <f>SUM('[1]Total Co'!$F$390,'[1]Total Co'!$F$391,'[1]Total Co'!$F$393)</f>
        <v>954658</v>
      </c>
      <c r="K6" s="7">
        <f>SUM('[2]Sch M 2.2'!$Q$417,'[2]Sch M 2.2'!$Q$837)</f>
        <v>1584089.8599999999</v>
      </c>
      <c r="L6" s="7">
        <f>'[2]Sch M 2.1'!$F$19</f>
        <v>62480.81</v>
      </c>
      <c r="M6" s="7">
        <f t="shared" ref="M6:M11" si="2">C6-I6-J6-K6-L6</f>
        <v>43271501.18</v>
      </c>
      <c r="N6" s="33">
        <f>SUM('[2]Rate Design MPB-1'!$F$57,'[2]Rate Design MPB-1'!$F$62:$F$64,'[2]Rate Design MPB-1'!$F$66:$F$67,'[2]Rate Design MPB-1'!$F$69:$F$70)</f>
        <v>43271501.18</v>
      </c>
      <c r="O6" s="28">
        <f>SUM('[1]Total Co'!$F$391,'[1]Total Co'!$F$393,'[1]Acct 487'!$F$66)</f>
        <v>1040286</v>
      </c>
      <c r="Q6" s="2"/>
    </row>
    <row r="7" spans="1:17">
      <c r="A7" s="9">
        <f t="shared" ref="A7:A20" si="3">A6+1</f>
        <v>3</v>
      </c>
      <c r="B7" s="11" t="s">
        <v>0</v>
      </c>
      <c r="C7" s="7">
        <f>'[1]Total Co'!$G$97</f>
        <v>26685285.009999998</v>
      </c>
      <c r="D7" s="14">
        <f>'[1]Total Co'!$G$117</f>
        <v>2.66</v>
      </c>
      <c r="E7" s="7">
        <f>'[1]Total Co'!$G$42</f>
        <v>29051001.037104532</v>
      </c>
      <c r="F7" s="7">
        <f t="shared" si="0"/>
        <v>2365716.0271045342</v>
      </c>
      <c r="G7" s="15">
        <f t="shared" si="1"/>
        <v>8.8652454947286866E-2</v>
      </c>
      <c r="I7" s="22">
        <f>'[1]Total Co'!$G$12</f>
        <v>7643846.9600000009</v>
      </c>
      <c r="J7" s="7">
        <f>SUM('[1]Total Co'!$G$390,'[1]Total Co'!$G$391,'[1]Total Co'!$G$393)</f>
        <v>212186</v>
      </c>
      <c r="K7" s="7">
        <f>SUM('[2]Sch M 2.2'!$Q$675,'[2]Sch M 2.2'!$Q$725)</f>
        <v>55335.429999999993</v>
      </c>
      <c r="L7" s="7">
        <f>SUM('[2]Sch M 2.1'!$F$29:$F$30)</f>
        <v>34584.660000000003</v>
      </c>
      <c r="M7" s="7">
        <f t="shared" si="2"/>
        <v>18739331.959999997</v>
      </c>
      <c r="N7" s="34">
        <f>SUM('[2]Rate Design MPB-1'!F58,'[2]Rate Design MPB-1'!F65,'[2]Rate Design MPB-1'!F68)</f>
        <v>18739331.960000001</v>
      </c>
      <c r="O7" s="28">
        <f>SUM('[1]Total Co'!$G$391,'[1]Total Co'!$G$393,'[1]Acct 487'!$F$67)</f>
        <v>247654</v>
      </c>
      <c r="Q7" s="2"/>
    </row>
    <row r="8" spans="1:17">
      <c r="A8" s="9">
        <f t="shared" si="3"/>
        <v>4</v>
      </c>
      <c r="B8" s="11" t="s">
        <v>1</v>
      </c>
      <c r="C8" s="7">
        <f>'[1]Total Co'!$H$97</f>
        <v>48080.330000000009</v>
      </c>
      <c r="D8" s="14">
        <f>'[1]Total Co'!$H$117</f>
        <v>1.49</v>
      </c>
      <c r="E8" s="7">
        <f>'[1]Total Co'!$H$42</f>
        <v>58335.688663701789</v>
      </c>
      <c r="F8" s="7">
        <f t="shared" si="0"/>
        <v>10255.35866370178</v>
      </c>
      <c r="G8" s="15">
        <f t="shared" si="1"/>
        <v>0.21329634517279267</v>
      </c>
      <c r="I8" s="22">
        <f>'[1]Total Co'!$H$12</f>
        <v>25008.560000000001</v>
      </c>
      <c r="J8" s="7">
        <f>SUM('[1]Total Co'!$H$390,'[1]Total Co'!$H$391,'[1]Total Co'!$H$393)</f>
        <v>256</v>
      </c>
      <c r="K8" s="7">
        <f>'[2]Sch M 2.2'!$Q$795</f>
        <v>181.14999999999998</v>
      </c>
      <c r="L8" s="7">
        <f>SUM('[2]Sch M 2.1'!$F$32)</f>
        <v>113.21</v>
      </c>
      <c r="M8" s="7">
        <f t="shared" si="2"/>
        <v>22521.410000000007</v>
      </c>
      <c r="N8" s="33">
        <f>'[2]Rate Design MPB-1'!$F$61</f>
        <v>22521.41</v>
      </c>
      <c r="O8" s="28">
        <f>SUM('[1]Total Co'!H$391,'[1]Total Co'!$H$393,'[1]Acct 487'!$F$68)</f>
        <v>298</v>
      </c>
      <c r="Q8" s="2"/>
    </row>
    <row r="9" spans="1:17">
      <c r="A9" s="9">
        <f t="shared" si="3"/>
        <v>5</v>
      </c>
      <c r="B9" s="11" t="s">
        <v>2</v>
      </c>
      <c r="C9" s="7">
        <f>'[1]Total Co'!$I$97</f>
        <v>481734.93999999994</v>
      </c>
      <c r="D9" s="14">
        <f>'[1]Total Co'!$I$117</f>
        <v>22.33</v>
      </c>
      <c r="E9" s="7">
        <f>'[1]Total Co'!$I$42</f>
        <v>127591.67629752506</v>
      </c>
      <c r="F9" s="7">
        <f t="shared" si="0"/>
        <v>-354143.26370247488</v>
      </c>
      <c r="G9" s="15">
        <f t="shared" si="1"/>
        <v>-0.73514132834640333</v>
      </c>
      <c r="I9" s="22">
        <f>'[1]Total Co'!$I$12</f>
        <v>0</v>
      </c>
      <c r="J9" s="7">
        <f>SUM('[1]Total Co'!$I$390,'[1]Total Co'!$I$391,'[1]Total Co'!$I$393)</f>
        <v>2522</v>
      </c>
      <c r="K9" s="7">
        <v>0</v>
      </c>
      <c r="L9" s="7">
        <v>0</v>
      </c>
      <c r="M9" s="7">
        <f t="shared" si="2"/>
        <v>479212.93999999994</v>
      </c>
      <c r="N9" s="33">
        <f>'[2]Rate Design MPB-1'!$F$71+'[2]Rate Design MPB-1'!$F$74</f>
        <v>479212.94000000006</v>
      </c>
      <c r="O9" s="28">
        <f>SUM('[1]Total Co'!$I$391,'[1]Total Co'!$I$393,'[1]Acct 487'!$F$69)</f>
        <v>2523</v>
      </c>
      <c r="Q9" s="2"/>
    </row>
    <row r="10" spans="1:17">
      <c r="A10" s="9">
        <f t="shared" si="3"/>
        <v>6</v>
      </c>
      <c r="B10" s="17" t="s">
        <v>3</v>
      </c>
      <c r="C10" s="4">
        <f>'[1]Total Co'!$J$97</f>
        <v>5787242.0300000003</v>
      </c>
      <c r="D10" s="5">
        <f>'[1]Total Co'!$J$117</f>
        <v>-1</v>
      </c>
      <c r="E10" s="4">
        <f>'[1]Total Co'!$J$42</f>
        <v>13595930.254462831</v>
      </c>
      <c r="F10" s="4">
        <f t="shared" si="0"/>
        <v>7808688.2244628305</v>
      </c>
      <c r="G10" s="16">
        <f t="shared" si="1"/>
        <v>1.3492935294539306</v>
      </c>
      <c r="I10" s="23">
        <f>'[1]Total Co'!$J$12</f>
        <v>0</v>
      </c>
      <c r="J10" s="4">
        <f>SUM('[1]Total Co'!$J$390,'[1]Total Co'!$J$391,'[1]Total Co'!$J$393)</f>
        <v>30378</v>
      </c>
      <c r="K10" s="4">
        <v>0</v>
      </c>
      <c r="L10" s="4">
        <v>0</v>
      </c>
      <c r="M10" s="4">
        <f t="shared" si="2"/>
        <v>5756864.0300000003</v>
      </c>
      <c r="N10" s="35">
        <f>SUM('[2]Rate Design MPB-1'!$F$59,'[2]Rate Design MPB-1'!$F$72:$F$73,'[2]Rate Design MPB-1'!$F$75:$F$76)</f>
        <v>5756864.0300000003</v>
      </c>
      <c r="O10" s="29">
        <f>SUM('[1]Total Co'!$J$391,'[1]Total Co'!$J$393,'[1]Acct 487'!$F$70)</f>
        <v>41287</v>
      </c>
      <c r="Q10" s="2"/>
    </row>
    <row r="11" spans="1:17">
      <c r="A11" s="9">
        <f t="shared" si="3"/>
        <v>7</v>
      </c>
      <c r="B11" s="17" t="s">
        <v>7</v>
      </c>
      <c r="C11" s="4">
        <f>'[1]Total Co'!$E$97</f>
        <v>92682166.75</v>
      </c>
      <c r="D11" s="5">
        <f>'[1]Total Co'!$E$117</f>
        <v>1</v>
      </c>
      <c r="E11" s="4">
        <f>'[1]Total Co'!$E$42</f>
        <v>118090544.39916581</v>
      </c>
      <c r="F11" s="4">
        <f t="shared" si="0"/>
        <v>25408377.649165809</v>
      </c>
      <c r="G11" s="18">
        <f t="shared" si="1"/>
        <v>0.27414527022983964</v>
      </c>
      <c r="I11" s="25">
        <f>SUM(I6:I10)</f>
        <v>21475950.109999996</v>
      </c>
      <c r="J11" s="4">
        <f>SUM(J6:J10)</f>
        <v>1200000</v>
      </c>
      <c r="K11" s="4">
        <f>SUM(K6:K10)</f>
        <v>1639606.4399999997</v>
      </c>
      <c r="L11" s="4">
        <f>SUM(L6:L10)</f>
        <v>97178.680000000008</v>
      </c>
      <c r="M11" s="4">
        <f t="shared" si="2"/>
        <v>68269431.519999996</v>
      </c>
      <c r="N11" s="24">
        <f>SUM(N6:N10)</f>
        <v>68269431.519999996</v>
      </c>
      <c r="O11" s="29">
        <f>SUM(O6:O10)</f>
        <v>1332048</v>
      </c>
      <c r="P11" s="2"/>
      <c r="Q11" s="2"/>
    </row>
    <row r="12" spans="1:17">
      <c r="A12" s="9"/>
      <c r="F12" s="2"/>
      <c r="N12" s="3"/>
    </row>
    <row r="13" spans="1:17">
      <c r="A13" s="9">
        <v>8</v>
      </c>
      <c r="B13" s="37" t="s">
        <v>32</v>
      </c>
      <c r="C13" s="38"/>
      <c r="D13" s="38"/>
      <c r="E13" s="38"/>
      <c r="F13" s="38"/>
      <c r="G13" s="39"/>
      <c r="N13" s="3"/>
    </row>
    <row r="14" spans="1:17" ht="45">
      <c r="A14" s="9">
        <f t="shared" si="3"/>
        <v>9</v>
      </c>
      <c r="B14" s="11"/>
      <c r="C14" s="12" t="s">
        <v>29</v>
      </c>
      <c r="D14" s="12" t="s">
        <v>35</v>
      </c>
      <c r="E14" s="12" t="s">
        <v>36</v>
      </c>
      <c r="F14" s="12" t="s">
        <v>26</v>
      </c>
      <c r="G14" s="13" t="s">
        <v>6</v>
      </c>
      <c r="N14" s="3"/>
    </row>
    <row r="15" spans="1:17">
      <c r="A15" s="9">
        <f t="shared" si="3"/>
        <v>10</v>
      </c>
      <c r="B15" s="11" t="s">
        <v>4</v>
      </c>
      <c r="C15" s="7">
        <f>C6-I6-J6-K6-L6</f>
        <v>43271501.18</v>
      </c>
      <c r="D15" s="14">
        <f>'[1]Total Co'!$F$117</f>
        <v>0.77</v>
      </c>
      <c r="E15" s="7">
        <f t="shared" ref="E15:E20" si="4">E6-I6-K6-L6-O6</f>
        <v>58763721.557070456</v>
      </c>
      <c r="F15" s="7">
        <f t="shared" ref="F15:F20" si="5">E15-C15</f>
        <v>15492220.377070457</v>
      </c>
      <c r="G15" s="15">
        <f t="shared" ref="G15:G20" si="6">F15/C15</f>
        <v>0.35802364037767492</v>
      </c>
      <c r="N15" s="3"/>
    </row>
    <row r="16" spans="1:17">
      <c r="A16" s="9">
        <f t="shared" si="3"/>
        <v>11</v>
      </c>
      <c r="B16" s="11" t="s">
        <v>0</v>
      </c>
      <c r="C16" s="7">
        <f t="shared" ref="C16:C19" si="7">C7-I7-J7-K7-L7</f>
        <v>18739331.959999997</v>
      </c>
      <c r="D16" s="14">
        <f>'[1]Total Co'!$G$117</f>
        <v>2.66</v>
      </c>
      <c r="E16" s="7">
        <f t="shared" si="4"/>
        <v>21069579.987104531</v>
      </c>
      <c r="F16" s="7">
        <f t="shared" si="5"/>
        <v>2330248.0271045342</v>
      </c>
      <c r="G16" s="15">
        <f t="shared" si="6"/>
        <v>0.12435064558750335</v>
      </c>
      <c r="N16" s="3"/>
    </row>
    <row r="17" spans="1:17">
      <c r="A17" s="9">
        <f t="shared" si="3"/>
        <v>12</v>
      </c>
      <c r="B17" s="11" t="s">
        <v>1</v>
      </c>
      <c r="C17" s="7">
        <f t="shared" si="7"/>
        <v>22521.410000000007</v>
      </c>
      <c r="D17" s="14">
        <f>'[1]Total Co'!$H$117</f>
        <v>1.49</v>
      </c>
      <c r="E17" s="7">
        <f t="shared" si="4"/>
        <v>32734.768663701791</v>
      </c>
      <c r="F17" s="7">
        <f t="shared" si="5"/>
        <v>10213.358663701783</v>
      </c>
      <c r="G17" s="15">
        <f t="shared" si="6"/>
        <v>0.45349552553333827</v>
      </c>
    </row>
    <row r="18" spans="1:17">
      <c r="A18" s="9">
        <f t="shared" si="3"/>
        <v>13</v>
      </c>
      <c r="B18" s="11" t="s">
        <v>2</v>
      </c>
      <c r="C18" s="7">
        <f t="shared" si="7"/>
        <v>479212.93999999994</v>
      </c>
      <c r="D18" s="14">
        <f>'[1]Total Co'!$I$117</f>
        <v>22.33</v>
      </c>
      <c r="E18" s="7">
        <f t="shared" si="4"/>
        <v>125068.67629752506</v>
      </c>
      <c r="F18" s="7">
        <f t="shared" si="5"/>
        <v>-354144.26370247488</v>
      </c>
      <c r="G18" s="15">
        <f t="shared" si="6"/>
        <v>-0.73901231402990686</v>
      </c>
      <c r="J18" s="10"/>
      <c r="K18" s="36"/>
      <c r="L18" s="36"/>
      <c r="M18" s="36"/>
      <c r="N18" s="36"/>
      <c r="O18" s="36"/>
      <c r="P18" s="36"/>
      <c r="Q18" s="10"/>
    </row>
    <row r="19" spans="1:17">
      <c r="A19" s="9">
        <f t="shared" si="3"/>
        <v>14</v>
      </c>
      <c r="B19" s="17" t="s">
        <v>3</v>
      </c>
      <c r="C19" s="4">
        <f t="shared" si="7"/>
        <v>5756864.0300000003</v>
      </c>
      <c r="D19" s="5">
        <f>'[1]Total Co'!$J$117</f>
        <v>-1</v>
      </c>
      <c r="E19" s="4">
        <f t="shared" si="4"/>
        <v>13554643.254462831</v>
      </c>
      <c r="F19" s="4">
        <f t="shared" si="5"/>
        <v>7797779.2244628305</v>
      </c>
      <c r="G19" s="16">
        <f t="shared" si="6"/>
        <v>1.3545185684128151</v>
      </c>
      <c r="J19" s="10"/>
      <c r="K19" s="10"/>
      <c r="L19" s="10"/>
      <c r="M19" s="10"/>
      <c r="N19" s="10"/>
      <c r="O19" s="10"/>
      <c r="P19" s="10"/>
      <c r="Q19" s="10"/>
    </row>
    <row r="20" spans="1:17">
      <c r="A20" s="9">
        <f t="shared" si="3"/>
        <v>15</v>
      </c>
      <c r="B20" s="17" t="s">
        <v>7</v>
      </c>
      <c r="C20" s="4">
        <f>SUM(C15:C19)</f>
        <v>68269431.519999996</v>
      </c>
      <c r="D20" s="5">
        <f>'[1]Total Co'!$E$117</f>
        <v>1</v>
      </c>
      <c r="E20" s="4">
        <f t="shared" si="4"/>
        <v>93545761.169165805</v>
      </c>
      <c r="F20" s="4">
        <f t="shared" si="5"/>
        <v>25276329.649165809</v>
      </c>
      <c r="G20" s="18">
        <f t="shared" si="6"/>
        <v>0.37024373993448206</v>
      </c>
      <c r="I20" s="2"/>
      <c r="J20" s="10"/>
      <c r="K20" s="10"/>
      <c r="L20" s="10"/>
      <c r="M20" s="10"/>
      <c r="N20" s="10"/>
      <c r="O20" s="10"/>
      <c r="P20" s="10"/>
      <c r="Q20" s="10"/>
    </row>
    <row r="21" spans="1:17">
      <c r="C21" s="2"/>
      <c r="E21" s="10"/>
      <c r="F21" s="8"/>
      <c r="I21" s="2"/>
      <c r="J21" s="10"/>
      <c r="K21" s="10"/>
      <c r="L21" s="10"/>
      <c r="M21" s="10"/>
      <c r="N21" s="10"/>
      <c r="O21" s="10"/>
      <c r="P21" s="10"/>
      <c r="Q21" s="10"/>
    </row>
    <row r="22" spans="1:17">
      <c r="C22" s="2"/>
      <c r="E22" s="2"/>
      <c r="F22" s="3"/>
      <c r="I22" s="2"/>
    </row>
    <row r="23" spans="1:17">
      <c r="C23" s="2"/>
      <c r="F23" s="3"/>
      <c r="I23" s="2"/>
    </row>
    <row r="24" spans="1:17">
      <c r="B24" s="1" t="s">
        <v>44</v>
      </c>
      <c r="I24" s="2"/>
    </row>
    <row r="25" spans="1:17">
      <c r="B25" s="1" t="s">
        <v>30</v>
      </c>
      <c r="I25" s="2"/>
    </row>
    <row r="26" spans="1:17">
      <c r="B26" s="1" t="s">
        <v>31</v>
      </c>
      <c r="I26" s="2"/>
    </row>
    <row r="27" spans="1:17">
      <c r="B27" s="1" t="s">
        <v>25</v>
      </c>
      <c r="I27" s="2"/>
    </row>
    <row r="28" spans="1:17">
      <c r="B28" s="6" t="s">
        <v>34</v>
      </c>
    </row>
    <row r="29" spans="1:17">
      <c r="B29" s="1" t="s">
        <v>40</v>
      </c>
      <c r="C29" s="2"/>
      <c r="D29" s="2"/>
    </row>
    <row r="30" spans="1:17">
      <c r="B30" s="1" t="s">
        <v>37</v>
      </c>
      <c r="C30" s="2"/>
      <c r="D30" s="2"/>
    </row>
    <row r="31" spans="1:17">
      <c r="C31" s="2"/>
    </row>
    <row r="32" spans="1:17">
      <c r="C32" s="2"/>
      <c r="F32" s="3"/>
    </row>
    <row r="33" spans="3:13">
      <c r="C33" s="2"/>
    </row>
    <row r="34" spans="3:13">
      <c r="C34" s="2"/>
    </row>
    <row r="35" spans="3:13">
      <c r="C35" s="2"/>
    </row>
    <row r="37" spans="3:13">
      <c r="H37" s="3"/>
      <c r="I37" s="3"/>
    </row>
    <row r="38" spans="3:13">
      <c r="H38" s="3"/>
      <c r="I38" s="3"/>
    </row>
    <row r="39" spans="3:13">
      <c r="H39" s="3"/>
      <c r="I39" s="3"/>
      <c r="J39" s="2"/>
      <c r="K39" s="2"/>
      <c r="L39" s="2"/>
      <c r="M39" s="2"/>
    </row>
    <row r="40" spans="3:13">
      <c r="H40" s="3"/>
      <c r="I40" s="3"/>
    </row>
    <row r="41" spans="3:13">
      <c r="H41" s="3"/>
      <c r="I41" s="3"/>
    </row>
    <row r="42" spans="3:13">
      <c r="H42" s="3"/>
      <c r="I42" s="3"/>
    </row>
  </sheetData>
  <mergeCells count="5">
    <mergeCell ref="K18:P18"/>
    <mergeCell ref="B3:G3"/>
    <mergeCell ref="B13:G13"/>
    <mergeCell ref="A1:O1"/>
    <mergeCell ref="I3:O3"/>
  </mergeCells>
  <pageMargins left="0.7" right="0.7" top="0.75" bottom="0.75" header="0.3" footer="0.3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workbookViewId="0">
      <selection activeCell="K18" sqref="K18"/>
    </sheetView>
  </sheetViews>
  <sheetFormatPr defaultRowHeight="15"/>
  <cols>
    <col min="1" max="1" width="5.85546875" style="1" customWidth="1"/>
    <col min="2" max="2" width="23.7109375" style="1" customWidth="1"/>
    <col min="3" max="7" width="20.5703125" style="1" customWidth="1"/>
    <col min="8" max="8" width="5.28515625" style="1" customWidth="1"/>
    <col min="9" max="15" width="17" style="1" customWidth="1"/>
    <col min="16" max="16384" width="9.140625" style="1"/>
  </cols>
  <sheetData>
    <row r="1" spans="1:17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3" spans="1:17">
      <c r="A3" s="9" t="s">
        <v>38</v>
      </c>
      <c r="B3" s="37" t="s">
        <v>33</v>
      </c>
      <c r="C3" s="38"/>
      <c r="D3" s="38"/>
      <c r="E3" s="38"/>
      <c r="F3" s="38"/>
      <c r="G3" s="39"/>
      <c r="I3" s="37" t="s">
        <v>48</v>
      </c>
      <c r="J3" s="38"/>
      <c r="K3" s="38"/>
      <c r="L3" s="38"/>
      <c r="M3" s="38"/>
      <c r="N3" s="38"/>
      <c r="O3" s="39"/>
    </row>
    <row r="4" spans="1:17">
      <c r="A4" s="26" t="s">
        <v>39</v>
      </c>
      <c r="B4" s="19"/>
      <c r="C4" s="20" t="s">
        <v>14</v>
      </c>
      <c r="D4" s="20" t="s">
        <v>15</v>
      </c>
      <c r="E4" s="20" t="s">
        <v>16</v>
      </c>
      <c r="F4" s="20" t="s">
        <v>27</v>
      </c>
      <c r="G4" s="21" t="s">
        <v>28</v>
      </c>
      <c r="I4" s="19" t="s">
        <v>17</v>
      </c>
      <c r="J4" s="20" t="s">
        <v>18</v>
      </c>
      <c r="K4" s="20" t="s">
        <v>19</v>
      </c>
      <c r="L4" s="20" t="s">
        <v>20</v>
      </c>
      <c r="M4" s="20" t="s">
        <v>21</v>
      </c>
      <c r="N4" s="20" t="s">
        <v>41</v>
      </c>
      <c r="O4" s="21" t="s">
        <v>42</v>
      </c>
    </row>
    <row r="5" spans="1:17" ht="57" customHeight="1">
      <c r="A5" s="9">
        <v>1</v>
      </c>
      <c r="B5" s="11"/>
      <c r="C5" s="12" t="s">
        <v>8</v>
      </c>
      <c r="D5" s="12" t="s">
        <v>5</v>
      </c>
      <c r="E5" s="12" t="s">
        <v>24</v>
      </c>
      <c r="F5" s="12" t="s">
        <v>26</v>
      </c>
      <c r="G5" s="13" t="s">
        <v>6</v>
      </c>
      <c r="I5" s="43" t="s">
        <v>9</v>
      </c>
      <c r="J5" s="12" t="s">
        <v>22</v>
      </c>
      <c r="K5" s="12" t="s">
        <v>11</v>
      </c>
      <c r="L5" s="12" t="s">
        <v>12</v>
      </c>
      <c r="M5" s="12" t="s">
        <v>13</v>
      </c>
      <c r="N5" s="12" t="s">
        <v>10</v>
      </c>
      <c r="O5" s="13" t="s">
        <v>23</v>
      </c>
    </row>
    <row r="6" spans="1:17">
      <c r="A6" s="9">
        <f>A5+1</f>
        <v>2</v>
      </c>
      <c r="B6" s="11" t="s">
        <v>4</v>
      </c>
      <c r="C6" s="7">
        <f>'[3]Total Co'!$F$97</f>
        <v>59679824.439999998</v>
      </c>
      <c r="D6" s="14">
        <f>'[3]Total Co'!$F$117</f>
        <v>0.94</v>
      </c>
      <c r="E6" s="7">
        <f>'[3]Total Co'!$F$42</f>
        <v>73876083.374178842</v>
      </c>
      <c r="F6" s="7">
        <f t="shared" ref="F6:F11" si="0">E6-C6</f>
        <v>14196258.934178844</v>
      </c>
      <c r="G6" s="15">
        <f t="shared" ref="G6:G11" si="1">F6/C6</f>
        <v>0.23787367116756961</v>
      </c>
      <c r="I6" s="22">
        <f>'[3]Total Co'!$F$12</f>
        <v>13807094.589999998</v>
      </c>
      <c r="J6" s="7">
        <f>SUM('[3]Total Co'!$F$390,'[3]Total Co'!$F$391,'[3]Total Co'!$F$393)</f>
        <v>954658</v>
      </c>
      <c r="K6" s="7">
        <f>SUM('[2]Sch M 2.2'!$Q$417,'[2]Sch M 2.2'!$Q$837)</f>
        <v>1584089.8599999999</v>
      </c>
      <c r="L6" s="7">
        <f>'[2]Sch M 2.1'!$F$19</f>
        <v>62480.81</v>
      </c>
      <c r="M6" s="7">
        <f t="shared" ref="M6:M11" si="2">C6-I6-J6-K6-L6</f>
        <v>43271501.18</v>
      </c>
      <c r="N6" s="8">
        <f>SUM('[2]Rate Design MPB-1'!$F$57,'[2]Rate Design MPB-1'!$F$62:$F$64,'[2]Rate Design MPB-1'!$F$66:$F$67,'[2]Rate Design MPB-1'!$F$69:$F$70)</f>
        <v>43271501.18</v>
      </c>
      <c r="O6" s="42">
        <f>SUM('[3]Total Co'!$F$391,'[3]Total Co'!$F$393,'[3]Acct 487'!$F$66)</f>
        <v>1040286</v>
      </c>
      <c r="Q6" s="2"/>
    </row>
    <row r="7" spans="1:17">
      <c r="A7" s="9">
        <f t="shared" ref="A7:A20" si="3">A6+1</f>
        <v>3</v>
      </c>
      <c r="B7" s="11" t="s">
        <v>0</v>
      </c>
      <c r="C7" s="7">
        <f>'[3]Total Co'!$G$97</f>
        <v>26685285.009999998</v>
      </c>
      <c r="D7" s="14">
        <f>'[3]Total Co'!$G$117</f>
        <v>2.86</v>
      </c>
      <c r="E7" s="7">
        <f>'[3]Total Co'!$G$42</f>
        <v>28492059.690684382</v>
      </c>
      <c r="F7" s="7">
        <f t="shared" si="0"/>
        <v>1806774.680684384</v>
      </c>
      <c r="G7" s="15">
        <f t="shared" si="1"/>
        <v>6.7706778473878626E-2</v>
      </c>
      <c r="I7" s="22">
        <f>'[3]Total Co'!$G$12</f>
        <v>7643846.9600000009</v>
      </c>
      <c r="J7" s="7">
        <f>SUM('[3]Total Co'!$G$390,'[3]Total Co'!$G$391,'[3]Total Co'!$G$393)</f>
        <v>212186</v>
      </c>
      <c r="K7" s="7">
        <f>SUM('[2]Sch M 2.2'!$Q$675,'[2]Sch M 2.2'!$Q$725)</f>
        <v>55335.429999999993</v>
      </c>
      <c r="L7" s="7">
        <f>SUM('[2]Sch M 2.1'!$F$29:$F$30)</f>
        <v>34584.660000000003</v>
      </c>
      <c r="M7" s="7">
        <f t="shared" si="2"/>
        <v>18739331.959999997</v>
      </c>
      <c r="N7" s="41">
        <f>SUM('[2]Rate Design MPB-1'!F58,'[2]Rate Design MPB-1'!F65,'[2]Rate Design MPB-1'!F68)</f>
        <v>18739331.960000001</v>
      </c>
      <c r="O7" s="42">
        <f>SUM('[3]Total Co'!$G$391,'[3]Total Co'!$G$393,'[3]Acct 487'!$F$67)</f>
        <v>247654</v>
      </c>
      <c r="Q7" s="2"/>
    </row>
    <row r="8" spans="1:17">
      <c r="A8" s="9">
        <f t="shared" si="3"/>
        <v>4</v>
      </c>
      <c r="B8" s="11" t="s">
        <v>1</v>
      </c>
      <c r="C8" s="7">
        <f>'[3]Total Co'!$H$97</f>
        <v>48080.330000000009</v>
      </c>
      <c r="D8" s="14">
        <f>'[3]Total Co'!$H$117</f>
        <v>1.76</v>
      </c>
      <c r="E8" s="7">
        <f>'[3]Total Co'!$H$42</f>
        <v>56596.155739335816</v>
      </c>
      <c r="F8" s="7">
        <f t="shared" si="0"/>
        <v>8515.8257393358072</v>
      </c>
      <c r="G8" s="15">
        <f t="shared" si="1"/>
        <v>0.17711662418572846</v>
      </c>
      <c r="I8" s="22">
        <f>'[3]Total Co'!$H$12</f>
        <v>25008.560000000001</v>
      </c>
      <c r="J8" s="7">
        <f>SUM('[3]Total Co'!$H$390,'[3]Total Co'!$H$391,'[3]Total Co'!$H$393)</f>
        <v>256</v>
      </c>
      <c r="K8" s="7">
        <f>'[2]Sch M 2.2'!$Q$795</f>
        <v>181.14999999999998</v>
      </c>
      <c r="L8" s="7">
        <f>SUM('[2]Sch M 2.1'!$F$32)</f>
        <v>113.21</v>
      </c>
      <c r="M8" s="7">
        <f t="shared" si="2"/>
        <v>22521.410000000007</v>
      </c>
      <c r="N8" s="8">
        <f>'[2]Rate Design MPB-1'!$F$61</f>
        <v>22521.41</v>
      </c>
      <c r="O8" s="42">
        <f>SUM('[3]Total Co'!H$391,'[3]Total Co'!$H$393,'[3]Acct 487'!$F$68)</f>
        <v>298</v>
      </c>
      <c r="Q8" s="2"/>
    </row>
    <row r="9" spans="1:17">
      <c r="A9" s="9">
        <f t="shared" si="3"/>
        <v>5</v>
      </c>
      <c r="B9" s="11" t="s">
        <v>2</v>
      </c>
      <c r="C9" s="7">
        <f>'[3]Total Co'!$I$97</f>
        <v>481734.93999999994</v>
      </c>
      <c r="D9" s="14">
        <f>'[3]Total Co'!$I$117</f>
        <v>22.33</v>
      </c>
      <c r="E9" s="7">
        <f>'[3]Total Co'!$I$42</f>
        <v>127591.67629752506</v>
      </c>
      <c r="F9" s="7">
        <f t="shared" si="0"/>
        <v>-354143.26370247488</v>
      </c>
      <c r="G9" s="15">
        <f t="shared" si="1"/>
        <v>-0.73514132834640333</v>
      </c>
      <c r="I9" s="22">
        <f>'[3]Total Co'!$I$12</f>
        <v>0</v>
      </c>
      <c r="J9" s="7">
        <f>SUM('[3]Total Co'!$I$390,'[3]Total Co'!$I$391,'[3]Total Co'!$I$393)</f>
        <v>2522</v>
      </c>
      <c r="K9" s="7">
        <v>0</v>
      </c>
      <c r="L9" s="7">
        <v>0</v>
      </c>
      <c r="M9" s="7">
        <f t="shared" si="2"/>
        <v>479212.93999999994</v>
      </c>
      <c r="N9" s="8">
        <f>'[2]Rate Design MPB-1'!$F$71+'[2]Rate Design MPB-1'!$F$74</f>
        <v>479212.94000000006</v>
      </c>
      <c r="O9" s="42">
        <f>SUM('[3]Total Co'!$I$391,'[3]Total Co'!$I$393,'[3]Acct 487'!$F$69)</f>
        <v>2523</v>
      </c>
      <c r="Q9" s="2"/>
    </row>
    <row r="10" spans="1:17">
      <c r="A10" s="9">
        <f t="shared" si="3"/>
        <v>6</v>
      </c>
      <c r="B10" s="17" t="s">
        <v>3</v>
      </c>
      <c r="C10" s="4">
        <f>'[3]Total Co'!$J$97</f>
        <v>5787242.0300000003</v>
      </c>
      <c r="D10" s="5">
        <f>'[3]Total Co'!$J$117</f>
        <v>-1.42</v>
      </c>
      <c r="E10" s="4">
        <f>'[3]Total Co'!$J$42</f>
        <v>15538212.261629906</v>
      </c>
      <c r="F10" s="4">
        <f t="shared" si="0"/>
        <v>9750970.2316299044</v>
      </c>
      <c r="G10" s="16">
        <f t="shared" si="1"/>
        <v>1.684907971894499</v>
      </c>
      <c r="I10" s="22">
        <f>'[3]Total Co'!$J$12</f>
        <v>0</v>
      </c>
      <c r="J10" s="7">
        <f>SUM('[3]Total Co'!$J$390,'[3]Total Co'!$J$391,'[3]Total Co'!$J$393)</f>
        <v>30378</v>
      </c>
      <c r="K10" s="7">
        <v>0</v>
      </c>
      <c r="L10" s="7">
        <v>0</v>
      </c>
      <c r="M10" s="7">
        <f t="shared" si="2"/>
        <v>5756864.0300000003</v>
      </c>
      <c r="N10" s="8">
        <f>SUM('[2]Rate Design MPB-1'!$F$59,'[2]Rate Design MPB-1'!$F$72:$F$73,'[2]Rate Design MPB-1'!$F$75:$F$76)</f>
        <v>5756864.0300000003</v>
      </c>
      <c r="O10" s="42">
        <f>SUM('[3]Total Co'!$J$391,'[3]Total Co'!$J$393,'[3]Acct 487'!$F$70)</f>
        <v>41287</v>
      </c>
      <c r="Q10" s="2"/>
    </row>
    <row r="11" spans="1:17">
      <c r="A11" s="9">
        <f t="shared" si="3"/>
        <v>7</v>
      </c>
      <c r="B11" s="17" t="s">
        <v>7</v>
      </c>
      <c r="C11" s="4">
        <f>'[3]Total Co'!$E$97</f>
        <v>92682166.75</v>
      </c>
      <c r="D11" s="5">
        <f>'[3]Total Co'!$E$117</f>
        <v>1</v>
      </c>
      <c r="E11" s="4">
        <f>'[3]Total Co'!$E$42</f>
        <v>118090544.39916581</v>
      </c>
      <c r="F11" s="4">
        <f t="shared" si="0"/>
        <v>25408377.649165809</v>
      </c>
      <c r="G11" s="18">
        <f t="shared" si="1"/>
        <v>0.27414527022983964</v>
      </c>
      <c r="I11" s="44">
        <f>SUM(I6:I10)</f>
        <v>21475950.109999996</v>
      </c>
      <c r="J11" s="45">
        <f>SUM(J6:J10)</f>
        <v>1200000</v>
      </c>
      <c r="K11" s="45">
        <f>SUM(K6:K10)</f>
        <v>1639606.4399999997</v>
      </c>
      <c r="L11" s="45">
        <f>SUM(L6:L10)</f>
        <v>97178.680000000008</v>
      </c>
      <c r="M11" s="45">
        <f t="shared" si="2"/>
        <v>68269431.519999996</v>
      </c>
      <c r="N11" s="45">
        <f>SUM(N6:N10)</f>
        <v>68269431.519999996</v>
      </c>
      <c r="O11" s="46">
        <f>SUM(O6:O10)</f>
        <v>1332048</v>
      </c>
      <c r="P11" s="2"/>
      <c r="Q11" s="2"/>
    </row>
    <row r="12" spans="1:17">
      <c r="A12" s="9"/>
      <c r="F12" s="2"/>
      <c r="N12" s="3"/>
    </row>
    <row r="13" spans="1:17">
      <c r="A13" s="9">
        <v>8</v>
      </c>
      <c r="B13" s="37" t="s">
        <v>32</v>
      </c>
      <c r="C13" s="38"/>
      <c r="D13" s="38"/>
      <c r="E13" s="38"/>
      <c r="F13" s="38"/>
      <c r="G13" s="39"/>
      <c r="N13" s="3"/>
    </row>
    <row r="14" spans="1:17" ht="45">
      <c r="A14" s="9">
        <f t="shared" si="3"/>
        <v>9</v>
      </c>
      <c r="B14" s="11"/>
      <c r="C14" s="12" t="s">
        <v>29</v>
      </c>
      <c r="D14" s="12" t="s">
        <v>35</v>
      </c>
      <c r="E14" s="12" t="s">
        <v>36</v>
      </c>
      <c r="F14" s="12" t="s">
        <v>26</v>
      </c>
      <c r="G14" s="13" t="s">
        <v>6</v>
      </c>
      <c r="N14" s="3"/>
    </row>
    <row r="15" spans="1:17">
      <c r="A15" s="9">
        <f t="shared" si="3"/>
        <v>10</v>
      </c>
      <c r="B15" s="11" t="s">
        <v>4</v>
      </c>
      <c r="C15" s="7">
        <f>C6-I6-J6-K6-L6</f>
        <v>43271501.18</v>
      </c>
      <c r="D15" s="14">
        <f>'[3]Total Co'!$F$117</f>
        <v>0.94</v>
      </c>
      <c r="E15" s="7">
        <f t="shared" ref="E15:E20" si="4">E6-I6-K6-L6-O6</f>
        <v>57382132.114178844</v>
      </c>
      <c r="F15" s="7">
        <f t="shared" ref="F15:F20" si="5">E15-C15</f>
        <v>14110630.934178844</v>
      </c>
      <c r="G15" s="15">
        <f t="shared" ref="G15:G20" si="6">F15/C15</f>
        <v>0.32609524859056077</v>
      </c>
      <c r="N15" s="3"/>
    </row>
    <row r="16" spans="1:17">
      <c r="A16" s="9">
        <f t="shared" si="3"/>
        <v>11</v>
      </c>
      <c r="B16" s="11" t="s">
        <v>0</v>
      </c>
      <c r="C16" s="7">
        <f t="shared" ref="C16:C19" si="7">C7-I7-J7-K7-L7</f>
        <v>18739331.959999997</v>
      </c>
      <c r="D16" s="14">
        <f>'[3]Total Co'!$G$117</f>
        <v>2.86</v>
      </c>
      <c r="E16" s="7">
        <f t="shared" si="4"/>
        <v>20510638.640684381</v>
      </c>
      <c r="F16" s="7">
        <f t="shared" si="5"/>
        <v>1771306.680684384</v>
      </c>
      <c r="G16" s="15">
        <f t="shared" si="6"/>
        <v>9.4523469911591454E-2</v>
      </c>
      <c r="N16" s="3"/>
    </row>
    <row r="17" spans="1:14">
      <c r="A17" s="9">
        <f t="shared" si="3"/>
        <v>12</v>
      </c>
      <c r="B17" s="11" t="s">
        <v>1</v>
      </c>
      <c r="C17" s="7">
        <f t="shared" si="7"/>
        <v>22521.410000000007</v>
      </c>
      <c r="D17" s="14">
        <f>'[3]Total Co'!$H$117</f>
        <v>1.76</v>
      </c>
      <c r="E17" s="7">
        <f t="shared" si="4"/>
        <v>30995.235739335814</v>
      </c>
      <c r="F17" s="7">
        <f t="shared" si="5"/>
        <v>8473.8257393358072</v>
      </c>
      <c r="G17" s="15">
        <f t="shared" si="6"/>
        <v>0.37625644839003441</v>
      </c>
      <c r="N17" s="3"/>
    </row>
    <row r="18" spans="1:14">
      <c r="A18" s="9">
        <f t="shared" si="3"/>
        <v>13</v>
      </c>
      <c r="B18" s="11" t="s">
        <v>2</v>
      </c>
      <c r="C18" s="7">
        <f t="shared" si="7"/>
        <v>479212.93999999994</v>
      </c>
      <c r="D18" s="14">
        <f>'[3]Total Co'!$I$117</f>
        <v>22.33</v>
      </c>
      <c r="E18" s="7">
        <f t="shared" si="4"/>
        <v>125068.67629752506</v>
      </c>
      <c r="F18" s="7">
        <f t="shared" si="5"/>
        <v>-354144.26370247488</v>
      </c>
      <c r="G18" s="15">
        <f t="shared" si="6"/>
        <v>-0.73901231402990686</v>
      </c>
      <c r="J18" s="2"/>
      <c r="K18" s="2"/>
      <c r="L18" s="2"/>
      <c r="M18" s="2"/>
    </row>
    <row r="19" spans="1:14">
      <c r="A19" s="9">
        <f t="shared" si="3"/>
        <v>14</v>
      </c>
      <c r="B19" s="17" t="s">
        <v>3</v>
      </c>
      <c r="C19" s="4">
        <f t="shared" si="7"/>
        <v>5756864.0300000003</v>
      </c>
      <c r="D19" s="5">
        <f>'[3]Total Co'!$J$117</f>
        <v>-1.42</v>
      </c>
      <c r="E19" s="4">
        <f t="shared" si="4"/>
        <v>15496925.261629906</v>
      </c>
      <c r="F19" s="4">
        <f t="shared" si="5"/>
        <v>9740061.2316299044</v>
      </c>
      <c r="G19" s="16">
        <f t="shared" si="6"/>
        <v>1.6919039916303016</v>
      </c>
    </row>
    <row r="20" spans="1:14">
      <c r="A20" s="9">
        <f t="shared" si="3"/>
        <v>15</v>
      </c>
      <c r="B20" s="17" t="s">
        <v>7</v>
      </c>
      <c r="C20" s="4">
        <f>SUM(C15:C19)</f>
        <v>68269431.519999996</v>
      </c>
      <c r="D20" s="5">
        <f>'[3]Total Co'!$E$117</f>
        <v>1</v>
      </c>
      <c r="E20" s="4">
        <f t="shared" si="4"/>
        <v>93545761.169165805</v>
      </c>
      <c r="F20" s="4">
        <f t="shared" si="5"/>
        <v>25276329.649165809</v>
      </c>
      <c r="G20" s="18">
        <f t="shared" si="6"/>
        <v>0.37024373993448206</v>
      </c>
      <c r="I20" s="2"/>
    </row>
    <row r="21" spans="1:14">
      <c r="C21" s="2"/>
      <c r="E21" s="10"/>
      <c r="F21" s="8"/>
      <c r="I21" s="2"/>
    </row>
    <row r="22" spans="1:14">
      <c r="C22" s="2"/>
      <c r="E22" s="2"/>
      <c r="F22" s="3"/>
      <c r="I22" s="2"/>
    </row>
    <row r="23" spans="1:14">
      <c r="C23" s="2"/>
      <c r="F23" s="3"/>
      <c r="I23" s="2"/>
    </row>
    <row r="24" spans="1:14">
      <c r="B24" s="1" t="s">
        <v>44</v>
      </c>
      <c r="I24" s="2"/>
    </row>
    <row r="25" spans="1:14">
      <c r="B25" s="1" t="s">
        <v>30</v>
      </c>
      <c r="I25" s="2"/>
    </row>
    <row r="26" spans="1:14">
      <c r="B26" s="1" t="s">
        <v>31</v>
      </c>
      <c r="I26" s="2"/>
    </row>
    <row r="27" spans="1:14">
      <c r="B27" s="1" t="s">
        <v>25</v>
      </c>
      <c r="I27" s="2"/>
    </row>
    <row r="28" spans="1:14">
      <c r="B28" s="6" t="s">
        <v>34</v>
      </c>
    </row>
    <row r="29" spans="1:14">
      <c r="B29" s="1" t="s">
        <v>40</v>
      </c>
      <c r="C29" s="2"/>
      <c r="D29" s="2"/>
    </row>
    <row r="30" spans="1:14">
      <c r="B30" s="1" t="s">
        <v>37</v>
      </c>
      <c r="C30" s="2"/>
      <c r="D30" s="2"/>
    </row>
    <row r="31" spans="1:14">
      <c r="C31" s="2"/>
    </row>
    <row r="32" spans="1:14">
      <c r="C32" s="2"/>
      <c r="F32" s="3"/>
    </row>
    <row r="33" spans="3:13">
      <c r="C33" s="2"/>
    </row>
    <row r="34" spans="3:13">
      <c r="C34" s="2"/>
    </row>
    <row r="35" spans="3:13">
      <c r="C35" s="2"/>
    </row>
    <row r="37" spans="3:13">
      <c r="H37" s="3"/>
      <c r="I37" s="3"/>
    </row>
    <row r="38" spans="3:13">
      <c r="H38" s="3"/>
      <c r="I38" s="3"/>
    </row>
    <row r="39" spans="3:13">
      <c r="H39" s="3"/>
      <c r="I39" s="3"/>
      <c r="J39" s="2"/>
      <c r="K39" s="2"/>
      <c r="L39" s="2"/>
      <c r="M39" s="2"/>
    </row>
    <row r="40" spans="3:13">
      <c r="H40" s="3"/>
      <c r="I40" s="3"/>
    </row>
    <row r="41" spans="3:13">
      <c r="H41" s="3"/>
      <c r="I41" s="3"/>
    </row>
    <row r="42" spans="3:13">
      <c r="H42" s="3"/>
      <c r="I42" s="3"/>
    </row>
  </sheetData>
  <mergeCells count="4">
    <mergeCell ref="A1:O1"/>
    <mergeCell ref="B3:G3"/>
    <mergeCell ref="I3:O3"/>
    <mergeCell ref="B13:G13"/>
  </mergeCells>
  <pageMargins left="0.7" right="0.7" top="0.75" bottom="0.75" header="0.3" footer="0.3"/>
  <pageSetup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workbookViewId="0">
      <selection activeCell="K21" sqref="K21"/>
    </sheetView>
  </sheetViews>
  <sheetFormatPr defaultRowHeight="15"/>
  <cols>
    <col min="1" max="1" width="5.85546875" style="1" customWidth="1"/>
    <col min="2" max="2" width="23.7109375" style="1" customWidth="1"/>
    <col min="3" max="7" width="20.5703125" style="1" customWidth="1"/>
    <col min="8" max="8" width="5.28515625" style="1" customWidth="1"/>
    <col min="9" max="15" width="17" style="1" customWidth="1"/>
    <col min="16" max="16384" width="9.140625" style="1"/>
  </cols>
  <sheetData>
    <row r="1" spans="1:17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3" spans="1:17">
      <c r="A3" s="9" t="s">
        <v>38</v>
      </c>
      <c r="B3" s="37" t="s">
        <v>33</v>
      </c>
      <c r="C3" s="38"/>
      <c r="D3" s="38"/>
      <c r="E3" s="38"/>
      <c r="F3" s="38"/>
      <c r="G3" s="39"/>
      <c r="I3" s="37" t="s">
        <v>48</v>
      </c>
      <c r="J3" s="38"/>
      <c r="K3" s="38"/>
      <c r="L3" s="38"/>
      <c r="M3" s="38"/>
      <c r="N3" s="38"/>
      <c r="O3" s="39"/>
    </row>
    <row r="4" spans="1:17">
      <c r="A4" s="26" t="s">
        <v>39</v>
      </c>
      <c r="B4" s="19"/>
      <c r="C4" s="20" t="s">
        <v>14</v>
      </c>
      <c r="D4" s="20" t="s">
        <v>15</v>
      </c>
      <c r="E4" s="20" t="s">
        <v>16</v>
      </c>
      <c r="F4" s="20" t="s">
        <v>27</v>
      </c>
      <c r="G4" s="21" t="s">
        <v>28</v>
      </c>
      <c r="I4" s="19" t="s">
        <v>17</v>
      </c>
      <c r="J4" s="20" t="s">
        <v>18</v>
      </c>
      <c r="K4" s="20" t="s">
        <v>19</v>
      </c>
      <c r="L4" s="20" t="s">
        <v>20</v>
      </c>
      <c r="M4" s="20" t="s">
        <v>21</v>
      </c>
      <c r="N4" s="20" t="s">
        <v>41</v>
      </c>
      <c r="O4" s="21" t="s">
        <v>42</v>
      </c>
    </row>
    <row r="5" spans="1:17" ht="57" customHeight="1">
      <c r="A5" s="9">
        <v>1</v>
      </c>
      <c r="B5" s="11"/>
      <c r="C5" s="12" t="s">
        <v>8</v>
      </c>
      <c r="D5" s="12" t="s">
        <v>5</v>
      </c>
      <c r="E5" s="12" t="s">
        <v>24</v>
      </c>
      <c r="F5" s="12" t="s">
        <v>26</v>
      </c>
      <c r="G5" s="13" t="s">
        <v>6</v>
      </c>
      <c r="I5" s="43" t="s">
        <v>9</v>
      </c>
      <c r="J5" s="12" t="s">
        <v>22</v>
      </c>
      <c r="K5" s="12" t="s">
        <v>11</v>
      </c>
      <c r="L5" s="12" t="s">
        <v>12</v>
      </c>
      <c r="M5" s="12" t="s">
        <v>13</v>
      </c>
      <c r="N5" s="12" t="s">
        <v>10</v>
      </c>
      <c r="O5" s="13" t="s">
        <v>23</v>
      </c>
    </row>
    <row r="6" spans="1:17">
      <c r="A6" s="9">
        <f>A5+1</f>
        <v>2</v>
      </c>
      <c r="B6" s="11" t="s">
        <v>4</v>
      </c>
      <c r="C6" s="7">
        <f>'[4]Total Co'!$F$97</f>
        <v>59679824.439999998</v>
      </c>
      <c r="D6" s="14">
        <f>'[4]Total Co'!$F$117</f>
        <v>0.09</v>
      </c>
      <c r="E6" s="7">
        <f>'[4]Total Co'!$F$42</f>
        <v>82093893.025998831</v>
      </c>
      <c r="F6" s="7">
        <f t="shared" ref="F6:F11" si="0">E6-C6</f>
        <v>22414068.585998833</v>
      </c>
      <c r="G6" s="15">
        <f t="shared" ref="G6:G11" si="1">F6/C6</f>
        <v>0.3755719591389407</v>
      </c>
      <c r="I6" s="22">
        <f>'[4]Total Co'!$F$12</f>
        <v>13807094.589999998</v>
      </c>
      <c r="J6" s="7">
        <f>SUM('[4]Total Co'!$F$390,'[4]Total Co'!$F$391,'[4]Total Co'!$F$393)</f>
        <v>954658</v>
      </c>
      <c r="K6" s="7">
        <f>SUM('[2]Sch M 2.2'!$Q$417,'[2]Sch M 2.2'!$Q$837)</f>
        <v>1584089.8599999999</v>
      </c>
      <c r="L6" s="7">
        <f>'[2]Sch M 2.1'!$F$19</f>
        <v>62480.81</v>
      </c>
      <c r="M6" s="7">
        <f t="shared" ref="M6:M11" si="2">C6-I6-J6-K6-L6</f>
        <v>43271501.18</v>
      </c>
      <c r="N6" s="8">
        <f>SUM('[2]Rate Design MPB-1'!$F$57,'[2]Rate Design MPB-1'!$F$62:$F$64,'[2]Rate Design MPB-1'!$F$66:$F$67,'[2]Rate Design MPB-1'!$F$69:$F$70)</f>
        <v>43271501.18</v>
      </c>
      <c r="O6" s="42">
        <f>SUM('[4]Total Co'!$F$391,'[4]Total Co'!$F$393,'[4]Acct 487'!$F$66)</f>
        <v>1040286</v>
      </c>
      <c r="Q6" s="2"/>
    </row>
    <row r="7" spans="1:17">
      <c r="A7" s="9">
        <f t="shared" ref="A7:A20" si="3">A6+1</f>
        <v>3</v>
      </c>
      <c r="B7" s="11" t="s">
        <v>0</v>
      </c>
      <c r="C7" s="7">
        <f>'[4]Total Co'!$G$97</f>
        <v>26685285.009999998</v>
      </c>
      <c r="D7" s="14">
        <f>'[4]Total Co'!$G$117</f>
        <v>3.58</v>
      </c>
      <c r="E7" s="7">
        <f>'[4]Total Co'!$G$42</f>
        <v>26687986.157564521</v>
      </c>
      <c r="F7" s="7">
        <f t="shared" si="0"/>
        <v>2701.147564522922</v>
      </c>
      <c r="G7" s="15">
        <f t="shared" si="1"/>
        <v>1.012223614441704E-4</v>
      </c>
      <c r="I7" s="22">
        <f>'[4]Total Co'!$G$12</f>
        <v>7643846.9600000009</v>
      </c>
      <c r="J7" s="7">
        <f>SUM('[4]Total Co'!$G$390,'[4]Total Co'!$G$391,'[4]Total Co'!$G$393)</f>
        <v>212186</v>
      </c>
      <c r="K7" s="7">
        <f>SUM('[2]Sch M 2.2'!$Q$675,'[2]Sch M 2.2'!$Q$725)</f>
        <v>55335.429999999993</v>
      </c>
      <c r="L7" s="7">
        <f>SUM('[2]Sch M 2.1'!$F$29:$F$30)</f>
        <v>34584.660000000003</v>
      </c>
      <c r="M7" s="7">
        <f t="shared" si="2"/>
        <v>18739331.959999997</v>
      </c>
      <c r="N7" s="41">
        <f>SUM('[2]Rate Design MPB-1'!F58,'[2]Rate Design MPB-1'!F65,'[2]Rate Design MPB-1'!F68)</f>
        <v>18739331.960000001</v>
      </c>
      <c r="O7" s="42">
        <f>SUM('[4]Total Co'!$G$391,'[4]Total Co'!$G$393,'[4]Acct 487'!$F$67)</f>
        <v>247654</v>
      </c>
      <c r="Q7" s="2"/>
    </row>
    <row r="8" spans="1:17">
      <c r="A8" s="9">
        <f t="shared" si="3"/>
        <v>4</v>
      </c>
      <c r="B8" s="11" t="s">
        <v>1</v>
      </c>
      <c r="C8" s="7">
        <f>'[4]Total Co'!$H$97</f>
        <v>48080.330000000009</v>
      </c>
      <c r="D8" s="14">
        <f>'[4]Total Co'!$H$117</f>
        <v>2.96</v>
      </c>
      <c r="E8" s="7">
        <f>'[4]Total Co'!$H$42</f>
        <v>50517.704464778166</v>
      </c>
      <c r="F8" s="7">
        <f t="shared" si="0"/>
        <v>2437.3744647781568</v>
      </c>
      <c r="G8" s="15">
        <f t="shared" si="1"/>
        <v>5.0693796502190323E-2</v>
      </c>
      <c r="I8" s="22">
        <f>'[4]Total Co'!$H$12</f>
        <v>25008.560000000001</v>
      </c>
      <c r="J8" s="7">
        <f>SUM('[4]Total Co'!$H$390,'[4]Total Co'!$H$391,'[4]Total Co'!$H$393)</f>
        <v>256</v>
      </c>
      <c r="K8" s="7">
        <f>'[2]Sch M 2.2'!$Q$795</f>
        <v>181.14999999999998</v>
      </c>
      <c r="L8" s="7">
        <f>SUM('[2]Sch M 2.1'!$F$32)</f>
        <v>113.21</v>
      </c>
      <c r="M8" s="7">
        <f t="shared" si="2"/>
        <v>22521.410000000007</v>
      </c>
      <c r="N8" s="8">
        <f>'[2]Rate Design MPB-1'!$F$61</f>
        <v>22521.41</v>
      </c>
      <c r="O8" s="42">
        <f>SUM('[4]Total Co'!H$391,'[4]Total Co'!$H$393,'[4]Acct 487'!$F$68)</f>
        <v>298</v>
      </c>
      <c r="Q8" s="2"/>
    </row>
    <row r="9" spans="1:17">
      <c r="A9" s="9">
        <f t="shared" si="3"/>
        <v>5</v>
      </c>
      <c r="B9" s="11" t="s">
        <v>2</v>
      </c>
      <c r="C9" s="7">
        <f>'[4]Total Co'!$I$97</f>
        <v>481734.93999999994</v>
      </c>
      <c r="D9" s="14">
        <f>'[4]Total Co'!$I$117</f>
        <v>22.32</v>
      </c>
      <c r="E9" s="7">
        <f>'[4]Total Co'!$I$42</f>
        <v>127987.97120435577</v>
      </c>
      <c r="F9" s="7">
        <f t="shared" si="0"/>
        <v>-353746.96879564418</v>
      </c>
      <c r="G9" s="15">
        <f t="shared" si="1"/>
        <v>-0.73431868735874595</v>
      </c>
      <c r="I9" s="22">
        <f>'[4]Total Co'!$I$12</f>
        <v>0</v>
      </c>
      <c r="J9" s="7">
        <f>SUM('[4]Total Co'!$I$390,'[4]Total Co'!$I$391,'[4]Total Co'!$I$393)</f>
        <v>2522</v>
      </c>
      <c r="K9" s="7">
        <v>0</v>
      </c>
      <c r="L9" s="7">
        <v>0</v>
      </c>
      <c r="M9" s="7">
        <f t="shared" si="2"/>
        <v>479212.93999999994</v>
      </c>
      <c r="N9" s="8">
        <f>'[2]Rate Design MPB-1'!$F$71+'[2]Rate Design MPB-1'!$F$74</f>
        <v>479212.94000000006</v>
      </c>
      <c r="O9" s="42">
        <f>SUM('[4]Total Co'!$I$391,'[4]Total Co'!$I$393,'[4]Acct 487'!$F$69)</f>
        <v>2523</v>
      </c>
      <c r="Q9" s="2"/>
    </row>
    <row r="10" spans="1:17">
      <c r="A10" s="9">
        <f t="shared" si="3"/>
        <v>6</v>
      </c>
      <c r="B10" s="17" t="s">
        <v>3</v>
      </c>
      <c r="C10" s="4">
        <f>'[4]Total Co'!$J$97</f>
        <v>5787242.0300000003</v>
      </c>
      <c r="D10" s="5">
        <f>'[4]Total Co'!$J$117</f>
        <v>0.67</v>
      </c>
      <c r="E10" s="4">
        <f>'[4]Total Co'!$J$42</f>
        <v>9130148.5673703086</v>
      </c>
      <c r="F10" s="4">
        <f t="shared" si="0"/>
        <v>3342906.5373703083</v>
      </c>
      <c r="G10" s="16">
        <f t="shared" si="1"/>
        <v>0.57763378826067657</v>
      </c>
      <c r="I10" s="22">
        <f>'[4]Total Co'!$J$12</f>
        <v>0</v>
      </c>
      <c r="J10" s="7">
        <f>SUM('[4]Total Co'!$J$390,'[4]Total Co'!$J$391,'[4]Total Co'!$J$393)</f>
        <v>30378</v>
      </c>
      <c r="K10" s="7">
        <v>0</v>
      </c>
      <c r="L10" s="7">
        <v>0</v>
      </c>
      <c r="M10" s="7">
        <f t="shared" si="2"/>
        <v>5756864.0300000003</v>
      </c>
      <c r="N10" s="8">
        <f>SUM('[2]Rate Design MPB-1'!$F$59,'[2]Rate Design MPB-1'!$F$72:$F$73,'[2]Rate Design MPB-1'!$F$75:$F$76)</f>
        <v>5756864.0300000003</v>
      </c>
      <c r="O10" s="42">
        <f>SUM('[4]Total Co'!$J$391,'[4]Total Co'!$J$393,'[4]Acct 487'!$F$70)</f>
        <v>41287</v>
      </c>
      <c r="Q10" s="2"/>
    </row>
    <row r="11" spans="1:17">
      <c r="A11" s="9">
        <f t="shared" si="3"/>
        <v>7</v>
      </c>
      <c r="B11" s="17" t="s">
        <v>7</v>
      </c>
      <c r="C11" s="4">
        <f>'[4]Total Co'!$E$97</f>
        <v>92682166.75</v>
      </c>
      <c r="D11" s="5">
        <f>'[4]Total Co'!$E$117</f>
        <v>1</v>
      </c>
      <c r="E11" s="4">
        <f>'[4]Total Co'!$E$42</f>
        <v>118090544.39916581</v>
      </c>
      <c r="F11" s="4">
        <f t="shared" si="0"/>
        <v>25408377.649165809</v>
      </c>
      <c r="G11" s="18">
        <f t="shared" si="1"/>
        <v>0.27414527022983964</v>
      </c>
      <c r="I11" s="44">
        <f>SUM(I6:I10)</f>
        <v>21475950.109999996</v>
      </c>
      <c r="J11" s="45">
        <f>SUM(J6:J10)</f>
        <v>1200000</v>
      </c>
      <c r="K11" s="45">
        <f>SUM(K6:K10)</f>
        <v>1639606.4399999997</v>
      </c>
      <c r="L11" s="45">
        <f>SUM(L6:L10)</f>
        <v>97178.680000000008</v>
      </c>
      <c r="M11" s="45">
        <f t="shared" si="2"/>
        <v>68269431.519999996</v>
      </c>
      <c r="N11" s="45">
        <f>SUM(N6:N10)</f>
        <v>68269431.519999996</v>
      </c>
      <c r="O11" s="46">
        <f>SUM(O6:O10)</f>
        <v>1332048</v>
      </c>
      <c r="P11" s="2"/>
      <c r="Q11" s="2"/>
    </row>
    <row r="12" spans="1:17">
      <c r="A12" s="9"/>
      <c r="F12" s="2"/>
      <c r="N12" s="3"/>
    </row>
    <row r="13" spans="1:17">
      <c r="A13" s="9">
        <v>8</v>
      </c>
      <c r="B13" s="37" t="s">
        <v>32</v>
      </c>
      <c r="C13" s="38"/>
      <c r="D13" s="38"/>
      <c r="E13" s="38"/>
      <c r="F13" s="38"/>
      <c r="G13" s="39"/>
      <c r="N13" s="3"/>
    </row>
    <row r="14" spans="1:17" ht="45">
      <c r="A14" s="9">
        <f t="shared" si="3"/>
        <v>9</v>
      </c>
      <c r="B14" s="11"/>
      <c r="C14" s="12" t="s">
        <v>29</v>
      </c>
      <c r="D14" s="12" t="s">
        <v>35</v>
      </c>
      <c r="E14" s="12" t="s">
        <v>36</v>
      </c>
      <c r="F14" s="12" t="s">
        <v>26</v>
      </c>
      <c r="G14" s="13" t="s">
        <v>6</v>
      </c>
      <c r="N14" s="3"/>
    </row>
    <row r="15" spans="1:17">
      <c r="A15" s="9">
        <f t="shared" si="3"/>
        <v>10</v>
      </c>
      <c r="B15" s="11" t="s">
        <v>4</v>
      </c>
      <c r="C15" s="7">
        <f>C6-I6-J6-K6-L6</f>
        <v>43271501.18</v>
      </c>
      <c r="D15" s="14">
        <f>'[4]Total Co'!$F$117</f>
        <v>0.09</v>
      </c>
      <c r="E15" s="7">
        <f t="shared" ref="E15:E20" si="4">E6-I6-K6-L6-O6</f>
        <v>65599941.765998825</v>
      </c>
      <c r="F15" s="7">
        <f t="shared" ref="F15:F20" si="5">E15-C15</f>
        <v>22328440.585998826</v>
      </c>
      <c r="G15" s="15">
        <f t="shared" ref="G15:G20" si="6">F15/C15</f>
        <v>0.51600799549609766</v>
      </c>
      <c r="N15" s="3"/>
    </row>
    <row r="16" spans="1:17">
      <c r="A16" s="9">
        <f t="shared" si="3"/>
        <v>11</v>
      </c>
      <c r="B16" s="11" t="s">
        <v>0</v>
      </c>
      <c r="C16" s="7">
        <f t="shared" ref="C16:C19" si="7">C7-I7-J7-K7-L7</f>
        <v>18739331.959999997</v>
      </c>
      <c r="D16" s="14">
        <f>'[4]Total Co'!$G$117</f>
        <v>3.58</v>
      </c>
      <c r="E16" s="7">
        <f t="shared" si="4"/>
        <v>18706565.10756452</v>
      </c>
      <c r="F16" s="7">
        <f t="shared" si="5"/>
        <v>-32766.852435477078</v>
      </c>
      <c r="G16" s="15">
        <f t="shared" si="6"/>
        <v>-1.7485603278398342E-3</v>
      </c>
      <c r="N16" s="3"/>
    </row>
    <row r="17" spans="1:14">
      <c r="A17" s="9">
        <f t="shared" si="3"/>
        <v>12</v>
      </c>
      <c r="B17" s="11" t="s">
        <v>1</v>
      </c>
      <c r="C17" s="7">
        <f t="shared" si="7"/>
        <v>22521.410000000007</v>
      </c>
      <c r="D17" s="14">
        <f>'[4]Total Co'!$H$117</f>
        <v>2.96</v>
      </c>
      <c r="E17" s="7">
        <f t="shared" si="4"/>
        <v>24916.784464778164</v>
      </c>
      <c r="F17" s="7">
        <f t="shared" si="5"/>
        <v>2395.3744647781568</v>
      </c>
      <c r="G17" s="15">
        <f t="shared" si="6"/>
        <v>0.10635987998878206</v>
      </c>
      <c r="N17" s="3"/>
    </row>
    <row r="18" spans="1:14">
      <c r="A18" s="9">
        <f t="shared" si="3"/>
        <v>13</v>
      </c>
      <c r="B18" s="11" t="s">
        <v>2</v>
      </c>
      <c r="C18" s="7">
        <f t="shared" si="7"/>
        <v>479212.93999999994</v>
      </c>
      <c r="D18" s="14">
        <f>'[4]Total Co'!$I$117</f>
        <v>22.32</v>
      </c>
      <c r="E18" s="7">
        <f t="shared" si="4"/>
        <v>125464.97120435577</v>
      </c>
      <c r="F18" s="7">
        <f t="shared" si="5"/>
        <v>-353747.96879564418</v>
      </c>
      <c r="G18" s="15">
        <f t="shared" si="6"/>
        <v>-0.73818534365045363</v>
      </c>
      <c r="J18" s="2"/>
      <c r="K18" s="2"/>
      <c r="L18" s="2"/>
      <c r="M18" s="2"/>
    </row>
    <row r="19" spans="1:14">
      <c r="A19" s="9">
        <f t="shared" si="3"/>
        <v>14</v>
      </c>
      <c r="B19" s="11" t="s">
        <v>3</v>
      </c>
      <c r="C19" s="7">
        <f t="shared" si="7"/>
        <v>5756864.0300000003</v>
      </c>
      <c r="D19" s="14">
        <f>'[4]Total Co'!$J$117</f>
        <v>0.67</v>
      </c>
      <c r="E19" s="7">
        <f t="shared" si="4"/>
        <v>9088861.5673703086</v>
      </c>
      <c r="F19" s="7">
        <f t="shared" si="5"/>
        <v>3331997.5373703083</v>
      </c>
      <c r="G19" s="15">
        <f t="shared" si="6"/>
        <v>0.578786908984944</v>
      </c>
    </row>
    <row r="20" spans="1:14">
      <c r="A20" s="9">
        <f t="shared" si="3"/>
        <v>15</v>
      </c>
      <c r="B20" s="17" t="s">
        <v>7</v>
      </c>
      <c r="C20" s="4">
        <f>SUM(C15:C19)</f>
        <v>68269431.519999996</v>
      </c>
      <c r="D20" s="5">
        <f>'[4]Total Co'!$E$117</f>
        <v>1</v>
      </c>
      <c r="E20" s="4">
        <f t="shared" si="4"/>
        <v>93545761.169165805</v>
      </c>
      <c r="F20" s="4">
        <f t="shared" si="5"/>
        <v>25276329.649165809</v>
      </c>
      <c r="G20" s="18">
        <f t="shared" si="6"/>
        <v>0.37024373993448206</v>
      </c>
      <c r="I20" s="2"/>
    </row>
    <row r="21" spans="1:14">
      <c r="C21" s="2"/>
      <c r="E21" s="10"/>
      <c r="F21" s="8"/>
      <c r="I21" s="2"/>
    </row>
    <row r="22" spans="1:14">
      <c r="C22" s="2"/>
      <c r="E22" s="2"/>
      <c r="F22" s="3"/>
      <c r="I22" s="2"/>
    </row>
    <row r="23" spans="1:14">
      <c r="C23" s="2"/>
      <c r="F23" s="3"/>
      <c r="I23" s="2"/>
    </row>
    <row r="24" spans="1:14">
      <c r="B24" s="1" t="s">
        <v>44</v>
      </c>
      <c r="I24" s="2"/>
    </row>
    <row r="25" spans="1:14">
      <c r="B25" s="1" t="s">
        <v>30</v>
      </c>
      <c r="I25" s="2"/>
    </row>
    <row r="26" spans="1:14">
      <c r="B26" s="1" t="s">
        <v>31</v>
      </c>
      <c r="I26" s="2"/>
    </row>
    <row r="27" spans="1:14">
      <c r="B27" s="1" t="s">
        <v>25</v>
      </c>
      <c r="I27" s="2"/>
    </row>
    <row r="28" spans="1:14">
      <c r="B28" s="6" t="s">
        <v>34</v>
      </c>
    </row>
    <row r="29" spans="1:14">
      <c r="B29" s="1" t="s">
        <v>40</v>
      </c>
      <c r="C29" s="2"/>
      <c r="D29" s="2"/>
    </row>
    <row r="30" spans="1:14">
      <c r="B30" s="1" t="s">
        <v>37</v>
      </c>
      <c r="C30" s="2"/>
      <c r="D30" s="2"/>
    </row>
    <row r="31" spans="1:14">
      <c r="C31" s="2"/>
    </row>
    <row r="32" spans="1:14">
      <c r="C32" s="2"/>
      <c r="F32" s="3"/>
    </row>
    <row r="33" spans="3:13">
      <c r="C33" s="2"/>
    </row>
    <row r="34" spans="3:13">
      <c r="C34" s="2"/>
    </row>
    <row r="35" spans="3:13">
      <c r="C35" s="2"/>
    </row>
    <row r="37" spans="3:13">
      <c r="H37" s="3"/>
      <c r="I37" s="3"/>
    </row>
    <row r="38" spans="3:13">
      <c r="H38" s="3"/>
      <c r="I38" s="3"/>
    </row>
    <row r="39" spans="3:13">
      <c r="H39" s="3"/>
      <c r="I39" s="3"/>
      <c r="J39" s="2"/>
      <c r="K39" s="2"/>
      <c r="L39" s="2"/>
      <c r="M39" s="2"/>
    </row>
    <row r="40" spans="3:13">
      <c r="H40" s="3"/>
      <c r="I40" s="3"/>
    </row>
    <row r="41" spans="3:13">
      <c r="H41" s="3"/>
      <c r="I41" s="3"/>
    </row>
    <row r="42" spans="3:13">
      <c r="H42" s="3"/>
      <c r="I42" s="3"/>
    </row>
  </sheetData>
  <mergeCells count="4">
    <mergeCell ref="A1:O1"/>
    <mergeCell ref="B3:G3"/>
    <mergeCell ref="I3:O3"/>
    <mergeCell ref="B13:G13"/>
  </mergeCells>
  <pageMargins left="0.7" right="0.7" top="0.75" bottom="0.75" header="0.3" footer="0.3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workbookViewId="0">
      <selection activeCell="G26" sqref="G26"/>
    </sheetView>
  </sheetViews>
  <sheetFormatPr defaultRowHeight="15"/>
  <cols>
    <col min="1" max="1" width="5.85546875" style="1" customWidth="1"/>
    <col min="2" max="2" width="23.7109375" style="1" customWidth="1"/>
    <col min="3" max="7" width="20.5703125" style="1" customWidth="1"/>
    <col min="8" max="8" width="5.28515625" style="1" customWidth="1"/>
    <col min="9" max="15" width="17" style="1" customWidth="1"/>
    <col min="16" max="16384" width="9.140625" style="1"/>
  </cols>
  <sheetData>
    <row r="1" spans="1:17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3" spans="1:17">
      <c r="A3" s="9" t="s">
        <v>38</v>
      </c>
      <c r="B3" s="37" t="s">
        <v>33</v>
      </c>
      <c r="C3" s="38"/>
      <c r="D3" s="38"/>
      <c r="E3" s="38"/>
      <c r="F3" s="38"/>
      <c r="G3" s="39"/>
      <c r="I3" s="37" t="s">
        <v>48</v>
      </c>
      <c r="J3" s="38"/>
      <c r="K3" s="38"/>
      <c r="L3" s="38"/>
      <c r="M3" s="38"/>
      <c r="N3" s="38"/>
      <c r="O3" s="39"/>
    </row>
    <row r="4" spans="1:17">
      <c r="A4" s="26" t="s">
        <v>39</v>
      </c>
      <c r="B4" s="19"/>
      <c r="C4" s="20" t="s">
        <v>14</v>
      </c>
      <c r="D4" s="20" t="s">
        <v>15</v>
      </c>
      <c r="E4" s="20" t="s">
        <v>16</v>
      </c>
      <c r="F4" s="20" t="s">
        <v>27</v>
      </c>
      <c r="G4" s="21" t="s">
        <v>28</v>
      </c>
      <c r="I4" s="19" t="s">
        <v>17</v>
      </c>
      <c r="J4" s="20" t="s">
        <v>18</v>
      </c>
      <c r="K4" s="20" t="s">
        <v>19</v>
      </c>
      <c r="L4" s="20" t="s">
        <v>20</v>
      </c>
      <c r="M4" s="20" t="s">
        <v>21</v>
      </c>
      <c r="N4" s="20" t="s">
        <v>41</v>
      </c>
      <c r="O4" s="21" t="s">
        <v>42</v>
      </c>
    </row>
    <row r="5" spans="1:17" ht="57" customHeight="1">
      <c r="A5" s="9">
        <v>1</v>
      </c>
      <c r="B5" s="11"/>
      <c r="C5" s="12" t="s">
        <v>8</v>
      </c>
      <c r="D5" s="12" t="s">
        <v>5</v>
      </c>
      <c r="E5" s="12" t="s">
        <v>24</v>
      </c>
      <c r="F5" s="12" t="s">
        <v>26</v>
      </c>
      <c r="G5" s="13" t="s">
        <v>6</v>
      </c>
      <c r="I5" s="43" t="s">
        <v>9</v>
      </c>
      <c r="J5" s="12" t="s">
        <v>22</v>
      </c>
      <c r="K5" s="12" t="s">
        <v>11</v>
      </c>
      <c r="L5" s="12" t="s">
        <v>12</v>
      </c>
      <c r="M5" s="12" t="s">
        <v>13</v>
      </c>
      <c r="N5" s="12" t="s">
        <v>10</v>
      </c>
      <c r="O5" s="13" t="s">
        <v>23</v>
      </c>
    </row>
    <row r="6" spans="1:17">
      <c r="A6" s="9">
        <f>A5+1</f>
        <v>2</v>
      </c>
      <c r="B6" s="11" t="s">
        <v>4</v>
      </c>
      <c r="C6" s="7">
        <f>'[5]Total Co'!$F$97</f>
        <v>59679824.439999998</v>
      </c>
      <c r="D6" s="14">
        <f>'[5]Total Co'!$F$117</f>
        <v>0.14000000000000001</v>
      </c>
      <c r="E6" s="7">
        <f>'[5]Total Co'!$F$42</f>
        <v>81405823.791585237</v>
      </c>
      <c r="F6" s="7">
        <f t="shared" ref="F6:F11" si="0">E6-C6</f>
        <v>21725999.351585239</v>
      </c>
      <c r="G6" s="15">
        <f t="shared" ref="G6:G11" si="1">F6/C6</f>
        <v>0.36404261499508594</v>
      </c>
      <c r="I6" s="22">
        <f>'[5]Total Co'!$F$12</f>
        <v>13807094.589999998</v>
      </c>
      <c r="J6" s="7">
        <f>SUM('[5]Total Co'!$F$390,'[5]Total Co'!$F$391,'[5]Total Co'!$F$393)</f>
        <v>954658</v>
      </c>
      <c r="K6" s="7">
        <f>SUM('[2]Sch M 2.2'!$Q$417,'[2]Sch M 2.2'!$Q$837)</f>
        <v>1584089.8599999999</v>
      </c>
      <c r="L6" s="7">
        <f>'[2]Sch M 2.1'!$F$19</f>
        <v>62480.81</v>
      </c>
      <c r="M6" s="7">
        <f t="shared" ref="M6:M11" si="2">C6-I6-J6-K6-L6</f>
        <v>43271501.18</v>
      </c>
      <c r="N6" s="8">
        <f>SUM('[2]Rate Design MPB-1'!$F$57,'[2]Rate Design MPB-1'!$F$62:$F$64,'[2]Rate Design MPB-1'!$F$66:$F$67,'[2]Rate Design MPB-1'!$F$69:$F$70)</f>
        <v>43271501.18</v>
      </c>
      <c r="O6" s="42">
        <f>SUM('[5]Total Co'!$F$391,'[5]Total Co'!$F$393,'[5]Acct 487'!$F$66)</f>
        <v>1040286</v>
      </c>
      <c r="Q6" s="2"/>
    </row>
    <row r="7" spans="1:17">
      <c r="A7" s="9">
        <f t="shared" ref="A7:A20" si="3">A6+1</f>
        <v>3</v>
      </c>
      <c r="B7" s="11" t="s">
        <v>0</v>
      </c>
      <c r="C7" s="7">
        <f>'[5]Total Co'!$G$97</f>
        <v>26685285.009999998</v>
      </c>
      <c r="D7" s="14">
        <f>'[5]Total Co'!$G$117</f>
        <v>3.7</v>
      </c>
      <c r="E7" s="7">
        <f>'[5]Total Co'!$G$42</f>
        <v>26409553.110090688</v>
      </c>
      <c r="F7" s="7">
        <f t="shared" si="0"/>
        <v>-275731.89990931004</v>
      </c>
      <c r="G7" s="15">
        <f t="shared" si="1"/>
        <v>-1.0332732058360357E-2</v>
      </c>
      <c r="I7" s="22">
        <f>'[5]Total Co'!$G$12</f>
        <v>7643846.9600000009</v>
      </c>
      <c r="J7" s="7">
        <f>SUM('[5]Total Co'!$G$390,'[5]Total Co'!$G$391,'[5]Total Co'!$G$393)</f>
        <v>212186</v>
      </c>
      <c r="K7" s="7">
        <f>SUM('[2]Sch M 2.2'!$Q$675,'[2]Sch M 2.2'!$Q$725)</f>
        <v>55335.429999999993</v>
      </c>
      <c r="L7" s="7">
        <f>SUM('[2]Sch M 2.1'!$F$29:$F$30)</f>
        <v>34584.660000000003</v>
      </c>
      <c r="M7" s="7">
        <f t="shared" si="2"/>
        <v>18739331.959999997</v>
      </c>
      <c r="N7" s="41">
        <f>SUM('[2]Rate Design MPB-1'!F58,'[2]Rate Design MPB-1'!F65,'[2]Rate Design MPB-1'!F68)</f>
        <v>18739331.960000001</v>
      </c>
      <c r="O7" s="42">
        <f>SUM('[5]Total Co'!$G$391,'[5]Total Co'!$G$393,'[5]Acct 487'!$F$67)</f>
        <v>247654</v>
      </c>
      <c r="Q7" s="2"/>
    </row>
    <row r="8" spans="1:17">
      <c r="A8" s="9">
        <f t="shared" si="3"/>
        <v>4</v>
      </c>
      <c r="B8" s="11" t="s">
        <v>1</v>
      </c>
      <c r="C8" s="7">
        <f>'[5]Total Co'!$H$97</f>
        <v>48080.330000000009</v>
      </c>
      <c r="D8" s="14">
        <f>'[5]Total Co'!$H$117</f>
        <v>3.19</v>
      </c>
      <c r="E8" s="7">
        <f>'[5]Total Co'!$H$42</f>
        <v>49552.48900557989</v>
      </c>
      <c r="F8" s="7">
        <f t="shared" si="0"/>
        <v>1472.1590055798806</v>
      </c>
      <c r="G8" s="15">
        <f t="shared" si="1"/>
        <v>3.0618737549843778E-2</v>
      </c>
      <c r="I8" s="22">
        <f>'[5]Total Co'!$H$12</f>
        <v>25008.560000000001</v>
      </c>
      <c r="J8" s="7">
        <f>SUM('[5]Total Co'!$H$390,'[5]Total Co'!$H$391,'[5]Total Co'!$H$393)</f>
        <v>256</v>
      </c>
      <c r="K8" s="7">
        <f>'[2]Sch M 2.2'!$Q$795</f>
        <v>181.14999999999998</v>
      </c>
      <c r="L8" s="7">
        <f>SUM('[2]Sch M 2.1'!$F$32)</f>
        <v>113.21</v>
      </c>
      <c r="M8" s="7">
        <f t="shared" si="2"/>
        <v>22521.410000000007</v>
      </c>
      <c r="N8" s="8">
        <f>'[2]Rate Design MPB-1'!$F$61</f>
        <v>22521.41</v>
      </c>
      <c r="O8" s="42">
        <f>SUM('[5]Total Co'!H$391,'[5]Total Co'!$H$393,'[5]Acct 487'!$F$68)</f>
        <v>298</v>
      </c>
      <c r="Q8" s="2"/>
    </row>
    <row r="9" spans="1:17">
      <c r="A9" s="9">
        <f t="shared" si="3"/>
        <v>5</v>
      </c>
      <c r="B9" s="11" t="s">
        <v>2</v>
      </c>
      <c r="C9" s="7">
        <f>'[5]Total Co'!$I$97</f>
        <v>481734.93999999994</v>
      </c>
      <c r="D9" s="14">
        <f>'[5]Total Co'!$I$117</f>
        <v>22.32</v>
      </c>
      <c r="E9" s="7">
        <f>'[5]Total Co'!$I$42</f>
        <v>127987.97120435577</v>
      </c>
      <c r="F9" s="7">
        <f t="shared" si="0"/>
        <v>-353746.96879564418</v>
      </c>
      <c r="G9" s="15">
        <f t="shared" si="1"/>
        <v>-0.73431868735874595</v>
      </c>
      <c r="I9" s="22">
        <f>'[5]Total Co'!$I$12</f>
        <v>0</v>
      </c>
      <c r="J9" s="7">
        <f>SUM('[5]Total Co'!$I$390,'[5]Total Co'!$I$391,'[5]Total Co'!$I$393)</f>
        <v>2522</v>
      </c>
      <c r="K9" s="7">
        <v>0</v>
      </c>
      <c r="L9" s="7">
        <v>0</v>
      </c>
      <c r="M9" s="7">
        <f t="shared" si="2"/>
        <v>479212.93999999994</v>
      </c>
      <c r="N9" s="8">
        <f>'[2]Rate Design MPB-1'!$F$71+'[2]Rate Design MPB-1'!$F$74</f>
        <v>479212.94000000006</v>
      </c>
      <c r="O9" s="42">
        <f>SUM('[5]Total Co'!$I$391,'[5]Total Co'!$I$393,'[5]Acct 487'!$F$69)</f>
        <v>2523</v>
      </c>
      <c r="Q9" s="2"/>
    </row>
    <row r="10" spans="1:17">
      <c r="A10" s="9">
        <f t="shared" si="3"/>
        <v>6</v>
      </c>
      <c r="B10" s="17" t="s">
        <v>3</v>
      </c>
      <c r="C10" s="4">
        <f>'[5]Total Co'!$J$97</f>
        <v>5787242.0300000003</v>
      </c>
      <c r="D10" s="5">
        <f>'[5]Total Co'!$J$117</f>
        <v>0.19</v>
      </c>
      <c r="E10" s="4">
        <f>'[5]Total Co'!$J$42</f>
        <v>10097621.989941405</v>
      </c>
      <c r="F10" s="4">
        <f t="shared" si="0"/>
        <v>4310379.9599414049</v>
      </c>
      <c r="G10" s="16">
        <f t="shared" si="1"/>
        <v>0.74480727393068868</v>
      </c>
      <c r="I10" s="22">
        <f>'[5]Total Co'!$J$12</f>
        <v>0</v>
      </c>
      <c r="J10" s="7">
        <f>SUM('[5]Total Co'!$J$390,'[5]Total Co'!$J$391,'[5]Total Co'!$J$393)</f>
        <v>30378</v>
      </c>
      <c r="K10" s="7">
        <v>0</v>
      </c>
      <c r="L10" s="7">
        <v>0</v>
      </c>
      <c r="M10" s="7">
        <f t="shared" si="2"/>
        <v>5756864.0300000003</v>
      </c>
      <c r="N10" s="8">
        <f>SUM('[2]Rate Design MPB-1'!$F$59,'[2]Rate Design MPB-1'!$F$72:$F$73,'[2]Rate Design MPB-1'!$F$75:$F$76)</f>
        <v>5756864.0300000003</v>
      </c>
      <c r="O10" s="42">
        <f>SUM('[5]Total Co'!$J$391,'[5]Total Co'!$J$393,'[5]Acct 487'!$F$70)</f>
        <v>41287</v>
      </c>
      <c r="Q10" s="2"/>
    </row>
    <row r="11" spans="1:17">
      <c r="A11" s="9">
        <f t="shared" si="3"/>
        <v>7</v>
      </c>
      <c r="B11" s="17" t="s">
        <v>7</v>
      </c>
      <c r="C11" s="4">
        <f>'[5]Total Co'!$E$97</f>
        <v>92682166.75</v>
      </c>
      <c r="D11" s="5">
        <f>'[5]Total Co'!$E$117</f>
        <v>1</v>
      </c>
      <c r="E11" s="4">
        <f>'[5]Total Co'!$E$42</f>
        <v>118090544.39916581</v>
      </c>
      <c r="F11" s="4">
        <f t="shared" si="0"/>
        <v>25408377.649165809</v>
      </c>
      <c r="G11" s="18">
        <f t="shared" si="1"/>
        <v>0.27414527022983964</v>
      </c>
      <c r="I11" s="44">
        <f>SUM(I6:I10)</f>
        <v>21475950.109999996</v>
      </c>
      <c r="J11" s="45">
        <f>SUM(J6:J10)</f>
        <v>1200000</v>
      </c>
      <c r="K11" s="45">
        <f>SUM(K6:K10)</f>
        <v>1639606.4399999997</v>
      </c>
      <c r="L11" s="45">
        <f>SUM(L6:L10)</f>
        <v>97178.680000000008</v>
      </c>
      <c r="M11" s="45">
        <f t="shared" si="2"/>
        <v>68269431.519999996</v>
      </c>
      <c r="N11" s="45">
        <f>SUM(N6:N10)</f>
        <v>68269431.519999996</v>
      </c>
      <c r="O11" s="46">
        <f>SUM(O6:O10)</f>
        <v>1332048</v>
      </c>
      <c r="P11" s="2"/>
      <c r="Q11" s="2"/>
    </row>
    <row r="12" spans="1:17">
      <c r="A12" s="9"/>
      <c r="F12" s="2"/>
      <c r="N12" s="3"/>
    </row>
    <row r="13" spans="1:17">
      <c r="A13" s="9">
        <v>8</v>
      </c>
      <c r="B13" s="37" t="s">
        <v>32</v>
      </c>
      <c r="C13" s="38"/>
      <c r="D13" s="38"/>
      <c r="E13" s="38"/>
      <c r="F13" s="38"/>
      <c r="G13" s="39"/>
      <c r="N13" s="3"/>
    </row>
    <row r="14" spans="1:17" ht="45">
      <c r="A14" s="9">
        <f t="shared" si="3"/>
        <v>9</v>
      </c>
      <c r="B14" s="11"/>
      <c r="C14" s="12" t="s">
        <v>29</v>
      </c>
      <c r="D14" s="12" t="s">
        <v>35</v>
      </c>
      <c r="E14" s="12" t="s">
        <v>36</v>
      </c>
      <c r="F14" s="12" t="s">
        <v>26</v>
      </c>
      <c r="G14" s="13" t="s">
        <v>6</v>
      </c>
      <c r="N14" s="3"/>
    </row>
    <row r="15" spans="1:17">
      <c r="A15" s="9">
        <f t="shared" si="3"/>
        <v>10</v>
      </c>
      <c r="B15" s="11" t="s">
        <v>4</v>
      </c>
      <c r="C15" s="7">
        <f>C6-I6-J6-K6-L6</f>
        <v>43271501.18</v>
      </c>
      <c r="D15" s="14">
        <f>'[5]Total Co'!$F$117</f>
        <v>0.14000000000000001</v>
      </c>
      <c r="E15" s="7">
        <f t="shared" ref="E15:E20" si="4">E6-I6-K6-L6-O6</f>
        <v>64911872.531585231</v>
      </c>
      <c r="F15" s="7">
        <f t="shared" ref="F15:F20" si="5">E15-C15</f>
        <v>21640371.351585232</v>
      </c>
      <c r="G15" s="15">
        <f t="shared" ref="G15:G20" si="6">F15/C15</f>
        <v>0.50010678533120467</v>
      </c>
      <c r="N15" s="3"/>
    </row>
    <row r="16" spans="1:17">
      <c r="A16" s="9">
        <f t="shared" si="3"/>
        <v>11</v>
      </c>
      <c r="B16" s="11" t="s">
        <v>0</v>
      </c>
      <c r="C16" s="7">
        <f t="shared" ref="C16:C19" si="7">C7-I7-J7-K7-L7</f>
        <v>18739331.959999997</v>
      </c>
      <c r="D16" s="14">
        <f>'[5]Total Co'!$G$117</f>
        <v>3.7</v>
      </c>
      <c r="E16" s="7">
        <f t="shared" si="4"/>
        <v>18428132.060090687</v>
      </c>
      <c r="F16" s="7">
        <f t="shared" si="5"/>
        <v>-311199.89990931004</v>
      </c>
      <c r="G16" s="15">
        <f t="shared" si="6"/>
        <v>-1.6606776622217972E-2</v>
      </c>
      <c r="N16" s="3"/>
    </row>
    <row r="17" spans="1:14">
      <c r="A17" s="9">
        <f t="shared" si="3"/>
        <v>12</v>
      </c>
      <c r="B17" s="11" t="s">
        <v>1</v>
      </c>
      <c r="C17" s="7">
        <f t="shared" si="7"/>
        <v>22521.410000000007</v>
      </c>
      <c r="D17" s="14">
        <f>'[5]Total Co'!$H$117</f>
        <v>3.19</v>
      </c>
      <c r="E17" s="7">
        <f t="shared" si="4"/>
        <v>23951.569005579888</v>
      </c>
      <c r="F17" s="7">
        <f t="shared" si="5"/>
        <v>1430.1590055798806</v>
      </c>
      <c r="G17" s="15">
        <f t="shared" si="6"/>
        <v>6.3502196602250038E-2</v>
      </c>
      <c r="N17" s="3"/>
    </row>
    <row r="18" spans="1:14">
      <c r="A18" s="9">
        <f t="shared" si="3"/>
        <v>13</v>
      </c>
      <c r="B18" s="11" t="s">
        <v>2</v>
      </c>
      <c r="C18" s="7">
        <f t="shared" si="7"/>
        <v>479212.93999999994</v>
      </c>
      <c r="D18" s="14">
        <f>'[5]Total Co'!$I$117</f>
        <v>22.32</v>
      </c>
      <c r="E18" s="7">
        <f t="shared" si="4"/>
        <v>125464.97120435577</v>
      </c>
      <c r="F18" s="7">
        <f t="shared" si="5"/>
        <v>-353747.96879564418</v>
      </c>
      <c r="G18" s="15">
        <f t="shared" si="6"/>
        <v>-0.73818534365045363</v>
      </c>
      <c r="J18" s="2"/>
      <c r="K18" s="2"/>
      <c r="L18" s="2"/>
      <c r="M18" s="2"/>
    </row>
    <row r="19" spans="1:14">
      <c r="A19" s="9">
        <f t="shared" si="3"/>
        <v>14</v>
      </c>
      <c r="B19" s="17" t="s">
        <v>3</v>
      </c>
      <c r="C19" s="4">
        <f t="shared" si="7"/>
        <v>5756864.0300000003</v>
      </c>
      <c r="D19" s="5">
        <f>'[5]Total Co'!$J$117</f>
        <v>0.19</v>
      </c>
      <c r="E19" s="4">
        <f t="shared" si="4"/>
        <v>10056334.989941405</v>
      </c>
      <c r="F19" s="4">
        <f t="shared" si="5"/>
        <v>4299470.9599414049</v>
      </c>
      <c r="G19" s="16">
        <f t="shared" si="6"/>
        <v>0.74684254092786084</v>
      </c>
    </row>
    <row r="20" spans="1:14">
      <c r="A20" s="9">
        <f t="shared" si="3"/>
        <v>15</v>
      </c>
      <c r="B20" s="17" t="s">
        <v>7</v>
      </c>
      <c r="C20" s="4">
        <f>SUM(C15:C19)</f>
        <v>68269431.519999996</v>
      </c>
      <c r="D20" s="5">
        <f>'[5]Total Co'!$E$117</f>
        <v>1</v>
      </c>
      <c r="E20" s="4">
        <f t="shared" si="4"/>
        <v>93545761.169165805</v>
      </c>
      <c r="F20" s="4">
        <f t="shared" si="5"/>
        <v>25276329.649165809</v>
      </c>
      <c r="G20" s="18">
        <f t="shared" si="6"/>
        <v>0.37024373993448206</v>
      </c>
      <c r="I20" s="2"/>
    </row>
    <row r="21" spans="1:14">
      <c r="C21" s="2"/>
      <c r="E21" s="10"/>
      <c r="F21" s="8"/>
      <c r="I21" s="2"/>
    </row>
    <row r="22" spans="1:14">
      <c r="C22" s="2"/>
      <c r="E22" s="2"/>
      <c r="F22" s="3"/>
      <c r="I22" s="2"/>
    </row>
    <row r="23" spans="1:14">
      <c r="C23" s="2"/>
      <c r="F23" s="3"/>
      <c r="I23" s="2"/>
    </row>
    <row r="24" spans="1:14">
      <c r="B24" s="1" t="s">
        <v>44</v>
      </c>
      <c r="I24" s="2"/>
    </row>
    <row r="25" spans="1:14">
      <c r="B25" s="1" t="s">
        <v>30</v>
      </c>
      <c r="I25" s="2"/>
    </row>
    <row r="26" spans="1:14">
      <c r="B26" s="1" t="s">
        <v>31</v>
      </c>
      <c r="I26" s="2"/>
    </row>
    <row r="27" spans="1:14">
      <c r="B27" s="1" t="s">
        <v>25</v>
      </c>
      <c r="I27" s="2"/>
    </row>
    <row r="28" spans="1:14">
      <c r="B28" s="6" t="s">
        <v>34</v>
      </c>
    </row>
    <row r="29" spans="1:14">
      <c r="B29" s="1" t="s">
        <v>40</v>
      </c>
      <c r="C29" s="2"/>
      <c r="D29" s="2"/>
    </row>
    <row r="30" spans="1:14">
      <c r="B30" s="1" t="s">
        <v>37</v>
      </c>
      <c r="C30" s="2"/>
      <c r="D30" s="2"/>
    </row>
    <row r="31" spans="1:14">
      <c r="C31" s="2"/>
    </row>
    <row r="32" spans="1:14">
      <c r="H32" s="3"/>
      <c r="I32" s="3"/>
      <c r="J32" s="2"/>
      <c r="K32" s="2"/>
      <c r="L32" s="2"/>
      <c r="M32" s="2"/>
    </row>
    <row r="33" spans="8:9">
      <c r="H33" s="3"/>
      <c r="I33" s="3"/>
    </row>
    <row r="34" spans="8:9">
      <c r="H34" s="3"/>
      <c r="I34" s="3"/>
    </row>
    <row r="35" spans="8:9">
      <c r="H35" s="3"/>
      <c r="I35" s="3"/>
    </row>
  </sheetData>
  <mergeCells count="4">
    <mergeCell ref="A1:O1"/>
    <mergeCell ref="B3:G3"/>
    <mergeCell ref="I3:O3"/>
    <mergeCell ref="B13:G13"/>
  </mergeCells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KIUC Dem-Com Weighting</vt:lpstr>
      <vt:lpstr>Col. Dem-Com</vt:lpstr>
      <vt:lpstr>KIUC Average w. Dem-Com wght </vt:lpstr>
      <vt:lpstr>Col. Average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Coutney Higgins</dc:creator>
  <cp:lastModifiedBy>Coutney Higgins</cp:lastModifiedBy>
  <cp:lastPrinted>2016-08-31T19:20:50Z</cp:lastPrinted>
  <dcterms:created xsi:type="dcterms:W3CDTF">2016-08-30T21:22:19Z</dcterms:created>
  <dcterms:modified xsi:type="dcterms:W3CDTF">2016-09-22T15:26:57Z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{BCB445A1-0BCC-4607-8FC0-E1870C04C18B}</vt:lpwstr>
  </property>
</Properties>
</file>