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pivotTables/pivotTable1.xml" ContentType="application/vnd.openxmlformats-officedocument.spreadsheetml.pivotTable+xml"/>
  <Override PartName="/xl/drawings/drawing1.xml" ContentType="application/vnd.openxmlformats-officedocument.drawing+xml"/>
  <Override PartName="/xl/pivotTables/pivotTable2.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126842\AppData\Local\Temp\notesC9812B\"/>
    </mc:Choice>
  </mc:AlternateContent>
  <bookViews>
    <workbookView xWindow="0" yWindow="0" windowWidth="19200" windowHeight="7248" tabRatio="789"/>
  </bookViews>
  <sheets>
    <sheet name="Differences 2nd 2011" sheetId="2" r:id="rId1"/>
    <sheet name="Pivot 2nd 2011" sheetId="3" r:id="rId2"/>
    <sheet name="Differences 1st 2012" sheetId="4" r:id="rId3"/>
    <sheet name="Pivot 1st 2012" sheetId="5" r:id="rId4"/>
    <sheet name="Differences 2nd 2012" sheetId="6" r:id="rId5"/>
    <sheet name="Pivot 2nd 2012" sheetId="7" r:id="rId6"/>
    <sheet name="Differences 1st 2013 TA" sheetId="8" r:id="rId7"/>
    <sheet name="TA - Differences 1st 2013" sheetId="10" r:id="rId8"/>
    <sheet name="Pivot 1st 2013 TA" sheetId="9" r:id="rId9"/>
    <sheet name="TI - Differences 1st 2013" sheetId="11" r:id="rId10"/>
    <sheet name="TI - Pivot 1st 2013" sheetId="20" r:id="rId11"/>
    <sheet name="TL - Differences 1st 2013" sheetId="15" r:id="rId12"/>
    <sheet name="TL - Pivot 1st 2013" sheetId="21" r:id="rId13"/>
    <sheet name="TA Differences 2nd 2013" sheetId="12" r:id="rId14"/>
    <sheet name="TA Pivot 2nd 2013" sheetId="13" r:id="rId15"/>
    <sheet name="TI - Differences 2nd 2013" sheetId="14" r:id="rId16"/>
    <sheet name="TI - Pivot 2nd 2013" sheetId="18" r:id="rId17"/>
    <sheet name="TL - Differences 2nd 2013" sheetId="17" r:id="rId18"/>
    <sheet name="TL - Pivot 2nd 2013" sheetId="19" r:id="rId19"/>
    <sheet name="TA - Differences 1st 2014" sheetId="22" r:id="rId20"/>
    <sheet name="TA - Pivot 1st 2014" sheetId="23" r:id="rId21"/>
    <sheet name="TI - Differences 1st 2014" sheetId="24" r:id="rId22"/>
    <sheet name="TI - Pivot 1st 2014" sheetId="25" r:id="rId23"/>
    <sheet name="TL - Differences 1st 2014" sheetId="26" r:id="rId24"/>
    <sheet name="TL - Pivot 1st 2014" sheetId="27" r:id="rId25"/>
    <sheet name="TA - Differences 2nd 2014" sheetId="28" r:id="rId26"/>
    <sheet name="TA - Pivot 2nd 2014" sheetId="29" r:id="rId27"/>
    <sheet name="TI - Differences 2nd 2014" sheetId="30" r:id="rId28"/>
    <sheet name="TI - Pivot 2nd 2014" sheetId="31" r:id="rId29"/>
    <sheet name="TL - Differences 2nd 2014" sheetId="32" r:id="rId30"/>
    <sheet name="TL - Pivot 2nd 2014" sheetId="33" r:id="rId31"/>
    <sheet name="TA - Differences 1st 2015" sheetId="34" r:id="rId32"/>
    <sheet name="TA - Pivot 1st 2015" sheetId="35" r:id="rId33"/>
    <sheet name="TI - Differences 1st 2015" sheetId="36" r:id="rId34"/>
    <sheet name="TI - Pivot 1st 2015" sheetId="37" r:id="rId35"/>
    <sheet name="TL - Differences 1st 2015" sheetId="38" r:id="rId36"/>
    <sheet name="TL - Pivot 1st 2015" sheetId="39" r:id="rId37"/>
    <sheet name="TA - Differences Post-Sep" sheetId="52" r:id="rId38"/>
    <sheet name="TA - Pivot Post-Sep" sheetId="53" r:id="rId39"/>
    <sheet name="TI - Difference Post-Sep" sheetId="54" r:id="rId40"/>
    <sheet name="TI - Pivot Post-Sep" sheetId="55" r:id="rId41"/>
    <sheet name="TL - Differences Post-Sep" sheetId="56" r:id="rId42"/>
    <sheet name="TL - Pivot Post-Sep" sheetId="57" r:id="rId43"/>
    <sheet name="TA - Differences 2nd 2015" sheetId="40" r:id="rId44"/>
    <sheet name="TA - Pivot 2nd 2015" sheetId="41" r:id="rId45"/>
    <sheet name="TI - Differences 2nd 2015" sheetId="42" r:id="rId46"/>
    <sheet name="TI - Pivot 2nd 2015" sheetId="43" r:id="rId47"/>
    <sheet name="TL - Differences 2nd 2015" sheetId="44" r:id="rId48"/>
    <sheet name="TL - Pivot 2nd 2015" sheetId="45" r:id="rId49"/>
    <sheet name="TA - Differences 1st 2016" sheetId="46" r:id="rId50"/>
    <sheet name="TA - Pivot 1st 2016" sheetId="47" r:id="rId51"/>
    <sheet name="TI - Differences 1st 2016" sheetId="48" r:id="rId52"/>
    <sheet name="TI - Pivot 1st 2016" sheetId="49" r:id="rId53"/>
    <sheet name="TL - Differences 1st 2016" sheetId="50" r:id="rId54"/>
    <sheet name="TL - Pivot 1st 2016" sheetId="51" r:id="rId55"/>
    <sheet name="TA - Differences 2nd 2016" sheetId="58" r:id="rId56"/>
    <sheet name="TA - Pivot 2nd 2016" sheetId="59" r:id="rId57"/>
    <sheet name="TI - Differences 2nd 2016" sheetId="60" r:id="rId58"/>
    <sheet name="TI - Pivot 2nd 2016" sheetId="61" r:id="rId59"/>
    <sheet name="TL - Differences 2nd 2016" sheetId="62" r:id="rId60"/>
    <sheet name="TL - Pivot 2nd 2016" sheetId="63" r:id="rId61"/>
  </sheets>
  <externalReferences>
    <externalReference r:id="rId62"/>
    <externalReference r:id="rId63"/>
    <externalReference r:id="rId64"/>
    <externalReference r:id="rId65"/>
  </externalReferences>
  <definedNames>
    <definedName name="_xlnm.Print_Area" localSheetId="13">'TA Differences 2nd 2013'!$A$1:$K$32</definedName>
  </definedNames>
  <calcPr calcId="152511"/>
  <pivotCaches>
    <pivotCache cacheId="34" r:id="rId66"/>
    <pivotCache cacheId="35" r:id="rId67"/>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5" i="63" l="1"/>
  <c r="L15" i="63" s="1"/>
  <c r="J14" i="63"/>
  <c r="L14" i="63" s="1"/>
  <c r="J13" i="63"/>
  <c r="L13" i="63" s="1"/>
  <c r="J12" i="63"/>
  <c r="L12" i="63" s="1"/>
  <c r="J11" i="63"/>
  <c r="L11" i="63" s="1"/>
  <c r="J10" i="63"/>
  <c r="L10" i="63" s="1"/>
  <c r="J9" i="63"/>
  <c r="L9" i="63" s="1"/>
  <c r="H9" i="63"/>
  <c r="J8" i="63"/>
  <c r="L8" i="63" s="1"/>
  <c r="J7" i="63"/>
  <c r="L7" i="63" s="1"/>
  <c r="J6" i="63"/>
  <c r="L6" i="63" s="1"/>
  <c r="L5" i="63"/>
  <c r="J5" i="63"/>
  <c r="J16" i="63" s="1"/>
  <c r="G16" i="62"/>
  <c r="C16" i="62"/>
  <c r="I15" i="62"/>
  <c r="I14" i="62"/>
  <c r="I13" i="62"/>
  <c r="I12" i="62"/>
  <c r="I11" i="62"/>
  <c r="I10" i="62"/>
  <c r="I9" i="62"/>
  <c r="I8" i="62"/>
  <c r="I7" i="62"/>
  <c r="I6" i="62"/>
  <c r="I5" i="62"/>
  <c r="I16" i="62" l="1"/>
  <c r="L16" i="63"/>
  <c r="F16" i="61" l="1"/>
  <c r="C16" i="61"/>
  <c r="K15" i="61"/>
  <c r="K14" i="61"/>
  <c r="K13" i="61"/>
  <c r="K12" i="61"/>
  <c r="I11" i="61"/>
  <c r="K11" i="61" s="1"/>
  <c r="M11" i="61" s="1"/>
  <c r="F11" i="61"/>
  <c r="C11" i="61"/>
  <c r="K10" i="61"/>
  <c r="K9" i="61"/>
  <c r="K8" i="61"/>
  <c r="K7" i="61"/>
  <c r="K6" i="61"/>
  <c r="K5" i="61"/>
  <c r="K16" i="61" s="1"/>
  <c r="G16" i="60"/>
  <c r="C16" i="60"/>
  <c r="J15" i="60"/>
  <c r="J14" i="60"/>
  <c r="J13" i="60"/>
  <c r="J12" i="60"/>
  <c r="J11" i="60"/>
  <c r="J10" i="60"/>
  <c r="J9" i="60"/>
  <c r="J8" i="60"/>
  <c r="J7" i="60"/>
  <c r="J6" i="60"/>
  <c r="J5" i="60"/>
  <c r="J4" i="60"/>
  <c r="J16" i="60" s="1"/>
  <c r="M6" i="61" l="1"/>
  <c r="M12" i="61"/>
  <c r="M7" i="61"/>
  <c r="M8" i="61"/>
  <c r="M9" i="61"/>
  <c r="M15" i="61"/>
  <c r="M10" i="61"/>
  <c r="M13" i="61"/>
  <c r="M14" i="61"/>
  <c r="M5" i="61"/>
  <c r="I16" i="61"/>
  <c r="M16" i="61" l="1"/>
  <c r="E32" i="59" l="1"/>
  <c r="F32" i="59" s="1"/>
  <c r="E31" i="59"/>
  <c r="F31" i="59" s="1"/>
  <c r="E30" i="59"/>
  <c r="F30" i="59" s="1"/>
  <c r="F29" i="59"/>
  <c r="E29" i="59"/>
  <c r="E28" i="59"/>
  <c r="F28" i="59" s="1"/>
  <c r="E27" i="59"/>
  <c r="F27" i="59" s="1"/>
  <c r="E26" i="59"/>
  <c r="F26" i="59" s="1"/>
  <c r="F25" i="59"/>
  <c r="E25" i="59"/>
  <c r="E24" i="59"/>
  <c r="F24" i="59" s="1"/>
  <c r="E23" i="59"/>
  <c r="F23" i="59" s="1"/>
  <c r="E22" i="59"/>
  <c r="F22" i="59" s="1"/>
  <c r="F21" i="59"/>
  <c r="E21" i="59"/>
  <c r="E20" i="59"/>
  <c r="E33" i="59" s="1"/>
  <c r="H10" i="59"/>
  <c r="E10" i="59"/>
  <c r="B10" i="59"/>
  <c r="G19" i="58"/>
  <c r="C19" i="58"/>
  <c r="I18" i="58"/>
  <c r="I17" i="58"/>
  <c r="I16" i="58"/>
  <c r="I15" i="58"/>
  <c r="I14" i="58"/>
  <c r="I13" i="58"/>
  <c r="I12" i="58"/>
  <c r="I11" i="58"/>
  <c r="I10" i="58"/>
  <c r="I9" i="58"/>
  <c r="I8" i="58"/>
  <c r="I7" i="58"/>
  <c r="I6" i="58"/>
  <c r="I5" i="58"/>
  <c r="I4" i="58"/>
  <c r="F20" i="59" l="1"/>
  <c r="F33" i="59" s="1"/>
  <c r="I19" i="58"/>
  <c r="I19" i="14" l="1"/>
  <c r="F32" i="14" l="1"/>
  <c r="B22" i="40"/>
  <c r="J21" i="57"/>
  <c r="J20" i="57"/>
  <c r="J19" i="57"/>
  <c r="J18" i="57"/>
  <c r="J17" i="57"/>
  <c r="J16" i="57"/>
  <c r="J15" i="57"/>
  <c r="J14" i="57"/>
  <c r="J13" i="57"/>
  <c r="J12" i="57"/>
  <c r="J11" i="57"/>
  <c r="J10" i="57"/>
  <c r="J9" i="57"/>
  <c r="J8" i="57"/>
  <c r="J7" i="57"/>
  <c r="J6" i="57"/>
  <c r="F23" i="56"/>
  <c r="B23" i="56"/>
  <c r="H22" i="56"/>
  <c r="H21" i="56"/>
  <c r="H20" i="56"/>
  <c r="H19" i="56"/>
  <c r="H18" i="56"/>
  <c r="H17" i="56"/>
  <c r="H16" i="56"/>
  <c r="H15" i="56"/>
  <c r="H14" i="56"/>
  <c r="H13" i="56"/>
  <c r="H12" i="56"/>
  <c r="H11" i="56"/>
  <c r="H10" i="56"/>
  <c r="H9" i="56"/>
  <c r="H8" i="56"/>
  <c r="H7" i="56"/>
  <c r="H6" i="56"/>
  <c r="J21" i="55"/>
  <c r="J20" i="55"/>
  <c r="J19" i="55"/>
  <c r="J18" i="55"/>
  <c r="J17" i="55"/>
  <c r="J16" i="55"/>
  <c r="J15" i="55"/>
  <c r="J14" i="55"/>
  <c r="J13" i="55"/>
  <c r="J12" i="55"/>
  <c r="J11" i="55"/>
  <c r="J10" i="55"/>
  <c r="J9" i="55"/>
  <c r="J8" i="55"/>
  <c r="J7" i="55"/>
  <c r="J6" i="55"/>
  <c r="F23" i="54"/>
  <c r="B23" i="54"/>
  <c r="H22" i="54"/>
  <c r="H21" i="54"/>
  <c r="H20" i="54"/>
  <c r="H19" i="54"/>
  <c r="H18" i="54"/>
  <c r="H17" i="54"/>
  <c r="H16" i="54"/>
  <c r="H15" i="54"/>
  <c r="H14" i="54"/>
  <c r="H13" i="54"/>
  <c r="H12" i="54"/>
  <c r="H11" i="54"/>
  <c r="H10" i="54"/>
  <c r="H9" i="54"/>
  <c r="H8" i="54"/>
  <c r="H7" i="54"/>
  <c r="H6" i="54"/>
  <c r="J22" i="57" l="1"/>
  <c r="J22" i="55"/>
  <c r="H23" i="56"/>
  <c r="E23" i="56"/>
  <c r="H23" i="54"/>
  <c r="E23" i="54"/>
  <c r="J22" i="53" l="1"/>
  <c r="J21" i="53"/>
  <c r="J20" i="53"/>
  <c r="J19" i="53"/>
  <c r="J18" i="53"/>
  <c r="J17" i="53"/>
  <c r="J16" i="53"/>
  <c r="J15" i="53"/>
  <c r="J14" i="53"/>
  <c r="J13" i="53"/>
  <c r="J12" i="53"/>
  <c r="J11" i="53"/>
  <c r="J10" i="53"/>
  <c r="J9" i="53"/>
  <c r="J8" i="53"/>
  <c r="J7" i="53"/>
  <c r="J23" i="53" s="1"/>
  <c r="G22" i="52"/>
  <c r="F22" i="52"/>
  <c r="B22" i="52"/>
  <c r="J5" i="52"/>
  <c r="H11" i="47" l="1"/>
  <c r="H12" i="47"/>
  <c r="H13" i="47"/>
  <c r="H14" i="47"/>
  <c r="H15" i="47"/>
  <c r="H16" i="47"/>
  <c r="H18" i="47"/>
  <c r="H19" i="47"/>
  <c r="H20" i="47"/>
  <c r="H21" i="47"/>
  <c r="H22" i="47"/>
  <c r="H23" i="47"/>
  <c r="H24" i="47"/>
  <c r="H10" i="47"/>
  <c r="E17" i="47"/>
  <c r="H17" i="47" s="1"/>
  <c r="E25" i="47"/>
  <c r="G22" i="46"/>
  <c r="G6" i="46"/>
  <c r="G7" i="46"/>
  <c r="G8" i="46"/>
  <c r="G9" i="46"/>
  <c r="J9" i="46" s="1"/>
  <c r="G10" i="46"/>
  <c r="G11" i="46"/>
  <c r="G12" i="46"/>
  <c r="J12" i="46" s="1"/>
  <c r="G13" i="46"/>
  <c r="J13" i="46" s="1"/>
  <c r="G14" i="46"/>
  <c r="G15" i="46"/>
  <c r="G16" i="46"/>
  <c r="J16" i="46" s="1"/>
  <c r="G17" i="46"/>
  <c r="J17" i="46" s="1"/>
  <c r="G18" i="46"/>
  <c r="G19" i="46"/>
  <c r="G20" i="46"/>
  <c r="J20" i="46" s="1"/>
  <c r="G21" i="46"/>
  <c r="J21" i="46" s="1"/>
  <c r="G5" i="46"/>
  <c r="J5" i="46" s="1"/>
  <c r="F22" i="46"/>
  <c r="C22" i="46"/>
  <c r="B22" i="46"/>
  <c r="J19" i="46"/>
  <c r="J18" i="46"/>
  <c r="J15" i="46"/>
  <c r="J14" i="46"/>
  <c r="J11" i="46"/>
  <c r="J10" i="46"/>
  <c r="J8" i="46"/>
  <c r="J7" i="46"/>
  <c r="J6" i="46"/>
  <c r="D20" i="51"/>
  <c r="C20" i="51"/>
  <c r="B20" i="51"/>
  <c r="F20" i="51" s="1"/>
  <c r="F19" i="51"/>
  <c r="G19" i="51" s="1"/>
  <c r="F18" i="51"/>
  <c r="G18" i="51" s="1"/>
  <c r="F17" i="51"/>
  <c r="F16" i="51"/>
  <c r="F15" i="51"/>
  <c r="F14" i="51"/>
  <c r="F13" i="51"/>
  <c r="F12" i="51"/>
  <c r="F11" i="51"/>
  <c r="G11" i="51" s="1"/>
  <c r="F10" i="51"/>
  <c r="G10" i="51" s="1"/>
  <c r="F9" i="51"/>
  <c r="F8" i="51"/>
  <c r="F7" i="51"/>
  <c r="F6" i="51"/>
  <c r="F5" i="51"/>
  <c r="F4" i="51"/>
  <c r="F3" i="51"/>
  <c r="G3" i="51" s="1"/>
  <c r="F23" i="50"/>
  <c r="B23" i="50"/>
  <c r="C23" i="50"/>
  <c r="I22" i="50"/>
  <c r="I21" i="50"/>
  <c r="I20" i="50"/>
  <c r="I19" i="50"/>
  <c r="I18" i="50"/>
  <c r="I17" i="50"/>
  <c r="I16" i="50"/>
  <c r="I15" i="50"/>
  <c r="I12" i="50"/>
  <c r="I11" i="50"/>
  <c r="I10" i="50"/>
  <c r="I9" i="50"/>
  <c r="I8" i="50"/>
  <c r="I7" i="50"/>
  <c r="I6" i="50"/>
  <c r="H25" i="47" l="1"/>
  <c r="G5" i="51"/>
  <c r="G13" i="51"/>
  <c r="G6" i="51"/>
  <c r="G7" i="51"/>
  <c r="G15" i="51"/>
  <c r="G8" i="51"/>
  <c r="G16" i="51"/>
  <c r="G22" i="51" s="1"/>
  <c r="G9" i="51"/>
  <c r="G17" i="51"/>
  <c r="G4" i="51"/>
  <c r="G20" i="51" s="1"/>
  <c r="G12" i="51"/>
  <c r="G14" i="51"/>
  <c r="I23" i="50"/>
  <c r="F20" i="49" l="1"/>
  <c r="D20" i="49"/>
  <c r="C20" i="49"/>
  <c r="B20" i="49"/>
  <c r="F19" i="49"/>
  <c r="H19" i="49" s="1"/>
  <c r="F18" i="49"/>
  <c r="H18" i="49" s="1"/>
  <c r="H17" i="49"/>
  <c r="F17" i="49"/>
  <c r="F16" i="49"/>
  <c r="H16" i="49" s="1"/>
  <c r="F15" i="49"/>
  <c r="H15" i="49" s="1"/>
  <c r="F14" i="49"/>
  <c r="H14" i="49" s="1"/>
  <c r="H13" i="49"/>
  <c r="F13" i="49"/>
  <c r="F12" i="49"/>
  <c r="H12" i="49" s="1"/>
  <c r="F11" i="49"/>
  <c r="H11" i="49" s="1"/>
  <c r="F10" i="49"/>
  <c r="H10" i="49" s="1"/>
  <c r="H22" i="49" s="1"/>
  <c r="H9" i="49"/>
  <c r="F9" i="49"/>
  <c r="F8" i="49"/>
  <c r="H8" i="49" s="1"/>
  <c r="F7" i="49"/>
  <c r="H7" i="49" s="1"/>
  <c r="F6" i="49"/>
  <c r="H6" i="49" s="1"/>
  <c r="H5" i="49"/>
  <c r="F5" i="49"/>
  <c r="F4" i="49"/>
  <c r="H4" i="49" s="1"/>
  <c r="F3" i="49"/>
  <c r="H3" i="49" s="1"/>
  <c r="F14" i="48"/>
  <c r="F23" i="48" s="1"/>
  <c r="B23" i="48"/>
  <c r="C23" i="48"/>
  <c r="I22" i="48"/>
  <c r="I21" i="48"/>
  <c r="I20" i="48"/>
  <c r="I19" i="48"/>
  <c r="I18" i="48"/>
  <c r="I17" i="48"/>
  <c r="I16" i="48"/>
  <c r="I15" i="48"/>
  <c r="I14" i="48"/>
  <c r="I13" i="48"/>
  <c r="I12" i="48"/>
  <c r="I11" i="48"/>
  <c r="I10" i="48"/>
  <c r="I9" i="48"/>
  <c r="I8" i="48"/>
  <c r="I7" i="48"/>
  <c r="I6" i="48"/>
  <c r="H20" i="49" l="1"/>
  <c r="I23" i="48"/>
  <c r="N21" i="45" l="1"/>
  <c r="N20" i="45"/>
  <c r="P20" i="45" s="1"/>
  <c r="N19" i="45"/>
  <c r="N18" i="45"/>
  <c r="N17" i="45"/>
  <c r="N16" i="45"/>
  <c r="P16" i="45" s="1"/>
  <c r="N15" i="45"/>
  <c r="N14" i="45"/>
  <c r="N13" i="45"/>
  <c r="N12" i="45"/>
  <c r="P12" i="45" s="1"/>
  <c r="N11" i="45"/>
  <c r="N10" i="45"/>
  <c r="N9" i="45"/>
  <c r="P9" i="45" s="1"/>
  <c r="N8" i="45"/>
  <c r="N7" i="45"/>
  <c r="N6" i="45"/>
  <c r="E23" i="44"/>
  <c r="H22" i="44"/>
  <c r="H21" i="44"/>
  <c r="H20" i="44"/>
  <c r="H19" i="44"/>
  <c r="H18" i="44"/>
  <c r="H17" i="44"/>
  <c r="H16" i="44"/>
  <c r="H15" i="44"/>
  <c r="H14" i="44"/>
  <c r="H13" i="44"/>
  <c r="H12" i="44"/>
  <c r="H11" i="44"/>
  <c r="H10" i="44"/>
  <c r="H9" i="44"/>
  <c r="H8" i="44"/>
  <c r="H7" i="44"/>
  <c r="H6" i="44"/>
  <c r="N21" i="43"/>
  <c r="I21" i="43"/>
  <c r="N20" i="43"/>
  <c r="I20" i="43"/>
  <c r="N19" i="43"/>
  <c r="I19" i="43"/>
  <c r="N18" i="43"/>
  <c r="I18" i="43"/>
  <c r="N17" i="43"/>
  <c r="I17" i="43"/>
  <c r="N16" i="43"/>
  <c r="I16" i="43"/>
  <c r="N15" i="43"/>
  <c r="I15" i="43"/>
  <c r="N14" i="43"/>
  <c r="I14" i="43"/>
  <c r="N13" i="43"/>
  <c r="I13" i="43"/>
  <c r="N12" i="43"/>
  <c r="P12" i="43" s="1"/>
  <c r="I12" i="43"/>
  <c r="N11" i="43"/>
  <c r="I11" i="43"/>
  <c r="N10" i="43"/>
  <c r="I10" i="43"/>
  <c r="N9" i="43"/>
  <c r="I9" i="43"/>
  <c r="N8" i="43"/>
  <c r="I8" i="43"/>
  <c r="N7" i="43"/>
  <c r="I7" i="43"/>
  <c r="N6" i="43"/>
  <c r="I6" i="43"/>
  <c r="E23" i="42"/>
  <c r="P11" i="45" l="1"/>
  <c r="P17" i="45"/>
  <c r="P18" i="45"/>
  <c r="P6" i="45"/>
  <c r="P22" i="45" s="1"/>
  <c r="P19" i="45"/>
  <c r="P10" i="45"/>
  <c r="P7" i="45"/>
  <c r="P13" i="45"/>
  <c r="P14" i="45"/>
  <c r="P8" i="45"/>
  <c r="P15" i="45"/>
  <c r="P21" i="45"/>
  <c r="P9" i="43"/>
  <c r="P13" i="43"/>
  <c r="P17" i="43"/>
  <c r="P21" i="43"/>
  <c r="P8" i="43"/>
  <c r="P10" i="43"/>
  <c r="P14" i="43"/>
  <c r="P18" i="43"/>
  <c r="P7" i="43"/>
  <c r="P15" i="43"/>
  <c r="P16" i="43"/>
  <c r="P20" i="43"/>
  <c r="H23" i="44"/>
  <c r="P11" i="43"/>
  <c r="P19" i="43"/>
  <c r="P6" i="43"/>
  <c r="B23" i="42"/>
  <c r="H22" i="42"/>
  <c r="H21" i="42"/>
  <c r="H20" i="42"/>
  <c r="H19" i="42"/>
  <c r="H18" i="42"/>
  <c r="H17" i="42"/>
  <c r="H16" i="42"/>
  <c r="H15" i="42"/>
  <c r="H14" i="42"/>
  <c r="H13" i="42"/>
  <c r="H12" i="42"/>
  <c r="H11" i="42"/>
  <c r="H10" i="42"/>
  <c r="H9" i="42"/>
  <c r="H8" i="42"/>
  <c r="H7" i="42"/>
  <c r="H6" i="42"/>
  <c r="P22" i="43" l="1"/>
  <c r="H23" i="42"/>
  <c r="N22" i="41" l="1"/>
  <c r="I22" i="41"/>
  <c r="N21" i="41"/>
  <c r="I21" i="41"/>
  <c r="N20" i="41"/>
  <c r="I20" i="41"/>
  <c r="N19" i="41"/>
  <c r="I19" i="41"/>
  <c r="N18" i="41"/>
  <c r="I18" i="41"/>
  <c r="N17" i="41"/>
  <c r="I17" i="41"/>
  <c r="N16" i="41"/>
  <c r="I16" i="41"/>
  <c r="N15" i="41"/>
  <c r="I15" i="41"/>
  <c r="N14" i="41"/>
  <c r="I14" i="41"/>
  <c r="N13" i="41"/>
  <c r="I13" i="41"/>
  <c r="N12" i="41"/>
  <c r="I12" i="41"/>
  <c r="N11" i="41"/>
  <c r="I11" i="41"/>
  <c r="N10" i="41"/>
  <c r="I10" i="41"/>
  <c r="N9" i="41"/>
  <c r="I9" i="41"/>
  <c r="N8" i="41"/>
  <c r="I8" i="41"/>
  <c r="N7" i="41"/>
  <c r="P7" i="41" s="1"/>
  <c r="I7" i="41"/>
  <c r="G22" i="40"/>
  <c r="F22" i="40"/>
  <c r="J21" i="40"/>
  <c r="J20" i="40"/>
  <c r="J19" i="40"/>
  <c r="J18" i="40"/>
  <c r="J17" i="40"/>
  <c r="J16" i="40"/>
  <c r="J15" i="40"/>
  <c r="J14" i="40"/>
  <c r="J13" i="40"/>
  <c r="J12" i="40"/>
  <c r="J11" i="40"/>
  <c r="J10" i="40"/>
  <c r="J9" i="40"/>
  <c r="J8" i="40"/>
  <c r="J7" i="40"/>
  <c r="J6" i="40"/>
  <c r="J5" i="40"/>
  <c r="P11" i="41" l="1"/>
  <c r="P19" i="41"/>
  <c r="N23" i="41"/>
  <c r="P12" i="41"/>
  <c r="P16" i="41"/>
  <c r="P20" i="41"/>
  <c r="P9" i="41"/>
  <c r="P13" i="41"/>
  <c r="P17" i="41"/>
  <c r="P21" i="41"/>
  <c r="P10" i="41"/>
  <c r="P18" i="41"/>
  <c r="P15" i="41"/>
  <c r="P8" i="41"/>
  <c r="P14" i="41"/>
  <c r="P22" i="41"/>
  <c r="P23" i="41" l="1"/>
  <c r="J29" i="39"/>
  <c r="J28" i="39"/>
  <c r="J27" i="39"/>
  <c r="J26" i="39"/>
  <c r="J25" i="39"/>
  <c r="J24" i="39"/>
  <c r="J23" i="39"/>
  <c r="J22" i="39"/>
  <c r="J21" i="39"/>
  <c r="J20" i="39"/>
  <c r="J19" i="39"/>
  <c r="J18" i="39"/>
  <c r="J17" i="39"/>
  <c r="J16" i="39"/>
  <c r="J15" i="39"/>
  <c r="J14" i="39"/>
  <c r="J13" i="39"/>
  <c r="J12" i="39"/>
  <c r="J11" i="39"/>
  <c r="J10" i="39"/>
  <c r="J9" i="39"/>
  <c r="J8" i="39"/>
  <c r="J7" i="39"/>
  <c r="J6" i="39"/>
  <c r="F31" i="38"/>
  <c r="B31" i="38"/>
  <c r="G31" i="38"/>
  <c r="C31" i="38"/>
  <c r="I30" i="38"/>
  <c r="I29" i="38"/>
  <c r="I28" i="38"/>
  <c r="I27" i="38"/>
  <c r="I26" i="38"/>
  <c r="I25" i="38"/>
  <c r="I24" i="38"/>
  <c r="I23" i="38"/>
  <c r="I22" i="38"/>
  <c r="I21" i="38"/>
  <c r="I20" i="38"/>
  <c r="I19" i="38"/>
  <c r="I18" i="38"/>
  <c r="I17" i="38"/>
  <c r="I16" i="38"/>
  <c r="I15" i="38"/>
  <c r="I14" i="38"/>
  <c r="I13" i="38"/>
  <c r="I12" i="38"/>
  <c r="I11" i="38"/>
  <c r="I10" i="38"/>
  <c r="I9" i="38"/>
  <c r="I8" i="38"/>
  <c r="I7" i="38"/>
  <c r="I6" i="38"/>
  <c r="J29" i="37"/>
  <c r="J28" i="37"/>
  <c r="J27" i="37"/>
  <c r="J26" i="37"/>
  <c r="J25" i="37"/>
  <c r="J24" i="37"/>
  <c r="J23" i="37"/>
  <c r="J22" i="37"/>
  <c r="J21" i="37"/>
  <c r="J20" i="37"/>
  <c r="J19" i="37"/>
  <c r="J18" i="37"/>
  <c r="J17" i="37"/>
  <c r="J16" i="37"/>
  <c r="J15" i="37"/>
  <c r="J14" i="37"/>
  <c r="J13" i="37"/>
  <c r="J12" i="37"/>
  <c r="J11" i="37"/>
  <c r="J10" i="37"/>
  <c r="J9" i="37"/>
  <c r="J8" i="37"/>
  <c r="J7" i="37"/>
  <c r="J6" i="37"/>
  <c r="B31" i="36"/>
  <c r="G31" i="36"/>
  <c r="C31" i="36"/>
  <c r="I30" i="36"/>
  <c r="I29" i="36"/>
  <c r="I28" i="36"/>
  <c r="I27" i="36"/>
  <c r="I26" i="36"/>
  <c r="I25" i="36"/>
  <c r="I24" i="36"/>
  <c r="I23" i="36"/>
  <c r="I22" i="36"/>
  <c r="I21" i="36"/>
  <c r="I20" i="36"/>
  <c r="I19" i="36"/>
  <c r="I18" i="36"/>
  <c r="I17" i="36"/>
  <c r="I16" i="36"/>
  <c r="I15" i="36"/>
  <c r="I14" i="36"/>
  <c r="I13" i="36"/>
  <c r="I12" i="36"/>
  <c r="I11" i="36"/>
  <c r="I10" i="36"/>
  <c r="I9" i="36"/>
  <c r="I8" i="36"/>
  <c r="I7" i="36"/>
  <c r="I6" i="36"/>
  <c r="J30" i="39" l="1"/>
  <c r="J30" i="37"/>
  <c r="I31" i="38"/>
  <c r="F31" i="36"/>
  <c r="I31" i="36"/>
  <c r="J30" i="35" l="1"/>
  <c r="J29" i="35"/>
  <c r="J28" i="35"/>
  <c r="J27" i="35"/>
  <c r="J26" i="35"/>
  <c r="J25" i="35"/>
  <c r="J24" i="35"/>
  <c r="J23" i="35"/>
  <c r="J22" i="35"/>
  <c r="J21" i="35"/>
  <c r="J20" i="35"/>
  <c r="J19" i="35"/>
  <c r="J18" i="35"/>
  <c r="J17" i="35"/>
  <c r="J16" i="35"/>
  <c r="J15" i="35"/>
  <c r="J14" i="35"/>
  <c r="J13" i="35"/>
  <c r="J12" i="35"/>
  <c r="J11" i="35"/>
  <c r="J10" i="35"/>
  <c r="J9" i="35"/>
  <c r="J8" i="35"/>
  <c r="J7" i="35"/>
  <c r="G30" i="34"/>
  <c r="F30" i="34"/>
  <c r="B30" i="34"/>
  <c r="J6" i="34"/>
  <c r="J5" i="34"/>
  <c r="J31" i="35" l="1"/>
  <c r="G32" i="32"/>
  <c r="C32" i="32"/>
  <c r="I31" i="32"/>
  <c r="I30" i="32"/>
  <c r="I29" i="32"/>
  <c r="I28" i="32"/>
  <c r="I27" i="32"/>
  <c r="I26" i="32"/>
  <c r="I25" i="32"/>
  <c r="I24" i="32"/>
  <c r="I23" i="32"/>
  <c r="I22" i="32"/>
  <c r="I21" i="32"/>
  <c r="I20" i="32"/>
  <c r="I19" i="32"/>
  <c r="I18" i="32"/>
  <c r="I17" i="32"/>
  <c r="I16" i="32"/>
  <c r="I15" i="32"/>
  <c r="I14" i="32"/>
  <c r="I13" i="32"/>
  <c r="I12" i="32"/>
  <c r="I11" i="32"/>
  <c r="I10" i="32"/>
  <c r="I9" i="32"/>
  <c r="I8" i="32"/>
  <c r="I7" i="32"/>
  <c r="I6" i="32"/>
  <c r="F32" i="30"/>
  <c r="G32" i="30"/>
  <c r="I31" i="30"/>
  <c r="I30" i="30"/>
  <c r="I29" i="30"/>
  <c r="I28" i="30"/>
  <c r="I27" i="30"/>
  <c r="I26" i="30"/>
  <c r="I25" i="30"/>
  <c r="I24" i="30"/>
  <c r="I23" i="30"/>
  <c r="I22" i="30"/>
  <c r="I21" i="30"/>
  <c r="I20" i="30"/>
  <c r="I19" i="30"/>
  <c r="I18" i="30"/>
  <c r="I17" i="30"/>
  <c r="I16" i="30"/>
  <c r="I15" i="30"/>
  <c r="I14" i="30"/>
  <c r="I13" i="30"/>
  <c r="I12" i="30"/>
  <c r="I11" i="30"/>
  <c r="I10" i="30"/>
  <c r="I9" i="30"/>
  <c r="I8" i="30"/>
  <c r="I7" i="30"/>
  <c r="I6" i="30"/>
  <c r="F32" i="32" l="1"/>
  <c r="I32" i="30"/>
  <c r="J29" i="29" l="1"/>
  <c r="J28" i="29"/>
  <c r="J27" i="29"/>
  <c r="J26" i="29"/>
  <c r="J25" i="29"/>
  <c r="J24" i="29"/>
  <c r="J23" i="29"/>
  <c r="J22" i="29"/>
  <c r="J21" i="29"/>
  <c r="J20" i="29"/>
  <c r="J19" i="29"/>
  <c r="J18" i="29"/>
  <c r="J17" i="29"/>
  <c r="J16" i="29"/>
  <c r="J15" i="29"/>
  <c r="J14" i="29"/>
  <c r="J13" i="29"/>
  <c r="J12" i="29"/>
  <c r="J11" i="29"/>
  <c r="J10" i="29"/>
  <c r="J9" i="29"/>
  <c r="J8" i="29"/>
  <c r="J7" i="29"/>
  <c r="J6" i="29"/>
  <c r="G31" i="28"/>
  <c r="F31" i="28"/>
  <c r="J30" i="28"/>
  <c r="J29" i="28"/>
  <c r="J28" i="28"/>
  <c r="J27" i="28"/>
  <c r="J26" i="28"/>
  <c r="J25" i="28"/>
  <c r="J24" i="28"/>
  <c r="J23" i="28"/>
  <c r="J22" i="28"/>
  <c r="J21" i="28"/>
  <c r="J20" i="28"/>
  <c r="J19" i="28"/>
  <c r="J18" i="28"/>
  <c r="J17" i="28"/>
  <c r="J16" i="28"/>
  <c r="J15" i="28"/>
  <c r="J14" i="28"/>
  <c r="J13" i="28"/>
  <c r="J12" i="28"/>
  <c r="J11" i="28"/>
  <c r="J10" i="28"/>
  <c r="J9" i="28"/>
  <c r="J31" i="28" s="1"/>
  <c r="J8" i="28"/>
  <c r="J7" i="28"/>
  <c r="J6" i="28"/>
  <c r="J5" i="28"/>
  <c r="C32" i="26" l="1"/>
  <c r="I31" i="26"/>
  <c r="I30" i="26"/>
  <c r="I29" i="26"/>
  <c r="I28" i="26"/>
  <c r="I27" i="26"/>
  <c r="I26" i="26"/>
  <c r="I25" i="26"/>
  <c r="I24" i="26"/>
  <c r="I23" i="26"/>
  <c r="I22" i="26"/>
  <c r="I21" i="26"/>
  <c r="I20" i="26"/>
  <c r="I19" i="26"/>
  <c r="I18" i="26"/>
  <c r="I17" i="26"/>
  <c r="I16" i="26"/>
  <c r="I15" i="26"/>
  <c r="I14" i="26"/>
  <c r="I13" i="26"/>
  <c r="I12" i="26"/>
  <c r="I11" i="26"/>
  <c r="I10" i="26"/>
  <c r="I9" i="26"/>
  <c r="I8" i="26"/>
  <c r="I7" i="26"/>
  <c r="I6" i="26"/>
  <c r="I32" i="26" s="1"/>
  <c r="O32" i="24"/>
  <c r="L32" i="24"/>
  <c r="G32" i="24"/>
  <c r="C32" i="24"/>
  <c r="Q31" i="24"/>
  <c r="I31" i="24"/>
  <c r="Q30" i="24"/>
  <c r="I30" i="24"/>
  <c r="Q29" i="24"/>
  <c r="I29" i="24"/>
  <c r="Q28" i="24"/>
  <c r="I28" i="24"/>
  <c r="Q27" i="24"/>
  <c r="I27" i="24"/>
  <c r="Q26" i="24"/>
  <c r="I26" i="24"/>
  <c r="Q25" i="24"/>
  <c r="I25" i="24"/>
  <c r="Q24" i="24"/>
  <c r="I24" i="24"/>
  <c r="Q23" i="24"/>
  <c r="I23" i="24"/>
  <c r="Q22" i="24"/>
  <c r="I22" i="24"/>
  <c r="Q21" i="24"/>
  <c r="I21" i="24"/>
  <c r="Q20" i="24"/>
  <c r="I20" i="24"/>
  <c r="Q19" i="24"/>
  <c r="I19" i="24"/>
  <c r="Q18" i="24"/>
  <c r="I18" i="24"/>
  <c r="Q17" i="24"/>
  <c r="I17" i="24"/>
  <c r="Q16" i="24"/>
  <c r="I16" i="24"/>
  <c r="Q15" i="24"/>
  <c r="I15" i="24"/>
  <c r="Q14" i="24"/>
  <c r="I14" i="24"/>
  <c r="Q13" i="24"/>
  <c r="I13" i="24"/>
  <c r="Q12" i="24"/>
  <c r="I12" i="24"/>
  <c r="Q11" i="24"/>
  <c r="I11" i="24"/>
  <c r="Q10" i="24"/>
  <c r="I10" i="24"/>
  <c r="Q9" i="24"/>
  <c r="I9" i="24"/>
  <c r="Q8" i="24"/>
  <c r="I8" i="24"/>
  <c r="Q7" i="24"/>
  <c r="I7" i="24"/>
  <c r="Q6" i="24"/>
  <c r="I6" i="24"/>
  <c r="F32" i="24" l="1"/>
  <c r="I32" i="24"/>
  <c r="Q32" i="24"/>
  <c r="J31" i="23" l="1"/>
  <c r="J30" i="23"/>
  <c r="J29" i="23"/>
  <c r="J28" i="23"/>
  <c r="J27" i="23"/>
  <c r="J26" i="23"/>
  <c r="J25" i="23"/>
  <c r="J24" i="23"/>
  <c r="J23" i="23"/>
  <c r="J22" i="23"/>
  <c r="J21" i="23"/>
  <c r="J20" i="23"/>
  <c r="J19" i="23"/>
  <c r="J18" i="23"/>
  <c r="J17" i="23"/>
  <c r="J16" i="23"/>
  <c r="J15" i="23"/>
  <c r="J14" i="23"/>
  <c r="J13" i="23"/>
  <c r="J12" i="23"/>
  <c r="J11" i="23"/>
  <c r="J10" i="23"/>
  <c r="J9" i="23"/>
  <c r="J8" i="23"/>
  <c r="J7" i="23"/>
  <c r="J6" i="23"/>
  <c r="G31" i="22"/>
  <c r="F31" i="22"/>
  <c r="C31" i="22"/>
  <c r="B31" i="22"/>
  <c r="J30" i="22"/>
  <c r="J29" i="22"/>
  <c r="J28" i="22"/>
  <c r="J27" i="22"/>
  <c r="J26" i="22"/>
  <c r="J25" i="22"/>
  <c r="J24" i="22"/>
  <c r="J23" i="22"/>
  <c r="J22" i="22"/>
  <c r="J21" i="22"/>
  <c r="J20" i="22"/>
  <c r="J19" i="22"/>
  <c r="J18" i="22"/>
  <c r="J17" i="22"/>
  <c r="J16" i="22"/>
  <c r="J15" i="22"/>
  <c r="J14" i="22"/>
  <c r="J13" i="22"/>
  <c r="J12" i="22"/>
  <c r="J11" i="22"/>
  <c r="J10" i="22"/>
  <c r="J9" i="22"/>
  <c r="J8" i="22"/>
  <c r="J7" i="22"/>
  <c r="J6" i="22"/>
  <c r="J5" i="22"/>
  <c r="J31" i="22" s="1"/>
  <c r="J32" i="23" l="1"/>
  <c r="C32" i="17"/>
  <c r="I31" i="17"/>
  <c r="I30" i="17"/>
  <c r="I29" i="17"/>
  <c r="I28" i="17"/>
  <c r="I27" i="17"/>
  <c r="I26" i="17"/>
  <c r="I25" i="17"/>
  <c r="I24" i="17"/>
  <c r="I23" i="17"/>
  <c r="I22" i="17"/>
  <c r="I21" i="17"/>
  <c r="I20" i="17"/>
  <c r="I19" i="17"/>
  <c r="G18" i="17"/>
  <c r="I18" i="17" s="1"/>
  <c r="I17" i="17"/>
  <c r="I16" i="17"/>
  <c r="I15" i="17"/>
  <c r="I14" i="17"/>
  <c r="I13" i="17"/>
  <c r="I12" i="17"/>
  <c r="I11" i="17"/>
  <c r="I10" i="17"/>
  <c r="I9" i="17"/>
  <c r="I8" i="17"/>
  <c r="I7" i="17"/>
  <c r="I6" i="17"/>
  <c r="B7" i="24"/>
  <c r="B8" i="24"/>
  <c r="B9" i="24"/>
  <c r="B10" i="24"/>
  <c r="B11" i="24"/>
  <c r="B12" i="24"/>
  <c r="B13" i="24"/>
  <c r="B14" i="24"/>
  <c r="B15" i="24"/>
  <c r="B16" i="24"/>
  <c r="B17" i="24"/>
  <c r="B18" i="24"/>
  <c r="B20" i="24"/>
  <c r="B21" i="24"/>
  <c r="B22" i="24"/>
  <c r="B23" i="24"/>
  <c r="B24" i="24"/>
  <c r="B25" i="24"/>
  <c r="B26" i="24"/>
  <c r="B27" i="24"/>
  <c r="B28" i="24"/>
  <c r="B29" i="24"/>
  <c r="B30" i="24"/>
  <c r="B31" i="24"/>
  <c r="B6" i="24"/>
  <c r="B7" i="14"/>
  <c r="B8" i="14"/>
  <c r="B9" i="14"/>
  <c r="B10" i="14"/>
  <c r="B11" i="14"/>
  <c r="B12" i="14"/>
  <c r="B13" i="14"/>
  <c r="B14" i="14"/>
  <c r="B15" i="14"/>
  <c r="B16" i="14"/>
  <c r="B17" i="14"/>
  <c r="B18" i="14"/>
  <c r="B19" i="14"/>
  <c r="B20" i="14"/>
  <c r="B21" i="14"/>
  <c r="B22" i="14"/>
  <c r="B23" i="14"/>
  <c r="B24" i="14"/>
  <c r="B25" i="14"/>
  <c r="B26" i="14"/>
  <c r="B27" i="14"/>
  <c r="B28" i="14"/>
  <c r="B29" i="14"/>
  <c r="B30" i="14"/>
  <c r="B31" i="14"/>
  <c r="B6" i="14"/>
  <c r="C32" i="14"/>
  <c r="I31" i="14"/>
  <c r="I30" i="14"/>
  <c r="I29" i="14"/>
  <c r="I28" i="14"/>
  <c r="I27" i="14"/>
  <c r="I26" i="14"/>
  <c r="I25" i="14"/>
  <c r="I24" i="14"/>
  <c r="I23" i="14"/>
  <c r="I22" i="14"/>
  <c r="I21" i="14"/>
  <c r="I20" i="14"/>
  <c r="G18" i="14"/>
  <c r="I18" i="14" s="1"/>
  <c r="I17" i="14"/>
  <c r="I16" i="14"/>
  <c r="I15" i="14"/>
  <c r="I14" i="14"/>
  <c r="I13" i="14"/>
  <c r="I12" i="14"/>
  <c r="I11" i="14"/>
  <c r="I10" i="14"/>
  <c r="I9" i="14"/>
  <c r="I8" i="14"/>
  <c r="I7" i="14"/>
  <c r="I6" i="14"/>
  <c r="B19" i="24" l="1"/>
  <c r="B32" i="24" s="1"/>
  <c r="F32" i="17"/>
  <c r="B32" i="17"/>
  <c r="I32" i="17"/>
  <c r="G32" i="17"/>
  <c r="B32" i="14"/>
  <c r="I32" i="14"/>
  <c r="G32" i="14"/>
  <c r="B34" i="15" l="1"/>
  <c r="H33" i="15"/>
  <c r="H32" i="15"/>
  <c r="H31" i="15"/>
  <c r="H30" i="15"/>
  <c r="H29" i="15"/>
  <c r="H28" i="15"/>
  <c r="H27" i="15"/>
  <c r="H26" i="15"/>
  <c r="H25" i="15"/>
  <c r="H24" i="15"/>
  <c r="H23" i="15"/>
  <c r="H22" i="15"/>
  <c r="H21" i="15"/>
  <c r="H20" i="15"/>
  <c r="H19" i="15"/>
  <c r="F18" i="15"/>
  <c r="H18" i="15" s="1"/>
  <c r="H17" i="15"/>
  <c r="H16" i="15"/>
  <c r="H15" i="15"/>
  <c r="H14" i="15"/>
  <c r="H13" i="15"/>
  <c r="H12" i="15"/>
  <c r="H11" i="15"/>
  <c r="H10" i="15"/>
  <c r="H9" i="15"/>
  <c r="H8" i="15"/>
  <c r="H7" i="15"/>
  <c r="H6" i="15"/>
  <c r="E34" i="15" l="1"/>
  <c r="H34" i="15"/>
  <c r="F34" i="15"/>
  <c r="E48" i="13" l="1"/>
  <c r="E47" i="13"/>
  <c r="E46" i="13"/>
  <c r="E45" i="13"/>
  <c r="E44" i="13"/>
  <c r="E43" i="13"/>
  <c r="E42" i="13"/>
  <c r="E41" i="13"/>
  <c r="E40" i="13"/>
  <c r="E39" i="13"/>
  <c r="E38" i="13"/>
  <c r="E37" i="13"/>
  <c r="E36" i="13"/>
  <c r="E35" i="13"/>
  <c r="I32" i="13"/>
  <c r="K32" i="13" s="1"/>
  <c r="I31" i="13"/>
  <c r="K31" i="13" s="1"/>
  <c r="I30" i="13"/>
  <c r="K30" i="13" s="1"/>
  <c r="I29" i="13"/>
  <c r="K29" i="13" s="1"/>
  <c r="I28" i="13"/>
  <c r="K28" i="13" s="1"/>
  <c r="I27" i="13"/>
  <c r="K27" i="13" s="1"/>
  <c r="I26" i="13"/>
  <c r="K26" i="13" s="1"/>
  <c r="I25" i="13"/>
  <c r="K25" i="13" s="1"/>
  <c r="K24" i="13"/>
  <c r="I24" i="13"/>
  <c r="I23" i="13"/>
  <c r="K23" i="13" s="1"/>
  <c r="I22" i="13"/>
  <c r="K22" i="13" s="1"/>
  <c r="I21" i="13"/>
  <c r="K21" i="13" s="1"/>
  <c r="K20" i="13"/>
  <c r="I20" i="13"/>
  <c r="I19" i="13"/>
  <c r="K19" i="13" s="1"/>
  <c r="I18" i="13"/>
  <c r="K18" i="13" s="1"/>
  <c r="I17" i="13"/>
  <c r="K17" i="13" s="1"/>
  <c r="I16" i="13"/>
  <c r="K16" i="13" s="1"/>
  <c r="I15" i="13"/>
  <c r="K15" i="13" s="1"/>
  <c r="I14" i="13"/>
  <c r="K14" i="13" s="1"/>
  <c r="I13" i="13"/>
  <c r="K13" i="13" s="1"/>
  <c r="I12" i="13"/>
  <c r="K12" i="13" s="1"/>
  <c r="I11" i="13"/>
  <c r="K11" i="13" s="1"/>
  <c r="I10" i="13"/>
  <c r="K10" i="13" s="1"/>
  <c r="I9" i="13"/>
  <c r="K9" i="13" s="1"/>
  <c r="I8" i="13"/>
  <c r="K8" i="13" s="1"/>
  <c r="I7" i="13"/>
  <c r="K7" i="13" s="1"/>
  <c r="J30" i="12"/>
  <c r="J29" i="12"/>
  <c r="J28" i="12"/>
  <c r="J27" i="12"/>
  <c r="J26" i="12"/>
  <c r="J25" i="12"/>
  <c r="J24" i="12"/>
  <c r="J23" i="12"/>
  <c r="J22" i="12"/>
  <c r="J21" i="12"/>
  <c r="J20" i="12"/>
  <c r="J19" i="12"/>
  <c r="J18" i="12"/>
  <c r="J17" i="12"/>
  <c r="J16" i="12"/>
  <c r="J15" i="12"/>
  <c r="J14" i="12"/>
  <c r="J13" i="12"/>
  <c r="J12" i="12"/>
  <c r="J11" i="12"/>
  <c r="J10" i="12"/>
  <c r="J9" i="12"/>
  <c r="J8" i="12"/>
  <c r="J7" i="12"/>
  <c r="J6" i="12"/>
  <c r="J5" i="12"/>
  <c r="J31" i="12" s="1"/>
  <c r="K33" i="13" l="1"/>
  <c r="F46" i="11" l="1"/>
  <c r="G40" i="11" s="1"/>
  <c r="G39" i="11"/>
  <c r="G38" i="11"/>
  <c r="G37" i="11"/>
  <c r="G41" i="11" s="1"/>
  <c r="B33" i="11"/>
  <c r="J32" i="11"/>
  <c r="J31" i="11"/>
  <c r="J30" i="11"/>
  <c r="J29" i="11"/>
  <c r="J28" i="11"/>
  <c r="J27" i="11"/>
  <c r="J26" i="11"/>
  <c r="J25" i="11"/>
  <c r="J24" i="11"/>
  <c r="J23" i="11"/>
  <c r="J22" i="11"/>
  <c r="J21" i="11"/>
  <c r="J20" i="11"/>
  <c r="J19" i="11"/>
  <c r="J18" i="11"/>
  <c r="J17" i="11"/>
  <c r="J16" i="11"/>
  <c r="J15" i="11"/>
  <c r="F15" i="11"/>
  <c r="J14" i="11"/>
  <c r="F14" i="11"/>
  <c r="J13" i="11"/>
  <c r="J12" i="11"/>
  <c r="J11" i="11"/>
  <c r="J10" i="11"/>
  <c r="J9" i="11"/>
  <c r="J8" i="11"/>
  <c r="J7" i="11"/>
  <c r="J6" i="11"/>
  <c r="F6" i="11"/>
  <c r="J5" i="11"/>
  <c r="F46" i="10"/>
  <c r="G40" i="10"/>
  <c r="G39" i="10"/>
  <c r="G38" i="10"/>
  <c r="G37" i="10"/>
  <c r="G41" i="10" s="1"/>
  <c r="K33" i="10"/>
  <c r="G33" i="10"/>
  <c r="F33" i="10"/>
  <c r="K32" i="10"/>
  <c r="J32" i="10"/>
  <c r="K31" i="10"/>
  <c r="J31" i="10"/>
  <c r="K30" i="10"/>
  <c r="J30" i="10"/>
  <c r="K29" i="10"/>
  <c r="J29" i="10"/>
  <c r="K28" i="10"/>
  <c r="J28" i="10"/>
  <c r="K27" i="10"/>
  <c r="J27" i="10"/>
  <c r="K26" i="10"/>
  <c r="J26" i="10"/>
  <c r="K25" i="10"/>
  <c r="J25" i="10"/>
  <c r="K24" i="10"/>
  <c r="J24" i="10"/>
  <c r="K23" i="10"/>
  <c r="J23" i="10"/>
  <c r="K22" i="10"/>
  <c r="J22" i="10"/>
  <c r="K21" i="10"/>
  <c r="J21" i="10"/>
  <c r="K20" i="10"/>
  <c r="J20" i="10"/>
  <c r="K19" i="10"/>
  <c r="J19" i="10"/>
  <c r="K18" i="10"/>
  <c r="J18" i="10"/>
  <c r="K17" i="10"/>
  <c r="J17" i="10"/>
  <c r="K16" i="10"/>
  <c r="J16" i="10"/>
  <c r="K15" i="10"/>
  <c r="J15" i="10"/>
  <c r="K14" i="10"/>
  <c r="J14" i="10"/>
  <c r="K13" i="10"/>
  <c r="J13" i="10"/>
  <c r="K12" i="10"/>
  <c r="J12" i="10"/>
  <c r="K11" i="10"/>
  <c r="J11" i="10"/>
  <c r="K10" i="10"/>
  <c r="J10" i="10"/>
  <c r="K9" i="10"/>
  <c r="J9" i="10"/>
  <c r="K8" i="10"/>
  <c r="J8" i="10"/>
  <c r="K7" i="10"/>
  <c r="J7" i="10"/>
  <c r="K6" i="10"/>
  <c r="J6" i="10"/>
  <c r="K5" i="10"/>
  <c r="J5" i="10"/>
  <c r="F33" i="11" l="1"/>
  <c r="G20" i="11" s="1"/>
  <c r="K20" i="11" s="1"/>
  <c r="G24" i="11" l="1"/>
  <c r="K24" i="11" s="1"/>
  <c r="G9" i="11"/>
  <c r="K9" i="11" s="1"/>
  <c r="G30" i="11"/>
  <c r="K30" i="11" s="1"/>
  <c r="G18" i="11"/>
  <c r="K18" i="11" s="1"/>
  <c r="G13" i="11"/>
  <c r="K13" i="11" s="1"/>
  <c r="G15" i="11"/>
  <c r="K15" i="11" s="1"/>
  <c r="G28" i="11"/>
  <c r="K28" i="11" s="1"/>
  <c r="G19" i="11"/>
  <c r="K19" i="11" s="1"/>
  <c r="G26" i="11"/>
  <c r="K26" i="11" s="1"/>
  <c r="G23" i="11"/>
  <c r="K23" i="11" s="1"/>
  <c r="G27" i="11"/>
  <c r="K27" i="11" s="1"/>
  <c r="G21" i="11"/>
  <c r="K21" i="11" s="1"/>
  <c r="G8" i="11"/>
  <c r="K8" i="11" s="1"/>
  <c r="G31" i="11"/>
  <c r="K31" i="11" s="1"/>
  <c r="G29" i="11"/>
  <c r="K29" i="11" s="1"/>
  <c r="G11" i="11"/>
  <c r="K11" i="11" s="1"/>
  <c r="G6" i="11"/>
  <c r="K6" i="11" s="1"/>
  <c r="G32" i="11"/>
  <c r="K32" i="11" s="1"/>
  <c r="G7" i="11"/>
  <c r="K7" i="11" s="1"/>
  <c r="G5" i="11"/>
  <c r="K5" i="11" s="1"/>
  <c r="G14" i="11"/>
  <c r="K14" i="11" s="1"/>
  <c r="G12" i="11"/>
  <c r="K12" i="11" s="1"/>
  <c r="G17" i="11"/>
  <c r="K17" i="11" s="1"/>
  <c r="G10" i="11"/>
  <c r="K10" i="11" s="1"/>
  <c r="G16" i="11"/>
  <c r="K16" i="11" s="1"/>
  <c r="G22" i="11"/>
  <c r="K22" i="11" s="1"/>
  <c r="G25" i="11"/>
  <c r="K25" i="11" s="1"/>
  <c r="G33" i="11" l="1"/>
  <c r="K33" i="11"/>
  <c r="D48" i="9"/>
  <c r="H32" i="9"/>
  <c r="H31" i="9"/>
  <c r="H30" i="9"/>
  <c r="H29" i="9"/>
  <c r="H28" i="9"/>
  <c r="H27" i="9"/>
  <c r="H26" i="9"/>
  <c r="H25" i="9"/>
  <c r="H24" i="9"/>
  <c r="H23" i="9"/>
  <c r="H22" i="9"/>
  <c r="H21" i="9"/>
  <c r="H20" i="9"/>
  <c r="H19" i="9"/>
  <c r="H18" i="9"/>
  <c r="H17" i="9"/>
  <c r="H16" i="9"/>
  <c r="H15" i="9"/>
  <c r="H14" i="9"/>
  <c r="H13" i="9"/>
  <c r="H12" i="9"/>
  <c r="H11" i="9"/>
  <c r="H10" i="9"/>
  <c r="H9" i="9"/>
  <c r="H8" i="9"/>
  <c r="H7" i="9"/>
  <c r="G33" i="8"/>
  <c r="F33" i="8"/>
  <c r="C33" i="8"/>
  <c r="B33" i="8"/>
  <c r="J32" i="8"/>
  <c r="J31" i="8"/>
  <c r="J30" i="8"/>
  <c r="J29" i="8"/>
  <c r="J28" i="8"/>
  <c r="J27" i="8"/>
  <c r="J26" i="8"/>
  <c r="J25" i="8"/>
  <c r="J24" i="8"/>
  <c r="J23" i="8"/>
  <c r="J22" i="8"/>
  <c r="J21" i="8"/>
  <c r="J20" i="8"/>
  <c r="J19" i="8"/>
  <c r="J18" i="8"/>
  <c r="J17" i="8"/>
  <c r="J16" i="8"/>
  <c r="J15" i="8"/>
  <c r="J14" i="8"/>
  <c r="J13" i="8"/>
  <c r="J12" i="8"/>
  <c r="J11" i="8"/>
  <c r="J10" i="8"/>
  <c r="J9" i="8"/>
  <c r="J8" i="8"/>
  <c r="J7" i="8"/>
  <c r="J6" i="8"/>
  <c r="J5" i="8"/>
  <c r="J33" i="8" s="1"/>
  <c r="H33" i="9" l="1"/>
  <c r="H33" i="7"/>
  <c r="H32" i="7"/>
  <c r="H31" i="7"/>
  <c r="H30" i="7"/>
  <c r="H29" i="7"/>
  <c r="H28" i="7"/>
  <c r="H27" i="7"/>
  <c r="H26" i="7"/>
  <c r="H25" i="7"/>
  <c r="H24" i="7"/>
  <c r="H23" i="7"/>
  <c r="H22" i="7"/>
  <c r="H21" i="7"/>
  <c r="H20" i="7"/>
  <c r="H19" i="7"/>
  <c r="H18" i="7"/>
  <c r="H17" i="7"/>
  <c r="H16" i="7"/>
  <c r="H15" i="7"/>
  <c r="H14" i="7"/>
  <c r="H13" i="7"/>
  <c r="H12" i="7"/>
  <c r="H11" i="7"/>
  <c r="H10" i="7"/>
  <c r="H9" i="7"/>
  <c r="H8" i="7"/>
  <c r="H7" i="7"/>
  <c r="H6" i="7"/>
  <c r="G33" i="6"/>
  <c r="F33" i="6"/>
  <c r="C33" i="6"/>
  <c r="B33" i="6"/>
  <c r="J32" i="6"/>
  <c r="J31" i="6"/>
  <c r="J30" i="6"/>
  <c r="J29" i="6"/>
  <c r="J28" i="6"/>
  <c r="J27" i="6"/>
  <c r="J26" i="6"/>
  <c r="J25" i="6"/>
  <c r="J24" i="6"/>
  <c r="J23" i="6"/>
  <c r="J22" i="6"/>
  <c r="J21" i="6"/>
  <c r="J20" i="6"/>
  <c r="J19" i="6"/>
  <c r="J18" i="6"/>
  <c r="J17" i="6"/>
  <c r="J16" i="6"/>
  <c r="J15" i="6"/>
  <c r="J14" i="6"/>
  <c r="J13" i="6"/>
  <c r="J12" i="6"/>
  <c r="J11" i="6"/>
  <c r="J10" i="6"/>
  <c r="J9" i="6"/>
  <c r="J8" i="6"/>
  <c r="J7" i="6"/>
  <c r="J6" i="6"/>
  <c r="J5" i="6"/>
  <c r="J33" i="6" s="1"/>
  <c r="H34" i="7" l="1"/>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G38" i="4"/>
  <c r="F38" i="4"/>
  <c r="C38" i="4"/>
  <c r="B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38" i="4" s="1"/>
  <c r="J7" i="4"/>
  <c r="J6" i="4"/>
  <c r="J5" i="4"/>
  <c r="H37" i="5" l="1"/>
  <c r="C40" i="3"/>
  <c r="F37" i="3"/>
  <c r="G19" i="3" s="1"/>
  <c r="H19" i="3" s="1"/>
  <c r="G33" i="3"/>
  <c r="H33" i="3" s="1"/>
  <c r="G29" i="3"/>
  <c r="H29" i="3" s="1"/>
  <c r="G25" i="3"/>
  <c r="H25" i="3" s="1"/>
  <c r="G21" i="3"/>
  <c r="H21" i="3" s="1"/>
  <c r="C21" i="3"/>
  <c r="G11" i="3"/>
  <c r="H11" i="3" s="1"/>
  <c r="G7" i="3"/>
  <c r="H7" i="3" s="1"/>
  <c r="J34" i="2"/>
  <c r="K33" i="2"/>
  <c r="J33" i="2"/>
  <c r="K32" i="2"/>
  <c r="J32" i="2"/>
  <c r="K31" i="2"/>
  <c r="J31" i="2"/>
  <c r="K30" i="2"/>
  <c r="J30" i="2"/>
  <c r="K29" i="2"/>
  <c r="J29" i="2"/>
  <c r="K28" i="2"/>
  <c r="J28" i="2"/>
  <c r="K27" i="2"/>
  <c r="J27" i="2"/>
  <c r="K26" i="2"/>
  <c r="J26" i="2"/>
  <c r="K25" i="2"/>
  <c r="J25" i="2"/>
  <c r="K24" i="2"/>
  <c r="J24" i="2"/>
  <c r="K23" i="2"/>
  <c r="J23" i="2"/>
  <c r="K22" i="2"/>
  <c r="J22" i="2"/>
  <c r="K21" i="2"/>
  <c r="J21" i="2"/>
  <c r="K20" i="2"/>
  <c r="J20" i="2"/>
  <c r="K19" i="2"/>
  <c r="J19" i="2"/>
  <c r="K18" i="2"/>
  <c r="J18" i="2"/>
  <c r="K17" i="2"/>
  <c r="J17" i="2"/>
  <c r="K16" i="2"/>
  <c r="J16" i="2"/>
  <c r="K15" i="2"/>
  <c r="J15" i="2"/>
  <c r="K14" i="2"/>
  <c r="J14" i="2"/>
  <c r="K13" i="2"/>
  <c r="J13" i="2"/>
  <c r="K12" i="2"/>
  <c r="J12" i="2"/>
  <c r="K11" i="2"/>
  <c r="J11" i="2"/>
  <c r="K10" i="2"/>
  <c r="J10" i="2"/>
  <c r="K9" i="2"/>
  <c r="J9" i="2"/>
  <c r="K8" i="2"/>
  <c r="J8" i="2"/>
  <c r="K7" i="2"/>
  <c r="J7" i="2"/>
  <c r="K6" i="2"/>
  <c r="J6" i="2"/>
  <c r="K5" i="2"/>
  <c r="J5" i="2"/>
  <c r="K4" i="2"/>
  <c r="K34" i="2" s="1"/>
  <c r="J4" i="2"/>
  <c r="K3" i="2"/>
  <c r="J3" i="2"/>
  <c r="G23" i="3" l="1"/>
  <c r="H23" i="3" s="1"/>
  <c r="G27" i="3"/>
  <c r="H27" i="3" s="1"/>
  <c r="G31" i="3"/>
  <c r="H31" i="3" s="1"/>
  <c r="G35" i="3"/>
  <c r="H35" i="3" s="1"/>
  <c r="G8" i="3"/>
  <c r="H8" i="3" s="1"/>
  <c r="G12" i="3"/>
  <c r="H12" i="3" s="1"/>
  <c r="G16" i="3"/>
  <c r="H16" i="3" s="1"/>
  <c r="G20" i="3"/>
  <c r="H20" i="3" s="1"/>
  <c r="G24" i="3"/>
  <c r="H24" i="3" s="1"/>
  <c r="G28" i="3"/>
  <c r="H28" i="3" s="1"/>
  <c r="G32" i="3"/>
  <c r="H32" i="3" s="1"/>
  <c r="G36" i="3"/>
  <c r="H36" i="3" s="1"/>
  <c r="G9" i="3"/>
  <c r="H9" i="3" s="1"/>
  <c r="G13" i="3"/>
  <c r="H13" i="3" s="1"/>
  <c r="G17" i="3"/>
  <c r="H17" i="3" s="1"/>
  <c r="G6" i="3"/>
  <c r="G10" i="3"/>
  <c r="H10" i="3" s="1"/>
  <c r="G14" i="3"/>
  <c r="H14" i="3" s="1"/>
  <c r="G18" i="3"/>
  <c r="H18" i="3" s="1"/>
  <c r="G22" i="3"/>
  <c r="H22" i="3" s="1"/>
  <c r="G26" i="3"/>
  <c r="H26" i="3" s="1"/>
  <c r="G30" i="3"/>
  <c r="H30" i="3" s="1"/>
  <c r="G34" i="3"/>
  <c r="H34" i="3" s="1"/>
  <c r="G15" i="3"/>
  <c r="H15" i="3" s="1"/>
  <c r="H6" i="3" l="1"/>
  <c r="H37" i="3" s="1"/>
  <c r="G37" i="3"/>
</calcChain>
</file>

<file path=xl/comments1.xml><?xml version="1.0" encoding="utf-8"?>
<comments xmlns="http://schemas.openxmlformats.org/spreadsheetml/2006/main">
  <authors>
    <author>U124369</author>
  </authors>
  <commentList>
    <comment ref="D16" authorId="0" shapeId="0">
      <text>
        <r>
          <rPr>
            <b/>
            <sz val="8"/>
            <color indexed="81"/>
            <rFont val="Tahoma"/>
            <family val="2"/>
          </rPr>
          <t>U124369:</t>
        </r>
        <r>
          <rPr>
            <sz val="8"/>
            <color indexed="81"/>
            <rFont val="Tahoma"/>
            <family val="2"/>
          </rPr>
          <t xml:space="preserve">
Added .0001 due to rounding</t>
        </r>
      </text>
    </comment>
  </commentList>
</comments>
</file>

<file path=xl/comments2.xml><?xml version="1.0" encoding="utf-8"?>
<comments xmlns="http://schemas.openxmlformats.org/spreadsheetml/2006/main">
  <authors>
    <author>U124369</author>
  </authors>
  <commentList>
    <comment ref="C18" authorId="0" shapeId="0">
      <text>
        <r>
          <rPr>
            <b/>
            <sz val="8"/>
            <color indexed="81"/>
            <rFont val="Tahoma"/>
            <family val="2"/>
          </rPr>
          <t>U124369:</t>
        </r>
        <r>
          <rPr>
            <sz val="8"/>
            <color indexed="81"/>
            <rFont val="Tahoma"/>
            <family val="2"/>
          </rPr>
          <t xml:space="preserve">
We do not include company 54 in the TA allocation.  The amounts billed to it over the prior year represent their portion of OH costs billed 12, OH, or an allocation code in which 12 is included.</t>
        </r>
      </text>
    </comment>
    <comment ref="H19" authorId="0" shapeId="0">
      <text>
        <r>
          <rPr>
            <b/>
            <sz val="8"/>
            <color indexed="81"/>
            <rFont val="Tahoma"/>
            <family val="2"/>
          </rPr>
          <t>U124369:</t>
        </r>
        <r>
          <rPr>
            <sz val="8"/>
            <color indexed="81"/>
            <rFont val="Tahoma"/>
            <family val="2"/>
          </rPr>
          <t xml:space="preserve">
Added .0001 due to rounding </t>
        </r>
      </text>
    </comment>
  </commentList>
</comments>
</file>

<file path=xl/comments3.xml><?xml version="1.0" encoding="utf-8"?>
<comments xmlns="http://schemas.openxmlformats.org/spreadsheetml/2006/main">
  <authors>
    <author>U124369</author>
  </authors>
  <commentList>
    <comment ref="G18" authorId="0" shapeId="0">
      <text>
        <r>
          <rPr>
            <b/>
            <sz val="8"/>
            <color indexed="81"/>
            <rFont val="Tahoma"/>
            <family val="2"/>
          </rPr>
          <t>U124369:</t>
        </r>
        <r>
          <rPr>
            <sz val="8"/>
            <color indexed="81"/>
            <rFont val="Tahoma"/>
            <family val="2"/>
          </rPr>
          <t xml:space="preserve">
Added .0001 due to rounding</t>
        </r>
      </text>
    </comment>
  </commentList>
</comments>
</file>

<file path=xl/sharedStrings.xml><?xml version="1.0" encoding="utf-8"?>
<sst xmlns="http://schemas.openxmlformats.org/spreadsheetml/2006/main" count="4633" uniqueCount="183">
  <si>
    <t>2nd Survey 2011</t>
  </si>
  <si>
    <t>1st Survey 2011</t>
  </si>
  <si>
    <t>Company</t>
  </si>
  <si>
    <t xml:space="preserve">Amount </t>
  </si>
  <si>
    <t>Percentage</t>
  </si>
  <si>
    <t>Rounded Percentage</t>
  </si>
  <si>
    <t>Total</t>
  </si>
  <si>
    <t>Difference</t>
  </si>
  <si>
    <t>11</t>
  </si>
  <si>
    <t>14</t>
  </si>
  <si>
    <t>15</t>
  </si>
  <si>
    <t>22</t>
  </si>
  <si>
    <t>24</t>
  </si>
  <si>
    <t>32</t>
  </si>
  <si>
    <t>34</t>
  </si>
  <si>
    <t>35</t>
  </si>
  <si>
    <t>37</t>
  </si>
  <si>
    <t>38</t>
  </si>
  <si>
    <t>44</t>
  </si>
  <si>
    <t>51</t>
  </si>
  <si>
    <t>57</t>
  </si>
  <si>
    <t>58</t>
  </si>
  <si>
    <t>59</t>
  </si>
  <si>
    <t>60</t>
  </si>
  <si>
    <t>62</t>
  </si>
  <si>
    <t>64</t>
  </si>
  <si>
    <t>65</t>
  </si>
  <si>
    <t>68</t>
  </si>
  <si>
    <t>69</t>
  </si>
  <si>
    <t>71</t>
  </si>
  <si>
    <t>75</t>
  </si>
  <si>
    <t>78</t>
  </si>
  <si>
    <t>80</t>
  </si>
  <si>
    <t>82</t>
  </si>
  <si>
    <t>91</t>
  </si>
  <si>
    <t>92</t>
  </si>
  <si>
    <t>93</t>
  </si>
  <si>
    <t>94</t>
  </si>
  <si>
    <t>96</t>
  </si>
  <si>
    <t>Resp</t>
  </si>
  <si>
    <t>Corporate</t>
  </si>
  <si>
    <t>ProcessDate</t>
  </si>
  <si>
    <t>(All)</t>
  </si>
  <si>
    <t>Sum of SumOfTotal</t>
  </si>
  <si>
    <t>Co</t>
  </si>
  <si>
    <t>54</t>
  </si>
  <si>
    <t>NOTE</t>
  </si>
  <si>
    <t>89</t>
  </si>
  <si>
    <t>90</t>
  </si>
  <si>
    <t>Grand Total</t>
  </si>
  <si>
    <t>TA Allocation Percentage Update Summary</t>
  </si>
  <si>
    <t>New - 1st Survey 2012</t>
  </si>
  <si>
    <t>Previous - 2nd Survey 2011</t>
  </si>
  <si>
    <t>58*</t>
  </si>
  <si>
    <t>59**</t>
  </si>
  <si>
    <t>74</t>
  </si>
  <si>
    <t>97</t>
  </si>
  <si>
    <t>* Due to rounding .0002 percent was added to company 58 so that total allocation percentages equalled 100 percent</t>
  </si>
  <si>
    <t>**  Increase due to NNK merger.  NIFL and KOK rolled into NIPSCO.</t>
  </si>
  <si>
    <t>Prepared By:</t>
  </si>
  <si>
    <t>Date:</t>
  </si>
  <si>
    <t>Reviewed By:</t>
  </si>
  <si>
    <t>Companies 15, 54, 69, 91 not included in TA allocation.  Companies 64, 65, 89 and 90 data rolled into 59.</t>
  </si>
  <si>
    <t>Amount</t>
  </si>
  <si>
    <t>Sum of Amount</t>
  </si>
  <si>
    <t>Previous - 1st Survey 2012</t>
  </si>
  <si>
    <t>New - 2nd Survey 2012</t>
  </si>
  <si>
    <t>* Due to rounding .0001 percent was added to company 58 so that total allocation percentages equalled 100 percent</t>
  </si>
  <si>
    <t>Companies 15, 54, 69, 91 not included in TA allocation.  Companies 89, 90 and 95 data rolled into 59.</t>
  </si>
  <si>
    <t>Sum of Total</t>
  </si>
  <si>
    <t>95</t>
  </si>
  <si>
    <t>Old - 2nd Survey 2012</t>
  </si>
  <si>
    <t>New - 1st Survey 2013</t>
  </si>
  <si>
    <t>Companies 15, 54, 69, 71, 91, 97 not included in TA allocation.  Companies 89, 90 and 95 data rolled into 59.</t>
  </si>
  <si>
    <t>CPG Executive Labor to be Excluded</t>
  </si>
  <si>
    <t>TA Allocation Percentage Update Summary with No Navigates</t>
  </si>
  <si>
    <t>1st Survey 2013 - No Navigates</t>
  </si>
  <si>
    <t>Segment</t>
  </si>
  <si>
    <t>Change by segment</t>
  </si>
  <si>
    <t>Row Labels</t>
  </si>
  <si>
    <t>Sum of Difference</t>
  </si>
  <si>
    <t>Est. Annual Effect</t>
  </si>
  <si>
    <t>Corporate and Other</t>
  </si>
  <si>
    <t>NGD</t>
  </si>
  <si>
    <t>NGT&amp;S</t>
  </si>
  <si>
    <t>NIPSCO</t>
  </si>
  <si>
    <t>TA</t>
  </si>
  <si>
    <t>Annualized 2012</t>
  </si>
  <si>
    <t>TI Allocation Percentage Update Summary with No Navigates</t>
  </si>
  <si>
    <t>TI</t>
  </si>
  <si>
    <t>Old - 1st Survey 2013</t>
  </si>
  <si>
    <t>New - 2nd Survey 2013</t>
  </si>
  <si>
    <t>Rounded</t>
  </si>
  <si>
    <t>Executive Depts to exclude</t>
  </si>
  <si>
    <t xml:space="preserve">        Legal (TL)</t>
  </si>
  <si>
    <t>Previous Allocation</t>
  </si>
  <si>
    <t>New  Allocation</t>
  </si>
  <si>
    <t xml:space="preserve">          Information Technology (TI)</t>
  </si>
  <si>
    <t>Department</t>
  </si>
  <si>
    <t>0008100</t>
  </si>
  <si>
    <t>Sum of Sum Of Total</t>
  </si>
  <si>
    <t>RollsToSegment</t>
  </si>
  <si>
    <t>Information Technology</t>
  </si>
  <si>
    <t>Old - 2nd Survey 2013</t>
  </si>
  <si>
    <t>New - 1st Survey 2014</t>
  </si>
  <si>
    <t>Companies 15, 24, 54, 69, 71, 91, 97 not included in TA allocation.  Companies 89, 90 and 95 data rolled into 59.</t>
  </si>
  <si>
    <t>OrigCo</t>
  </si>
  <si>
    <t>(Multiple Items)</t>
  </si>
  <si>
    <t>Sum Of Total</t>
  </si>
  <si>
    <t>Executive Dept to exclude</t>
  </si>
  <si>
    <t>W/O TI</t>
  </si>
  <si>
    <t>W/ TI</t>
  </si>
  <si>
    <t>W/O TL</t>
  </si>
  <si>
    <t>Old - 1st Survey 2014</t>
  </si>
  <si>
    <t>New - 2nd Survey 2014</t>
  </si>
  <si>
    <t>SSN</t>
  </si>
  <si>
    <t>1st Survey 2014</t>
  </si>
  <si>
    <t>2nd Survey 2014</t>
  </si>
  <si>
    <t>Old - 2nd Survey 2014</t>
  </si>
  <si>
    <t>New - 1st Survey 2015</t>
  </si>
  <si>
    <t>12</t>
  </si>
  <si>
    <t>Charge Code</t>
  </si>
  <si>
    <t>1st Survey 2015</t>
  </si>
  <si>
    <t>Old - Post Separation Survey 2015</t>
  </si>
  <si>
    <t>New - 2nd Survey 2015</t>
  </si>
  <si>
    <t>00012</t>
  </si>
  <si>
    <t>00022</t>
  </si>
  <si>
    <t>00032</t>
  </si>
  <si>
    <t>00034</t>
  </si>
  <si>
    <t>00035</t>
  </si>
  <si>
    <t>00037</t>
  </si>
  <si>
    <t>00038</t>
  </si>
  <si>
    <t>00058</t>
  </si>
  <si>
    <t>00059</t>
  </si>
  <si>
    <t>00060</t>
  </si>
  <si>
    <t>00062</t>
  </si>
  <si>
    <t>00068</t>
  </si>
  <si>
    <t>00075</t>
  </si>
  <si>
    <t>00078</t>
  </si>
  <si>
    <t>00080</t>
  </si>
  <si>
    <t>00093</t>
  </si>
  <si>
    <t>00094</t>
  </si>
  <si>
    <t>From Accounting Database</t>
  </si>
  <si>
    <t>From COGNOS (Data Warehouse)</t>
  </si>
  <si>
    <t>Total SCB</t>
  </si>
  <si>
    <t>Sum of Sum of Sum Of Total</t>
  </si>
  <si>
    <t>Business Unit</t>
  </si>
  <si>
    <t>Sum of Allocation Details Amount</t>
  </si>
  <si>
    <t>TA Allocation</t>
  </si>
  <si>
    <t xml:space="preserve">        Information Technology (TI)</t>
  </si>
  <si>
    <t>Post Separation Survey 2015</t>
  </si>
  <si>
    <t>2nd Survey 2015</t>
  </si>
  <si>
    <t>From Acct Database</t>
  </si>
  <si>
    <t>TI Allocation</t>
  </si>
  <si>
    <t>TL Allocation</t>
  </si>
  <si>
    <t>1st Survey 2016</t>
  </si>
  <si>
    <t>Jan - Mar 2015</t>
  </si>
  <si>
    <t>Apr - Jul 2015</t>
  </si>
  <si>
    <t>Aug - Dec 2015</t>
  </si>
  <si>
    <t>2015 Total</t>
  </si>
  <si>
    <t>59 - NIP</t>
  </si>
  <si>
    <t>Old - 2nd Survey 2015</t>
  </si>
  <si>
    <t>New - 1st Survey 2016</t>
  </si>
  <si>
    <t>Data with TA, CPG, and Ops Departments excluded</t>
  </si>
  <si>
    <t xml:space="preserve">January - March </t>
  </si>
  <si>
    <t>SCB Billing Pool</t>
  </si>
  <si>
    <t>SCB Activity Id</t>
  </si>
  <si>
    <t>SCB Charged Department</t>
  </si>
  <si>
    <t>Cognos, April - December</t>
  </si>
  <si>
    <t>Previous Survey</t>
  </si>
  <si>
    <t>New Survey</t>
  </si>
  <si>
    <t>2nd Survey 2016</t>
  </si>
  <si>
    <t>Variance</t>
  </si>
  <si>
    <t>June-September 2015</t>
  </si>
  <si>
    <t>October-December 2015</t>
  </si>
  <si>
    <t>January-June 2016</t>
  </si>
  <si>
    <t>Information Technology (TI)</t>
  </si>
  <si>
    <t>October - December 2015</t>
  </si>
  <si>
    <t>Combined</t>
  </si>
  <si>
    <t>Legal (TL)</t>
  </si>
  <si>
    <t>Jun - September 2015</t>
  </si>
  <si>
    <t>Oct - Dec 2015</t>
  </si>
  <si>
    <t>TL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</si>
</sst>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0.000000"/>
  </numFmts>
  <fonts count="13">
    <font>
      <sz val="11"/>
      <color theme="1"/>
      <name val="Calibri"/>
      <family val="2"/>
      <scheme val="minor"/>
    </font>
    <font>
      <sz val="11"/>
      <color theme="1"/>
      <name val="Calibri"/>
      <family val="2"/>
      <scheme val="minor"/>
    </font>
    <font>
      <b/>
      <sz val="11"/>
      <color theme="1"/>
      <name val="Calibri"/>
      <family val="2"/>
      <scheme val="minor"/>
    </font>
    <font>
      <b/>
      <sz val="8"/>
      <color indexed="81"/>
      <name val="Tahoma"/>
      <family val="2"/>
    </font>
    <font>
      <sz val="8"/>
      <color indexed="81"/>
      <name val="Tahoma"/>
      <family val="2"/>
    </font>
    <font>
      <b/>
      <i/>
      <u/>
      <sz val="11"/>
      <color theme="1"/>
      <name val="Calibri"/>
      <family val="2"/>
      <scheme val="minor"/>
    </font>
    <font>
      <b/>
      <sz val="12"/>
      <color theme="1"/>
      <name val="Calibri"/>
      <family val="2"/>
      <scheme val="minor"/>
    </font>
    <font>
      <sz val="10"/>
      <name val="Arial"/>
      <family val="2"/>
    </font>
    <font>
      <b/>
      <u val="singleAccounting"/>
      <sz val="12"/>
      <name val="Arial"/>
      <family val="2"/>
    </font>
    <font>
      <b/>
      <sz val="10"/>
      <name val="Arial"/>
      <family val="2"/>
    </font>
    <font>
      <sz val="11"/>
      <name val="CG Omega"/>
    </font>
    <font>
      <b/>
      <sz val="10"/>
      <color theme="1"/>
      <name val="Tahoma"/>
      <family val="2"/>
    </font>
    <font>
      <sz val="1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tint="0.79998168889431442"/>
        <bgColor theme="4" tint="0.79998168889431442"/>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8"/>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4" tint="0.39997558519241921"/>
      </bottom>
      <diagonal/>
    </border>
    <border>
      <left/>
      <right/>
      <top style="thin">
        <color theme="4" tint="0.39997558519241921"/>
      </top>
      <bottom/>
      <diagonal/>
    </border>
    <border>
      <left/>
      <right/>
      <top style="thin">
        <color indexed="64"/>
      </top>
      <bottom style="double">
        <color indexed="64"/>
      </bottom>
      <diagonal/>
    </border>
  </borders>
  <cellStyleXfs count="1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7" fillId="0" borderId="0"/>
    <xf numFmtId="9"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0" fontId="1" fillId="0" borderId="0"/>
    <xf numFmtId="43" fontId="7" fillId="0" borderId="0" applyFont="0" applyFill="0" applyBorder="0" applyAlignment="0" applyProtection="0"/>
    <xf numFmtId="9" fontId="7" fillId="0" borderId="0" applyFont="0" applyFill="0" applyBorder="0" applyAlignment="0" applyProtection="0"/>
    <xf numFmtId="0" fontId="1" fillId="0" borderId="0"/>
  </cellStyleXfs>
  <cellXfs count="268">
    <xf numFmtId="0" fontId="0" fillId="0" borderId="0" xfId="0"/>
    <xf numFmtId="0" fontId="2" fillId="0" borderId="1" xfId="0" applyFont="1" applyBorder="1" applyAlignment="1"/>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Fill="1" applyBorder="1" applyAlignment="1">
      <alignment horizontal="center"/>
    </xf>
    <xf numFmtId="14" fontId="2" fillId="0" borderId="3" xfId="0" applyNumberFormat="1" applyFont="1" applyBorder="1"/>
    <xf numFmtId="10" fontId="2" fillId="0" borderId="3" xfId="2" applyNumberFormat="1" applyFont="1" applyBorder="1"/>
    <xf numFmtId="0" fontId="2" fillId="0" borderId="3" xfId="0" applyFont="1" applyBorder="1"/>
    <xf numFmtId="0" fontId="2" fillId="0" borderId="4" xfId="0" applyFont="1" applyBorder="1"/>
    <xf numFmtId="0" fontId="0" fillId="0" borderId="5" xfId="0" applyBorder="1" applyAlignment="1">
      <alignment horizontal="center"/>
    </xf>
    <xf numFmtId="40" fontId="0" fillId="0" borderId="6" xfId="0" applyNumberFormat="1" applyBorder="1" applyAlignment="1">
      <alignment horizontal="center"/>
    </xf>
    <xf numFmtId="10" fontId="0" fillId="0" borderId="6" xfId="2" applyNumberFormat="1" applyFont="1" applyBorder="1" applyAlignment="1">
      <alignment horizontal="center"/>
    </xf>
    <xf numFmtId="10" fontId="0" fillId="0" borderId="7" xfId="0" applyNumberFormat="1" applyBorder="1" applyAlignment="1">
      <alignment horizontal="center"/>
    </xf>
    <xf numFmtId="0" fontId="0" fillId="0" borderId="8" xfId="0" applyBorder="1"/>
    <xf numFmtId="40" fontId="0" fillId="0" borderId="8" xfId="0" applyNumberFormat="1" applyBorder="1"/>
    <xf numFmtId="10" fontId="0" fillId="0" borderId="6" xfId="2" applyNumberFormat="1" applyFont="1" applyBorder="1"/>
    <xf numFmtId="0" fontId="0" fillId="0" borderId="6" xfId="0" applyFont="1" applyBorder="1" applyAlignment="1">
      <alignment horizontal="center"/>
    </xf>
    <xf numFmtId="10" fontId="0" fillId="0" borderId="7" xfId="0" applyNumberFormat="1" applyFont="1" applyBorder="1"/>
    <xf numFmtId="0" fontId="0" fillId="0" borderId="6" xfId="0" applyBorder="1"/>
    <xf numFmtId="40" fontId="0" fillId="0" borderId="6" xfId="0" applyNumberFormat="1" applyBorder="1"/>
    <xf numFmtId="0" fontId="0" fillId="0" borderId="6" xfId="0" quotePrefix="1" applyBorder="1"/>
    <xf numFmtId="0" fontId="0" fillId="0" borderId="2" xfId="0" applyBorder="1" applyAlignment="1">
      <alignment horizontal="center"/>
    </xf>
    <xf numFmtId="40" fontId="0" fillId="0" borderId="3" xfId="0" applyNumberFormat="1" applyBorder="1" applyAlignment="1">
      <alignment horizontal="center"/>
    </xf>
    <xf numFmtId="10" fontId="0" fillId="0" borderId="3" xfId="0" applyNumberFormat="1" applyBorder="1" applyAlignment="1">
      <alignment horizontal="center"/>
    </xf>
    <xf numFmtId="10" fontId="0" fillId="0" borderId="4" xfId="0" applyNumberFormat="1" applyBorder="1" applyAlignment="1">
      <alignment horizontal="center"/>
    </xf>
    <xf numFmtId="0" fontId="0" fillId="0" borderId="3" xfId="0" applyFill="1" applyBorder="1"/>
    <xf numFmtId="40" fontId="0" fillId="0" borderId="3" xfId="0" applyNumberFormat="1" applyBorder="1"/>
    <xf numFmtId="10" fontId="0" fillId="0" borderId="3" xfId="2" applyNumberFormat="1" applyFont="1" applyBorder="1"/>
    <xf numFmtId="0" fontId="0" fillId="0" borderId="3" xfId="0" applyFont="1" applyBorder="1" applyAlignment="1">
      <alignment horizontal="center"/>
    </xf>
    <xf numFmtId="10" fontId="0" fillId="0" borderId="4" xfId="0" applyNumberFormat="1" applyFont="1" applyBorder="1"/>
    <xf numFmtId="0" fontId="2" fillId="0" borderId="0" xfId="0" applyFont="1" applyBorder="1"/>
    <xf numFmtId="0" fontId="0" fillId="0" borderId="0" xfId="0" applyAlignment="1">
      <alignment horizontal="center"/>
    </xf>
    <xf numFmtId="40" fontId="0" fillId="0" borderId="0" xfId="0" applyNumberFormat="1"/>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Fill="1" applyBorder="1" applyAlignment="1">
      <alignment horizontal="center"/>
    </xf>
    <xf numFmtId="0" fontId="0" fillId="0" borderId="6" xfId="0" applyBorder="1" applyAlignment="1">
      <alignment horizontal="center"/>
    </xf>
    <xf numFmtId="40" fontId="0" fillId="0" borderId="0" xfId="0" applyNumberFormat="1" applyBorder="1" applyAlignment="1">
      <alignment horizontal="center"/>
    </xf>
    <xf numFmtId="10" fontId="0" fillId="0" borderId="0" xfId="2" applyNumberFormat="1" applyFont="1" applyBorder="1" applyAlignment="1">
      <alignment horizontal="center"/>
    </xf>
    <xf numFmtId="0" fontId="0" fillId="2" borderId="0" xfId="0" applyFill="1"/>
    <xf numFmtId="40" fontId="0" fillId="2" borderId="0" xfId="0" applyNumberFormat="1" applyFill="1"/>
    <xf numFmtId="0" fontId="2" fillId="2" borderId="0" xfId="0" applyFont="1" applyFill="1" applyAlignment="1">
      <alignment horizontal="center"/>
    </xf>
    <xf numFmtId="0" fontId="0" fillId="0" borderId="9" xfId="0" applyBorder="1" applyAlignment="1">
      <alignment horizontal="center"/>
    </xf>
    <xf numFmtId="40" fontId="0" fillId="0" borderId="10" xfId="0" applyNumberFormat="1" applyBorder="1" applyAlignment="1">
      <alignment horizontal="center"/>
    </xf>
    <xf numFmtId="10" fontId="0" fillId="0" borderId="10" xfId="0" applyNumberFormat="1" applyBorder="1" applyAlignment="1">
      <alignment horizontal="center"/>
    </xf>
    <xf numFmtId="10" fontId="0" fillId="0" borderId="11" xfId="0" applyNumberFormat="1" applyBorder="1" applyAlignment="1">
      <alignment horizontal="center"/>
    </xf>
    <xf numFmtId="0" fontId="2" fillId="3" borderId="12" xfId="0" applyFont="1" applyFill="1" applyBorder="1"/>
    <xf numFmtId="0" fontId="1" fillId="0" borderId="0" xfId="3"/>
    <xf numFmtId="0" fontId="2" fillId="0" borderId="1" xfId="3" applyFont="1" applyBorder="1" applyAlignment="1"/>
    <xf numFmtId="0" fontId="2" fillId="0" borderId="2" xfId="3" applyFont="1" applyBorder="1" applyAlignment="1">
      <alignment horizontal="center"/>
    </xf>
    <xf numFmtId="0" fontId="2" fillId="0" borderId="3" xfId="3" applyFont="1" applyBorder="1" applyAlignment="1">
      <alignment horizontal="center"/>
    </xf>
    <xf numFmtId="0" fontId="2" fillId="0" borderId="11" xfId="3" applyFont="1" applyFill="1" applyBorder="1" applyAlignment="1">
      <alignment horizontal="center"/>
    </xf>
    <xf numFmtId="0" fontId="2" fillId="0" borderId="3" xfId="3" applyFont="1" applyBorder="1"/>
    <xf numFmtId="0" fontId="2" fillId="0" borderId="11" xfId="3" applyFont="1" applyBorder="1"/>
    <xf numFmtId="0" fontId="1" fillId="0" borderId="5" xfId="3" applyBorder="1" applyAlignment="1">
      <alignment horizontal="center"/>
    </xf>
    <xf numFmtId="40" fontId="1" fillId="0" borderId="6" xfId="3" applyNumberFormat="1" applyBorder="1" applyAlignment="1">
      <alignment horizontal="center"/>
    </xf>
    <xf numFmtId="10" fontId="1" fillId="0" borderId="7" xfId="3" applyNumberFormat="1" applyBorder="1" applyAlignment="1">
      <alignment horizontal="center"/>
    </xf>
    <xf numFmtId="0" fontId="0" fillId="0" borderId="6" xfId="3" applyFont="1" applyBorder="1" applyAlignment="1">
      <alignment horizontal="center"/>
    </xf>
    <xf numFmtId="10" fontId="0" fillId="0" borderId="7" xfId="2" applyNumberFormat="1" applyFont="1" applyFill="1" applyBorder="1"/>
    <xf numFmtId="0" fontId="0" fillId="0" borderId="5" xfId="3" applyFont="1" applyBorder="1" applyAlignment="1">
      <alignment horizontal="center"/>
    </xf>
    <xf numFmtId="0" fontId="0" fillId="0" borderId="6" xfId="3" applyFont="1" applyFill="1" applyBorder="1" applyAlignment="1">
      <alignment horizontal="center"/>
    </xf>
    <xf numFmtId="0" fontId="1" fillId="0" borderId="2" xfId="3" applyBorder="1" applyAlignment="1">
      <alignment horizontal="center"/>
    </xf>
    <xf numFmtId="40" fontId="1" fillId="0" borderId="3" xfId="3" applyNumberFormat="1" applyBorder="1" applyAlignment="1">
      <alignment horizontal="center"/>
    </xf>
    <xf numFmtId="10" fontId="1" fillId="0" borderId="11" xfId="3" applyNumberFormat="1" applyBorder="1" applyAlignment="1">
      <alignment horizontal="center"/>
    </xf>
    <xf numFmtId="10" fontId="0" fillId="0" borderId="11" xfId="1" applyNumberFormat="1" applyFont="1" applyFill="1" applyBorder="1"/>
    <xf numFmtId="0" fontId="0" fillId="0" borderId="0" xfId="3" applyFont="1"/>
    <xf numFmtId="0" fontId="2" fillId="0" borderId="0" xfId="3" applyFont="1" applyBorder="1"/>
    <xf numFmtId="0" fontId="1" fillId="0" borderId="1" xfId="3" applyBorder="1"/>
    <xf numFmtId="0" fontId="0" fillId="0" borderId="0" xfId="3" applyFont="1" applyAlignment="1">
      <alignment horizontal="right"/>
    </xf>
    <xf numFmtId="0" fontId="2" fillId="0" borderId="1" xfId="3" applyFont="1" applyBorder="1"/>
    <xf numFmtId="0" fontId="1" fillId="0" borderId="0" xfId="3" applyAlignment="1">
      <alignment horizontal="right"/>
    </xf>
    <xf numFmtId="0" fontId="5" fillId="0" borderId="0" xfId="0" applyFont="1" applyAlignment="1">
      <alignment wrapText="1"/>
    </xf>
    <xf numFmtId="43" fontId="0" fillId="0" borderId="0" xfId="1" applyFont="1"/>
    <xf numFmtId="43" fontId="0" fillId="0" borderId="0" xfId="0" applyNumberFormat="1"/>
    <xf numFmtId="0" fontId="0" fillId="0" borderId="0" xfId="0" quotePrefix="1"/>
    <xf numFmtId="0" fontId="2" fillId="0" borderId="0" xfId="0" applyFont="1"/>
    <xf numFmtId="10" fontId="0" fillId="0" borderId="0" xfId="2" applyNumberFormat="1" applyFont="1"/>
    <xf numFmtId="0" fontId="0" fillId="0" borderId="0" xfId="0" applyFill="1"/>
    <xf numFmtId="43" fontId="0" fillId="0" borderId="0" xfId="0" applyNumberFormat="1" applyFill="1"/>
    <xf numFmtId="10" fontId="0" fillId="2" borderId="0" xfId="2" applyNumberFormat="1" applyFont="1" applyFill="1"/>
    <xf numFmtId="164" fontId="0" fillId="0" borderId="0" xfId="0" applyNumberFormat="1"/>
    <xf numFmtId="43" fontId="1" fillId="0" borderId="6" xfId="1" applyFill="1" applyBorder="1" applyAlignment="1">
      <alignment horizontal="center"/>
    </xf>
    <xf numFmtId="10" fontId="0" fillId="0" borderId="7" xfId="4" applyNumberFormat="1" applyFont="1" applyFill="1" applyBorder="1"/>
    <xf numFmtId="43" fontId="1" fillId="0" borderId="3" xfId="1" applyFill="1" applyBorder="1" applyAlignment="1">
      <alignment horizontal="center"/>
    </xf>
    <xf numFmtId="10" fontId="0" fillId="0" borderId="11" xfId="5" applyNumberFormat="1" applyFont="1" applyFill="1" applyBorder="1"/>
    <xf numFmtId="10" fontId="0" fillId="0" borderId="0" xfId="0" applyNumberFormat="1"/>
    <xf numFmtId="43" fontId="2" fillId="3" borderId="13" xfId="0" applyNumberFormat="1" applyFont="1" applyFill="1" applyBorder="1"/>
    <xf numFmtId="0" fontId="2" fillId="0" borderId="0" xfId="3" applyFont="1" applyBorder="1" applyAlignment="1">
      <alignment horizontal="center"/>
    </xf>
    <xf numFmtId="0" fontId="2" fillId="0" borderId="0" xfId="3" applyFont="1" applyFill="1" applyBorder="1" applyAlignment="1">
      <alignment horizontal="center"/>
    </xf>
    <xf numFmtId="43" fontId="1" fillId="0" borderId="6" xfId="5" applyFill="1" applyBorder="1" applyAlignment="1">
      <alignment horizontal="center"/>
    </xf>
    <xf numFmtId="10" fontId="1" fillId="0" borderId="0" xfId="3" applyNumberFormat="1" applyBorder="1" applyAlignment="1">
      <alignment horizontal="center"/>
    </xf>
    <xf numFmtId="43" fontId="1" fillId="0" borderId="3" xfId="5" applyFill="1" applyBorder="1" applyAlignment="1">
      <alignment horizontal="center"/>
    </xf>
    <xf numFmtId="0" fontId="1" fillId="0" borderId="0" xfId="3" applyBorder="1"/>
    <xf numFmtId="0" fontId="0" fillId="0" borderId="0" xfId="3" applyFont="1" applyBorder="1" applyAlignment="1">
      <alignment horizontal="right"/>
    </xf>
    <xf numFmtId="0" fontId="1" fillId="0" borderId="0" xfId="3" applyBorder="1" applyAlignment="1">
      <alignment horizontal="right"/>
    </xf>
    <xf numFmtId="165" fontId="0" fillId="0" borderId="0" xfId="0" applyNumberFormat="1"/>
    <xf numFmtId="0" fontId="0" fillId="0" borderId="7" xfId="3" applyFont="1" applyBorder="1" applyAlignment="1">
      <alignment horizontal="center"/>
    </xf>
    <xf numFmtId="0" fontId="0" fillId="0" borderId="6" xfId="3" quotePrefix="1" applyFont="1" applyBorder="1" applyAlignment="1">
      <alignment horizontal="center"/>
    </xf>
    <xf numFmtId="0" fontId="0" fillId="0" borderId="6" xfId="3" quotePrefix="1" applyFont="1" applyFill="1" applyBorder="1" applyAlignment="1">
      <alignment horizontal="center"/>
    </xf>
    <xf numFmtId="0" fontId="0" fillId="0" borderId="0" xfId="0" applyAlignment="1">
      <alignment horizontal="left"/>
    </xf>
    <xf numFmtId="0" fontId="2" fillId="0" borderId="0" xfId="0" applyFont="1" applyAlignment="1">
      <alignment horizontal="left"/>
    </xf>
    <xf numFmtId="17" fontId="0" fillId="0" borderId="0" xfId="0" applyNumberFormat="1"/>
    <xf numFmtId="0" fontId="2" fillId="0" borderId="0" xfId="3" applyFont="1" applyAlignment="1">
      <alignment horizontal="center"/>
    </xf>
    <xf numFmtId="0" fontId="2" fillId="0" borderId="0" xfId="3" applyFont="1" applyAlignment="1"/>
    <xf numFmtId="0" fontId="0" fillId="0" borderId="0" xfId="0" applyBorder="1"/>
    <xf numFmtId="0" fontId="1" fillId="0" borderId="0" xfId="6"/>
    <xf numFmtId="0" fontId="2" fillId="0" borderId="3" xfId="3" applyFont="1" applyFill="1" applyBorder="1" applyAlignment="1">
      <alignment horizontal="center"/>
    </xf>
    <xf numFmtId="10" fontId="1" fillId="0" borderId="6" xfId="3" applyNumberFormat="1" applyBorder="1" applyAlignment="1">
      <alignment horizontal="center"/>
    </xf>
    <xf numFmtId="43" fontId="1" fillId="0" borderId="0" xfId="1" applyFill="1" applyBorder="1" applyAlignment="1">
      <alignment horizontal="center"/>
    </xf>
    <xf numFmtId="0" fontId="1" fillId="0" borderId="6" xfId="3" applyBorder="1" applyAlignment="1">
      <alignment horizontal="center"/>
    </xf>
    <xf numFmtId="0" fontId="1" fillId="0" borderId="3" xfId="3" applyBorder="1" applyAlignment="1">
      <alignment horizontal="center"/>
    </xf>
    <xf numFmtId="10" fontId="1" fillId="0" borderId="3" xfId="3" applyNumberFormat="1" applyBorder="1" applyAlignment="1">
      <alignment horizontal="center"/>
    </xf>
    <xf numFmtId="0" fontId="1" fillId="0" borderId="0" xfId="6" applyBorder="1"/>
    <xf numFmtId="0" fontId="5" fillId="0" borderId="0" xfId="7" applyFont="1" applyFill="1" applyAlignment="1">
      <alignment wrapText="1"/>
    </xf>
    <xf numFmtId="43" fontId="0" fillId="0" borderId="0" xfId="5" applyFont="1"/>
    <xf numFmtId="43" fontId="1" fillId="0" borderId="0" xfId="3" applyNumberFormat="1"/>
    <xf numFmtId="10" fontId="0" fillId="0" borderId="0" xfId="4" applyNumberFormat="1" applyFont="1"/>
    <xf numFmtId="10" fontId="1" fillId="0" borderId="0" xfId="3" applyNumberFormat="1"/>
    <xf numFmtId="10" fontId="1" fillId="2" borderId="0" xfId="3" applyNumberFormat="1" applyFill="1"/>
    <xf numFmtId="0" fontId="1" fillId="0" borderId="0" xfId="3" quotePrefix="1"/>
    <xf numFmtId="0" fontId="2" fillId="3" borderId="13" xfId="0" applyFont="1" applyFill="1" applyBorder="1"/>
    <xf numFmtId="0" fontId="7" fillId="0" borderId="0" xfId="8" applyFont="1" applyAlignment="1">
      <alignment horizontal="center"/>
    </xf>
    <xf numFmtId="10" fontId="7" fillId="0" borderId="0" xfId="8" applyNumberFormat="1" applyFont="1" applyAlignment="1">
      <alignment horizontal="center"/>
    </xf>
    <xf numFmtId="0" fontId="7" fillId="0" borderId="0" xfId="8" applyFont="1"/>
    <xf numFmtId="0" fontId="9" fillId="0" borderId="0" xfId="8" applyFont="1" applyBorder="1" applyAlignment="1">
      <alignment horizontal="center"/>
    </xf>
    <xf numFmtId="10" fontId="9" fillId="0" borderId="0" xfId="8" applyNumberFormat="1" applyFont="1" applyAlignment="1">
      <alignment horizontal="center"/>
    </xf>
    <xf numFmtId="10" fontId="9" fillId="0" borderId="0" xfId="8" applyNumberFormat="1" applyFont="1" applyBorder="1" applyAlignment="1">
      <alignment horizontal="center"/>
    </xf>
    <xf numFmtId="0" fontId="7" fillId="0" borderId="0" xfId="8" applyFont="1" applyBorder="1" applyAlignment="1">
      <alignment horizontal="center"/>
    </xf>
    <xf numFmtId="10" fontId="7" fillId="0" borderId="0" xfId="8" applyNumberFormat="1" applyFont="1" applyBorder="1" applyAlignment="1">
      <alignment horizontal="center"/>
    </xf>
    <xf numFmtId="10" fontId="7" fillId="0" borderId="0" xfId="4" applyNumberFormat="1" applyFont="1" applyBorder="1" applyAlignment="1">
      <alignment horizontal="center"/>
    </xf>
    <xf numFmtId="10" fontId="7" fillId="0" borderId="0" xfId="9" applyNumberFormat="1" applyFont="1" applyBorder="1" applyAlignment="1">
      <alignment horizontal="center"/>
    </xf>
    <xf numFmtId="10" fontId="7" fillId="0" borderId="0" xfId="8" applyNumberFormat="1" applyFont="1" applyBorder="1"/>
    <xf numFmtId="10" fontId="7" fillId="0" borderId="0" xfId="10" applyNumberFormat="1" applyFont="1"/>
    <xf numFmtId="10" fontId="7" fillId="0" borderId="0" xfId="10" applyNumberFormat="1" applyFont="1" applyFill="1"/>
    <xf numFmtId="10" fontId="7" fillId="0" borderId="0" xfId="8" applyNumberFormat="1" applyFont="1" applyFill="1" applyAlignment="1">
      <alignment horizontal="center"/>
    </xf>
    <xf numFmtId="10" fontId="7" fillId="0" borderId="0" xfId="8" applyNumberFormat="1" applyFont="1" applyFill="1" applyBorder="1" applyAlignment="1">
      <alignment horizontal="center"/>
    </xf>
    <xf numFmtId="0" fontId="7" fillId="0" borderId="0" xfId="8" applyFont="1" applyFill="1"/>
    <xf numFmtId="10" fontId="7" fillId="0" borderId="0" xfId="4" applyNumberFormat="1" applyFont="1" applyFill="1" applyBorder="1" applyAlignment="1">
      <alignment horizontal="center"/>
    </xf>
    <xf numFmtId="10" fontId="7" fillId="0" borderId="0" xfId="9" applyNumberFormat="1" applyFont="1" applyFill="1" applyBorder="1" applyAlignment="1">
      <alignment horizontal="center"/>
    </xf>
    <xf numFmtId="10" fontId="7" fillId="0" borderId="0" xfId="8" quotePrefix="1" applyNumberFormat="1" applyFont="1" applyFill="1" applyAlignment="1">
      <alignment horizontal="center"/>
    </xf>
    <xf numFmtId="10" fontId="7" fillId="0" borderId="0" xfId="8" applyNumberFormat="1" applyFont="1" applyFill="1"/>
    <xf numFmtId="43" fontId="7" fillId="0" borderId="0" xfId="10" quotePrefix="1" applyFont="1" applyBorder="1" applyAlignment="1">
      <alignment horizontal="center"/>
    </xf>
    <xf numFmtId="10" fontId="7" fillId="0" borderId="14" xfId="8" applyNumberFormat="1" applyFont="1" applyBorder="1" applyAlignment="1">
      <alignment horizontal="center"/>
    </xf>
    <xf numFmtId="10" fontId="7" fillId="0" borderId="14" xfId="4" applyNumberFormat="1" applyFont="1" applyFill="1" applyBorder="1" applyAlignment="1">
      <alignment horizontal="center"/>
    </xf>
    <xf numFmtId="10" fontId="7" fillId="0" borderId="14" xfId="11" applyNumberFormat="1" applyFont="1" applyFill="1" applyBorder="1" applyAlignment="1">
      <alignment horizontal="center"/>
    </xf>
    <xf numFmtId="43" fontId="7" fillId="0" borderId="0" xfId="11" applyFont="1" applyBorder="1"/>
    <xf numFmtId="0" fontId="7" fillId="0" borderId="0" xfId="8" applyFont="1" applyBorder="1"/>
    <xf numFmtId="43" fontId="7" fillId="0" borderId="0" xfId="1" applyFont="1" applyBorder="1" applyAlignment="1">
      <alignment horizontal="center"/>
    </xf>
    <xf numFmtId="43" fontId="7" fillId="0" borderId="14" xfId="4" applyNumberFormat="1" applyFont="1" applyFill="1" applyBorder="1" applyAlignment="1">
      <alignment horizontal="center"/>
    </xf>
    <xf numFmtId="0" fontId="2" fillId="3" borderId="13" xfId="0" applyFont="1" applyFill="1" applyBorder="1" applyAlignment="1">
      <alignment horizontal="left"/>
    </xf>
    <xf numFmtId="10" fontId="7" fillId="5" borderId="0" xfId="10" applyNumberFormat="1" applyFont="1" applyFill="1"/>
    <xf numFmtId="0" fontId="7" fillId="0" borderId="0" xfId="8" applyFont="1" applyFill="1" applyAlignment="1">
      <alignment horizontal="center"/>
    </xf>
    <xf numFmtId="0" fontId="9" fillId="0" borderId="0" xfId="8" applyFont="1" applyFill="1" applyBorder="1" applyAlignment="1">
      <alignment horizontal="center"/>
    </xf>
    <xf numFmtId="10" fontId="9" fillId="0" borderId="0" xfId="8" applyNumberFormat="1" applyFont="1" applyFill="1" applyAlignment="1">
      <alignment horizontal="center"/>
    </xf>
    <xf numFmtId="10" fontId="9" fillId="0" borderId="0" xfId="8" applyNumberFormat="1" applyFont="1" applyFill="1" applyBorder="1" applyAlignment="1">
      <alignment horizontal="center"/>
    </xf>
    <xf numFmtId="0" fontId="7" fillId="0" borderId="0" xfId="8" applyFont="1" applyFill="1" applyBorder="1" applyAlignment="1">
      <alignment horizontal="center"/>
    </xf>
    <xf numFmtId="10" fontId="7" fillId="0" borderId="0" xfId="8" applyNumberFormat="1" applyFont="1" applyFill="1" applyBorder="1"/>
    <xf numFmtId="10" fontId="7" fillId="0" borderId="14" xfId="8" applyNumberFormat="1" applyFont="1" applyFill="1" applyBorder="1" applyAlignment="1">
      <alignment horizontal="center"/>
    </xf>
    <xf numFmtId="43" fontId="7" fillId="0" borderId="0" xfId="11" applyFont="1" applyFill="1" applyBorder="1"/>
    <xf numFmtId="0" fontId="7" fillId="0" borderId="0" xfId="8" applyFont="1" applyFill="1" applyBorder="1"/>
    <xf numFmtId="43" fontId="7" fillId="0" borderId="0" xfId="1" applyFont="1" applyFill="1" applyBorder="1" applyAlignment="1">
      <alignment horizontal="center"/>
    </xf>
    <xf numFmtId="43" fontId="7" fillId="0" borderId="14" xfId="8" applyNumberFormat="1" applyFont="1" applyFill="1" applyBorder="1" applyAlignment="1">
      <alignment horizontal="center"/>
    </xf>
    <xf numFmtId="43" fontId="7" fillId="0" borderId="0" xfId="1" applyNumberFormat="1" applyFont="1" applyFill="1" applyBorder="1" applyAlignment="1">
      <alignment horizontal="center"/>
    </xf>
    <xf numFmtId="0" fontId="0" fillId="0" borderId="0" xfId="0" pivotButton="1"/>
    <xf numFmtId="43" fontId="0" fillId="0" borderId="0" xfId="1" pivotButton="1" applyFont="1"/>
    <xf numFmtId="0" fontId="1" fillId="0" borderId="0" xfId="12"/>
    <xf numFmtId="0" fontId="1" fillId="0" borderId="0" xfId="12" applyBorder="1"/>
    <xf numFmtId="0" fontId="2" fillId="0" borderId="4" xfId="3" applyFont="1" applyFill="1" applyBorder="1" applyAlignment="1">
      <alignment horizontal="center"/>
    </xf>
    <xf numFmtId="43" fontId="1" fillId="0" borderId="0" xfId="5" applyFill="1" applyBorder="1" applyAlignment="1">
      <alignment horizontal="center"/>
    </xf>
    <xf numFmtId="43" fontId="0" fillId="0" borderId="0" xfId="0" applyNumberFormat="1" applyBorder="1"/>
    <xf numFmtId="10" fontId="1" fillId="0" borderId="4" xfId="3" applyNumberFormat="1" applyBorder="1" applyAlignment="1">
      <alignment horizontal="center"/>
    </xf>
    <xf numFmtId="10" fontId="0" fillId="0" borderId="4" xfId="5" applyNumberFormat="1" applyFont="1" applyFill="1" applyBorder="1"/>
    <xf numFmtId="0" fontId="5" fillId="0" borderId="0" xfId="7" applyFont="1" applyFill="1" applyAlignment="1"/>
    <xf numFmtId="0" fontId="0" fillId="0" borderId="0" xfId="3" applyFont="1" applyAlignment="1">
      <alignment vertical="center"/>
    </xf>
    <xf numFmtId="43" fontId="7" fillId="0" borderId="14" xfId="8" applyNumberFormat="1" applyFont="1" applyBorder="1" applyAlignment="1">
      <alignment horizontal="center"/>
    </xf>
    <xf numFmtId="10" fontId="1" fillId="2" borderId="6" xfId="3" applyNumberFormat="1" applyFill="1" applyBorder="1" applyAlignment="1">
      <alignment horizontal="center"/>
    </xf>
    <xf numFmtId="10" fontId="1" fillId="0" borderId="6" xfId="2" applyNumberFormat="1" applyBorder="1" applyAlignment="1">
      <alignment horizontal="center"/>
    </xf>
    <xf numFmtId="10" fontId="1" fillId="0" borderId="3" xfId="2" applyNumberFormat="1" applyFill="1" applyBorder="1" applyAlignment="1">
      <alignment horizontal="center"/>
    </xf>
    <xf numFmtId="10" fontId="1" fillId="0" borderId="6" xfId="3" applyNumberFormat="1" applyFill="1" applyBorder="1" applyAlignment="1">
      <alignment horizontal="center"/>
    </xf>
    <xf numFmtId="0" fontId="0" fillId="0" borderId="0" xfId="0" applyAlignment="1">
      <alignment vertical="center"/>
    </xf>
    <xf numFmtId="10" fontId="0" fillId="0" borderId="0" xfId="2" applyNumberFormat="1" applyFont="1" applyFill="1"/>
    <xf numFmtId="43" fontId="7" fillId="0" borderId="14" xfId="1" applyFont="1" applyFill="1" applyBorder="1" applyAlignment="1">
      <alignment horizontal="center"/>
    </xf>
    <xf numFmtId="10" fontId="1" fillId="0" borderId="0" xfId="2" applyNumberFormat="1" applyFill="1" applyBorder="1" applyAlignment="1">
      <alignment horizontal="center"/>
    </xf>
    <xf numFmtId="0" fontId="0" fillId="0" borderId="5" xfId="3" quotePrefix="1" applyFont="1" applyBorder="1" applyAlignment="1">
      <alignment horizontal="center"/>
    </xf>
    <xf numFmtId="10" fontId="0" fillId="0" borderId="14" xfId="0" applyNumberFormat="1" applyBorder="1"/>
    <xf numFmtId="10" fontId="7" fillId="0" borderId="0" xfId="14" applyNumberFormat="1" applyFont="1" applyBorder="1" applyAlignment="1">
      <alignment horizontal="center"/>
    </xf>
    <xf numFmtId="10" fontId="7" fillId="0" borderId="0" xfId="8" quotePrefix="1" applyNumberFormat="1" applyFont="1" applyBorder="1" applyAlignment="1">
      <alignment horizontal="center"/>
    </xf>
    <xf numFmtId="10" fontId="7" fillId="0" borderId="0" xfId="14" applyNumberFormat="1" applyFont="1" applyFill="1" applyBorder="1" applyAlignment="1">
      <alignment horizontal="center"/>
    </xf>
    <xf numFmtId="10" fontId="7" fillId="0" borderId="14" xfId="14" applyNumberFormat="1" applyFont="1" applyFill="1" applyBorder="1" applyAlignment="1">
      <alignment horizontal="center"/>
    </xf>
    <xf numFmtId="10" fontId="7" fillId="0" borderId="0" xfId="8" quotePrefix="1" applyNumberFormat="1" applyFont="1" applyFill="1" applyBorder="1" applyAlignment="1">
      <alignment horizontal="center"/>
    </xf>
    <xf numFmtId="43" fontId="7" fillId="0" borderId="0" xfId="1" applyFont="1" applyFill="1"/>
    <xf numFmtId="10" fontId="7" fillId="0" borderId="14" xfId="1" applyNumberFormat="1" applyFont="1" applyFill="1" applyBorder="1" applyAlignment="1">
      <alignment horizontal="center"/>
    </xf>
    <xf numFmtId="43" fontId="0" fillId="0" borderId="0" xfId="1" applyFont="1" applyFill="1"/>
    <xf numFmtId="43" fontId="9" fillId="0" borderId="0" xfId="1" applyFont="1" applyFill="1" applyAlignment="1">
      <alignment horizontal="center"/>
    </xf>
    <xf numFmtId="43" fontId="9" fillId="0" borderId="0" xfId="1" applyFont="1" applyFill="1" applyBorder="1" applyAlignment="1">
      <alignment horizontal="center"/>
    </xf>
    <xf numFmtId="43" fontId="7" fillId="0" borderId="0" xfId="1" quotePrefix="1" applyFont="1" applyFill="1" applyBorder="1" applyAlignment="1">
      <alignment horizontal="center"/>
    </xf>
    <xf numFmtId="43" fontId="7" fillId="0" borderId="14" xfId="14" applyNumberFormat="1" applyFont="1" applyFill="1" applyBorder="1" applyAlignment="1">
      <alignment horizontal="center"/>
    </xf>
    <xf numFmtId="0" fontId="2" fillId="0" borderId="0" xfId="3" applyFont="1" applyFill="1" applyAlignment="1">
      <alignment horizontal="center"/>
    </xf>
    <xf numFmtId="0" fontId="2" fillId="0" borderId="0" xfId="3" applyFont="1" applyFill="1" applyAlignment="1"/>
    <xf numFmtId="0" fontId="1" fillId="0" borderId="0" xfId="12" applyFill="1"/>
    <xf numFmtId="0" fontId="1" fillId="0" borderId="0" xfId="12" applyFill="1" applyBorder="1"/>
    <xf numFmtId="0" fontId="1" fillId="0" borderId="0" xfId="6" applyFill="1"/>
    <xf numFmtId="0" fontId="2" fillId="0" borderId="1" xfId="3" applyFont="1" applyFill="1" applyBorder="1" applyAlignment="1"/>
    <xf numFmtId="0" fontId="2" fillId="0" borderId="2" xfId="3" applyFont="1" applyFill="1" applyBorder="1" applyAlignment="1">
      <alignment horizontal="center"/>
    </xf>
    <xf numFmtId="0" fontId="2" fillId="0" borderId="3" xfId="3" applyFont="1" applyFill="1" applyBorder="1"/>
    <xf numFmtId="0" fontId="0" fillId="0" borderId="5" xfId="3" quotePrefix="1" applyFont="1" applyFill="1" applyBorder="1" applyAlignment="1">
      <alignment horizontal="center"/>
    </xf>
    <xf numFmtId="0" fontId="1" fillId="0" borderId="5" xfId="3" applyFill="1" applyBorder="1" applyAlignment="1">
      <alignment horizontal="center"/>
    </xf>
    <xf numFmtId="0" fontId="0" fillId="0" borderId="5" xfId="3" applyFont="1" applyFill="1" applyBorder="1" applyAlignment="1">
      <alignment horizontal="center"/>
    </xf>
    <xf numFmtId="10" fontId="1" fillId="0" borderId="6" xfId="2" applyNumberFormat="1" applyFill="1" applyBorder="1" applyAlignment="1">
      <alignment horizontal="center"/>
    </xf>
    <xf numFmtId="0" fontId="1" fillId="0" borderId="3" xfId="3" applyFill="1" applyBorder="1" applyAlignment="1">
      <alignment horizontal="center"/>
    </xf>
    <xf numFmtId="10" fontId="1" fillId="0" borderId="3" xfId="3" applyNumberFormat="1" applyFill="1" applyBorder="1" applyAlignment="1">
      <alignment horizontal="center"/>
    </xf>
    <xf numFmtId="10" fontId="1" fillId="0" borderId="0" xfId="3" applyNumberFormat="1" applyFill="1" applyBorder="1" applyAlignment="1">
      <alignment horizontal="center"/>
    </xf>
    <xf numFmtId="0" fontId="11" fillId="3" borderId="12" xfId="0" applyFont="1" applyFill="1" applyBorder="1"/>
    <xf numFmtId="0" fontId="11" fillId="3" borderId="0" xfId="0" applyFont="1" applyFill="1" applyBorder="1"/>
    <xf numFmtId="10" fontId="12" fillId="2" borderId="0" xfId="2" applyNumberFormat="1" applyFont="1" applyFill="1"/>
    <xf numFmtId="10" fontId="7" fillId="0" borderId="0" xfId="2" applyNumberFormat="1" applyFont="1" applyFill="1"/>
    <xf numFmtId="10" fontId="7" fillId="0" borderId="14" xfId="2" applyNumberFormat="1" applyFont="1" applyFill="1" applyBorder="1" applyAlignment="1">
      <alignment horizontal="center"/>
    </xf>
    <xf numFmtId="0" fontId="1" fillId="0" borderId="0" xfId="15"/>
    <xf numFmtId="43" fontId="7" fillId="0" borderId="0" xfId="5" applyFont="1" applyBorder="1" applyAlignment="1">
      <alignment horizontal="center"/>
    </xf>
    <xf numFmtId="10" fontId="7" fillId="0" borderId="0" xfId="4" applyNumberFormat="1" applyFont="1"/>
    <xf numFmtId="43" fontId="7" fillId="0" borderId="0" xfId="5" applyFont="1" applyFill="1" applyBorder="1" applyAlignment="1">
      <alignment horizontal="center"/>
    </xf>
    <xf numFmtId="10" fontId="7" fillId="0" borderId="14" xfId="4" applyNumberFormat="1" applyFont="1" applyBorder="1" applyAlignment="1">
      <alignment horizontal="center"/>
    </xf>
    <xf numFmtId="43" fontId="7" fillId="0" borderId="0" xfId="1" quotePrefix="1" applyFont="1" applyBorder="1" applyAlignment="1">
      <alignment horizontal="center"/>
    </xf>
    <xf numFmtId="0" fontId="11" fillId="0" borderId="0" xfId="0" applyFont="1"/>
    <xf numFmtId="10" fontId="0" fillId="0" borderId="1" xfId="2" applyNumberFormat="1" applyFont="1" applyBorder="1"/>
    <xf numFmtId="0" fontId="11" fillId="3" borderId="13" xfId="0" applyFont="1" applyFill="1" applyBorder="1" applyAlignment="1">
      <alignment horizontal="left"/>
    </xf>
    <xf numFmtId="43" fontId="11" fillId="3" borderId="13" xfId="0" applyNumberFormat="1" applyFont="1" applyFill="1" applyBorder="1"/>
    <xf numFmtId="43" fontId="11" fillId="0" borderId="13" xfId="0" applyNumberFormat="1" applyFont="1" applyFill="1" applyBorder="1"/>
    <xf numFmtId="43" fontId="11" fillId="0" borderId="0" xfId="0" applyNumberFormat="1" applyFont="1" applyFill="1" applyBorder="1"/>
    <xf numFmtId="43" fontId="7" fillId="0" borderId="0" xfId="1" applyFont="1" applyAlignment="1">
      <alignment horizontal="center"/>
    </xf>
    <xf numFmtId="43" fontId="7" fillId="0" borderId="0" xfId="1" applyFont="1" applyFill="1" applyAlignment="1">
      <alignment horizontal="center"/>
    </xf>
    <xf numFmtId="0" fontId="0" fillId="0" borderId="0" xfId="0" applyFill="1" applyAlignment="1">
      <alignment horizontal="left"/>
    </xf>
    <xf numFmtId="43" fontId="2" fillId="3" borderId="13" xfId="1" applyFont="1" applyFill="1" applyBorder="1"/>
    <xf numFmtId="43" fontId="7" fillId="0" borderId="0" xfId="2" applyNumberFormat="1" applyFont="1" applyFill="1"/>
    <xf numFmtId="43" fontId="11" fillId="3" borderId="12" xfId="1" applyNumberFormat="1" applyFont="1" applyFill="1" applyBorder="1"/>
    <xf numFmtId="43" fontId="11" fillId="3" borderId="13" xfId="1" applyNumberFormat="1" applyFont="1" applyFill="1" applyBorder="1"/>
    <xf numFmtId="0" fontId="0" fillId="0" borderId="0" xfId="0" applyFill="1" applyAlignment="1"/>
    <xf numFmtId="0" fontId="0" fillId="0" borderId="0" xfId="0" applyFill="1" applyAlignment="1">
      <alignment horizontal="center" wrapText="1"/>
    </xf>
    <xf numFmtId="0" fontId="0" fillId="0" borderId="0" xfId="0" applyFill="1" applyAlignment="1">
      <alignment horizontal="left" vertical="center"/>
    </xf>
    <xf numFmtId="0" fontId="0" fillId="0" borderId="0" xfId="0" applyNumberFormat="1"/>
    <xf numFmtId="0" fontId="2" fillId="0" borderId="0" xfId="0" applyFont="1" applyAlignment="1">
      <alignment horizontal="center"/>
    </xf>
    <xf numFmtId="0" fontId="0" fillId="0" borderId="1" xfId="0" applyBorder="1" applyAlignment="1">
      <alignment horizontal="center"/>
    </xf>
    <xf numFmtId="0" fontId="2" fillId="0" borderId="0" xfId="3" applyFont="1" applyAlignment="1">
      <alignment horizontal="center"/>
    </xf>
    <xf numFmtId="0" fontId="2" fillId="0" borderId="1" xfId="3" applyFont="1" applyBorder="1" applyAlignment="1">
      <alignment horizontal="center"/>
    </xf>
    <xf numFmtId="0" fontId="5" fillId="4" borderId="0" xfId="0" applyFont="1" applyFill="1" applyAlignment="1">
      <alignment horizontal="center" wrapText="1"/>
    </xf>
    <xf numFmtId="43" fontId="8" fillId="0" borderId="0" xfId="5" applyFont="1" applyBorder="1" applyAlignment="1">
      <alignment horizontal="center"/>
    </xf>
    <xf numFmtId="0" fontId="9" fillId="0" borderId="0" xfId="8" applyFont="1" applyBorder="1" applyAlignment="1">
      <alignment horizontal="center" wrapText="1"/>
    </xf>
    <xf numFmtId="0" fontId="6" fillId="0" borderId="0" xfId="3" applyFont="1" applyAlignment="1">
      <alignment horizontal="center"/>
    </xf>
    <xf numFmtId="0" fontId="5" fillId="4" borderId="0" xfId="7" applyFont="1" applyFill="1" applyAlignment="1">
      <alignment horizontal="center" wrapText="1"/>
    </xf>
    <xf numFmtId="43" fontId="8" fillId="0" borderId="0" xfId="5" applyFont="1" applyFill="1" applyBorder="1" applyAlignment="1">
      <alignment horizontal="center"/>
    </xf>
    <xf numFmtId="0" fontId="9" fillId="0" borderId="0" xfId="8" applyFont="1" applyFill="1" applyBorder="1" applyAlignment="1">
      <alignment horizontal="center" wrapText="1"/>
    </xf>
    <xf numFmtId="0" fontId="5" fillId="4" borderId="0" xfId="7" applyFont="1" applyFill="1" applyAlignment="1">
      <alignment horizontal="center" vertical="center" wrapText="1"/>
    </xf>
    <xf numFmtId="43" fontId="8" fillId="0" borderId="0" xfId="13" applyFont="1" applyFill="1" applyBorder="1" applyAlignment="1">
      <alignment horizontal="center"/>
    </xf>
    <xf numFmtId="0" fontId="6" fillId="0" borderId="0" xfId="3" applyFont="1" applyFill="1" applyAlignment="1">
      <alignment horizontal="center"/>
    </xf>
    <xf numFmtId="0" fontId="2" fillId="0" borderId="1" xfId="3" applyFont="1" applyFill="1" applyBorder="1" applyAlignment="1">
      <alignment horizontal="center"/>
    </xf>
    <xf numFmtId="0" fontId="11" fillId="0" borderId="10" xfId="0" applyFont="1" applyBorder="1" applyAlignment="1">
      <alignment horizontal="center"/>
    </xf>
    <xf numFmtId="0" fontId="2" fillId="0" borderId="0" xfId="0" applyFont="1" applyAlignment="1">
      <alignment horizontal="center"/>
    </xf>
    <xf numFmtId="43" fontId="8" fillId="0" borderId="0" xfId="13" applyFont="1" applyBorder="1" applyAlignment="1">
      <alignment horizontal="center"/>
    </xf>
    <xf numFmtId="0" fontId="2" fillId="0" borderId="1" xfId="0" applyFont="1" applyBorder="1" applyAlignment="1">
      <alignment horizontal="center"/>
    </xf>
    <xf numFmtId="0" fontId="0" fillId="0" borderId="0" xfId="0" applyAlignment="1">
      <alignment horizontal="center"/>
    </xf>
    <xf numFmtId="10" fontId="0" fillId="0" borderId="14" xfId="2" applyNumberFormat="1" applyFont="1" applyFill="1" applyBorder="1"/>
    <xf numFmtId="0" fontId="11" fillId="0" borderId="0" xfId="0" applyFont="1" applyFill="1" applyBorder="1" applyAlignment="1">
      <alignment horizontal="left"/>
    </xf>
    <xf numFmtId="43" fontId="11" fillId="0" borderId="0" xfId="1" applyFont="1" applyFill="1" applyBorder="1"/>
    <xf numFmtId="10" fontId="0" fillId="0" borderId="0" xfId="0" applyNumberFormat="1" applyFill="1"/>
    <xf numFmtId="10" fontId="0" fillId="2" borderId="0" xfId="0" applyNumberFormat="1" applyFill="1"/>
    <xf numFmtId="0" fontId="2" fillId="0" borderId="1" xfId="0" applyFont="1" applyBorder="1" applyAlignment="1">
      <alignment horizontal="center"/>
    </xf>
    <xf numFmtId="0" fontId="0" fillId="0" borderId="0" xfId="0" quotePrefix="1" applyAlignment="1">
      <alignment horizontal="left"/>
    </xf>
    <xf numFmtId="43" fontId="2" fillId="0" borderId="0" xfId="0" applyNumberFormat="1" applyFont="1"/>
  </cellXfs>
  <cellStyles count="16">
    <cellStyle name="Comma" xfId="1" builtinId="3"/>
    <cellStyle name="Comma 2" xfId="5"/>
    <cellStyle name="Comma 2 2" xfId="13"/>
    <cellStyle name="Comma 3 2" xfId="11"/>
    <cellStyle name="Comma 4" xfId="10"/>
    <cellStyle name="Normal" xfId="0" builtinId="0"/>
    <cellStyle name="Normal 11" xfId="12"/>
    <cellStyle name="Normal 2" xfId="3"/>
    <cellStyle name="Normal 2 2" xfId="8"/>
    <cellStyle name="Normal 3" xfId="15"/>
    <cellStyle name="Normal 5" xfId="7"/>
    <cellStyle name="Normal 7" xfId="6"/>
    <cellStyle name="Percent" xfId="2" builtinId="5"/>
    <cellStyle name="Percent 2" xfId="4"/>
    <cellStyle name="Percent 2 2" xfId="14"/>
    <cellStyle name="Percent 4" xfId="9"/>
  </cellStyles>
  <dxfs count="9">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externalLink" Target="externalLinks/externalLink2.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pivotCacheDefinition" Target="pivotCache/pivotCacheDefinition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externalLink" Target="externalLinks/externalLink3.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pivotCacheDefinition" Target="pivotCache/pivotCacheDefinition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externalLink" Target="externalLinks/externalLink1.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drawings/drawing1.xml><?xml version="1.0" encoding="utf-8"?>
<xdr:wsDr xmlns:xdr="http://schemas.openxmlformats.org/drawingml/2006/spreadsheetDrawing" xmlns:a="http://schemas.openxmlformats.org/drawingml/2006/main">
  <xdr:twoCellAnchor>
    <xdr:from>
      <xdr:col>4</xdr:col>
      <xdr:colOff>85725</xdr:colOff>
      <xdr:row>33</xdr:row>
      <xdr:rowOff>76200</xdr:rowOff>
    </xdr:from>
    <xdr:to>
      <xdr:col>4</xdr:col>
      <xdr:colOff>361950</xdr:colOff>
      <xdr:row>45</xdr:row>
      <xdr:rowOff>152400</xdr:rowOff>
    </xdr:to>
    <xdr:sp macro="" textlink="">
      <xdr:nvSpPr>
        <xdr:cNvPr id="2" name="Right Brace 1"/>
        <xdr:cNvSpPr/>
      </xdr:nvSpPr>
      <xdr:spPr>
        <a:xfrm>
          <a:off x="4474845" y="6118860"/>
          <a:ext cx="276225" cy="2270760"/>
        </a:xfrm>
        <a:prstGeom prst="rightBrac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33</xdr:row>
      <xdr:rowOff>180975</xdr:rowOff>
    </xdr:from>
    <xdr:to>
      <xdr:col>6</xdr:col>
      <xdr:colOff>790575</xdr:colOff>
      <xdr:row>47</xdr:row>
      <xdr:rowOff>9525</xdr:rowOff>
    </xdr:to>
    <xdr:sp macro="" textlink="">
      <xdr:nvSpPr>
        <xdr:cNvPr id="2" name="Right Brace 1"/>
        <xdr:cNvSpPr/>
      </xdr:nvSpPr>
      <xdr:spPr>
        <a:xfrm>
          <a:off x="5257800" y="6223635"/>
          <a:ext cx="1415415" cy="2388870"/>
        </a:xfrm>
        <a:prstGeom prst="rightBrace">
          <a:avLst/>
        </a:prstGeom>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19050</xdr:colOff>
      <xdr:row>32</xdr:row>
      <xdr:rowOff>142876</xdr:rowOff>
    </xdr:from>
    <xdr:to>
      <xdr:col>7</xdr:col>
      <xdr:colOff>19050</xdr:colOff>
      <xdr:row>54</xdr:row>
      <xdr:rowOff>161926</xdr:rowOff>
    </xdr:to>
    <xdr:sp macro="" textlink="">
      <xdr:nvSpPr>
        <xdr:cNvPr id="2" name="Right Brace 1"/>
        <xdr:cNvSpPr/>
      </xdr:nvSpPr>
      <xdr:spPr>
        <a:xfrm>
          <a:off x="4309110" y="5995036"/>
          <a:ext cx="1386840" cy="4042410"/>
        </a:xfrm>
        <a:prstGeom prst="rightBrace">
          <a:avLst/>
        </a:prstGeom>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U1360-FERC%20Form%2060%20%20Rpt\2012\Company%20Nam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Allocation%20Survey\ALLOC%20DATA%20BACKUP\2013\1st%20Survey%202013\TA%20and%20TI%20Allocation%20-%201st%20Survey%202013%20without%20Navigates%20Analysis-ol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Allocation%20Survey\ALLOC%20DATA%20BACKUP\2013\2nd%20Survey%202013\TA%20Allocation%20-%202nd%20Survey%20201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Allocation%20Survey\ALLOC%20DATA%20BACKUP\2016\1st%20Survey\Basis%2020%20-%20Direct%20Billings\TI%20and%20TL\TI%20-%201st%20Survey%202016%20without%20CPG%20WO%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
          <cell r="A2" t="str">
            <v>11</v>
          </cell>
          <cell r="B2" t="str">
            <v>00011</v>
          </cell>
          <cell r="C2" t="str">
            <v>Columbia Energy Group</v>
          </cell>
          <cell r="D2" t="str">
            <v>CEG</v>
          </cell>
          <cell r="E2" t="str">
            <v>CEG011</v>
          </cell>
          <cell r="F2" t="str">
            <v>Corporate and Other</v>
          </cell>
        </row>
        <row r="3">
          <cell r="A3" t="str">
            <v>12</v>
          </cell>
          <cell r="B3" t="str">
            <v>00012</v>
          </cell>
          <cell r="C3" t="str">
            <v>NiSource Corporate Services Company, Inc.</v>
          </cell>
          <cell r="D3" t="str">
            <v>NCS</v>
          </cell>
          <cell r="E3" t="str">
            <v>NCS012</v>
          </cell>
          <cell r="F3" t="str">
            <v>Corporate and Other</v>
          </cell>
        </row>
        <row r="4">
          <cell r="A4" t="str">
            <v>14</v>
          </cell>
          <cell r="B4" t="str">
            <v>00014</v>
          </cell>
          <cell r="C4" t="str">
            <v>Columbia Gulf Transmission Company</v>
          </cell>
          <cell r="D4" t="str">
            <v>CGT</v>
          </cell>
          <cell r="E4" t="str">
            <v>CGT014</v>
          </cell>
          <cell r="F4" t="str">
            <v>NGT&amp;S</v>
          </cell>
        </row>
        <row r="5">
          <cell r="A5" t="str">
            <v>15</v>
          </cell>
          <cell r="B5" t="str">
            <v>00015</v>
          </cell>
          <cell r="C5" t="str">
            <v>Columbia Energy Services Corporation</v>
          </cell>
          <cell r="D5" t="str">
            <v>CES</v>
          </cell>
          <cell r="E5" t="str">
            <v>CES015</v>
          </cell>
          <cell r="F5" t="str">
            <v>Corporate and Other</v>
          </cell>
        </row>
        <row r="6">
          <cell r="A6" t="str">
            <v>22</v>
          </cell>
          <cell r="B6" t="str">
            <v>00022</v>
          </cell>
          <cell r="C6" t="str">
            <v>NiSource Insurance Corporation, Inc.</v>
          </cell>
          <cell r="D6" t="str">
            <v>NIC</v>
          </cell>
          <cell r="E6" t="str">
            <v>NIC022</v>
          </cell>
          <cell r="F6" t="str">
            <v>Corporate and Other</v>
          </cell>
        </row>
        <row r="7">
          <cell r="A7" t="str">
            <v>24</v>
          </cell>
          <cell r="B7" t="str">
            <v>00024</v>
          </cell>
          <cell r="C7" t="str">
            <v>EnergyUSA - TPC Corp.</v>
          </cell>
          <cell r="D7" t="str">
            <v>TPC</v>
          </cell>
          <cell r="E7" t="str">
            <v>ETP224</v>
          </cell>
          <cell r="F7" t="str">
            <v>Corporate and Other</v>
          </cell>
        </row>
        <row r="8">
          <cell r="A8" t="str">
            <v>27</v>
          </cell>
          <cell r="B8" t="str">
            <v>00027</v>
          </cell>
          <cell r="C8" t="str">
            <v>Columbia Deep Water Services Company</v>
          </cell>
          <cell r="D8" t="str">
            <v>CDW</v>
          </cell>
          <cell r="E8" t="str">
            <v>CDW045</v>
          </cell>
          <cell r="F8" t="str">
            <v>NGT&amp;S</v>
          </cell>
        </row>
        <row r="9">
          <cell r="A9" t="str">
            <v>32</v>
          </cell>
          <cell r="B9" t="str">
            <v>00032</v>
          </cell>
          <cell r="C9" t="str">
            <v>Columbia Gas of Kentucky, Inc.</v>
          </cell>
          <cell r="D9" t="str">
            <v>CKY</v>
          </cell>
          <cell r="E9" t="str">
            <v>CKY032</v>
          </cell>
          <cell r="F9" t="str">
            <v>NGD</v>
          </cell>
        </row>
        <row r="10">
          <cell r="A10" t="str">
            <v>34</v>
          </cell>
          <cell r="B10" t="str">
            <v>00034</v>
          </cell>
          <cell r="C10" t="str">
            <v>Columbia Gas of Ohio, Inc.</v>
          </cell>
          <cell r="D10" t="str">
            <v>COH</v>
          </cell>
          <cell r="E10" t="str">
            <v>COH034</v>
          </cell>
          <cell r="F10" t="str">
            <v>NGD</v>
          </cell>
        </row>
        <row r="11">
          <cell r="A11" t="str">
            <v>35</v>
          </cell>
          <cell r="B11" t="str">
            <v>00035</v>
          </cell>
          <cell r="C11" t="str">
            <v>Columbia Gas of Maryland, Inc.</v>
          </cell>
          <cell r="D11" t="str">
            <v>CMD</v>
          </cell>
          <cell r="E11" t="str">
            <v>CMD035</v>
          </cell>
          <cell r="F11" t="str">
            <v>NGD</v>
          </cell>
        </row>
        <row r="12">
          <cell r="A12" t="str">
            <v>37</v>
          </cell>
          <cell r="B12" t="str">
            <v>00037</v>
          </cell>
          <cell r="C12" t="str">
            <v>Columbia Gas of Pennsylvania, Inc.</v>
          </cell>
          <cell r="D12" t="str">
            <v>CPA</v>
          </cell>
          <cell r="E12" t="str">
            <v>CPA037</v>
          </cell>
          <cell r="F12" t="str">
            <v>NGD</v>
          </cell>
        </row>
        <row r="13">
          <cell r="A13" t="str">
            <v>38</v>
          </cell>
          <cell r="B13" t="str">
            <v>00038</v>
          </cell>
          <cell r="C13" t="str">
            <v>Columbia Gas of Virginia, Inc.</v>
          </cell>
          <cell r="D13" t="str">
            <v>CGV</v>
          </cell>
          <cell r="E13" t="str">
            <v>CVA038</v>
          </cell>
          <cell r="F13" t="str">
            <v>NGD</v>
          </cell>
        </row>
        <row r="14">
          <cell r="A14" t="str">
            <v>44</v>
          </cell>
          <cell r="B14" t="str">
            <v>00044</v>
          </cell>
          <cell r="C14" t="str">
            <v>Crossroads Pipeline Company</v>
          </cell>
          <cell r="D14" t="str">
            <v>CRP</v>
          </cell>
          <cell r="E14" t="str">
            <v>CRD044</v>
          </cell>
          <cell r="F14" t="str">
            <v>NGT&amp;S</v>
          </cell>
        </row>
        <row r="15">
          <cell r="A15" t="str">
            <v>51</v>
          </cell>
          <cell r="B15" t="str">
            <v>00051</v>
          </cell>
          <cell r="C15" t="str">
            <v>Columbia Gas Transmission, LLC</v>
          </cell>
          <cell r="D15" t="str">
            <v>TCO</v>
          </cell>
          <cell r="E15" t="str">
            <v>TCO051</v>
          </cell>
          <cell r="F15" t="str">
            <v>NGT&amp;S</v>
          </cell>
        </row>
        <row r="16">
          <cell r="A16" t="str">
            <v>52</v>
          </cell>
          <cell r="B16" t="str">
            <v>00052</v>
          </cell>
          <cell r="C16" t="str">
            <v>Columbia Atlantic Trading Corporation</v>
          </cell>
          <cell r="D16" t="str">
            <v>CAT</v>
          </cell>
          <cell r="F16" t="str">
            <v>NGT&amp;S</v>
          </cell>
        </row>
        <row r="17">
          <cell r="A17" t="str">
            <v>54</v>
          </cell>
          <cell r="B17" t="str">
            <v>00054</v>
          </cell>
          <cell r="C17" t="str">
            <v>Columbia Remainder Corporation</v>
          </cell>
          <cell r="D17" t="str">
            <v>REM</v>
          </cell>
          <cell r="E17" t="str">
            <v>REM054</v>
          </cell>
          <cell r="F17" t="str">
            <v>Corporate and Other</v>
          </cell>
        </row>
        <row r="18">
          <cell r="A18" t="str">
            <v>57</v>
          </cell>
          <cell r="B18" t="str">
            <v>00057</v>
          </cell>
          <cell r="C18" t="str">
            <v>CNS Microwave, Inc.</v>
          </cell>
          <cell r="D18" t="str">
            <v>CMI</v>
          </cell>
          <cell r="E18" t="str">
            <v>CMW057</v>
          </cell>
          <cell r="F18" t="str">
            <v>Corporate and Other</v>
          </cell>
        </row>
        <row r="19">
          <cell r="A19" t="str">
            <v>58</v>
          </cell>
          <cell r="B19" t="str">
            <v>00058</v>
          </cell>
          <cell r="C19" t="str">
            <v>NiSource Inc.</v>
          </cell>
          <cell r="D19" t="str">
            <v>NSI</v>
          </cell>
          <cell r="E19" t="str">
            <v>NSI058</v>
          </cell>
          <cell r="F19" t="str">
            <v>Corporate and Other</v>
          </cell>
        </row>
        <row r="20">
          <cell r="A20" t="str">
            <v>59</v>
          </cell>
          <cell r="B20" t="str">
            <v>00059</v>
          </cell>
          <cell r="C20" t="str">
            <v>Northern Indiana Public Service Company</v>
          </cell>
          <cell r="D20" t="str">
            <v>NIP</v>
          </cell>
          <cell r="E20" t="str">
            <v>NIPSCO</v>
          </cell>
          <cell r="F20" t="str">
            <v>NIPSCO</v>
          </cell>
        </row>
        <row r="21">
          <cell r="A21" t="str">
            <v>60</v>
          </cell>
          <cell r="B21" t="str">
            <v>00060</v>
          </cell>
          <cell r="C21" t="str">
            <v>NiSource Development Company, Inc.</v>
          </cell>
          <cell r="D21" t="str">
            <v>NDC</v>
          </cell>
          <cell r="E21" t="str">
            <v>NDC060</v>
          </cell>
          <cell r="F21" t="str">
            <v>Corporate and Other</v>
          </cell>
        </row>
        <row r="22">
          <cell r="A22" t="str">
            <v>62</v>
          </cell>
          <cell r="B22" t="str">
            <v>00062</v>
          </cell>
          <cell r="C22" t="str">
            <v>NiSource Capital Markets, Inc.</v>
          </cell>
          <cell r="D22" t="str">
            <v>NCM</v>
          </cell>
          <cell r="E22" t="str">
            <v>NCM062</v>
          </cell>
          <cell r="F22" t="str">
            <v>Corporate and Other</v>
          </cell>
        </row>
        <row r="23">
          <cell r="A23" t="str">
            <v>64</v>
          </cell>
          <cell r="B23" t="str">
            <v>00064</v>
          </cell>
          <cell r="C23" t="str">
            <v>Kokomo Gas and Fuel Company</v>
          </cell>
          <cell r="D23" t="str">
            <v>KGF</v>
          </cell>
          <cell r="E23" t="str">
            <v>KGL064</v>
          </cell>
          <cell r="F23" t="str">
            <v>NIPSCO</v>
          </cell>
        </row>
        <row r="24">
          <cell r="A24" t="str">
            <v>65</v>
          </cell>
          <cell r="B24" t="str">
            <v>00065</v>
          </cell>
          <cell r="C24" t="str">
            <v>Northern Indiana Fuel and Light Company, Inc.</v>
          </cell>
          <cell r="D24" t="str">
            <v>NIF</v>
          </cell>
          <cell r="E24" t="str">
            <v>NIF065</v>
          </cell>
          <cell r="F24" t="str">
            <v>NIPSCO</v>
          </cell>
        </row>
        <row r="25">
          <cell r="A25" t="str">
            <v>68</v>
          </cell>
          <cell r="B25" t="str">
            <v>00068</v>
          </cell>
          <cell r="C25" t="str">
            <v>EnergyUSA, Inc.</v>
          </cell>
          <cell r="D25" t="str">
            <v>EUI</v>
          </cell>
          <cell r="E25" t="str">
            <v>EUS068</v>
          </cell>
          <cell r="F25" t="str">
            <v>Corporate and Other</v>
          </cell>
        </row>
        <row r="26">
          <cell r="A26" t="str">
            <v>69</v>
          </cell>
          <cell r="B26" t="str">
            <v>00069</v>
          </cell>
          <cell r="C26" t="str">
            <v>PEI Holdings, Inc.</v>
          </cell>
          <cell r="D26" t="str">
            <v>PEI</v>
          </cell>
          <cell r="E26" t="str">
            <v>PRI069</v>
          </cell>
          <cell r="F26" t="str">
            <v>Corporate and Other</v>
          </cell>
        </row>
        <row r="27">
          <cell r="A27" t="str">
            <v>71</v>
          </cell>
          <cell r="B27" t="str">
            <v>00071</v>
          </cell>
          <cell r="C27" t="str">
            <v>NiSource Retail Services, Inc.</v>
          </cell>
          <cell r="D27" t="str">
            <v>NRS</v>
          </cell>
          <cell r="E27" t="str">
            <v>NRS071</v>
          </cell>
          <cell r="F27" t="str">
            <v>NGD</v>
          </cell>
        </row>
        <row r="28">
          <cell r="A28" t="str">
            <v>73</v>
          </cell>
          <cell r="B28" t="str">
            <v>00073</v>
          </cell>
          <cell r="C28" t="str">
            <v>Granite State Transmission, Inc.</v>
          </cell>
          <cell r="D28" t="str">
            <v>GST</v>
          </cell>
          <cell r="E28" t="str">
            <v>GSG073</v>
          </cell>
          <cell r="F28" t="str">
            <v>Disc Ops</v>
          </cell>
        </row>
        <row r="29">
          <cell r="A29" t="str">
            <v>74</v>
          </cell>
          <cell r="B29" t="str">
            <v>00074</v>
          </cell>
          <cell r="C29" t="str">
            <v>Service Protection Group, LLC</v>
          </cell>
          <cell r="D29" t="str">
            <v>SPG</v>
          </cell>
          <cell r="E29" t="str">
            <v>SPG074</v>
          </cell>
          <cell r="F29" t="str">
            <v>NGD</v>
          </cell>
        </row>
        <row r="30">
          <cell r="A30" t="str">
            <v>75</v>
          </cell>
          <cell r="B30" t="str">
            <v>00075</v>
          </cell>
          <cell r="C30" t="str">
            <v>NiSource Finance Corp.</v>
          </cell>
          <cell r="D30" t="str">
            <v>NFC</v>
          </cell>
          <cell r="E30" t="str">
            <v>NFC075</v>
          </cell>
          <cell r="F30" t="str">
            <v>Corporate and Other</v>
          </cell>
        </row>
        <row r="31">
          <cell r="A31" t="str">
            <v>76</v>
          </cell>
          <cell r="B31" t="str">
            <v>00076</v>
          </cell>
          <cell r="C31" t="str">
            <v>Northern Utilities, Inc. - Maine</v>
          </cell>
          <cell r="D31" t="str">
            <v>NUM</v>
          </cell>
          <cell r="F31" t="str">
            <v>Disc Ops</v>
          </cell>
        </row>
        <row r="32">
          <cell r="A32" t="str">
            <v>77</v>
          </cell>
          <cell r="B32" t="str">
            <v>00077</v>
          </cell>
          <cell r="C32" t="str">
            <v>Northern Utilities, Inc. - New Hampshire</v>
          </cell>
          <cell r="D32" t="str">
            <v>NUN</v>
          </cell>
          <cell r="E32" t="str">
            <v>EIN077</v>
          </cell>
          <cell r="F32" t="str">
            <v>Disc Ops</v>
          </cell>
        </row>
        <row r="33">
          <cell r="A33" t="str">
            <v>78</v>
          </cell>
          <cell r="B33" t="str">
            <v>00078</v>
          </cell>
          <cell r="C33" t="str">
            <v>NiSource Energy Technologies, Inc.</v>
          </cell>
          <cell r="D33" t="str">
            <v>NET</v>
          </cell>
          <cell r="E33" t="str">
            <v>NET078</v>
          </cell>
          <cell r="F33" t="str">
            <v>Corporate and Other</v>
          </cell>
        </row>
        <row r="34">
          <cell r="A34" t="str">
            <v>80</v>
          </cell>
          <cell r="B34" t="str">
            <v>00080</v>
          </cell>
          <cell r="C34" t="str">
            <v>Columbia Gas of Massachusetts</v>
          </cell>
          <cell r="D34" t="str">
            <v>BSM</v>
          </cell>
          <cell r="E34" t="str">
            <v>BSG066</v>
          </cell>
          <cell r="F34" t="str">
            <v>NGD</v>
          </cell>
        </row>
        <row r="35">
          <cell r="A35" t="str">
            <v>82</v>
          </cell>
          <cell r="B35" t="str">
            <v>00082</v>
          </cell>
          <cell r="C35" t="str">
            <v>NiSource Gas Transmission and Storage Company</v>
          </cell>
          <cell r="D35" t="str">
            <v>GTS</v>
          </cell>
          <cell r="E35" t="str">
            <v>GTS082</v>
          </cell>
          <cell r="F35" t="str">
            <v>NGT&amp;S</v>
          </cell>
        </row>
        <row r="36">
          <cell r="A36" t="str">
            <v>84</v>
          </cell>
          <cell r="B36" t="str">
            <v>00084</v>
          </cell>
          <cell r="C36" t="str">
            <v>Columbia of Ohio Receivables Corporation</v>
          </cell>
          <cell r="D36" t="str">
            <v>COR</v>
          </cell>
          <cell r="E36" t="str">
            <v>COR084</v>
          </cell>
          <cell r="F36" t="str">
            <v>Corporate and Other</v>
          </cell>
        </row>
        <row r="37">
          <cell r="A37" t="str">
            <v>85</v>
          </cell>
          <cell r="B37" t="str">
            <v>00085</v>
          </cell>
          <cell r="C37" t="str">
            <v>Central Kentucky Transmission Company</v>
          </cell>
          <cell r="D37" t="str">
            <v>CKT</v>
          </cell>
          <cell r="E37" t="str">
            <v>CKT085</v>
          </cell>
          <cell r="F37" t="str">
            <v>NGT&amp;S</v>
          </cell>
        </row>
        <row r="38">
          <cell r="A38" t="str">
            <v>86</v>
          </cell>
          <cell r="B38" t="str">
            <v>00086</v>
          </cell>
          <cell r="C38" t="str">
            <v>IWC Resources Corporation</v>
          </cell>
          <cell r="D38" t="str">
            <v>IWR</v>
          </cell>
          <cell r="E38" t="str">
            <v>IWR086</v>
          </cell>
          <cell r="F38" t="str">
            <v>Corporate and Other</v>
          </cell>
        </row>
        <row r="39">
          <cell r="A39" t="str">
            <v>89</v>
          </cell>
          <cell r="B39" t="str">
            <v>00089</v>
          </cell>
          <cell r="C39" t="str">
            <v>Northern Indiana Public Service Company - ELECTRIC ONLY</v>
          </cell>
          <cell r="D39" t="str">
            <v>NIP-ELEC</v>
          </cell>
          <cell r="F39" t="str">
            <v>NIPSCO</v>
          </cell>
        </row>
        <row r="40">
          <cell r="A40" t="str">
            <v>90</v>
          </cell>
          <cell r="B40" t="str">
            <v>00090</v>
          </cell>
          <cell r="C40" t="str">
            <v>Northern Indiana Public Service Company - GAS ONLY</v>
          </cell>
          <cell r="D40" t="str">
            <v>NIP-GAS</v>
          </cell>
          <cell r="F40" t="str">
            <v>NIPSCO</v>
          </cell>
        </row>
        <row r="41">
          <cell r="A41" t="str">
            <v>91</v>
          </cell>
          <cell r="B41" t="str">
            <v>00091</v>
          </cell>
          <cell r="C41" t="str">
            <v>Energy Interchange, LLC</v>
          </cell>
          <cell r="D41" t="str">
            <v>EIC</v>
          </cell>
          <cell r="E41" t="str">
            <v>EIL091</v>
          </cell>
          <cell r="F41" t="str">
            <v>NGT&amp;S</v>
          </cell>
        </row>
        <row r="42">
          <cell r="A42" t="str">
            <v>92</v>
          </cell>
          <cell r="B42" t="str">
            <v>00092</v>
          </cell>
          <cell r="C42" t="str">
            <v>NiSource Energy Ventures, LLC</v>
          </cell>
          <cell r="D42" t="str">
            <v>NEV</v>
          </cell>
          <cell r="E42" t="str">
            <v>NEV092</v>
          </cell>
          <cell r="F42" t="str">
            <v>NGT&amp;S</v>
          </cell>
        </row>
        <row r="43">
          <cell r="A43" t="str">
            <v>93</v>
          </cell>
          <cell r="B43" t="str">
            <v>00093</v>
          </cell>
          <cell r="C43" t="str">
            <v>Columbia Gas of Ohio Receivables Corporation</v>
          </cell>
          <cell r="D43" t="str">
            <v>ORC</v>
          </cell>
          <cell r="E43" t="str">
            <v>ORC093</v>
          </cell>
          <cell r="F43" t="str">
            <v>Corporate and Other</v>
          </cell>
        </row>
        <row r="44">
          <cell r="A44" t="str">
            <v>94</v>
          </cell>
          <cell r="B44" t="str">
            <v>00094</v>
          </cell>
          <cell r="C44" t="str">
            <v>Columbia Gas of Pennsylvania Receivables Corporation</v>
          </cell>
          <cell r="D44" t="str">
            <v>PRC</v>
          </cell>
          <cell r="E44" t="str">
            <v>PRC094</v>
          </cell>
          <cell r="F44" t="str">
            <v>Corporate and Other</v>
          </cell>
        </row>
        <row r="45">
          <cell r="A45" t="str">
            <v>95</v>
          </cell>
          <cell r="B45" t="str">
            <v>00095</v>
          </cell>
          <cell r="C45" t="str">
            <v>NIPSCO Accounts Receivables Corporation</v>
          </cell>
          <cell r="D45" t="str">
            <v>NAR</v>
          </cell>
          <cell r="F45" t="str">
            <v>Corporate and Other</v>
          </cell>
        </row>
        <row r="46">
          <cell r="A46" t="str">
            <v>96</v>
          </cell>
          <cell r="B46" t="str">
            <v>00096</v>
          </cell>
          <cell r="C46" t="str">
            <v>NiSource Midstream Services, LLC</v>
          </cell>
          <cell r="D46" t="str">
            <v>NMS</v>
          </cell>
          <cell r="E46" t="str">
            <v>NMS096</v>
          </cell>
          <cell r="F46" t="str">
            <v>NGT&amp;S</v>
          </cell>
        </row>
        <row r="47">
          <cell r="A47" t="str">
            <v>97</v>
          </cell>
          <cell r="B47" t="str">
            <v>00097</v>
          </cell>
          <cell r="C47" t="str">
            <v>Kenasaw Pipeline Company, LLC</v>
          </cell>
          <cell r="D47" t="str">
            <v>KPL</v>
          </cell>
          <cell r="E47" t="str">
            <v>KPL097</v>
          </cell>
          <cell r="F47" t="str">
            <v>NGT&amp;S</v>
          </cell>
        </row>
        <row r="48">
          <cell r="A48" t="str">
            <v>464</v>
          </cell>
          <cell r="B48" t="str">
            <v>00464</v>
          </cell>
          <cell r="C48" t="str">
            <v>Columbia Hardy Corporation</v>
          </cell>
          <cell r="D48" t="str">
            <v>CHC</v>
          </cell>
          <cell r="E48" t="str">
            <v>CHC464</v>
          </cell>
          <cell r="F48" t="str">
            <v>NGT&amp;S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 - Differences"/>
      <sheetName val="TI - Differences"/>
      <sheetName val="Pivot"/>
      <sheetName val="Resp Data"/>
      <sheetName val="CGP Executive Labor"/>
      <sheetName val="123447 473727 Query"/>
      <sheetName val="Navigator Charges"/>
    </sheetNames>
    <sheetDataSet>
      <sheetData sheetId="0"/>
      <sheetData sheetId="1"/>
      <sheetData sheetId="2">
        <row r="47">
          <cell r="E47">
            <v>-847018.93</v>
          </cell>
        </row>
        <row r="48">
          <cell r="E48">
            <v>-30510.92</v>
          </cell>
        </row>
        <row r="49">
          <cell r="E49">
            <v>-5498273.5199999996</v>
          </cell>
        </row>
      </sheetData>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fferences"/>
      <sheetName val="Pivot"/>
      <sheetName val="Pivot - Old"/>
      <sheetName val="Resp Data"/>
      <sheetName val="CPG Executive Labor"/>
      <sheetName val="Executive Dept"/>
      <sheetName val="dbo_DetailBillingPS Query"/>
      <sheetName val="123447 473727 Query"/>
    </sheetNames>
    <sheetDataSet>
      <sheetData sheetId="0"/>
      <sheetData sheetId="1"/>
      <sheetData sheetId="2"/>
      <sheetData sheetId="3"/>
      <sheetData sheetId="4"/>
      <sheetData sheetId="5">
        <row r="5">
          <cell r="B5">
            <v>195212.50000000003</v>
          </cell>
        </row>
        <row r="6">
          <cell r="B6">
            <v>182432.28</v>
          </cell>
        </row>
        <row r="7">
          <cell r="B7">
            <v>1695878.1000000003</v>
          </cell>
        </row>
        <row r="8">
          <cell r="B8">
            <v>63432.799999999996</v>
          </cell>
        </row>
        <row r="9">
          <cell r="B9">
            <v>689374.35000000044</v>
          </cell>
        </row>
        <row r="10">
          <cell r="B10">
            <v>362740.86999999982</v>
          </cell>
        </row>
        <row r="11">
          <cell r="B11">
            <v>9029.9500000000025</v>
          </cell>
        </row>
        <row r="12">
          <cell r="B12">
            <v>1484230.1600000008</v>
          </cell>
        </row>
        <row r="13">
          <cell r="B13">
            <v>472813.10000000003</v>
          </cell>
        </row>
        <row r="14">
          <cell r="B14">
            <v>674879.18000000017</v>
          </cell>
        </row>
        <row r="15">
          <cell r="B15">
            <v>73569.520000000019</v>
          </cell>
        </row>
        <row r="16">
          <cell r="B16">
            <v>1256.9199999999992</v>
          </cell>
        </row>
        <row r="17">
          <cell r="B17">
            <v>77797.320000000007</v>
          </cell>
        </row>
        <row r="18">
          <cell r="B18">
            <v>117.33999999999997</v>
          </cell>
        </row>
      </sheetData>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 Allocation"/>
      <sheetName val="Summary (by month)"/>
      <sheetName val="Summary"/>
      <sheetName val="TI Jan-Mar"/>
      <sheetName val="TI Apr-Jul"/>
      <sheetName val="TI Aug-Dec"/>
      <sheetName val="Co 58 Oct"/>
      <sheetName val="CPG00031"/>
      <sheetName val="2014 TI Jul-Dec"/>
    </sheetNames>
    <sheetDataSet>
      <sheetData sheetId="0"/>
      <sheetData sheetId="1">
        <row r="16">
          <cell r="O16">
            <v>149024.49</v>
          </cell>
        </row>
        <row r="17">
          <cell r="O17">
            <v>39166.33</v>
          </cell>
        </row>
      </sheetData>
      <sheetData sheetId="2"/>
      <sheetData sheetId="3"/>
      <sheetData sheetId="4"/>
      <sheetData sheetId="5"/>
      <sheetData sheetId="6"/>
      <sheetData sheetId="7"/>
      <sheetData sheetId="8"/>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K:\Allocation%20Survey\ALLOC%20DATA%20BACKUP\2013\1st%20Survey%202013\TA%20and%20TI%20Allocation%20-%201st%20Survey%202013%20without%20Navigates%20Analysis-old.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file:///K:\Allocation%20Survey\ALLOC%20DATA%20BACKUP\2013\1st%20Survey%202013\TA%20and%20TI%20Allocation%20-%201st%20Survey%202013%20without%20Navigates%20Analysis-old.xlsx" TargetMode="External"/><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Greg Shoemaker" refreshedDate="41365.430473842593" createdVersion="4" refreshedVersion="4" minRefreshableVersion="3" recordCount="29">
  <cacheSource type="worksheet">
    <worksheetSource ref="I4:K33" sheet="TA - Differences" r:id="rId2"/>
  </cacheSource>
  <cacheFields count="3">
    <cacheField name="Company" numFmtId="0">
      <sharedItems/>
    </cacheField>
    <cacheField name="Segment" numFmtId="0">
      <sharedItems containsBlank="1" count="5">
        <s v="Corporate and Other"/>
        <s v="NGT&amp;S"/>
        <s v="NGD"/>
        <s v="NIPSCO"/>
        <m/>
      </sharedItems>
    </cacheField>
    <cacheField name="Difference" numFmtId="10">
      <sharedItems containsSemiMixedTypes="0" containsString="0" containsNumber="1" minValue="-1.1599999999999999E-2" maxValue="5.0000000000000044E-3"/>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Greg Shoemaker" refreshedDate="41365.430693287039" createdVersion="4" refreshedVersion="4" minRefreshableVersion="3" recordCount="29">
  <cacheSource type="worksheet">
    <worksheetSource ref="I4:K33" sheet="TI - Differences" r:id="rId2"/>
  </cacheSource>
  <cacheFields count="3">
    <cacheField name="Company" numFmtId="0">
      <sharedItems/>
    </cacheField>
    <cacheField name="Segment" numFmtId="0">
      <sharedItems containsBlank="1" count="5">
        <s v="Corporate and Other"/>
        <s v="NGT&amp;S"/>
        <s v="NGD"/>
        <s v="NIPSCO"/>
        <m/>
      </sharedItems>
    </cacheField>
    <cacheField name="Difference" numFmtId="10">
      <sharedItems containsSemiMixedTypes="0" containsString="0" containsNumber="1" minValue="-2.3099999999999954E-2" maxValue="9.199999999999986E-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9">
  <r>
    <s v="11"/>
    <x v="0"/>
    <n v="9.9999999999999829E-5"/>
  </r>
  <r>
    <s v="14"/>
    <x v="1"/>
    <n v="-1.800000000000003E-3"/>
  </r>
  <r>
    <s v="22"/>
    <x v="0"/>
    <n v="0"/>
  </r>
  <r>
    <s v="24"/>
    <x v="0"/>
    <n v="0"/>
  </r>
  <r>
    <s v="32"/>
    <x v="2"/>
    <n v="4.0000000000000105E-4"/>
  </r>
  <r>
    <s v="34"/>
    <x v="2"/>
    <n v="3.1999999999999806E-3"/>
  </r>
  <r>
    <s v="35"/>
    <x v="2"/>
    <n v="1.9999999999999879E-4"/>
  </r>
  <r>
    <s v="37"/>
    <x v="2"/>
    <n v="1.3999999999999985E-3"/>
  </r>
  <r>
    <s v="38"/>
    <x v="2"/>
    <n v="8.000000000000021E-4"/>
  </r>
  <r>
    <s v="44"/>
    <x v="1"/>
    <n v="-1.0000000000000005E-4"/>
  </r>
  <r>
    <s v="51"/>
    <x v="1"/>
    <n v="-1.1599999999999999E-2"/>
  </r>
  <r>
    <s v="57"/>
    <x v="0"/>
    <n v="0"/>
  </r>
  <r>
    <s v="58"/>
    <x v="0"/>
    <n v="2.9999999999999818E-4"/>
  </r>
  <r>
    <s v="59"/>
    <x v="3"/>
    <n v="5.0000000000000044E-3"/>
  </r>
  <r>
    <s v="60"/>
    <x v="0"/>
    <n v="1.0000000000000026E-4"/>
  </r>
  <r>
    <s v="62"/>
    <x v="0"/>
    <n v="0"/>
  </r>
  <r>
    <s v="68"/>
    <x v="0"/>
    <n v="0"/>
  </r>
  <r>
    <s v="71"/>
    <x v="2"/>
    <n v="0"/>
  </r>
  <r>
    <s v="74"/>
    <x v="2"/>
    <n v="0"/>
  </r>
  <r>
    <s v="75"/>
    <x v="0"/>
    <n v="0"/>
  </r>
  <r>
    <s v="78"/>
    <x v="0"/>
    <n v="0"/>
  </r>
  <r>
    <s v="80"/>
    <x v="2"/>
    <n v="1.5999999999999903E-3"/>
  </r>
  <r>
    <s v="82"/>
    <x v="1"/>
    <n v="2.9999999999999818E-4"/>
  </r>
  <r>
    <s v="92"/>
    <x v="1"/>
    <n v="0"/>
  </r>
  <r>
    <s v="93"/>
    <x v="0"/>
    <n v="0"/>
  </r>
  <r>
    <s v="94"/>
    <x v="0"/>
    <n v="0"/>
  </r>
  <r>
    <s v="96"/>
    <x v="1"/>
    <n v="9.9999999999999829E-5"/>
  </r>
  <r>
    <s v="97"/>
    <x v="1"/>
    <n v="0"/>
  </r>
  <r>
    <s v="Total"/>
    <x v="4"/>
    <n v="-3.0791341698588326E-17"/>
  </r>
</pivotCacheRecords>
</file>

<file path=xl/pivotCache/pivotCacheRecords2.xml><?xml version="1.0" encoding="utf-8"?>
<pivotCacheRecords xmlns="http://schemas.openxmlformats.org/spreadsheetml/2006/main" xmlns:r="http://schemas.openxmlformats.org/officeDocument/2006/relationships" count="29">
  <r>
    <s v="11"/>
    <x v="0"/>
    <n v="0"/>
  </r>
  <r>
    <s v="14"/>
    <x v="1"/>
    <n v="-3.9000000000000007E-3"/>
  </r>
  <r>
    <s v="22"/>
    <x v="0"/>
    <n v="0"/>
  </r>
  <r>
    <s v="24"/>
    <x v="0"/>
    <n v="9.9999999999999937E-5"/>
  </r>
  <r>
    <s v="32"/>
    <x v="2"/>
    <n v="9.0000000000000149E-4"/>
  </r>
  <r>
    <s v="34"/>
    <x v="2"/>
    <n v="7.6000000000000234E-3"/>
  </r>
  <r>
    <s v="35"/>
    <x v="2"/>
    <n v="2.9999999999999992E-4"/>
  </r>
  <r>
    <s v="37"/>
    <x v="2"/>
    <n v="3.0000000000000027E-3"/>
  </r>
  <r>
    <s v="38"/>
    <x v="2"/>
    <n v="1.5999999999999973E-3"/>
  </r>
  <r>
    <s v="44"/>
    <x v="1"/>
    <n v="-1.9999999999999998E-4"/>
  </r>
  <r>
    <s v="51"/>
    <x v="1"/>
    <n v="-2.3099999999999954E-2"/>
  </r>
  <r>
    <s v="57"/>
    <x v="0"/>
    <n v="0"/>
  </r>
  <r>
    <s v="58"/>
    <x v="0"/>
    <n v="4.9999999999999914E-4"/>
  </r>
  <r>
    <s v="59"/>
    <x v="3"/>
    <n v="9.199999999999986E-3"/>
  </r>
  <r>
    <s v="60"/>
    <x v="0"/>
    <n v="0"/>
  </r>
  <r>
    <s v="62"/>
    <x v="0"/>
    <n v="0"/>
  </r>
  <r>
    <s v="68"/>
    <x v="0"/>
    <n v="0"/>
  </r>
  <r>
    <s v="71"/>
    <x v="2"/>
    <n v="0"/>
  </r>
  <r>
    <s v="74"/>
    <x v="2"/>
    <n v="0"/>
  </r>
  <r>
    <s v="75"/>
    <x v="0"/>
    <n v="0"/>
  </r>
  <r>
    <s v="78"/>
    <x v="0"/>
    <n v="0"/>
  </r>
  <r>
    <s v="80"/>
    <x v="2"/>
    <n v="3.5000000000000031E-3"/>
  </r>
  <r>
    <s v="82"/>
    <x v="1"/>
    <n v="5.0000000000000044E-4"/>
  </r>
  <r>
    <s v="92"/>
    <x v="1"/>
    <n v="0"/>
  </r>
  <r>
    <s v="93"/>
    <x v="0"/>
    <n v="0"/>
  </r>
  <r>
    <s v="94"/>
    <x v="0"/>
    <n v="0"/>
  </r>
  <r>
    <s v="96"/>
    <x v="1"/>
    <n v="0"/>
  </r>
  <r>
    <s v="97"/>
    <x v="1"/>
    <n v="0"/>
  </r>
  <r>
    <s v="Total"/>
    <x v="4"/>
    <n v="5.7245874707234634E-1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3" cacheId="34"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E36:F41" firstHeaderRow="1" firstDataRow="1" firstDataCol="1"/>
  <pivotFields count="3">
    <pivotField showAll="0"/>
    <pivotField axis="axisRow" showAll="0">
      <items count="6">
        <item x="0"/>
        <item x="2"/>
        <item x="1"/>
        <item x="3"/>
        <item h="1" x="4"/>
        <item t="default"/>
      </items>
    </pivotField>
    <pivotField dataField="1" numFmtId="10" showAll="0"/>
  </pivotFields>
  <rowFields count="1">
    <field x="1"/>
  </rowFields>
  <rowItems count="5">
    <i>
      <x/>
    </i>
    <i>
      <x v="1"/>
    </i>
    <i>
      <x v="2"/>
    </i>
    <i>
      <x v="3"/>
    </i>
    <i t="grand">
      <x/>
    </i>
  </rowItems>
  <colItems count="1">
    <i/>
  </colItems>
  <dataFields count="1">
    <dataField name="Sum of Difference" fld="2" baseField="0" baseItem="0" numFmtId="1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3" cacheId="35"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E36:F41" firstHeaderRow="1" firstDataRow="1" firstDataCol="1"/>
  <pivotFields count="3">
    <pivotField showAll="0"/>
    <pivotField axis="axisRow" showAll="0">
      <items count="6">
        <item x="0"/>
        <item x="2"/>
        <item x="1"/>
        <item x="3"/>
        <item h="1" x="4"/>
        <item t="default"/>
      </items>
    </pivotField>
    <pivotField dataField="1" numFmtId="10" showAll="0"/>
  </pivotFields>
  <rowFields count="1">
    <field x="1"/>
  </rowFields>
  <rowItems count="5">
    <i>
      <x/>
    </i>
    <i>
      <x v="1"/>
    </i>
    <i>
      <x v="2"/>
    </i>
    <i>
      <x v="3"/>
    </i>
    <i t="grand">
      <x/>
    </i>
  </rowItems>
  <colItems count="1">
    <i/>
  </colItems>
  <dataFields count="1">
    <dataField name="Sum of Difference" fld="2" baseField="0" baseItem="0" numFmtId="1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ivotTable" Target="../pivotTables/pivotTable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ivotTable" Target="../pivotTables/pivotTable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34998626667073579"/>
    <pageSetUpPr fitToPage="1"/>
  </sheetPr>
  <dimension ref="A1:K34"/>
  <sheetViews>
    <sheetView tabSelected="1" workbookViewId="0">
      <selection sqref="A1:D1"/>
    </sheetView>
  </sheetViews>
  <sheetFormatPr defaultRowHeight="14.4"/>
  <cols>
    <col min="1" max="1" width="9.33203125" bestFit="1" customWidth="1"/>
    <col min="2" max="2" width="14.5546875" bestFit="1" customWidth="1"/>
    <col min="3" max="3" width="11" bestFit="1" customWidth="1"/>
    <col min="4" max="4" width="19.6640625" bestFit="1" customWidth="1"/>
    <col min="6" max="6" width="9.33203125" bestFit="1" customWidth="1"/>
    <col min="7" max="7" width="14.5546875" bestFit="1" customWidth="1"/>
    <col min="8" max="8" width="11" bestFit="1" customWidth="1"/>
    <col min="10" max="10" width="9.33203125" style="30" bestFit="1" customWidth="1"/>
    <col min="11" max="11" width="10.44140625" style="30" bestFit="1" customWidth="1"/>
  </cols>
  <sheetData>
    <row r="1" spans="1:11">
      <c r="A1" s="241" t="s">
        <v>0</v>
      </c>
      <c r="B1" s="241"/>
      <c r="C1" s="241"/>
      <c r="D1" s="241"/>
      <c r="F1" s="241" t="s">
        <v>1</v>
      </c>
      <c r="G1" s="241"/>
      <c r="H1" s="241"/>
      <c r="J1" s="1"/>
      <c r="K1" s="1"/>
    </row>
    <row r="2" spans="1:11">
      <c r="A2" s="2" t="s">
        <v>2</v>
      </c>
      <c r="B2" s="3" t="s">
        <v>3</v>
      </c>
      <c r="C2" s="3" t="s">
        <v>4</v>
      </c>
      <c r="D2" s="4" t="s">
        <v>5</v>
      </c>
      <c r="F2" s="5" t="s">
        <v>2</v>
      </c>
      <c r="G2" s="5" t="s">
        <v>6</v>
      </c>
      <c r="H2" s="6" t="s">
        <v>4</v>
      </c>
      <c r="J2" s="7" t="s">
        <v>2</v>
      </c>
      <c r="K2" s="8" t="s">
        <v>7</v>
      </c>
    </row>
    <row r="3" spans="1:11">
      <c r="A3" s="9" t="s">
        <v>8</v>
      </c>
      <c r="B3" s="10">
        <v>4336807.3399999989</v>
      </c>
      <c r="C3" s="11">
        <v>1.2756180950882977E-2</v>
      </c>
      <c r="D3" s="12">
        <v>1.2800000000000001E-2</v>
      </c>
      <c r="F3" s="13" t="s">
        <v>8</v>
      </c>
      <c r="G3" s="14">
        <v>3422765.24</v>
      </c>
      <c r="H3" s="15">
        <v>1.1025113922917768E-2</v>
      </c>
      <c r="J3" s="16" t="str">
        <f>A3</f>
        <v>11</v>
      </c>
      <c r="K3" s="17">
        <f>D3-H3</f>
        <v>1.7748860770822328E-3</v>
      </c>
    </row>
    <row r="4" spans="1:11">
      <c r="A4" s="9" t="s">
        <v>9</v>
      </c>
      <c r="B4" s="10">
        <v>13167096.240000002</v>
      </c>
      <c r="C4" s="11">
        <v>3.8729380640443886E-2</v>
      </c>
      <c r="D4" s="12">
        <v>3.8699999999999998E-2</v>
      </c>
      <c r="F4" s="18" t="s">
        <v>9</v>
      </c>
      <c r="G4" s="19">
        <v>11649449.630000001</v>
      </c>
      <c r="H4" s="15">
        <v>3.7524194709317032E-2</v>
      </c>
      <c r="J4" s="16" t="str">
        <f t="shared" ref="J4:J34" si="0">A4</f>
        <v>14</v>
      </c>
      <c r="K4" s="17">
        <f t="shared" ref="K4:K33" si="1">D4-H4</f>
        <v>1.1758052906829658E-3</v>
      </c>
    </row>
    <row r="5" spans="1:11">
      <c r="A5" s="9" t="s">
        <v>10</v>
      </c>
      <c r="B5" s="10">
        <v>102724.4</v>
      </c>
      <c r="C5" s="11">
        <v>3.0215108298329056E-4</v>
      </c>
      <c r="D5" s="12">
        <v>2.9999999999999997E-4</v>
      </c>
      <c r="F5" s="18" t="s">
        <v>10</v>
      </c>
      <c r="G5" s="19">
        <v>45975.1</v>
      </c>
      <c r="H5" s="15">
        <v>1.4809099648257986E-4</v>
      </c>
      <c r="J5" s="16" t="str">
        <f t="shared" si="0"/>
        <v>15</v>
      </c>
      <c r="K5" s="17">
        <f t="shared" si="1"/>
        <v>1.5190900351742012E-4</v>
      </c>
    </row>
    <row r="6" spans="1:11">
      <c r="A6" s="9" t="s">
        <v>11</v>
      </c>
      <c r="B6" s="10">
        <v>193417.28999999998</v>
      </c>
      <c r="C6" s="11">
        <v>5.689129714186033E-4</v>
      </c>
      <c r="D6" s="12">
        <v>5.9999999999999995E-4</v>
      </c>
      <c r="F6" s="18" t="s">
        <v>11</v>
      </c>
      <c r="G6" s="19">
        <v>176847.13</v>
      </c>
      <c r="H6" s="15">
        <v>5.6964460559703726E-4</v>
      </c>
      <c r="J6" s="16" t="str">
        <f t="shared" si="0"/>
        <v>22</v>
      </c>
      <c r="K6" s="17">
        <f t="shared" si="1"/>
        <v>3.0355394402962685E-5</v>
      </c>
    </row>
    <row r="7" spans="1:11">
      <c r="A7" s="9" t="s">
        <v>12</v>
      </c>
      <c r="B7" s="10">
        <v>625758.10000000009</v>
      </c>
      <c r="C7" s="11">
        <v>1.8405898462348408E-3</v>
      </c>
      <c r="D7" s="12">
        <v>1.8E-3</v>
      </c>
      <c r="F7" s="18" t="s">
        <v>12</v>
      </c>
      <c r="G7" s="19">
        <v>705719.16</v>
      </c>
      <c r="H7" s="15">
        <v>2.2732012250381017E-3</v>
      </c>
      <c r="J7" s="16" t="str">
        <f t="shared" si="0"/>
        <v>24</v>
      </c>
      <c r="K7" s="17">
        <f t="shared" si="1"/>
        <v>-4.7320122503810179E-4</v>
      </c>
    </row>
    <row r="8" spans="1:11">
      <c r="A8" s="9" t="s">
        <v>13</v>
      </c>
      <c r="B8" s="10">
        <v>7841569.6700000009</v>
      </c>
      <c r="C8" s="11">
        <v>2.3065004692939796E-2</v>
      </c>
      <c r="D8" s="12">
        <v>2.3099999999999999E-2</v>
      </c>
      <c r="F8" s="18" t="s">
        <v>13</v>
      </c>
      <c r="G8" s="19">
        <v>7120034.1400000006</v>
      </c>
      <c r="H8" s="15">
        <v>2.2934435178663858E-2</v>
      </c>
      <c r="J8" s="16" t="str">
        <f t="shared" si="0"/>
        <v>32</v>
      </c>
      <c r="K8" s="17">
        <f t="shared" si="1"/>
        <v>1.6556482133614145E-4</v>
      </c>
    </row>
    <row r="9" spans="1:11">
      <c r="A9" s="9" t="s">
        <v>14</v>
      </c>
      <c r="B9" s="10">
        <v>61060209.890000001</v>
      </c>
      <c r="C9" s="11">
        <v>0.17960103486075879</v>
      </c>
      <c r="D9" s="12">
        <v>0.17960000000000001</v>
      </c>
      <c r="F9" s="18" t="s">
        <v>14</v>
      </c>
      <c r="G9" s="19">
        <v>57437188.600000009</v>
      </c>
      <c r="H9" s="15">
        <v>0.18501168012536956</v>
      </c>
      <c r="J9" s="16" t="str">
        <f t="shared" si="0"/>
        <v>34</v>
      </c>
      <c r="K9" s="17">
        <f t="shared" si="1"/>
        <v>-5.4116801253695501E-3</v>
      </c>
    </row>
    <row r="10" spans="1:11">
      <c r="A10" s="9" t="s">
        <v>15</v>
      </c>
      <c r="B10" s="10">
        <v>2956758.66</v>
      </c>
      <c r="C10" s="11">
        <v>8.6969389087619212E-3</v>
      </c>
      <c r="D10" s="12">
        <v>8.6999999999999994E-3</v>
      </c>
      <c r="F10" s="18" t="s">
        <v>15</v>
      </c>
      <c r="G10" s="19">
        <v>2648192.15</v>
      </c>
      <c r="H10" s="15">
        <v>8.5301264025710796E-3</v>
      </c>
      <c r="J10" s="16" t="str">
        <f t="shared" si="0"/>
        <v>35</v>
      </c>
      <c r="K10" s="17">
        <f t="shared" si="1"/>
        <v>1.6987359742891978E-4</v>
      </c>
    </row>
    <row r="11" spans="1:11">
      <c r="A11" s="9" t="s">
        <v>16</v>
      </c>
      <c r="B11" s="10">
        <v>24997039.109999999</v>
      </c>
      <c r="C11" s="11">
        <v>7.3525690473365338E-2</v>
      </c>
      <c r="D11" s="12">
        <v>7.3499999999999996E-2</v>
      </c>
      <c r="F11" s="18" t="s">
        <v>16</v>
      </c>
      <c r="G11" s="19">
        <v>22334610.790000003</v>
      </c>
      <c r="H11" s="15">
        <v>7.1942307204153566E-2</v>
      </c>
      <c r="J11" s="16" t="str">
        <f t="shared" si="0"/>
        <v>37</v>
      </c>
      <c r="K11" s="17">
        <f t="shared" si="1"/>
        <v>1.5576927958464298E-3</v>
      </c>
    </row>
    <row r="12" spans="1:11">
      <c r="A12" s="9" t="s">
        <v>17</v>
      </c>
      <c r="B12" s="10">
        <v>13966126.52</v>
      </c>
      <c r="C12" s="11">
        <v>4.1079629115377214E-2</v>
      </c>
      <c r="D12" s="12">
        <v>4.1099999999999998E-2</v>
      </c>
      <c r="F12" s="18" t="s">
        <v>17</v>
      </c>
      <c r="G12" s="19">
        <v>12733417.879999999</v>
      </c>
      <c r="H12" s="15">
        <v>4.1015779029916183E-2</v>
      </c>
      <c r="J12" s="16" t="str">
        <f t="shared" si="0"/>
        <v>38</v>
      </c>
      <c r="K12" s="17">
        <f t="shared" si="1"/>
        <v>8.4220970083814795E-5</v>
      </c>
    </row>
    <row r="13" spans="1:11">
      <c r="A13" s="9" t="s">
        <v>18</v>
      </c>
      <c r="B13" s="10">
        <v>342023.75</v>
      </c>
      <c r="C13" s="11">
        <v>1.0060204437164512E-3</v>
      </c>
      <c r="D13" s="12">
        <v>1E-3</v>
      </c>
      <c r="F13" s="18" t="s">
        <v>18</v>
      </c>
      <c r="G13" s="19">
        <v>238956.46</v>
      </c>
      <c r="H13" s="15">
        <v>7.6970578155022469E-4</v>
      </c>
      <c r="J13" s="16" t="str">
        <f t="shared" si="0"/>
        <v>44</v>
      </c>
      <c r="K13" s="17">
        <f t="shared" si="1"/>
        <v>2.3029421844977533E-4</v>
      </c>
    </row>
    <row r="14" spans="1:11">
      <c r="A14" s="9" t="s">
        <v>19</v>
      </c>
      <c r="B14" s="10">
        <v>78626425.560000002</v>
      </c>
      <c r="C14" s="11">
        <v>0.23126987973703503</v>
      </c>
      <c r="D14" s="12">
        <v>0.23130000000000001</v>
      </c>
      <c r="F14" s="18" t="s">
        <v>19</v>
      </c>
      <c r="G14" s="19">
        <v>71432820.299999997</v>
      </c>
      <c r="H14" s="15">
        <v>0.23009319261487327</v>
      </c>
      <c r="J14" s="16" t="str">
        <f t="shared" si="0"/>
        <v>51</v>
      </c>
      <c r="K14" s="17">
        <f t="shared" si="1"/>
        <v>1.2068073851267402E-3</v>
      </c>
    </row>
    <row r="15" spans="1:11">
      <c r="A15" s="9" t="s">
        <v>20</v>
      </c>
      <c r="B15" s="10">
        <v>91981</v>
      </c>
      <c r="C15" s="11">
        <v>2.7055070425221323E-4</v>
      </c>
      <c r="D15" s="12">
        <v>2.9999999999999997E-4</v>
      </c>
      <c r="F15" s="18" t="s">
        <v>20</v>
      </c>
      <c r="G15" s="19">
        <v>94519.64</v>
      </c>
      <c r="H15" s="15">
        <v>3.0445844978639993E-4</v>
      </c>
      <c r="J15" s="16" t="str">
        <f t="shared" si="0"/>
        <v>57</v>
      </c>
      <c r="K15" s="17">
        <f t="shared" si="1"/>
        <v>-4.4584497863999558E-6</v>
      </c>
    </row>
    <row r="16" spans="1:11">
      <c r="A16" s="9" t="s">
        <v>21</v>
      </c>
      <c r="B16" s="10">
        <v>8018995.6500000004</v>
      </c>
      <c r="C16" s="11">
        <v>2.3586881209194662E-2</v>
      </c>
      <c r="D16" s="12">
        <v>2.3699999999999999E-2</v>
      </c>
      <c r="F16" s="18" t="s">
        <v>21</v>
      </c>
      <c r="G16" s="19">
        <v>7842072.4100000001</v>
      </c>
      <c r="H16" s="15">
        <v>2.5260202102560879E-2</v>
      </c>
      <c r="J16" s="16" t="str">
        <f t="shared" si="0"/>
        <v>58</v>
      </c>
      <c r="K16" s="17">
        <f t="shared" si="1"/>
        <v>-1.56020210256088E-3</v>
      </c>
    </row>
    <row r="17" spans="1:11">
      <c r="A17" s="9" t="s">
        <v>22</v>
      </c>
      <c r="B17" s="10">
        <v>83366829.859999999</v>
      </c>
      <c r="C17" s="11">
        <v>0.24521319109269779</v>
      </c>
      <c r="D17" s="12">
        <v>0.2452</v>
      </c>
      <c r="F17" s="18" t="s">
        <v>22</v>
      </c>
      <c r="G17" s="19">
        <v>75934294.080000013</v>
      </c>
      <c r="H17" s="15">
        <v>0.24459294873765294</v>
      </c>
      <c r="J17" s="16" t="str">
        <f t="shared" si="0"/>
        <v>59</v>
      </c>
      <c r="K17" s="17">
        <f t="shared" si="1"/>
        <v>6.0705126234705808E-4</v>
      </c>
    </row>
    <row r="18" spans="1:11">
      <c r="A18" s="9" t="s">
        <v>23</v>
      </c>
      <c r="B18" s="10">
        <v>2444549.4500000002</v>
      </c>
      <c r="C18" s="11">
        <v>7.1903390404198745E-3</v>
      </c>
      <c r="D18" s="12">
        <v>7.1999999999999998E-3</v>
      </c>
      <c r="F18" s="18" t="s">
        <v>23</v>
      </c>
      <c r="G18" s="19">
        <v>2122966.9300000002</v>
      </c>
      <c r="H18" s="15">
        <v>6.8383165705623999E-3</v>
      </c>
      <c r="J18" s="16" t="str">
        <f t="shared" si="0"/>
        <v>60</v>
      </c>
      <c r="K18" s="17">
        <f t="shared" si="1"/>
        <v>3.6168342943759986E-4</v>
      </c>
    </row>
    <row r="19" spans="1:11">
      <c r="A19" s="9" t="s">
        <v>24</v>
      </c>
      <c r="B19" s="10">
        <v>8610.09</v>
      </c>
      <c r="C19" s="11">
        <v>2.5325511933713901E-5</v>
      </c>
      <c r="D19" s="12">
        <v>0</v>
      </c>
      <c r="F19" s="18" t="s">
        <v>24</v>
      </c>
      <c r="G19" s="19">
        <v>5271.72</v>
      </c>
      <c r="H19" s="15">
        <v>1.6980806305525077E-5</v>
      </c>
      <c r="J19" s="16" t="str">
        <f t="shared" si="0"/>
        <v>62</v>
      </c>
      <c r="K19" s="17">
        <f t="shared" si="1"/>
        <v>-1.6980806305525077E-5</v>
      </c>
    </row>
    <row r="20" spans="1:11">
      <c r="A20" s="9" t="s">
        <v>25</v>
      </c>
      <c r="B20" s="10">
        <v>1543721.3299999998</v>
      </c>
      <c r="C20" s="11">
        <v>4.5406648438336521E-3</v>
      </c>
      <c r="D20" s="12">
        <v>4.4999999999999997E-3</v>
      </c>
      <c r="F20" s="18" t="s">
        <v>25</v>
      </c>
      <c r="G20" s="19">
        <v>1321199.6100000001</v>
      </c>
      <c r="H20" s="15">
        <v>4.2557333599556263E-3</v>
      </c>
      <c r="J20" s="16" t="str">
        <f t="shared" si="0"/>
        <v>64</v>
      </c>
      <c r="K20" s="17">
        <f t="shared" si="1"/>
        <v>2.4426664004437333E-4</v>
      </c>
    </row>
    <row r="21" spans="1:11">
      <c r="A21" s="9" t="s">
        <v>26</v>
      </c>
      <c r="B21" s="10">
        <v>1774639.06</v>
      </c>
      <c r="C21" s="11">
        <v>5.2198807088038365E-3</v>
      </c>
      <c r="D21" s="12">
        <v>5.1999999999999998E-3</v>
      </c>
      <c r="F21" s="18" t="s">
        <v>26</v>
      </c>
      <c r="G21" s="19">
        <v>1481661.98</v>
      </c>
      <c r="H21" s="15">
        <v>4.7726008006192984E-3</v>
      </c>
      <c r="J21" s="16" t="str">
        <f t="shared" si="0"/>
        <v>65</v>
      </c>
      <c r="K21" s="17">
        <f t="shared" si="1"/>
        <v>4.2739919938070137E-4</v>
      </c>
    </row>
    <row r="22" spans="1:11">
      <c r="A22" s="9" t="s">
        <v>27</v>
      </c>
      <c r="B22" s="10">
        <v>260254.3</v>
      </c>
      <c r="C22" s="11">
        <v>7.6550574737898876E-4</v>
      </c>
      <c r="D22" s="12">
        <v>8.0000000000000004E-4</v>
      </c>
      <c r="F22" s="18" t="s">
        <v>27</v>
      </c>
      <c r="G22" s="19">
        <v>162224.65</v>
      </c>
      <c r="H22" s="15">
        <v>5.2254394384216132E-4</v>
      </c>
      <c r="J22" s="16" t="str">
        <f t="shared" si="0"/>
        <v>68</v>
      </c>
      <c r="K22" s="17">
        <f t="shared" si="1"/>
        <v>2.7745605615783872E-4</v>
      </c>
    </row>
    <row r="23" spans="1:11">
      <c r="A23" s="9" t="s">
        <v>28</v>
      </c>
      <c r="B23" s="10">
        <v>172731.61000000002</v>
      </c>
      <c r="C23" s="11">
        <v>5.0806860908360026E-4</v>
      </c>
      <c r="D23" s="12">
        <v>5.0000000000000001E-4</v>
      </c>
      <c r="F23" s="18" t="s">
        <v>28</v>
      </c>
      <c r="G23" s="19">
        <v>173049.04</v>
      </c>
      <c r="H23" s="15">
        <v>5.5741052817620464E-4</v>
      </c>
      <c r="J23" s="16" t="str">
        <f t="shared" si="0"/>
        <v>69</v>
      </c>
      <c r="K23" s="17">
        <f t="shared" si="1"/>
        <v>-5.741052817620463E-5</v>
      </c>
    </row>
    <row r="24" spans="1:11">
      <c r="A24" s="9" t="s">
        <v>29</v>
      </c>
      <c r="B24" s="10">
        <v>766756.26</v>
      </c>
      <c r="C24" s="11">
        <v>2.2553184476445474E-3</v>
      </c>
      <c r="D24" s="12">
        <v>2.3E-3</v>
      </c>
      <c r="F24" s="18" t="s">
        <v>29</v>
      </c>
      <c r="G24" s="19">
        <v>540168.07999999996</v>
      </c>
      <c r="H24" s="15">
        <v>1.7399424739757371E-3</v>
      </c>
      <c r="J24" s="16" t="str">
        <f t="shared" si="0"/>
        <v>71</v>
      </c>
      <c r="K24" s="17">
        <f t="shared" si="1"/>
        <v>5.6005752602426287E-4</v>
      </c>
    </row>
    <row r="25" spans="1:11">
      <c r="A25" s="9" t="s">
        <v>30</v>
      </c>
      <c r="B25" s="10">
        <v>162738.40999999997</v>
      </c>
      <c r="C25" s="11">
        <v>4.7867485061464226E-4</v>
      </c>
      <c r="D25" s="12">
        <v>5.0000000000000001E-4</v>
      </c>
      <c r="F25" s="18" t="s">
        <v>30</v>
      </c>
      <c r="G25" s="19">
        <v>89986.74</v>
      </c>
      <c r="H25" s="15">
        <v>2.8985746625496912E-4</v>
      </c>
      <c r="J25" s="16" t="str">
        <f t="shared" si="0"/>
        <v>75</v>
      </c>
      <c r="K25" s="17">
        <f t="shared" si="1"/>
        <v>2.1014253374503089E-4</v>
      </c>
    </row>
    <row r="26" spans="1:11">
      <c r="A26" s="9" t="s">
        <v>31</v>
      </c>
      <c r="B26" s="10">
        <v>145085.02999999997</v>
      </c>
      <c r="C26" s="11">
        <v>4.2674962267156771E-4</v>
      </c>
      <c r="D26" s="12">
        <v>4.0000000000000002E-4</v>
      </c>
      <c r="F26" s="18" t="s">
        <v>31</v>
      </c>
      <c r="G26" s="19">
        <v>251157.71</v>
      </c>
      <c r="H26" s="15">
        <v>8.0900738765511801E-4</v>
      </c>
      <c r="J26" s="16" t="str">
        <f t="shared" si="0"/>
        <v>78</v>
      </c>
      <c r="K26" s="17">
        <f t="shared" si="1"/>
        <v>-4.0900738765511799E-4</v>
      </c>
    </row>
    <row r="27" spans="1:11">
      <c r="A27" s="9" t="s">
        <v>32</v>
      </c>
      <c r="B27" s="10">
        <v>28947687.260000002</v>
      </c>
      <c r="C27" s="11">
        <v>8.514603205733598E-2</v>
      </c>
      <c r="D27" s="12">
        <v>8.5099999999999995E-2</v>
      </c>
      <c r="F27" s="18" t="s">
        <v>32</v>
      </c>
      <c r="G27" s="19">
        <v>27446783.130000003</v>
      </c>
      <c r="H27" s="15">
        <v>8.8409192453370686E-2</v>
      </c>
      <c r="J27" s="16" t="str">
        <f t="shared" si="0"/>
        <v>80</v>
      </c>
      <c r="K27" s="17">
        <f t="shared" si="1"/>
        <v>-3.3091924533706907E-3</v>
      </c>
    </row>
    <row r="28" spans="1:11">
      <c r="A28" s="9" t="s">
        <v>33</v>
      </c>
      <c r="B28" s="10">
        <v>3813014.5100000002</v>
      </c>
      <c r="C28" s="11">
        <v>1.1215509300881788E-2</v>
      </c>
      <c r="D28" s="12">
        <v>1.12E-2</v>
      </c>
      <c r="F28" s="18" t="s">
        <v>33</v>
      </c>
      <c r="G28" s="19">
        <v>2904554.41</v>
      </c>
      <c r="H28" s="15">
        <v>9.3558982343653826E-3</v>
      </c>
      <c r="J28" s="16" t="str">
        <f t="shared" si="0"/>
        <v>82</v>
      </c>
      <c r="K28" s="17">
        <f t="shared" si="1"/>
        <v>1.8441017656346172E-3</v>
      </c>
    </row>
    <row r="29" spans="1:11">
      <c r="A29" s="9" t="s">
        <v>34</v>
      </c>
      <c r="B29" s="10">
        <v>13936.6</v>
      </c>
      <c r="C29" s="11">
        <v>4.099278051860052E-5</v>
      </c>
      <c r="D29" s="12">
        <v>0</v>
      </c>
      <c r="F29" s="20" t="s">
        <v>34</v>
      </c>
      <c r="G29" s="19">
        <v>0</v>
      </c>
      <c r="H29" s="15">
        <v>0</v>
      </c>
      <c r="J29" s="16" t="str">
        <f t="shared" si="0"/>
        <v>91</v>
      </c>
      <c r="K29" s="17">
        <f t="shared" si="1"/>
        <v>0</v>
      </c>
    </row>
    <row r="30" spans="1:11">
      <c r="A30" s="9" t="s">
        <v>35</v>
      </c>
      <c r="B30" s="10">
        <v>13871.21</v>
      </c>
      <c r="C30" s="11">
        <v>4.080044394310066E-5</v>
      </c>
      <c r="D30" s="12">
        <v>0</v>
      </c>
      <c r="F30" s="18" t="s">
        <v>35</v>
      </c>
      <c r="G30" s="19">
        <v>10373.209999999999</v>
      </c>
      <c r="H30" s="15">
        <v>3.3413282529522767E-5</v>
      </c>
      <c r="J30" s="16" t="str">
        <f t="shared" si="0"/>
        <v>92</v>
      </c>
      <c r="K30" s="17">
        <f t="shared" si="1"/>
        <v>-3.3413282529522767E-5</v>
      </c>
    </row>
    <row r="31" spans="1:11">
      <c r="A31" s="9" t="s">
        <v>36</v>
      </c>
      <c r="B31" s="10">
        <v>76243.099999999991</v>
      </c>
      <c r="C31" s="11">
        <v>2.2425962317622024E-4</v>
      </c>
      <c r="D31" s="12">
        <v>2.0000000000000001E-4</v>
      </c>
      <c r="F31" s="18" t="s">
        <v>36</v>
      </c>
      <c r="G31" s="19">
        <v>61715.33</v>
      </c>
      <c r="H31" s="15">
        <v>1.9879205739522604E-4</v>
      </c>
      <c r="J31" s="16" t="str">
        <f t="shared" si="0"/>
        <v>93</v>
      </c>
      <c r="K31" s="17">
        <f t="shared" si="1"/>
        <v>1.2079426047739694E-6</v>
      </c>
    </row>
    <row r="32" spans="1:11">
      <c r="A32" s="9" t="s">
        <v>37</v>
      </c>
      <c r="B32" s="10">
        <v>40124.959999999992</v>
      </c>
      <c r="C32" s="11">
        <v>1.1802259364533852E-4</v>
      </c>
      <c r="D32" s="12">
        <v>1E-4</v>
      </c>
      <c r="F32" s="18" t="s">
        <v>37</v>
      </c>
      <c r="G32" s="19">
        <v>33818.76</v>
      </c>
      <c r="H32" s="15">
        <v>1.089340505666157E-4</v>
      </c>
      <c r="J32" s="16" t="str">
        <f t="shared" si="0"/>
        <v>94</v>
      </c>
      <c r="K32" s="17">
        <f t="shared" si="1"/>
        <v>-8.9340505666156932E-6</v>
      </c>
    </row>
    <row r="33" spans="1:11">
      <c r="A33" s="9" t="s">
        <v>38</v>
      </c>
      <c r="B33" s="10">
        <v>99211.75999999998</v>
      </c>
      <c r="C33" s="11">
        <v>2.9181908805189712E-4</v>
      </c>
      <c r="D33" s="12">
        <v>2.9999999999999997E-4</v>
      </c>
      <c r="F33" s="18" t="s">
        <v>38</v>
      </c>
      <c r="G33" s="19">
        <v>29895.1</v>
      </c>
      <c r="H33" s="15">
        <v>9.6295497974911929E-5</v>
      </c>
      <c r="J33" s="16" t="str">
        <f t="shared" si="0"/>
        <v>96</v>
      </c>
      <c r="K33" s="17">
        <f t="shared" si="1"/>
        <v>2.0370450202508803E-4</v>
      </c>
    </row>
    <row r="34" spans="1:11">
      <c r="A34" s="21" t="s">
        <v>6</v>
      </c>
      <c r="B34" s="22">
        <v>339976937.97999996</v>
      </c>
      <c r="C34" s="23">
        <v>0.99999999999999989</v>
      </c>
      <c r="D34" s="24">
        <v>0.99989999999999957</v>
      </c>
      <c r="F34" s="25" t="s">
        <v>6</v>
      </c>
      <c r="G34" s="26">
        <v>310451689.11000007</v>
      </c>
      <c r="H34" s="27">
        <v>0.99999999999999978</v>
      </c>
      <c r="J34" s="28" t="str">
        <f t="shared" si="0"/>
        <v>Total</v>
      </c>
      <c r="K34" s="29">
        <f>SUM(K3:K33)</f>
        <v>1.3872366796952029E-16</v>
      </c>
    </row>
  </sheetData>
  <mergeCells count="2">
    <mergeCell ref="A1:D1"/>
    <mergeCell ref="F1:H1"/>
  </mergeCells>
  <pageMargins left="0.7" right="0.7" top="0.75" bottom="0.75" header="0.3" footer="0.3"/>
  <pageSetup scale="96" orientation="landscape" r:id="rId1"/>
  <headerFooter>
    <oddHeader>&amp;RKY PSC Case No. 2016-00162,
Attachment G to Staff Post Hearing Supp. DR 2</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3"/>
  <sheetViews>
    <sheetView zoomScaleNormal="100" workbookViewId="0">
      <selection sqref="A1:K1"/>
    </sheetView>
  </sheetViews>
  <sheetFormatPr defaultColWidth="9.109375" defaultRowHeight="14.4"/>
  <cols>
    <col min="1" max="1" width="12.88671875" style="47" customWidth="1"/>
    <col min="2" max="2" width="15.33203125" style="47" bestFit="1" customWidth="1"/>
    <col min="3" max="3" width="19.6640625" style="47" bestFit="1" customWidth="1"/>
    <col min="4" max="4" width="6" style="47" customWidth="1"/>
    <col min="5" max="5" width="19.44140625" style="47" customWidth="1"/>
    <col min="6" max="6" width="17.33203125" style="47" customWidth="1"/>
    <col min="7" max="7" width="19.6640625" style="47" customWidth="1"/>
    <col min="8" max="8" width="9.109375" style="47"/>
    <col min="9" max="9" width="9.33203125" style="66" bestFit="1" customWidth="1"/>
    <col min="10" max="10" width="19.44140625" style="66" bestFit="1" customWidth="1"/>
    <col min="11" max="11" width="10.44140625" style="66" bestFit="1" customWidth="1"/>
    <col min="12" max="16384" width="9.109375" style="47"/>
  </cols>
  <sheetData>
    <row r="1" spans="1:12">
      <c r="A1" s="242" t="s">
        <v>88</v>
      </c>
      <c r="B1" s="242"/>
      <c r="C1" s="242"/>
      <c r="D1" s="242"/>
      <c r="E1" s="242"/>
      <c r="F1" s="242"/>
      <c r="G1" s="242"/>
      <c r="H1" s="242"/>
      <c r="I1" s="242"/>
      <c r="J1" s="242"/>
      <c r="K1" s="242"/>
      <c r="L1" s="65"/>
    </row>
    <row r="3" spans="1:12">
      <c r="A3" s="243" t="s">
        <v>72</v>
      </c>
      <c r="B3" s="243"/>
      <c r="C3" s="243"/>
      <c r="D3" s="87"/>
      <c r="E3" s="243" t="s">
        <v>76</v>
      </c>
      <c r="F3" s="243"/>
      <c r="G3" s="243"/>
      <c r="I3" s="48"/>
      <c r="J3" s="48"/>
      <c r="K3" s="48"/>
    </row>
    <row r="4" spans="1:12">
      <c r="A4" s="49" t="s">
        <v>2</v>
      </c>
      <c r="B4" s="50" t="s">
        <v>3</v>
      </c>
      <c r="C4" s="51" t="s">
        <v>5</v>
      </c>
      <c r="D4" s="88"/>
      <c r="E4" s="49" t="s">
        <v>2</v>
      </c>
      <c r="F4" s="50" t="s">
        <v>3</v>
      </c>
      <c r="G4" s="51" t="s">
        <v>5</v>
      </c>
      <c r="I4" s="52" t="s">
        <v>2</v>
      </c>
      <c r="J4" s="53" t="s">
        <v>77</v>
      </c>
      <c r="K4" s="53" t="s">
        <v>7</v>
      </c>
    </row>
    <row r="5" spans="1:12">
      <c r="A5" s="54" t="s">
        <v>8</v>
      </c>
      <c r="B5" s="89">
        <v>197584.81</v>
      </c>
      <c r="C5" s="56">
        <v>1.1999999999999999E-3</v>
      </c>
      <c r="D5" s="90"/>
      <c r="E5" s="54" t="s">
        <v>8</v>
      </c>
      <c r="F5" s="89">
        <v>197584.81</v>
      </c>
      <c r="G5" s="56">
        <f>ROUND(F5/$F$33,4)</f>
        <v>1.1999999999999999E-3</v>
      </c>
      <c r="I5" s="57" t="s">
        <v>8</v>
      </c>
      <c r="J5" s="96" t="str">
        <f>VLOOKUP(I5,[1]Sheet1!$A$2:$F$48,6,FALSE)</f>
        <v>Corporate and Other</v>
      </c>
      <c r="K5" s="82">
        <f>+G5-C5</f>
        <v>0</v>
      </c>
    </row>
    <row r="6" spans="1:12">
      <c r="A6" s="54" t="s">
        <v>9</v>
      </c>
      <c r="B6" s="89">
        <v>5253087.75</v>
      </c>
      <c r="C6" s="56">
        <v>3.1E-2</v>
      </c>
      <c r="D6" s="90"/>
      <c r="E6" s="54" t="s">
        <v>9</v>
      </c>
      <c r="F6" s="89">
        <f>5253087.75+[2]Pivot!E47</f>
        <v>4406068.82</v>
      </c>
      <c r="G6" s="56">
        <f t="shared" ref="G6:G32" si="0">ROUND(F6/$F$33,4)</f>
        <v>2.7099999999999999E-2</v>
      </c>
      <c r="I6" s="57" t="s">
        <v>9</v>
      </c>
      <c r="J6" s="96" t="str">
        <f>VLOOKUP(I6,[1]Sheet1!$A$2:$F$48,6,FALSE)</f>
        <v>NGT&amp;S</v>
      </c>
      <c r="K6" s="82">
        <f t="shared" ref="K6:K32" si="1">+G6-C6</f>
        <v>-3.9000000000000007E-3</v>
      </c>
    </row>
    <row r="7" spans="1:12">
      <c r="A7" s="54" t="s">
        <v>11</v>
      </c>
      <c r="B7" s="89">
        <v>115349.75000000009</v>
      </c>
      <c r="C7" s="56">
        <v>6.9999999999999999E-4</v>
      </c>
      <c r="D7" s="90"/>
      <c r="E7" s="54" t="s">
        <v>11</v>
      </c>
      <c r="F7" s="89">
        <v>115349.75000000009</v>
      </c>
      <c r="G7" s="56">
        <f t="shared" si="0"/>
        <v>6.9999999999999999E-4</v>
      </c>
      <c r="I7" s="57" t="s">
        <v>11</v>
      </c>
      <c r="J7" s="96" t="str">
        <f>VLOOKUP(I7,[1]Sheet1!$A$2:$F$48,6,FALSE)</f>
        <v>Corporate and Other</v>
      </c>
      <c r="K7" s="82">
        <f t="shared" si="1"/>
        <v>0</v>
      </c>
    </row>
    <row r="8" spans="1:12">
      <c r="A8" s="54" t="s">
        <v>12</v>
      </c>
      <c r="B8" s="89">
        <v>141079.95000000001</v>
      </c>
      <c r="C8" s="56">
        <v>8.0000000000000004E-4</v>
      </c>
      <c r="D8" s="90"/>
      <c r="E8" s="54" t="s">
        <v>12</v>
      </c>
      <c r="F8" s="89">
        <v>141079.95000000001</v>
      </c>
      <c r="G8" s="56">
        <f t="shared" si="0"/>
        <v>8.9999999999999998E-4</v>
      </c>
      <c r="I8" s="57" t="s">
        <v>12</v>
      </c>
      <c r="J8" s="96" t="str">
        <f>VLOOKUP(I8,[1]Sheet1!$A$2:$F$48,6,FALSE)</f>
        <v>Corporate and Other</v>
      </c>
      <c r="K8" s="82">
        <f t="shared" si="1"/>
        <v>9.9999999999999937E-5</v>
      </c>
    </row>
    <row r="9" spans="1:12">
      <c r="A9" s="54" t="s">
        <v>13</v>
      </c>
      <c r="B9" s="89">
        <v>4006898.1100000022</v>
      </c>
      <c r="C9" s="56">
        <v>2.3699999999999999E-2</v>
      </c>
      <c r="D9" s="90"/>
      <c r="E9" s="54" t="s">
        <v>13</v>
      </c>
      <c r="F9" s="89">
        <v>4006898.1100000022</v>
      </c>
      <c r="G9" s="56">
        <f t="shared" si="0"/>
        <v>2.46E-2</v>
      </c>
      <c r="I9" s="57" t="s">
        <v>13</v>
      </c>
      <c r="J9" s="96" t="str">
        <f>VLOOKUP(I9,[1]Sheet1!$A$2:$F$48,6,FALSE)</f>
        <v>NGD</v>
      </c>
      <c r="K9" s="82">
        <f t="shared" si="1"/>
        <v>9.0000000000000149E-4</v>
      </c>
    </row>
    <row r="10" spans="1:12">
      <c r="A10" s="54" t="s">
        <v>14</v>
      </c>
      <c r="B10" s="89">
        <v>32822215.920000002</v>
      </c>
      <c r="C10" s="56">
        <v>0.19389999999999999</v>
      </c>
      <c r="D10" s="90"/>
      <c r="E10" s="54" t="s">
        <v>14</v>
      </c>
      <c r="F10" s="89">
        <v>32822215.920000002</v>
      </c>
      <c r="G10" s="56">
        <f t="shared" si="0"/>
        <v>0.20150000000000001</v>
      </c>
      <c r="I10" s="57" t="s">
        <v>14</v>
      </c>
      <c r="J10" s="96" t="str">
        <f>VLOOKUP(I10,[1]Sheet1!$A$2:$F$48,6,FALSE)</f>
        <v>NGD</v>
      </c>
      <c r="K10" s="82">
        <f t="shared" si="1"/>
        <v>7.6000000000000234E-3</v>
      </c>
    </row>
    <row r="11" spans="1:12">
      <c r="A11" s="54" t="s">
        <v>15</v>
      </c>
      <c r="B11" s="89">
        <v>1347091.6699999997</v>
      </c>
      <c r="C11" s="56">
        <v>8.0000000000000002E-3</v>
      </c>
      <c r="D11" s="90"/>
      <c r="E11" s="54" t="s">
        <v>15</v>
      </c>
      <c r="F11" s="89">
        <v>1347091.6699999997</v>
      </c>
      <c r="G11" s="56">
        <f t="shared" si="0"/>
        <v>8.3000000000000001E-3</v>
      </c>
      <c r="I11" s="57" t="s">
        <v>15</v>
      </c>
      <c r="J11" s="96" t="str">
        <f>VLOOKUP(I11,[1]Sheet1!$A$2:$F$48,6,FALSE)</f>
        <v>NGD</v>
      </c>
      <c r="K11" s="82">
        <f t="shared" si="1"/>
        <v>2.9999999999999992E-4</v>
      </c>
    </row>
    <row r="12" spans="1:12">
      <c r="A12" s="54" t="s">
        <v>16</v>
      </c>
      <c r="B12" s="89">
        <v>13001974.349999998</v>
      </c>
      <c r="C12" s="56">
        <v>7.6799999999999993E-2</v>
      </c>
      <c r="D12" s="90"/>
      <c r="E12" s="54" t="s">
        <v>16</v>
      </c>
      <c r="F12" s="89">
        <v>13001974.349999998</v>
      </c>
      <c r="G12" s="56">
        <f t="shared" si="0"/>
        <v>7.9799999999999996E-2</v>
      </c>
      <c r="I12" s="57" t="s">
        <v>16</v>
      </c>
      <c r="J12" s="96" t="str">
        <f>VLOOKUP(I12,[1]Sheet1!$A$2:$F$48,6,FALSE)</f>
        <v>NGD</v>
      </c>
      <c r="K12" s="82">
        <f t="shared" si="1"/>
        <v>3.0000000000000027E-3</v>
      </c>
    </row>
    <row r="13" spans="1:12">
      <c r="A13" s="54" t="s">
        <v>17</v>
      </c>
      <c r="B13" s="89">
        <v>6908528.3899999978</v>
      </c>
      <c r="C13" s="56">
        <v>4.0800000000000003E-2</v>
      </c>
      <c r="D13" s="90"/>
      <c r="E13" s="54" t="s">
        <v>17</v>
      </c>
      <c r="F13" s="89">
        <v>6908528.3899999978</v>
      </c>
      <c r="G13" s="56">
        <f t="shared" si="0"/>
        <v>4.24E-2</v>
      </c>
      <c r="I13" s="57" t="s">
        <v>17</v>
      </c>
      <c r="J13" s="96" t="str">
        <f>VLOOKUP(I13,[1]Sheet1!$A$2:$F$48,6,FALSE)</f>
        <v>NGD</v>
      </c>
      <c r="K13" s="82">
        <f t="shared" si="1"/>
        <v>1.5999999999999973E-3</v>
      </c>
    </row>
    <row r="14" spans="1:12">
      <c r="A14" s="54" t="s">
        <v>18</v>
      </c>
      <c r="B14" s="89">
        <v>162371.17999999996</v>
      </c>
      <c r="C14" s="56">
        <v>1E-3</v>
      </c>
      <c r="D14" s="90"/>
      <c r="E14" s="54" t="s">
        <v>18</v>
      </c>
      <c r="F14" s="89">
        <f>162371.18+[2]Pivot!E48</f>
        <v>131860.26</v>
      </c>
      <c r="G14" s="56">
        <f t="shared" si="0"/>
        <v>8.0000000000000004E-4</v>
      </c>
      <c r="I14" s="57" t="s">
        <v>18</v>
      </c>
      <c r="J14" s="96" t="str">
        <f>VLOOKUP(I14,[1]Sheet1!$A$2:$F$48,6,FALSE)</f>
        <v>NGT&amp;S</v>
      </c>
      <c r="K14" s="82">
        <f t="shared" si="1"/>
        <v>-1.9999999999999998E-4</v>
      </c>
    </row>
    <row r="15" spans="1:12">
      <c r="A15" s="54" t="s">
        <v>19</v>
      </c>
      <c r="B15" s="89">
        <v>46349335.529999971</v>
      </c>
      <c r="C15" s="56">
        <v>0.27389999999999998</v>
      </c>
      <c r="D15" s="90"/>
      <c r="E15" s="54" t="s">
        <v>19</v>
      </c>
      <c r="F15" s="89">
        <f>46349335.53+[2]Pivot!E49</f>
        <v>40851062.010000005</v>
      </c>
      <c r="G15" s="56">
        <f t="shared" si="0"/>
        <v>0.25080000000000002</v>
      </c>
      <c r="I15" s="57" t="s">
        <v>19</v>
      </c>
      <c r="J15" s="96" t="str">
        <f>VLOOKUP(I15,[1]Sheet1!$A$2:$F$48,6,FALSE)</f>
        <v>NGT&amp;S</v>
      </c>
      <c r="K15" s="82">
        <f t="shared" si="1"/>
        <v>-2.3099999999999954E-2</v>
      </c>
    </row>
    <row r="16" spans="1:12">
      <c r="A16" s="54" t="s">
        <v>20</v>
      </c>
      <c r="B16" s="89">
        <v>28020.199999999993</v>
      </c>
      <c r="C16" s="56">
        <v>2.0000000000000001E-4</v>
      </c>
      <c r="D16" s="90"/>
      <c r="E16" s="54" t="s">
        <v>20</v>
      </c>
      <c r="F16" s="89">
        <v>28020.199999999993</v>
      </c>
      <c r="G16" s="56">
        <f t="shared" si="0"/>
        <v>2.0000000000000001E-4</v>
      </c>
      <c r="I16" s="57" t="s">
        <v>20</v>
      </c>
      <c r="J16" s="96" t="str">
        <f>VLOOKUP(I16,[1]Sheet1!$A$2:$F$48,6,FALSE)</f>
        <v>Corporate and Other</v>
      </c>
      <c r="K16" s="82">
        <f t="shared" si="1"/>
        <v>0</v>
      </c>
    </row>
    <row r="17" spans="1:11">
      <c r="A17" s="59" t="s">
        <v>21</v>
      </c>
      <c r="B17" s="89">
        <v>630195.97000000009</v>
      </c>
      <c r="C17" s="56">
        <v>3.6000000000000003E-3</v>
      </c>
      <c r="D17" s="90"/>
      <c r="E17" s="59" t="s">
        <v>21</v>
      </c>
      <c r="F17" s="89">
        <v>630195.97000000009</v>
      </c>
      <c r="G17" s="56">
        <f>ROUND(F17/$F$33,4)+0.0002</f>
        <v>4.0999999999999995E-3</v>
      </c>
      <c r="I17" s="97" t="s">
        <v>21</v>
      </c>
      <c r="J17" s="96" t="str">
        <f>VLOOKUP(I17,[1]Sheet1!$A$2:$F$48,6,FALSE)</f>
        <v>Corporate and Other</v>
      </c>
      <c r="K17" s="82">
        <f t="shared" si="1"/>
        <v>4.9999999999999914E-4</v>
      </c>
    </row>
    <row r="18" spans="1:11">
      <c r="A18" s="54" t="s">
        <v>22</v>
      </c>
      <c r="B18" s="89">
        <v>40251301.380000003</v>
      </c>
      <c r="C18" s="56">
        <v>0.2379</v>
      </c>
      <c r="D18" s="90"/>
      <c r="E18" s="54" t="s">
        <v>22</v>
      </c>
      <c r="F18" s="89">
        <v>40251301.380000003</v>
      </c>
      <c r="G18" s="56">
        <f t="shared" si="0"/>
        <v>0.24709999999999999</v>
      </c>
      <c r="I18" s="98" t="s">
        <v>22</v>
      </c>
      <c r="J18" s="96" t="str">
        <f>VLOOKUP(I18,[1]Sheet1!$A$2:$F$48,6,FALSE)</f>
        <v>NIPSCO</v>
      </c>
      <c r="K18" s="82">
        <f t="shared" si="1"/>
        <v>9.199999999999986E-3</v>
      </c>
    </row>
    <row r="19" spans="1:11">
      <c r="A19" s="54" t="s">
        <v>23</v>
      </c>
      <c r="B19" s="89">
        <v>133258.07000000007</v>
      </c>
      <c r="C19" s="56">
        <v>8.0000000000000004E-4</v>
      </c>
      <c r="D19" s="90"/>
      <c r="E19" s="54" t="s">
        <v>23</v>
      </c>
      <c r="F19" s="89">
        <v>133258.07000000007</v>
      </c>
      <c r="G19" s="56">
        <f t="shared" si="0"/>
        <v>8.0000000000000004E-4</v>
      </c>
      <c r="I19" s="57" t="s">
        <v>23</v>
      </c>
      <c r="J19" s="96" t="str">
        <f>VLOOKUP(I19,[1]Sheet1!$A$2:$F$48,6,FALSE)</f>
        <v>Corporate and Other</v>
      </c>
      <c r="K19" s="82">
        <f t="shared" si="1"/>
        <v>0</v>
      </c>
    </row>
    <row r="20" spans="1:11">
      <c r="A20" s="54" t="s">
        <v>24</v>
      </c>
      <c r="B20" s="89">
        <v>1201.21</v>
      </c>
      <c r="C20" s="56">
        <v>0</v>
      </c>
      <c r="D20" s="90"/>
      <c r="E20" s="54" t="s">
        <v>24</v>
      </c>
      <c r="F20" s="89">
        <v>1201.21</v>
      </c>
      <c r="G20" s="56">
        <f t="shared" si="0"/>
        <v>0</v>
      </c>
      <c r="I20" s="57" t="s">
        <v>24</v>
      </c>
      <c r="J20" s="96" t="str">
        <f>VLOOKUP(I20,[1]Sheet1!$A$2:$F$48,6,FALSE)</f>
        <v>Corporate and Other</v>
      </c>
      <c r="K20" s="82">
        <f t="shared" si="1"/>
        <v>0</v>
      </c>
    </row>
    <row r="21" spans="1:11">
      <c r="A21" s="54" t="s">
        <v>27</v>
      </c>
      <c r="B21" s="89">
        <v>14604.480000000001</v>
      </c>
      <c r="C21" s="56">
        <v>1E-4</v>
      </c>
      <c r="D21" s="90"/>
      <c r="E21" s="54" t="s">
        <v>27</v>
      </c>
      <c r="F21" s="89">
        <v>14604.480000000001</v>
      </c>
      <c r="G21" s="56">
        <f t="shared" si="0"/>
        <v>1E-4</v>
      </c>
      <c r="I21" s="57" t="s">
        <v>27</v>
      </c>
      <c r="J21" s="96" t="str">
        <f>VLOOKUP(I21,[1]Sheet1!$A$2:$F$48,6,FALSE)</f>
        <v>Corporate and Other</v>
      </c>
      <c r="K21" s="82">
        <f t="shared" si="1"/>
        <v>0</v>
      </c>
    </row>
    <row r="22" spans="1:11">
      <c r="A22" s="54" t="s">
        <v>29</v>
      </c>
      <c r="B22" s="89">
        <v>0</v>
      </c>
      <c r="C22" s="56">
        <v>0</v>
      </c>
      <c r="D22" s="90"/>
      <c r="E22" s="54" t="s">
        <v>29</v>
      </c>
      <c r="F22" s="89">
        <v>0</v>
      </c>
      <c r="G22" s="56">
        <f t="shared" si="0"/>
        <v>0</v>
      </c>
      <c r="I22" s="57" t="s">
        <v>29</v>
      </c>
      <c r="J22" s="96" t="str">
        <f>VLOOKUP(I22,[1]Sheet1!$A$2:$F$48,6,FALSE)</f>
        <v>NGD</v>
      </c>
      <c r="K22" s="82">
        <f t="shared" si="1"/>
        <v>0</v>
      </c>
    </row>
    <row r="23" spans="1:11">
      <c r="A23" s="54" t="s">
        <v>55</v>
      </c>
      <c r="B23" s="89">
        <v>39.1</v>
      </c>
      <c r="C23" s="56">
        <v>0</v>
      </c>
      <c r="D23" s="90"/>
      <c r="E23" s="54" t="s">
        <v>55</v>
      </c>
      <c r="F23" s="89">
        <v>39.1</v>
      </c>
      <c r="G23" s="56">
        <f t="shared" si="0"/>
        <v>0</v>
      </c>
      <c r="I23" s="57" t="s">
        <v>55</v>
      </c>
      <c r="J23" s="96" t="str">
        <f>VLOOKUP(I23,[1]Sheet1!$A$2:$F$48,6,FALSE)</f>
        <v>NGD</v>
      </c>
      <c r="K23" s="82">
        <f t="shared" si="1"/>
        <v>0</v>
      </c>
    </row>
    <row r="24" spans="1:11">
      <c r="A24" s="54" t="s">
        <v>30</v>
      </c>
      <c r="B24" s="89">
        <v>19311.080000000002</v>
      </c>
      <c r="C24" s="56">
        <v>1E-4</v>
      </c>
      <c r="D24" s="90"/>
      <c r="E24" s="54" t="s">
        <v>30</v>
      </c>
      <c r="F24" s="89">
        <v>19311.080000000002</v>
      </c>
      <c r="G24" s="56">
        <f t="shared" si="0"/>
        <v>1E-4</v>
      </c>
      <c r="I24" s="57" t="s">
        <v>30</v>
      </c>
      <c r="J24" s="96" t="str">
        <f>VLOOKUP(I24,[1]Sheet1!$A$2:$F$48,6,FALSE)</f>
        <v>Corporate and Other</v>
      </c>
      <c r="K24" s="82">
        <f t="shared" si="1"/>
        <v>0</v>
      </c>
    </row>
    <row r="25" spans="1:11">
      <c r="A25" s="54" t="s">
        <v>31</v>
      </c>
      <c r="B25" s="89">
        <v>11750.040000000003</v>
      </c>
      <c r="C25" s="56">
        <v>1E-4</v>
      </c>
      <c r="D25" s="90"/>
      <c r="E25" s="54" t="s">
        <v>31</v>
      </c>
      <c r="F25" s="89">
        <v>11750.040000000003</v>
      </c>
      <c r="G25" s="56">
        <f t="shared" si="0"/>
        <v>1E-4</v>
      </c>
      <c r="I25" s="57" t="s">
        <v>31</v>
      </c>
      <c r="J25" s="96" t="str">
        <f>VLOOKUP(I25,[1]Sheet1!$A$2:$F$48,6,FALSE)</f>
        <v>Corporate and Other</v>
      </c>
      <c r="K25" s="82">
        <f t="shared" si="1"/>
        <v>0</v>
      </c>
    </row>
    <row r="26" spans="1:11">
      <c r="A26" s="54" t="s">
        <v>32</v>
      </c>
      <c r="B26" s="89">
        <v>15151491.959999995</v>
      </c>
      <c r="C26" s="56">
        <v>8.9499999999999996E-2</v>
      </c>
      <c r="E26" s="54" t="s">
        <v>32</v>
      </c>
      <c r="F26" s="89">
        <v>15151491.959999995</v>
      </c>
      <c r="G26" s="56">
        <f t="shared" si="0"/>
        <v>9.2999999999999999E-2</v>
      </c>
      <c r="I26" s="57" t="s">
        <v>32</v>
      </c>
      <c r="J26" s="96" t="str">
        <f>VLOOKUP(I26,[1]Sheet1!$A$2:$F$48,6,FALSE)</f>
        <v>NGD</v>
      </c>
      <c r="K26" s="82">
        <f t="shared" si="1"/>
        <v>3.5000000000000031E-3</v>
      </c>
    </row>
    <row r="27" spans="1:11">
      <c r="A27" s="54" t="s">
        <v>33</v>
      </c>
      <c r="B27" s="89">
        <v>2416783.63</v>
      </c>
      <c r="C27" s="56">
        <v>1.43E-2</v>
      </c>
      <c r="E27" s="54" t="s">
        <v>33</v>
      </c>
      <c r="F27" s="89">
        <v>2416783.63</v>
      </c>
      <c r="G27" s="56">
        <f t="shared" si="0"/>
        <v>1.4800000000000001E-2</v>
      </c>
      <c r="I27" s="57" t="s">
        <v>33</v>
      </c>
      <c r="J27" s="96" t="str">
        <f>VLOOKUP(I27,[1]Sheet1!$A$2:$F$48,6,FALSE)</f>
        <v>NGT&amp;S</v>
      </c>
      <c r="K27" s="82">
        <f t="shared" si="1"/>
        <v>5.0000000000000044E-4</v>
      </c>
    </row>
    <row r="28" spans="1:11">
      <c r="A28" s="54" t="s">
        <v>35</v>
      </c>
      <c r="B28" s="89">
        <v>26807.260000000002</v>
      </c>
      <c r="C28" s="56">
        <v>2.0000000000000001E-4</v>
      </c>
      <c r="E28" s="54" t="s">
        <v>35</v>
      </c>
      <c r="F28" s="89">
        <v>26807.260000000002</v>
      </c>
      <c r="G28" s="56">
        <f t="shared" si="0"/>
        <v>2.0000000000000001E-4</v>
      </c>
      <c r="I28" s="57" t="s">
        <v>35</v>
      </c>
      <c r="J28" s="96" t="str">
        <f>VLOOKUP(I28,[1]Sheet1!$A$2:$F$48,6,FALSE)</f>
        <v>NGT&amp;S</v>
      </c>
      <c r="K28" s="82">
        <f t="shared" si="1"/>
        <v>0</v>
      </c>
    </row>
    <row r="29" spans="1:11">
      <c r="A29" s="54" t="s">
        <v>36</v>
      </c>
      <c r="B29" s="89">
        <v>6447.18</v>
      </c>
      <c r="C29" s="56">
        <v>0</v>
      </c>
      <c r="E29" s="54" t="s">
        <v>36</v>
      </c>
      <c r="F29" s="89">
        <v>6447.18</v>
      </c>
      <c r="G29" s="56">
        <f t="shared" si="0"/>
        <v>0</v>
      </c>
      <c r="I29" s="57" t="s">
        <v>36</v>
      </c>
      <c r="J29" s="96" t="str">
        <f>VLOOKUP(I29,[1]Sheet1!$A$2:$F$48,6,FALSE)</f>
        <v>Corporate and Other</v>
      </c>
      <c r="K29" s="82">
        <f t="shared" si="1"/>
        <v>0</v>
      </c>
    </row>
    <row r="30" spans="1:11">
      <c r="A30" s="54" t="s">
        <v>37</v>
      </c>
      <c r="B30" s="89">
        <v>6839.7399999999989</v>
      </c>
      <c r="C30" s="56">
        <v>0</v>
      </c>
      <c r="E30" s="54" t="s">
        <v>37</v>
      </c>
      <c r="F30" s="89">
        <v>6839.7399999999989</v>
      </c>
      <c r="G30" s="56">
        <f t="shared" si="0"/>
        <v>0</v>
      </c>
      <c r="I30" s="57" t="s">
        <v>37</v>
      </c>
      <c r="J30" s="96" t="str">
        <f>VLOOKUP(I30,[1]Sheet1!$A$2:$F$48,6,FALSE)</f>
        <v>Corporate and Other</v>
      </c>
      <c r="K30" s="82">
        <f t="shared" si="1"/>
        <v>0</v>
      </c>
    </row>
    <row r="31" spans="1:11">
      <c r="A31" s="54" t="s">
        <v>38</v>
      </c>
      <c r="B31" s="89">
        <v>234127.52000000002</v>
      </c>
      <c r="C31" s="56">
        <v>1.4E-3</v>
      </c>
      <c r="E31" s="54" t="s">
        <v>38</v>
      </c>
      <c r="F31" s="89">
        <v>234127.52000000002</v>
      </c>
      <c r="G31" s="56">
        <f t="shared" si="0"/>
        <v>1.4E-3</v>
      </c>
      <c r="I31" s="57" t="s">
        <v>38</v>
      </c>
      <c r="J31" s="96" t="str">
        <f>VLOOKUP(I31,[1]Sheet1!$A$2:$F$48,6,FALSE)</f>
        <v>NGT&amp;S</v>
      </c>
      <c r="K31" s="82">
        <f t="shared" si="1"/>
        <v>0</v>
      </c>
    </row>
    <row r="32" spans="1:11">
      <c r="A32" s="54" t="s">
        <v>56</v>
      </c>
      <c r="B32" s="89">
        <v>0</v>
      </c>
      <c r="C32" s="56">
        <v>0</v>
      </c>
      <c r="D32" s="90"/>
      <c r="E32" s="54" t="s">
        <v>56</v>
      </c>
      <c r="F32" s="89">
        <v>0</v>
      </c>
      <c r="G32" s="56">
        <f t="shared" si="0"/>
        <v>0</v>
      </c>
      <c r="I32" s="57" t="s">
        <v>56</v>
      </c>
      <c r="J32" s="96" t="str">
        <f>VLOOKUP(I32,[1]Sheet1!$A$2:$F$48,6,FALSE)</f>
        <v>NGT&amp;S</v>
      </c>
      <c r="K32" s="82">
        <f t="shared" si="1"/>
        <v>0</v>
      </c>
    </row>
    <row r="33" spans="1:11">
      <c r="A33" s="61" t="s">
        <v>49</v>
      </c>
      <c r="B33" s="91">
        <f>SUM(B5:B32)</f>
        <v>169237696.22999999</v>
      </c>
      <c r="C33" s="63">
        <v>0.99999999999999978</v>
      </c>
      <c r="D33" s="90"/>
      <c r="E33" s="61" t="s">
        <v>49</v>
      </c>
      <c r="F33" s="91">
        <f>SUM(F5:F32)</f>
        <v>162861892.86000001</v>
      </c>
      <c r="G33" s="63">
        <f>SUM(G5:G32)</f>
        <v>0.99999999999999989</v>
      </c>
      <c r="I33" s="52" t="s">
        <v>6</v>
      </c>
      <c r="J33" s="53"/>
      <c r="K33" s="84">
        <f>SUM(K5:K32)</f>
        <v>5.7245874707234634E-17</v>
      </c>
    </row>
    <row r="34" spans="1:11">
      <c r="E34" s="90"/>
      <c r="F34" s="90"/>
      <c r="G34" s="90"/>
    </row>
    <row r="35" spans="1:11">
      <c r="E35" s="65" t="s">
        <v>78</v>
      </c>
    </row>
    <row r="36" spans="1:11">
      <c r="E36" t="s">
        <v>79</v>
      </c>
      <c r="F36" t="s">
        <v>80</v>
      </c>
      <c r="G36" s="46" t="s">
        <v>81</v>
      </c>
    </row>
    <row r="37" spans="1:11">
      <c r="E37" s="99" t="s">
        <v>82</v>
      </c>
      <c r="F37" s="85">
        <v>5.9999999999999908E-4</v>
      </c>
      <c r="G37" s="78">
        <f>F37*$F$46</f>
        <v>28408.71229199996</v>
      </c>
    </row>
    <row r="38" spans="1:11">
      <c r="A38" s="67"/>
      <c r="B38" s="67"/>
      <c r="C38" s="68" t="s">
        <v>60</v>
      </c>
      <c r="D38" s="68"/>
      <c r="E38" s="99" t="s">
        <v>83</v>
      </c>
      <c r="F38" s="85">
        <v>1.6900000000000026E-2</v>
      </c>
      <c r="G38" s="78">
        <f t="shared" ref="G38:G40" si="2">F38*$F$46</f>
        <v>800178.72955800139</v>
      </c>
      <c r="H38" s="67"/>
      <c r="I38" s="69"/>
    </row>
    <row r="39" spans="1:11">
      <c r="C39" s="70"/>
      <c r="D39" s="70"/>
      <c r="E39" s="99" t="s">
        <v>84</v>
      </c>
      <c r="F39" s="85">
        <v>-2.6699999999999953E-2</v>
      </c>
      <c r="G39" s="78">
        <f t="shared" si="2"/>
        <v>-1264187.696993998</v>
      </c>
    </row>
    <row r="40" spans="1:11">
      <c r="C40" s="70"/>
      <c r="D40" s="70"/>
      <c r="E40" s="99" t="s">
        <v>85</v>
      </c>
      <c r="F40" s="85">
        <v>9.199999999999986E-3</v>
      </c>
      <c r="G40" s="78">
        <f t="shared" si="2"/>
        <v>435600.25514399941</v>
      </c>
    </row>
    <row r="41" spans="1:11">
      <c r="A41" s="67"/>
      <c r="B41" s="67"/>
      <c r="C41" s="68" t="s">
        <v>60</v>
      </c>
      <c r="D41" s="68"/>
      <c r="E41" s="99" t="s">
        <v>49</v>
      </c>
      <c r="F41" s="85">
        <v>5.8980598183211441E-17</v>
      </c>
      <c r="G41" s="86">
        <f>SUM(G37:G40)</f>
        <v>2.7357600629329681E-9</v>
      </c>
      <c r="H41" s="67"/>
      <c r="I41" s="69"/>
    </row>
    <row r="42" spans="1:11">
      <c r="E42"/>
      <c r="F42"/>
      <c r="G42"/>
    </row>
    <row r="43" spans="1:11">
      <c r="E43" s="100" t="s">
        <v>89</v>
      </c>
      <c r="F43"/>
      <c r="G43"/>
    </row>
    <row r="44" spans="1:11">
      <c r="E44" s="101">
        <v>41305</v>
      </c>
      <c r="F44" s="73">
        <v>3758528.37</v>
      </c>
      <c r="G44"/>
    </row>
    <row r="45" spans="1:11">
      <c r="E45" s="101">
        <v>41333</v>
      </c>
      <c r="F45" s="73">
        <v>4132780.6</v>
      </c>
      <c r="G45"/>
    </row>
    <row r="46" spans="1:11">
      <c r="E46" t="s">
        <v>87</v>
      </c>
      <c r="F46" s="73">
        <f>(F44+F45)*6</f>
        <v>47347853.820000008</v>
      </c>
      <c r="G46"/>
    </row>
    <row r="47" spans="1:11">
      <c r="E47"/>
      <c r="F47"/>
      <c r="G47"/>
    </row>
    <row r="48" spans="1:11">
      <c r="E48"/>
      <c r="F48"/>
      <c r="G48"/>
    </row>
    <row r="49" spans="5:7">
      <c r="E49"/>
      <c r="F49"/>
      <c r="G49"/>
    </row>
    <row r="50" spans="5:7">
      <c r="E50"/>
      <c r="F50"/>
      <c r="G50"/>
    </row>
    <row r="51" spans="5:7">
      <c r="E51"/>
      <c r="F51"/>
      <c r="G51"/>
    </row>
    <row r="52" spans="5:7">
      <c r="E52"/>
      <c r="F52"/>
      <c r="G52"/>
    </row>
    <row r="53" spans="5:7">
      <c r="E53"/>
      <c r="F53"/>
      <c r="G53"/>
    </row>
  </sheetData>
  <mergeCells count="3">
    <mergeCell ref="A1:K1"/>
    <mergeCell ref="A3:C3"/>
    <mergeCell ref="E3:G3"/>
  </mergeCells>
  <pageMargins left="0.7" right="0.7" top="0.75" bottom="0.75" header="0.3" footer="0.3"/>
  <pageSetup scale="75" orientation="landscape" r:id="rId2"/>
  <headerFooter>
    <oddHeader>&amp;RKY PSC Case No. 2016-00162,
Attachment G to Staff Post Hearing Supp. DR 2</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4"/>
  <sheetViews>
    <sheetView workbookViewId="0"/>
  </sheetViews>
  <sheetFormatPr defaultRowHeight="14.4"/>
  <cols>
    <col min="1" max="1" width="17.6640625" customWidth="1"/>
    <col min="2" max="2" width="23" customWidth="1"/>
  </cols>
  <sheetData>
    <row r="1" spans="1:2">
      <c r="A1" s="163" t="s">
        <v>101</v>
      </c>
      <c r="B1" t="s">
        <v>102</v>
      </c>
    </row>
    <row r="3" spans="1:2">
      <c r="A3" s="163" t="s">
        <v>43</v>
      </c>
    </row>
    <row r="4" spans="1:2">
      <c r="A4" s="163" t="s">
        <v>44</v>
      </c>
      <c r="B4" t="s">
        <v>6</v>
      </c>
    </row>
    <row r="5" spans="1:2">
      <c r="A5" t="s">
        <v>8</v>
      </c>
      <c r="B5" s="73">
        <v>197584.81</v>
      </c>
    </row>
    <row r="6" spans="1:2">
      <c r="A6" t="s">
        <v>9</v>
      </c>
      <c r="B6" s="73">
        <v>5253087.75</v>
      </c>
    </row>
    <row r="7" spans="1:2">
      <c r="A7" t="s">
        <v>11</v>
      </c>
      <c r="B7" s="73">
        <v>115349.75000000009</v>
      </c>
    </row>
    <row r="8" spans="1:2">
      <c r="A8" t="s">
        <v>12</v>
      </c>
      <c r="B8" s="73">
        <v>141079.95000000001</v>
      </c>
    </row>
    <row r="9" spans="1:2">
      <c r="A9" t="s">
        <v>13</v>
      </c>
      <c r="B9" s="73">
        <v>4006898.1100000022</v>
      </c>
    </row>
    <row r="10" spans="1:2">
      <c r="A10" t="s">
        <v>14</v>
      </c>
      <c r="B10" s="73">
        <v>32822215.920000002</v>
      </c>
    </row>
    <row r="11" spans="1:2">
      <c r="A11" t="s">
        <v>15</v>
      </c>
      <c r="B11" s="73">
        <v>1347091.6699999997</v>
      </c>
    </row>
    <row r="12" spans="1:2">
      <c r="A12" t="s">
        <v>16</v>
      </c>
      <c r="B12" s="73">
        <v>13001974.349999998</v>
      </c>
    </row>
    <row r="13" spans="1:2">
      <c r="A13" t="s">
        <v>17</v>
      </c>
      <c r="B13" s="73">
        <v>6908528.3899999978</v>
      </c>
    </row>
    <row r="14" spans="1:2">
      <c r="A14" t="s">
        <v>18</v>
      </c>
      <c r="B14" s="73">
        <v>162371.17999999996</v>
      </c>
    </row>
    <row r="15" spans="1:2">
      <c r="A15" t="s">
        <v>19</v>
      </c>
      <c r="B15" s="73">
        <v>46349335.529999971</v>
      </c>
    </row>
    <row r="16" spans="1:2">
      <c r="A16" t="s">
        <v>20</v>
      </c>
      <c r="B16" s="73">
        <v>28020.199999999993</v>
      </c>
    </row>
    <row r="17" spans="1:2">
      <c r="A17" t="s">
        <v>21</v>
      </c>
      <c r="B17" s="73">
        <v>630195.97000000009</v>
      </c>
    </row>
    <row r="18" spans="1:2">
      <c r="A18" t="s">
        <v>22</v>
      </c>
      <c r="B18" s="73">
        <v>39159715.120000012</v>
      </c>
    </row>
    <row r="19" spans="1:2">
      <c r="A19" t="s">
        <v>23</v>
      </c>
      <c r="B19" s="73">
        <v>133258.07000000007</v>
      </c>
    </row>
    <row r="20" spans="1:2">
      <c r="A20" t="s">
        <v>24</v>
      </c>
      <c r="B20" s="73">
        <v>1201.21</v>
      </c>
    </row>
    <row r="21" spans="1:2">
      <c r="A21" t="s">
        <v>27</v>
      </c>
      <c r="B21" s="73">
        <v>14604.480000000001</v>
      </c>
    </row>
    <row r="22" spans="1:2">
      <c r="A22" t="s">
        <v>55</v>
      </c>
      <c r="B22" s="73">
        <v>39.1</v>
      </c>
    </row>
    <row r="23" spans="1:2">
      <c r="A23" t="s">
        <v>30</v>
      </c>
      <c r="B23" s="73">
        <v>19311.080000000002</v>
      </c>
    </row>
    <row r="24" spans="1:2">
      <c r="A24" t="s">
        <v>31</v>
      </c>
      <c r="B24" s="73">
        <v>11750.040000000003</v>
      </c>
    </row>
    <row r="25" spans="1:2">
      <c r="A25" t="s">
        <v>32</v>
      </c>
      <c r="B25" s="73">
        <v>15151491.959999995</v>
      </c>
    </row>
    <row r="26" spans="1:2">
      <c r="A26" t="s">
        <v>33</v>
      </c>
      <c r="B26" s="73">
        <v>2416783.63</v>
      </c>
    </row>
    <row r="27" spans="1:2">
      <c r="A27" t="s">
        <v>47</v>
      </c>
      <c r="B27" s="73">
        <v>690353.26000000013</v>
      </c>
    </row>
    <row r="28" spans="1:2">
      <c r="A28" t="s">
        <v>48</v>
      </c>
      <c r="B28" s="73">
        <v>401183.15000000008</v>
      </c>
    </row>
    <row r="29" spans="1:2">
      <c r="A29" t="s">
        <v>35</v>
      </c>
      <c r="B29" s="73">
        <v>26807.260000000002</v>
      </c>
    </row>
    <row r="30" spans="1:2">
      <c r="A30" t="s">
        <v>36</v>
      </c>
      <c r="B30" s="73">
        <v>6447.18</v>
      </c>
    </row>
    <row r="31" spans="1:2">
      <c r="A31" t="s">
        <v>37</v>
      </c>
      <c r="B31" s="73">
        <v>6839.7399999999989</v>
      </c>
    </row>
    <row r="32" spans="1:2">
      <c r="A32" t="s">
        <v>70</v>
      </c>
      <c r="B32" s="73">
        <v>49.849999999999994</v>
      </c>
    </row>
    <row r="33" spans="1:2">
      <c r="A33" t="s">
        <v>38</v>
      </c>
      <c r="B33" s="73">
        <v>234127.52000000002</v>
      </c>
    </row>
    <row r="34" spans="1:2">
      <c r="A34" t="s">
        <v>49</v>
      </c>
      <c r="B34" s="73">
        <v>169237696.22999999</v>
      </c>
    </row>
  </sheetData>
  <pageMargins left="0.7" right="0.7" top="0.75" bottom="0.75" header="0.3" footer="0.3"/>
  <pageSetup orientation="landscape" r:id="rId1"/>
  <headerFooter>
    <oddHeader>&amp;RKY PSC Case No. 2016-00162,
Attachment G to Staff Post Hearing Supp. DR 2</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2"/>
  <sheetViews>
    <sheetView workbookViewId="0">
      <selection sqref="A1:H1"/>
    </sheetView>
  </sheetViews>
  <sheetFormatPr defaultRowHeight="14.4"/>
  <cols>
    <col min="1" max="1" width="13.6640625" style="121" customWidth="1"/>
    <col min="2" max="2" width="15.109375" style="122" customWidth="1"/>
    <col min="3" max="3" width="2.6640625" style="123" customWidth="1"/>
    <col min="4" max="4" width="11.5546875" style="122" customWidth="1"/>
    <col min="5" max="5" width="14.109375" style="122" bestFit="1" customWidth="1"/>
    <col min="6" max="6" width="16.44140625" style="122" customWidth="1"/>
    <col min="7" max="7" width="2.6640625" style="122" customWidth="1"/>
    <col min="8" max="8" width="11.5546875" style="122" bestFit="1" customWidth="1"/>
  </cols>
  <sheetData>
    <row r="1" spans="1:8" ht="19.2">
      <c r="A1" s="245" t="s">
        <v>94</v>
      </c>
      <c r="B1" s="245"/>
      <c r="C1" s="245"/>
      <c r="D1" s="245"/>
      <c r="E1" s="245"/>
      <c r="F1" s="245"/>
      <c r="G1" s="245"/>
      <c r="H1" s="245"/>
    </row>
    <row r="3" spans="1:8">
      <c r="A3" s="246" t="s">
        <v>95</v>
      </c>
      <c r="B3" s="246"/>
      <c r="C3" s="124"/>
      <c r="D3" s="246" t="s">
        <v>96</v>
      </c>
      <c r="E3" s="246"/>
      <c r="F3" s="246"/>
    </row>
    <row r="4" spans="1:8">
      <c r="A4" s="125"/>
      <c r="B4" s="125"/>
      <c r="D4" s="125"/>
      <c r="E4" s="125"/>
      <c r="F4" s="125"/>
    </row>
    <row r="5" spans="1:8">
      <c r="A5" s="124" t="s">
        <v>44</v>
      </c>
      <c r="B5" s="126" t="s">
        <v>4</v>
      </c>
      <c r="C5" s="127"/>
      <c r="D5" s="124" t="s">
        <v>44</v>
      </c>
      <c r="E5" s="124" t="s">
        <v>63</v>
      </c>
      <c r="F5" s="126" t="s">
        <v>4</v>
      </c>
      <c r="G5" s="128"/>
      <c r="H5" s="126" t="s">
        <v>7</v>
      </c>
    </row>
    <row r="6" spans="1:8">
      <c r="A6" s="128" t="s">
        <v>8</v>
      </c>
      <c r="B6" s="128">
        <v>1.66E-2</v>
      </c>
      <c r="C6" s="128"/>
      <c r="D6" s="129" t="s">
        <v>8</v>
      </c>
      <c r="E6" s="147">
        <v>327781.53999999998</v>
      </c>
      <c r="F6" s="130">
        <v>1.09E-2</v>
      </c>
      <c r="G6" s="131"/>
      <c r="H6" s="132">
        <f>F6-B6</f>
        <v>-5.7000000000000002E-3</v>
      </c>
    </row>
    <row r="7" spans="1:8">
      <c r="A7" s="128" t="s">
        <v>9</v>
      </c>
      <c r="B7" s="128">
        <v>3.32E-2</v>
      </c>
      <c r="C7" s="128"/>
      <c r="D7" s="129" t="s">
        <v>9</v>
      </c>
      <c r="E7" s="147">
        <v>1058279.5199999998</v>
      </c>
      <c r="F7" s="130">
        <v>3.5200000000000002E-2</v>
      </c>
      <c r="G7" s="131"/>
      <c r="H7" s="132">
        <f t="shared" ref="H7:H33" si="0">F7-B7</f>
        <v>2.0000000000000018E-3</v>
      </c>
    </row>
    <row r="8" spans="1:8">
      <c r="A8" s="122" t="s">
        <v>11</v>
      </c>
      <c r="B8" s="122">
        <v>8.9999999999999998E-4</v>
      </c>
      <c r="C8" s="128"/>
      <c r="D8" s="129" t="s">
        <v>11</v>
      </c>
      <c r="E8" s="147">
        <v>24723.929999999997</v>
      </c>
      <c r="F8" s="130">
        <v>8.0000000000000004E-4</v>
      </c>
      <c r="G8" s="131"/>
      <c r="H8" s="132">
        <f t="shared" si="0"/>
        <v>-9.9999999999999937E-5</v>
      </c>
    </row>
    <row r="9" spans="1:8">
      <c r="A9" s="122" t="s">
        <v>12</v>
      </c>
      <c r="B9" s="122">
        <v>1.1999999999999999E-3</v>
      </c>
      <c r="C9" s="128"/>
      <c r="D9" s="129" t="s">
        <v>12</v>
      </c>
      <c r="E9" s="147">
        <v>32418.639999999999</v>
      </c>
      <c r="F9" s="130">
        <v>1.1000000000000001E-3</v>
      </c>
      <c r="G9" s="123"/>
      <c r="H9" s="132">
        <f t="shared" si="0"/>
        <v>-9.9999999999999829E-5</v>
      </c>
    </row>
    <row r="10" spans="1:8">
      <c r="A10" s="122" t="s">
        <v>13</v>
      </c>
      <c r="B10" s="122">
        <v>1.43E-2</v>
      </c>
      <c r="C10" s="128"/>
      <c r="D10" s="129" t="s">
        <v>13</v>
      </c>
      <c r="E10" s="147">
        <v>420494.72000000003</v>
      </c>
      <c r="F10" s="130">
        <v>1.4E-2</v>
      </c>
      <c r="G10" s="123"/>
      <c r="H10" s="132">
        <f t="shared" si="0"/>
        <v>-2.9999999999999992E-4</v>
      </c>
    </row>
    <row r="11" spans="1:8">
      <c r="A11" s="122" t="s">
        <v>14</v>
      </c>
      <c r="B11" s="122">
        <v>0.1206</v>
      </c>
      <c r="C11" s="128"/>
      <c r="D11" s="129" t="s">
        <v>14</v>
      </c>
      <c r="E11" s="147">
        <v>3625244.53</v>
      </c>
      <c r="F11" s="130">
        <v>0.1206</v>
      </c>
      <c r="G11" s="123"/>
      <c r="H11" s="133">
        <f t="shared" si="0"/>
        <v>0</v>
      </c>
    </row>
    <row r="12" spans="1:8">
      <c r="A12" s="122" t="s">
        <v>15</v>
      </c>
      <c r="B12" s="122">
        <v>7.9000000000000008E-3</v>
      </c>
      <c r="C12" s="128"/>
      <c r="D12" s="129" t="s">
        <v>15</v>
      </c>
      <c r="E12" s="147">
        <v>254447.06000000003</v>
      </c>
      <c r="F12" s="130">
        <v>8.5000000000000006E-3</v>
      </c>
      <c r="G12" s="123"/>
      <c r="H12" s="133">
        <f t="shared" si="0"/>
        <v>5.9999999999999984E-4</v>
      </c>
    </row>
    <row r="13" spans="1:8">
      <c r="A13" s="122" t="s">
        <v>16</v>
      </c>
      <c r="B13" s="122">
        <v>5.8999999999999997E-2</v>
      </c>
      <c r="C13" s="128"/>
      <c r="D13" s="129" t="s">
        <v>16</v>
      </c>
      <c r="E13" s="147">
        <v>1806688.96</v>
      </c>
      <c r="F13" s="130">
        <v>6.0100000000000001E-2</v>
      </c>
      <c r="G13" s="123"/>
      <c r="H13" s="133">
        <f t="shared" si="0"/>
        <v>1.1000000000000038E-3</v>
      </c>
    </row>
    <row r="14" spans="1:8">
      <c r="A14" s="122" t="s">
        <v>17</v>
      </c>
      <c r="B14" s="122">
        <v>4.4900000000000002E-2</v>
      </c>
      <c r="C14" s="128"/>
      <c r="D14" s="129" t="s">
        <v>17</v>
      </c>
      <c r="E14" s="147">
        <v>1308440.92</v>
      </c>
      <c r="F14" s="130">
        <v>4.3499999999999997E-2</v>
      </c>
      <c r="G14" s="123"/>
      <c r="H14" s="133">
        <f t="shared" si="0"/>
        <v>-1.4000000000000054E-3</v>
      </c>
    </row>
    <row r="15" spans="1:8">
      <c r="A15" s="122" t="s">
        <v>18</v>
      </c>
      <c r="B15" s="122">
        <v>8.0000000000000004E-4</v>
      </c>
      <c r="C15" s="128"/>
      <c r="D15" s="129" t="s">
        <v>18</v>
      </c>
      <c r="E15" s="147">
        <v>20230.400000000001</v>
      </c>
      <c r="F15" s="130">
        <v>6.9999999999999999E-4</v>
      </c>
      <c r="G15" s="123"/>
      <c r="H15" s="133">
        <f t="shared" si="0"/>
        <v>-1.0000000000000005E-4</v>
      </c>
    </row>
    <row r="16" spans="1:8">
      <c r="A16" s="122" t="s">
        <v>19</v>
      </c>
      <c r="B16" s="122">
        <v>0.23480000000000001</v>
      </c>
      <c r="C16" s="128"/>
      <c r="D16" s="129" t="s">
        <v>19</v>
      </c>
      <c r="E16" s="147">
        <v>7712598.2700000005</v>
      </c>
      <c r="F16" s="130">
        <v>0.25659999999999999</v>
      </c>
      <c r="G16" s="123"/>
      <c r="H16" s="133">
        <f t="shared" si="0"/>
        <v>2.1799999999999986E-2</v>
      </c>
    </row>
    <row r="17" spans="1:8">
      <c r="A17" s="134" t="s">
        <v>20</v>
      </c>
      <c r="B17" s="134">
        <v>5.0000000000000001E-4</v>
      </c>
      <c r="C17" s="135"/>
      <c r="D17" s="129" t="s">
        <v>20</v>
      </c>
      <c r="E17" s="147">
        <v>13342.189999999999</v>
      </c>
      <c r="F17" s="130">
        <v>4.0000000000000002E-4</v>
      </c>
      <c r="G17" s="123"/>
      <c r="H17" s="133">
        <f t="shared" si="0"/>
        <v>-9.9999999999999991E-5</v>
      </c>
    </row>
    <row r="18" spans="1:8">
      <c r="A18" s="122" t="s">
        <v>21</v>
      </c>
      <c r="B18" s="122">
        <v>4.87E-2</v>
      </c>
      <c r="C18" s="128"/>
      <c r="D18" s="129" t="s">
        <v>21</v>
      </c>
      <c r="E18" s="147">
        <v>1454620.8799999997</v>
      </c>
      <c r="F18" s="138">
        <f>4.84%+0.0003</f>
        <v>4.87E-2</v>
      </c>
      <c r="G18" s="123"/>
      <c r="H18" s="133">
        <f t="shared" si="0"/>
        <v>0</v>
      </c>
    </row>
    <row r="19" spans="1:8">
      <c r="A19" s="134" t="s">
        <v>22</v>
      </c>
      <c r="B19" s="134">
        <v>0.28310000000000002</v>
      </c>
      <c r="C19" s="135"/>
      <c r="D19" s="129" t="s">
        <v>22</v>
      </c>
      <c r="E19" s="147">
        <v>7914260.6499999994</v>
      </c>
      <c r="F19" s="130">
        <v>0.26329999999999998</v>
      </c>
      <c r="G19" s="136"/>
      <c r="H19" s="133">
        <f t="shared" si="0"/>
        <v>-1.980000000000004E-2</v>
      </c>
    </row>
    <row r="20" spans="1:8">
      <c r="A20" s="134" t="s">
        <v>23</v>
      </c>
      <c r="B20" s="134">
        <v>1.01E-2</v>
      </c>
      <c r="C20" s="135"/>
      <c r="D20" s="137" t="s">
        <v>23</v>
      </c>
      <c r="E20" s="147">
        <v>379512.82999999996</v>
      </c>
      <c r="F20" s="138">
        <v>1.26E-2</v>
      </c>
      <c r="G20" s="136"/>
      <c r="H20" s="132">
        <f t="shared" si="0"/>
        <v>2.5000000000000005E-3</v>
      </c>
    </row>
    <row r="21" spans="1:8">
      <c r="A21" s="134" t="s">
        <v>24</v>
      </c>
      <c r="B21" s="134">
        <v>0</v>
      </c>
      <c r="C21" s="135"/>
      <c r="D21" s="137" t="s">
        <v>24</v>
      </c>
      <c r="E21" s="147">
        <v>94.42</v>
      </c>
      <c r="F21" s="138">
        <v>0</v>
      </c>
      <c r="G21" s="136"/>
      <c r="H21" s="132">
        <f t="shared" si="0"/>
        <v>0</v>
      </c>
    </row>
    <row r="22" spans="1:8">
      <c r="A22" s="134" t="s">
        <v>27</v>
      </c>
      <c r="B22" s="134">
        <v>1.5E-3</v>
      </c>
      <c r="C22" s="135"/>
      <c r="D22" s="137" t="s">
        <v>27</v>
      </c>
      <c r="E22" s="147">
        <v>52852.150000000009</v>
      </c>
      <c r="F22" s="138">
        <v>1.8E-3</v>
      </c>
      <c r="G22" s="136"/>
      <c r="H22" s="132">
        <f t="shared" si="0"/>
        <v>2.9999999999999992E-4</v>
      </c>
    </row>
    <row r="23" spans="1:8">
      <c r="A23" s="134" t="s">
        <v>29</v>
      </c>
      <c r="B23" s="134">
        <v>7.7999999999999996E-3</v>
      </c>
      <c r="C23" s="135"/>
      <c r="D23" s="137" t="s">
        <v>29</v>
      </c>
      <c r="E23" s="147">
        <v>0</v>
      </c>
      <c r="F23" s="138">
        <v>0</v>
      </c>
      <c r="G23" s="136"/>
      <c r="H23" s="132">
        <f t="shared" si="0"/>
        <v>-7.7999999999999996E-3</v>
      </c>
    </row>
    <row r="24" spans="1:8">
      <c r="A24" s="139" t="s">
        <v>55</v>
      </c>
      <c r="B24" s="134">
        <v>0</v>
      </c>
      <c r="C24" s="135"/>
      <c r="D24" s="137" t="s">
        <v>55</v>
      </c>
      <c r="E24" s="147">
        <v>3.08</v>
      </c>
      <c r="F24" s="138">
        <v>0</v>
      </c>
      <c r="G24" s="136"/>
      <c r="H24" s="132">
        <f t="shared" si="0"/>
        <v>0</v>
      </c>
    </row>
    <row r="25" spans="1:8">
      <c r="A25" s="134" t="s">
        <v>30</v>
      </c>
      <c r="B25" s="134">
        <v>6.3E-3</v>
      </c>
      <c r="C25" s="135"/>
      <c r="D25" s="137" t="s">
        <v>30</v>
      </c>
      <c r="E25" s="147">
        <v>85608.17</v>
      </c>
      <c r="F25" s="138">
        <v>2.8E-3</v>
      </c>
      <c r="G25" s="136"/>
      <c r="H25" s="132">
        <f t="shared" si="0"/>
        <v>-3.5000000000000001E-3</v>
      </c>
    </row>
    <row r="26" spans="1:8">
      <c r="A26" s="134" t="s">
        <v>31</v>
      </c>
      <c r="B26" s="134">
        <v>1E-4</v>
      </c>
      <c r="C26" s="135"/>
      <c r="D26" s="137" t="s">
        <v>31</v>
      </c>
      <c r="E26" s="147">
        <v>2157.5299999999997</v>
      </c>
      <c r="F26" s="138">
        <v>1E-4</v>
      </c>
      <c r="G26" s="140"/>
      <c r="H26" s="132">
        <f t="shared" si="0"/>
        <v>0</v>
      </c>
    </row>
    <row r="27" spans="1:8">
      <c r="A27" s="134" t="s">
        <v>32</v>
      </c>
      <c r="B27" s="134">
        <v>5.9299999999999999E-2</v>
      </c>
      <c r="C27" s="135"/>
      <c r="D27" s="137" t="s">
        <v>32</v>
      </c>
      <c r="E27" s="147">
        <v>1879299.7199999997</v>
      </c>
      <c r="F27" s="138">
        <v>6.25E-2</v>
      </c>
      <c r="G27" s="140"/>
      <c r="H27" s="132">
        <f t="shared" si="0"/>
        <v>3.2000000000000015E-3</v>
      </c>
    </row>
    <row r="28" spans="1:8">
      <c r="A28" s="134" t="s">
        <v>33</v>
      </c>
      <c r="B28" s="134">
        <v>2.1999999999999999E-2</v>
      </c>
      <c r="C28" s="135"/>
      <c r="D28" s="137" t="s">
        <v>33</v>
      </c>
      <c r="E28" s="147">
        <v>795226.77000000025</v>
      </c>
      <c r="F28" s="138">
        <v>2.6499999999999999E-2</v>
      </c>
      <c r="G28" s="140"/>
      <c r="H28" s="132">
        <f t="shared" si="0"/>
        <v>4.5000000000000005E-3</v>
      </c>
    </row>
    <row r="29" spans="1:8">
      <c r="A29" s="122" t="s">
        <v>35</v>
      </c>
      <c r="B29" s="122">
        <v>1.4200000000000001E-2</v>
      </c>
      <c r="C29" s="128"/>
      <c r="D29" s="137" t="s">
        <v>35</v>
      </c>
      <c r="E29" s="147">
        <v>451856.57</v>
      </c>
      <c r="F29" s="138">
        <v>1.4999999999999999E-2</v>
      </c>
      <c r="G29" s="131"/>
      <c r="H29" s="132">
        <f t="shared" si="0"/>
        <v>7.9999999999999863E-4</v>
      </c>
    </row>
    <row r="30" spans="1:8">
      <c r="A30" s="122" t="s">
        <v>36</v>
      </c>
      <c r="B30" s="122">
        <v>0</v>
      </c>
      <c r="C30" s="128"/>
      <c r="D30" s="137" t="s">
        <v>36</v>
      </c>
      <c r="E30" s="147">
        <v>1227.49</v>
      </c>
      <c r="F30" s="138">
        <v>0</v>
      </c>
      <c r="G30" s="131"/>
      <c r="H30" s="132">
        <f t="shared" si="0"/>
        <v>0</v>
      </c>
    </row>
    <row r="31" spans="1:8">
      <c r="A31" s="122" t="s">
        <v>37</v>
      </c>
      <c r="B31" s="122">
        <v>0</v>
      </c>
      <c r="C31" s="128"/>
      <c r="D31" s="137" t="s">
        <v>37</v>
      </c>
      <c r="E31" s="147">
        <v>1259.83</v>
      </c>
      <c r="F31" s="138">
        <v>0</v>
      </c>
      <c r="G31" s="131"/>
      <c r="H31" s="132">
        <f t="shared" si="0"/>
        <v>0</v>
      </c>
    </row>
    <row r="32" spans="1:8">
      <c r="A32" s="128" t="s">
        <v>38</v>
      </c>
      <c r="B32" s="128">
        <v>1.2200000000000001E-2</v>
      </c>
      <c r="D32" s="137" t="s">
        <v>38</v>
      </c>
      <c r="E32" s="147">
        <v>429058.27</v>
      </c>
      <c r="F32" s="138">
        <v>1.43E-2</v>
      </c>
      <c r="G32" s="128"/>
      <c r="H32" s="132">
        <f t="shared" si="0"/>
        <v>2.0999999999999994E-3</v>
      </c>
    </row>
    <row r="33" spans="1:8">
      <c r="A33" s="141" t="s">
        <v>56</v>
      </c>
      <c r="B33" s="128">
        <v>0</v>
      </c>
      <c r="D33" s="137" t="s">
        <v>56</v>
      </c>
      <c r="E33" s="147">
        <v>0</v>
      </c>
      <c r="F33" s="138">
        <v>0</v>
      </c>
      <c r="H33" s="132">
        <f t="shared" si="0"/>
        <v>0</v>
      </c>
    </row>
    <row r="34" spans="1:8" ht="15" thickBot="1">
      <c r="A34" s="142" t="s">
        <v>6</v>
      </c>
      <c r="B34" s="142">
        <f>SUM(B6:B33)</f>
        <v>0.99999999999999989</v>
      </c>
      <c r="D34" s="143" t="s">
        <v>6</v>
      </c>
      <c r="E34" s="148">
        <f>SUM(E6:E33)</f>
        <v>30051729.039999992</v>
      </c>
      <c r="F34" s="144">
        <f>SUM(F6:F33)</f>
        <v>0.99999999999999978</v>
      </c>
      <c r="H34" s="142">
        <f>SUM(H6:H33)</f>
        <v>-5.2041704279304213E-17</v>
      </c>
    </row>
    <row r="35" spans="1:8" ht="15" thickTop="1">
      <c r="D35" s="129"/>
      <c r="E35" s="129"/>
      <c r="F35" s="145"/>
      <c r="G35" s="123"/>
      <c r="H35" s="121"/>
    </row>
    <row r="36" spans="1:8">
      <c r="D36" s="129"/>
      <c r="E36" s="129"/>
      <c r="F36" s="145"/>
      <c r="G36" s="123"/>
      <c r="H36" s="121"/>
    </row>
    <row r="37" spans="1:8">
      <c r="D37" s="146"/>
      <c r="E37" s="146"/>
      <c r="F37" s="146"/>
      <c r="G37" s="128"/>
      <c r="H37" s="128"/>
    </row>
    <row r="38" spans="1:8">
      <c r="D38" s="146"/>
      <c r="E38" s="146"/>
      <c r="F38" s="131"/>
      <c r="G38" s="128"/>
      <c r="H38" s="128"/>
    </row>
    <row r="39" spans="1:8">
      <c r="D39" s="146"/>
      <c r="E39" s="146"/>
      <c r="F39" s="131"/>
      <c r="G39" s="128"/>
      <c r="H39" s="128"/>
    </row>
    <row r="40" spans="1:8">
      <c r="D40" s="146"/>
      <c r="E40" s="146"/>
      <c r="F40" s="146"/>
      <c r="G40" s="128"/>
      <c r="H40" s="128"/>
    </row>
    <row r="41" spans="1:8">
      <c r="D41" s="128"/>
      <c r="E41" s="128"/>
      <c r="F41" s="128"/>
      <c r="G41" s="128"/>
      <c r="H41" s="128"/>
    </row>
    <row r="42" spans="1:8">
      <c r="D42" s="128"/>
      <c r="E42" s="128"/>
      <c r="F42" s="128"/>
      <c r="G42" s="128"/>
      <c r="H42" s="128"/>
    </row>
  </sheetData>
  <mergeCells count="3">
    <mergeCell ref="A1:H1"/>
    <mergeCell ref="A3:B3"/>
    <mergeCell ref="D3:F3"/>
  </mergeCells>
  <pageMargins left="0.7" right="0.7" top="0.75" bottom="0.75" header="0.3" footer="0.3"/>
  <pageSetup orientation="landscape" r:id="rId1"/>
  <headerFooter>
    <oddHeader>&amp;RKY PSC Case No. 2016-00162,
Attachment G to Staff Post Hearing Supp. DR 2</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4"/>
  <sheetViews>
    <sheetView workbookViewId="0"/>
  </sheetViews>
  <sheetFormatPr defaultRowHeight="14.4"/>
  <cols>
    <col min="1" max="1" width="19" style="72" bestFit="1" customWidth="1"/>
    <col min="2" max="2" width="14.109375" style="72" bestFit="1" customWidth="1"/>
  </cols>
  <sheetData>
    <row r="1" spans="1:2">
      <c r="A1" s="164" t="s">
        <v>98</v>
      </c>
      <c r="B1" s="72" t="s">
        <v>99</v>
      </c>
    </row>
    <row r="3" spans="1:2">
      <c r="A3" s="164" t="s">
        <v>43</v>
      </c>
    </row>
    <row r="4" spans="1:2">
      <c r="A4" s="164" t="s">
        <v>44</v>
      </c>
      <c r="B4" s="72" t="s">
        <v>6</v>
      </c>
    </row>
    <row r="5" spans="1:2">
      <c r="A5" s="72" t="s">
        <v>8</v>
      </c>
      <c r="B5" s="72">
        <v>327781.53999999998</v>
      </c>
    </row>
    <row r="6" spans="1:2">
      <c r="A6" s="72" t="s">
        <v>9</v>
      </c>
      <c r="B6" s="72">
        <v>1058279.5199999998</v>
      </c>
    </row>
    <row r="7" spans="1:2">
      <c r="A7" s="72" t="s">
        <v>11</v>
      </c>
      <c r="B7" s="72">
        <v>24723.929999999997</v>
      </c>
    </row>
    <row r="8" spans="1:2">
      <c r="A8" s="72" t="s">
        <v>12</v>
      </c>
      <c r="B8" s="72">
        <v>32418.639999999999</v>
      </c>
    </row>
    <row r="9" spans="1:2">
      <c r="A9" s="72" t="s">
        <v>13</v>
      </c>
      <c r="B9" s="72">
        <v>420494.72000000003</v>
      </c>
    </row>
    <row r="10" spans="1:2">
      <c r="A10" s="72" t="s">
        <v>14</v>
      </c>
      <c r="B10" s="72">
        <v>3625244.53</v>
      </c>
    </row>
    <row r="11" spans="1:2">
      <c r="A11" s="72" t="s">
        <v>15</v>
      </c>
      <c r="B11" s="72">
        <v>254447.06000000003</v>
      </c>
    </row>
    <row r="12" spans="1:2">
      <c r="A12" s="72" t="s">
        <v>16</v>
      </c>
      <c r="B12" s="72">
        <v>1806688.96</v>
      </c>
    </row>
    <row r="13" spans="1:2">
      <c r="A13" s="72" t="s">
        <v>17</v>
      </c>
      <c r="B13" s="72">
        <v>1308440.92</v>
      </c>
    </row>
    <row r="14" spans="1:2">
      <c r="A14" s="72" t="s">
        <v>18</v>
      </c>
      <c r="B14" s="72">
        <v>20230.400000000001</v>
      </c>
    </row>
    <row r="15" spans="1:2">
      <c r="A15" s="72" t="s">
        <v>19</v>
      </c>
      <c r="B15" s="72">
        <v>7712598.2700000005</v>
      </c>
    </row>
    <row r="16" spans="1:2">
      <c r="A16" s="72" t="s">
        <v>20</v>
      </c>
      <c r="B16" s="72">
        <v>13342.189999999999</v>
      </c>
    </row>
    <row r="17" spans="1:2">
      <c r="A17" s="72" t="s">
        <v>21</v>
      </c>
      <c r="B17" s="72">
        <v>1454620.8799999997</v>
      </c>
    </row>
    <row r="18" spans="1:2">
      <c r="A18" s="72" t="s">
        <v>22</v>
      </c>
      <c r="B18" s="72">
        <v>4147954.1099999994</v>
      </c>
    </row>
    <row r="19" spans="1:2">
      <c r="A19" s="72" t="s">
        <v>23</v>
      </c>
      <c r="B19" s="72">
        <v>379512.82999999996</v>
      </c>
    </row>
    <row r="20" spans="1:2">
      <c r="A20" s="72" t="s">
        <v>24</v>
      </c>
      <c r="B20" s="72">
        <v>94.42</v>
      </c>
    </row>
    <row r="21" spans="1:2">
      <c r="A21" s="72" t="s">
        <v>27</v>
      </c>
      <c r="B21" s="72">
        <v>52852.150000000009</v>
      </c>
    </row>
    <row r="22" spans="1:2">
      <c r="A22" s="72" t="s">
        <v>55</v>
      </c>
      <c r="B22" s="72">
        <v>3.08</v>
      </c>
    </row>
    <row r="23" spans="1:2">
      <c r="A23" s="72" t="s">
        <v>30</v>
      </c>
      <c r="B23" s="72">
        <v>85608.17</v>
      </c>
    </row>
    <row r="24" spans="1:2">
      <c r="A24" s="72" t="s">
        <v>31</v>
      </c>
      <c r="B24" s="72">
        <v>2157.5299999999997</v>
      </c>
    </row>
    <row r="25" spans="1:2">
      <c r="A25" s="72" t="s">
        <v>32</v>
      </c>
      <c r="B25" s="72">
        <v>1879299.7199999997</v>
      </c>
    </row>
    <row r="26" spans="1:2">
      <c r="A26" s="72" t="s">
        <v>33</v>
      </c>
      <c r="B26" s="72">
        <v>795226.77000000025</v>
      </c>
    </row>
    <row r="27" spans="1:2">
      <c r="A27" s="72" t="s">
        <v>47</v>
      </c>
      <c r="B27" s="72">
        <v>3063230.46</v>
      </c>
    </row>
    <row r="28" spans="1:2">
      <c r="A28" s="72" t="s">
        <v>48</v>
      </c>
      <c r="B28" s="72">
        <v>702893.61999999988</v>
      </c>
    </row>
    <row r="29" spans="1:2">
      <c r="A29" s="72" t="s">
        <v>35</v>
      </c>
      <c r="B29" s="72">
        <v>451856.57</v>
      </c>
    </row>
    <row r="30" spans="1:2">
      <c r="A30" s="72" t="s">
        <v>36</v>
      </c>
      <c r="B30" s="72">
        <v>1227.49</v>
      </c>
    </row>
    <row r="31" spans="1:2">
      <c r="A31" s="72" t="s">
        <v>37</v>
      </c>
      <c r="B31" s="72">
        <v>1259.83</v>
      </c>
    </row>
    <row r="32" spans="1:2">
      <c r="A32" s="72" t="s">
        <v>70</v>
      </c>
      <c r="B32" s="72">
        <v>182.46000000000004</v>
      </c>
    </row>
    <row r="33" spans="1:2">
      <c r="A33" s="72" t="s">
        <v>38</v>
      </c>
      <c r="B33" s="72">
        <v>429058.27</v>
      </c>
    </row>
    <row r="34" spans="1:2">
      <c r="A34" s="72" t="s">
        <v>49</v>
      </c>
      <c r="B34" s="72">
        <v>30051729.039999995</v>
      </c>
    </row>
  </sheetData>
  <pageMargins left="0.7" right="0.7" top="0.75" bottom="0.75" header="0.3" footer="0.3"/>
  <pageSetup orientation="landscape" r:id="rId1"/>
  <headerFooter>
    <oddHeader>&amp;RKY PSC Case No. 2016-00162,
Attachment G to Staff Post Hearing Supp. DR 2</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M44"/>
  <sheetViews>
    <sheetView zoomScaleNormal="100" workbookViewId="0">
      <selection sqref="A1:G1"/>
    </sheetView>
  </sheetViews>
  <sheetFormatPr defaultRowHeight="14.4"/>
  <cols>
    <col min="1" max="1" width="11.109375" bestFit="1" customWidth="1"/>
    <col min="2" max="2" width="15.33203125" bestFit="1" customWidth="1"/>
    <col min="3" max="3" width="19.6640625" bestFit="1" customWidth="1"/>
    <col min="5" max="5" width="11.109375" bestFit="1" customWidth="1"/>
    <col min="6" max="6" width="15.33203125" bestFit="1" customWidth="1"/>
    <col min="7" max="7" width="19.6640625" bestFit="1" customWidth="1"/>
    <col min="8" max="8" width="9.33203125" customWidth="1"/>
    <col min="9" max="9" width="9.33203125" bestFit="1" customWidth="1"/>
    <col min="10" max="10" width="10.44140625" bestFit="1" customWidth="1"/>
    <col min="12" max="12" width="11.5546875" bestFit="1" customWidth="1"/>
  </cols>
  <sheetData>
    <row r="1" spans="1:12" ht="15" customHeight="1">
      <c r="A1" s="247" t="s">
        <v>50</v>
      </c>
      <c r="B1" s="247"/>
      <c r="C1" s="247"/>
      <c r="D1" s="247"/>
      <c r="E1" s="247"/>
      <c r="F1" s="247"/>
      <c r="G1" s="247"/>
      <c r="H1" s="102"/>
      <c r="I1" s="103"/>
      <c r="J1" s="103"/>
      <c r="K1" s="65"/>
    </row>
    <row r="2" spans="1:12">
      <c r="H2" s="104"/>
    </row>
    <row r="3" spans="1:12">
      <c r="A3" s="243" t="s">
        <v>90</v>
      </c>
      <c r="B3" s="243"/>
      <c r="C3" s="243"/>
      <c r="D3" s="105"/>
      <c r="E3" s="243" t="s">
        <v>91</v>
      </c>
      <c r="F3" s="243"/>
      <c r="G3" s="243"/>
      <c r="H3" s="87"/>
      <c r="I3" s="48"/>
      <c r="J3" s="48"/>
      <c r="K3" s="105"/>
    </row>
    <row r="4" spans="1:12">
      <c r="A4" s="49" t="s">
        <v>2</v>
      </c>
      <c r="B4" s="50" t="s">
        <v>3</v>
      </c>
      <c r="C4" s="51" t="s">
        <v>5</v>
      </c>
      <c r="D4" s="105"/>
      <c r="E4" s="49" t="s">
        <v>2</v>
      </c>
      <c r="F4" s="50" t="s">
        <v>3</v>
      </c>
      <c r="G4" s="106" t="s">
        <v>5</v>
      </c>
      <c r="H4" s="88"/>
      <c r="I4" s="52" t="s">
        <v>2</v>
      </c>
      <c r="J4" s="53" t="s">
        <v>7</v>
      </c>
      <c r="K4" s="105"/>
    </row>
    <row r="5" spans="1:12">
      <c r="A5" s="54" t="s">
        <v>8</v>
      </c>
      <c r="B5" s="89">
        <v>1118631.79</v>
      </c>
      <c r="C5" s="56">
        <v>3.2000000000000002E-3</v>
      </c>
      <c r="D5" s="105"/>
      <c r="E5" s="54" t="s">
        <v>8</v>
      </c>
      <c r="F5" s="89">
        <v>789627.86999999988</v>
      </c>
      <c r="G5" s="107">
        <v>2.2000000000000001E-3</v>
      </c>
      <c r="H5" s="108"/>
      <c r="I5" s="57" t="s">
        <v>8</v>
      </c>
      <c r="J5" s="82">
        <f>G5-C5</f>
        <v>-1E-3</v>
      </c>
      <c r="K5" s="105"/>
      <c r="L5" s="73"/>
    </row>
    <row r="6" spans="1:12">
      <c r="A6" s="54" t="s">
        <v>9</v>
      </c>
      <c r="B6" s="89">
        <v>11792015.050000003</v>
      </c>
      <c r="C6" s="56">
        <v>3.4200000000000001E-2</v>
      </c>
      <c r="D6" s="105"/>
      <c r="E6" s="54" t="s">
        <v>9</v>
      </c>
      <c r="F6" s="89">
        <v>11896978.360000001</v>
      </c>
      <c r="G6" s="107">
        <v>3.3599999999999998E-2</v>
      </c>
      <c r="H6" s="108"/>
      <c r="I6" s="57" t="s">
        <v>9</v>
      </c>
      <c r="J6" s="82">
        <f t="shared" ref="J6:J30" si="0">G6-C6</f>
        <v>-6.0000000000000331E-4</v>
      </c>
      <c r="K6" s="105"/>
      <c r="L6" s="73"/>
    </row>
    <row r="7" spans="1:12">
      <c r="A7" s="54" t="s">
        <v>11</v>
      </c>
      <c r="B7" s="89">
        <v>248632.69000000003</v>
      </c>
      <c r="C7" s="56">
        <v>6.9999999999999999E-4</v>
      </c>
      <c r="D7" s="105"/>
      <c r="E7" s="54" t="s">
        <v>11</v>
      </c>
      <c r="F7" s="89">
        <v>258787.92</v>
      </c>
      <c r="G7" s="107">
        <v>6.9999999999999999E-4</v>
      </c>
      <c r="H7" s="108"/>
      <c r="I7" s="57" t="s">
        <v>11</v>
      </c>
      <c r="J7" s="82">
        <f t="shared" si="0"/>
        <v>0</v>
      </c>
      <c r="K7" s="105"/>
      <c r="L7" s="73"/>
    </row>
    <row r="8" spans="1:12">
      <c r="A8" s="54" t="s">
        <v>12</v>
      </c>
      <c r="B8" s="89">
        <v>329457.78000000003</v>
      </c>
      <c r="C8" s="56">
        <v>1E-3</v>
      </c>
      <c r="D8" s="105"/>
      <c r="E8" s="54" t="s">
        <v>12</v>
      </c>
      <c r="F8" s="89">
        <v>310170.23</v>
      </c>
      <c r="G8" s="107">
        <v>8.9999999999999998E-4</v>
      </c>
      <c r="H8" s="108"/>
      <c r="I8" s="57" t="s">
        <v>12</v>
      </c>
      <c r="J8" s="82">
        <f t="shared" si="0"/>
        <v>-1.0000000000000005E-4</v>
      </c>
      <c r="K8" s="105"/>
      <c r="L8" s="73"/>
    </row>
    <row r="9" spans="1:12">
      <c r="A9" s="54" t="s">
        <v>13</v>
      </c>
      <c r="B9" s="89">
        <v>7570162.54</v>
      </c>
      <c r="C9" s="56">
        <v>2.1999999999999999E-2</v>
      </c>
      <c r="D9" s="105"/>
      <c r="E9" s="54" t="s">
        <v>13</v>
      </c>
      <c r="F9" s="89">
        <v>7887379.1099999994</v>
      </c>
      <c r="G9" s="107">
        <v>2.18E-2</v>
      </c>
      <c r="H9" s="108"/>
      <c r="I9" s="57" t="s">
        <v>13</v>
      </c>
      <c r="J9" s="82">
        <f t="shared" si="0"/>
        <v>-1.9999999999999879E-4</v>
      </c>
      <c r="K9" s="105"/>
      <c r="L9" s="73"/>
    </row>
    <row r="10" spans="1:12">
      <c r="A10" s="54" t="s">
        <v>14</v>
      </c>
      <c r="B10" s="89">
        <v>59064504.899999999</v>
      </c>
      <c r="C10" s="56">
        <v>0.17150000000000001</v>
      </c>
      <c r="D10" s="105"/>
      <c r="E10" s="54" t="s">
        <v>14</v>
      </c>
      <c r="F10" s="89">
        <v>62207237.82</v>
      </c>
      <c r="G10" s="107">
        <v>0.17100000000000001</v>
      </c>
      <c r="H10" s="108"/>
      <c r="I10" s="57" t="s">
        <v>14</v>
      </c>
      <c r="J10" s="82">
        <f t="shared" si="0"/>
        <v>-5.0000000000000044E-4</v>
      </c>
      <c r="K10" s="105"/>
      <c r="L10" s="73"/>
    </row>
    <row r="11" spans="1:12">
      <c r="A11" s="54" t="s">
        <v>15</v>
      </c>
      <c r="B11" s="89">
        <v>2938669.6</v>
      </c>
      <c r="C11" s="56">
        <v>8.5000000000000006E-3</v>
      </c>
      <c r="D11" s="105"/>
      <c r="E11" s="54" t="s">
        <v>15</v>
      </c>
      <c r="F11" s="89">
        <v>3242118.0800000005</v>
      </c>
      <c r="G11" s="107">
        <v>8.9999999999999993E-3</v>
      </c>
      <c r="H11" s="108"/>
      <c r="I11" s="57" t="s">
        <v>15</v>
      </c>
      <c r="J11" s="82">
        <f t="shared" si="0"/>
        <v>4.9999999999999871E-4</v>
      </c>
      <c r="K11" s="105"/>
      <c r="L11" s="73"/>
    </row>
    <row r="12" spans="1:12">
      <c r="A12" s="54" t="s">
        <v>16</v>
      </c>
      <c r="B12" s="89">
        <v>25483978.600000001</v>
      </c>
      <c r="C12" s="56">
        <v>7.3999999999999996E-2</v>
      </c>
      <c r="D12" s="105"/>
      <c r="E12" s="54" t="s">
        <v>16</v>
      </c>
      <c r="F12" s="89">
        <v>26722144.189999998</v>
      </c>
      <c r="G12" s="107">
        <v>7.3599999999999999E-2</v>
      </c>
      <c r="H12" s="108"/>
      <c r="I12" s="57" t="s">
        <v>16</v>
      </c>
      <c r="J12" s="82">
        <f t="shared" si="0"/>
        <v>-3.9999999999999758E-4</v>
      </c>
      <c r="K12" s="105"/>
      <c r="L12" s="73"/>
    </row>
    <row r="13" spans="1:12">
      <c r="A13" s="54" t="s">
        <v>17</v>
      </c>
      <c r="B13" s="89">
        <v>13761182.549999999</v>
      </c>
      <c r="C13" s="56">
        <v>3.9899999999999998E-2</v>
      </c>
      <c r="D13" s="105"/>
      <c r="E13" s="54" t="s">
        <v>17</v>
      </c>
      <c r="F13" s="89">
        <v>14354474.099999998</v>
      </c>
      <c r="G13" s="107">
        <v>3.95E-2</v>
      </c>
      <c r="H13" s="108"/>
      <c r="I13" s="57" t="s">
        <v>17</v>
      </c>
      <c r="J13" s="82">
        <f t="shared" si="0"/>
        <v>-3.9999999999999758E-4</v>
      </c>
      <c r="K13" s="105"/>
      <c r="L13" s="73"/>
    </row>
    <row r="14" spans="1:12">
      <c r="A14" s="54" t="s">
        <v>18</v>
      </c>
      <c r="B14" s="89">
        <v>348466.84</v>
      </c>
      <c r="C14" s="56">
        <v>1E-3</v>
      </c>
      <c r="D14" s="105"/>
      <c r="E14" s="54" t="s">
        <v>18</v>
      </c>
      <c r="F14" s="89">
        <v>353040.72</v>
      </c>
      <c r="G14" s="107">
        <v>1E-3</v>
      </c>
      <c r="H14" s="108"/>
      <c r="I14" s="57" t="s">
        <v>18</v>
      </c>
      <c r="J14" s="82">
        <f t="shared" si="0"/>
        <v>0</v>
      </c>
      <c r="K14" s="105"/>
      <c r="L14" s="73"/>
    </row>
    <row r="15" spans="1:12">
      <c r="A15" s="54" t="s">
        <v>19</v>
      </c>
      <c r="B15" s="89">
        <v>85696871.560000002</v>
      </c>
      <c r="C15" s="56">
        <v>0.24879999999999999</v>
      </c>
      <c r="D15" s="105"/>
      <c r="E15" s="54" t="s">
        <v>19</v>
      </c>
      <c r="F15" s="89">
        <v>89163498.75999999</v>
      </c>
      <c r="G15" s="107">
        <v>0.252</v>
      </c>
      <c r="H15" s="108"/>
      <c r="I15" s="57" t="s">
        <v>19</v>
      </c>
      <c r="J15" s="82">
        <f t="shared" si="0"/>
        <v>3.2000000000000084E-3</v>
      </c>
      <c r="K15" s="105"/>
      <c r="L15" s="73"/>
    </row>
    <row r="16" spans="1:12">
      <c r="A16" s="54" t="s">
        <v>20</v>
      </c>
      <c r="B16" s="89">
        <v>114094.66</v>
      </c>
      <c r="C16" s="56">
        <v>2.9999999999999997E-4</v>
      </c>
      <c r="D16" s="105"/>
      <c r="E16" s="54" t="s">
        <v>20</v>
      </c>
      <c r="F16" s="89">
        <v>99754.24000000002</v>
      </c>
      <c r="G16" s="107">
        <v>2.9999999999999997E-4</v>
      </c>
      <c r="H16" s="108"/>
      <c r="I16" s="57" t="s">
        <v>20</v>
      </c>
      <c r="J16" s="82">
        <f t="shared" si="0"/>
        <v>0</v>
      </c>
      <c r="K16" s="105"/>
      <c r="L16" s="73"/>
    </row>
    <row r="17" spans="1:12">
      <c r="A17" s="59" t="s">
        <v>21</v>
      </c>
      <c r="B17" s="89">
        <v>7109071.1499999994</v>
      </c>
      <c r="C17" s="56">
        <v>2.06E-2</v>
      </c>
      <c r="D17" s="105"/>
      <c r="E17" s="59" t="s">
        <v>21</v>
      </c>
      <c r="F17" s="89">
        <v>6508822.8500000006</v>
      </c>
      <c r="G17" s="107">
        <v>1.8499999999999999E-2</v>
      </c>
      <c r="H17" s="108"/>
      <c r="I17" s="57" t="s">
        <v>21</v>
      </c>
      <c r="J17" s="82">
        <f t="shared" si="0"/>
        <v>-2.1000000000000012E-3</v>
      </c>
      <c r="L17" s="73"/>
    </row>
    <row r="18" spans="1:12">
      <c r="A18" s="54" t="s">
        <v>22</v>
      </c>
      <c r="B18" s="89">
        <v>90535684.280000001</v>
      </c>
      <c r="C18" s="56">
        <v>0.26279999999999998</v>
      </c>
      <c r="D18" s="105"/>
      <c r="E18" s="54" t="s">
        <v>22</v>
      </c>
      <c r="F18" s="89">
        <v>94053269.329999983</v>
      </c>
      <c r="G18" s="107">
        <v>0.26500000000000001</v>
      </c>
      <c r="H18" s="108"/>
      <c r="I18" s="60" t="s">
        <v>22</v>
      </c>
      <c r="J18" s="82">
        <f t="shared" si="0"/>
        <v>2.2000000000000353E-3</v>
      </c>
      <c r="L18" s="73"/>
    </row>
    <row r="19" spans="1:12">
      <c r="A19" s="54" t="s">
        <v>23</v>
      </c>
      <c r="B19" s="89">
        <v>1066447.3900000001</v>
      </c>
      <c r="C19" s="56">
        <v>3.0999999999999999E-3</v>
      </c>
      <c r="D19" s="105"/>
      <c r="E19" s="54" t="s">
        <v>23</v>
      </c>
      <c r="F19" s="89">
        <v>998884.23</v>
      </c>
      <c r="G19" s="107">
        <v>2.8E-3</v>
      </c>
      <c r="H19" s="108"/>
      <c r="I19" s="57" t="s">
        <v>23</v>
      </c>
      <c r="J19" s="82">
        <f t="shared" si="0"/>
        <v>-2.9999999999999992E-4</v>
      </c>
      <c r="L19" s="73"/>
    </row>
    <row r="20" spans="1:12">
      <c r="A20" s="54" t="s">
        <v>24</v>
      </c>
      <c r="B20" s="89">
        <v>17610.340000000004</v>
      </c>
      <c r="C20" s="56">
        <v>1E-4</v>
      </c>
      <c r="D20" s="105"/>
      <c r="E20" s="54" t="s">
        <v>24</v>
      </c>
      <c r="F20" s="89">
        <v>14438.880000000001</v>
      </c>
      <c r="G20" s="107">
        <v>0</v>
      </c>
      <c r="H20" s="108"/>
      <c r="I20" s="57" t="s">
        <v>24</v>
      </c>
      <c r="J20" s="82">
        <f t="shared" si="0"/>
        <v>-1E-4</v>
      </c>
      <c r="L20" s="73"/>
    </row>
    <row r="21" spans="1:12">
      <c r="A21" s="54" t="s">
        <v>27</v>
      </c>
      <c r="B21" s="89">
        <v>130792.5</v>
      </c>
      <c r="C21" s="56">
        <v>4.0000000000000002E-4</v>
      </c>
      <c r="D21" s="105"/>
      <c r="E21" s="54" t="s">
        <v>27</v>
      </c>
      <c r="F21" s="89">
        <v>147991.03</v>
      </c>
      <c r="G21" s="107">
        <v>4.0000000000000002E-4</v>
      </c>
      <c r="H21" s="108"/>
      <c r="I21" s="57" t="s">
        <v>27</v>
      </c>
      <c r="J21" s="82">
        <f t="shared" si="0"/>
        <v>0</v>
      </c>
      <c r="L21" s="73"/>
    </row>
    <row r="22" spans="1:12">
      <c r="A22" s="54" t="s">
        <v>55</v>
      </c>
      <c r="B22" s="89">
        <v>2004.45</v>
      </c>
      <c r="C22" s="56">
        <v>0</v>
      </c>
      <c r="D22" s="105"/>
      <c r="E22" s="54" t="s">
        <v>55</v>
      </c>
      <c r="F22" s="89">
        <v>1404.01</v>
      </c>
      <c r="G22" s="107">
        <v>0</v>
      </c>
      <c r="H22" s="108"/>
      <c r="I22" s="57" t="s">
        <v>55</v>
      </c>
      <c r="J22" s="82">
        <f t="shared" si="0"/>
        <v>0</v>
      </c>
      <c r="L22" s="73"/>
    </row>
    <row r="23" spans="1:12">
      <c r="A23" s="54" t="s">
        <v>30</v>
      </c>
      <c r="B23" s="89">
        <v>205530.69</v>
      </c>
      <c r="C23" s="56">
        <v>5.9999999999999995E-4</v>
      </c>
      <c r="D23" s="105"/>
      <c r="E23" s="54" t="s">
        <v>30</v>
      </c>
      <c r="F23" s="89">
        <v>253155.78000000003</v>
      </c>
      <c r="G23" s="107">
        <v>6.9999999999999999E-4</v>
      </c>
      <c r="H23" s="108"/>
      <c r="I23" s="57" t="s">
        <v>30</v>
      </c>
      <c r="J23" s="82">
        <f t="shared" si="0"/>
        <v>1.0000000000000005E-4</v>
      </c>
      <c r="L23" s="73"/>
    </row>
    <row r="24" spans="1:12">
      <c r="A24" s="54" t="s">
        <v>31</v>
      </c>
      <c r="B24" s="89">
        <v>70055.11</v>
      </c>
      <c r="C24" s="56">
        <v>2.0000000000000001E-4</v>
      </c>
      <c r="D24" s="105"/>
      <c r="E24" s="54" t="s">
        <v>31</v>
      </c>
      <c r="F24" s="89">
        <v>4141.550000000002</v>
      </c>
      <c r="G24" s="107">
        <v>0</v>
      </c>
      <c r="H24" s="108"/>
      <c r="I24" s="57" t="s">
        <v>31</v>
      </c>
      <c r="J24" s="82">
        <f t="shared" si="0"/>
        <v>-2.0000000000000001E-4</v>
      </c>
      <c r="L24" s="73"/>
    </row>
    <row r="25" spans="1:12">
      <c r="A25" s="54" t="s">
        <v>32</v>
      </c>
      <c r="B25" s="89">
        <v>29594329.689999994</v>
      </c>
      <c r="C25" s="56">
        <v>8.5900000000000004E-2</v>
      </c>
      <c r="D25" s="105"/>
      <c r="E25" s="54" t="s">
        <v>32</v>
      </c>
      <c r="F25" s="89">
        <v>30572824.359999999</v>
      </c>
      <c r="G25" s="107">
        <v>8.4500000000000006E-2</v>
      </c>
      <c r="H25" s="108"/>
      <c r="I25" s="57" t="s">
        <v>32</v>
      </c>
      <c r="J25" s="82">
        <f t="shared" si="0"/>
        <v>-1.3999999999999985E-3</v>
      </c>
      <c r="L25" s="73"/>
    </row>
    <row r="26" spans="1:12">
      <c r="A26" s="54" t="s">
        <v>33</v>
      </c>
      <c r="B26" s="89">
        <v>5294530.55</v>
      </c>
      <c r="C26" s="56">
        <v>1.54E-2</v>
      </c>
      <c r="D26" s="105"/>
      <c r="E26" s="54" t="s">
        <v>33</v>
      </c>
      <c r="F26" s="89">
        <v>5457500.75</v>
      </c>
      <c r="G26" s="107">
        <v>1.54E-2</v>
      </c>
      <c r="H26" s="108"/>
      <c r="I26" s="57" t="s">
        <v>33</v>
      </c>
      <c r="J26" s="82">
        <f t="shared" si="0"/>
        <v>0</v>
      </c>
      <c r="L26" s="73"/>
    </row>
    <row r="27" spans="1:12">
      <c r="A27" s="54" t="s">
        <v>35</v>
      </c>
      <c r="B27" s="89">
        <v>554627.47</v>
      </c>
      <c r="C27" s="56">
        <v>1.6000000000000001E-3</v>
      </c>
      <c r="D27" s="105"/>
      <c r="E27" s="54" t="s">
        <v>35</v>
      </c>
      <c r="F27" s="89">
        <v>749306.9</v>
      </c>
      <c r="G27" s="107">
        <v>2.0999999999999999E-3</v>
      </c>
      <c r="H27" s="108"/>
      <c r="I27" s="57" t="s">
        <v>35</v>
      </c>
      <c r="J27" s="82">
        <f t="shared" si="0"/>
        <v>4.9999999999999979E-4</v>
      </c>
      <c r="L27" s="73"/>
    </row>
    <row r="28" spans="1:12">
      <c r="A28" s="54" t="s">
        <v>36</v>
      </c>
      <c r="B28" s="89">
        <v>53752.929999999993</v>
      </c>
      <c r="C28" s="56">
        <v>2.0000000000000001E-4</v>
      </c>
      <c r="D28" s="105"/>
      <c r="E28" s="54" t="s">
        <v>36</v>
      </c>
      <c r="F28" s="89">
        <v>57889.94999999999</v>
      </c>
      <c r="G28" s="107">
        <v>2.0000000000000001E-4</v>
      </c>
      <c r="H28" s="108"/>
      <c r="I28" s="57" t="s">
        <v>36</v>
      </c>
      <c r="J28" s="82">
        <f t="shared" si="0"/>
        <v>0</v>
      </c>
      <c r="L28" s="73"/>
    </row>
    <row r="29" spans="1:12">
      <c r="A29" s="54" t="s">
        <v>37</v>
      </c>
      <c r="B29" s="89">
        <v>62300.680000000015</v>
      </c>
      <c r="C29" s="56">
        <v>2.0000000000000001E-4</v>
      </c>
      <c r="D29" s="105"/>
      <c r="E29" s="54" t="s">
        <v>37</v>
      </c>
      <c r="F29" s="89">
        <v>81154.329999999987</v>
      </c>
      <c r="G29" s="107">
        <v>2.0000000000000001E-4</v>
      </c>
      <c r="H29" s="108"/>
      <c r="I29" s="57" t="s">
        <v>37</v>
      </c>
      <c r="J29" s="82">
        <f t="shared" si="0"/>
        <v>0</v>
      </c>
      <c r="L29" s="73"/>
    </row>
    <row r="30" spans="1:12">
      <c r="A30" s="54" t="s">
        <v>38</v>
      </c>
      <c r="B30" s="89">
        <v>1314137.33</v>
      </c>
      <c r="C30" s="56">
        <v>3.8E-3</v>
      </c>
      <c r="D30" s="105"/>
      <c r="E30" s="109" t="s">
        <v>38</v>
      </c>
      <c r="F30" s="89">
        <v>1610913.45</v>
      </c>
      <c r="G30" s="107">
        <v>4.5999999999999999E-3</v>
      </c>
      <c r="H30" s="108"/>
      <c r="I30" s="57" t="s">
        <v>38</v>
      </c>
      <c r="J30" s="82">
        <f t="shared" si="0"/>
        <v>7.9999999999999993E-4</v>
      </c>
      <c r="L30" s="73"/>
    </row>
    <row r="31" spans="1:12">
      <c r="A31" s="61" t="s">
        <v>49</v>
      </c>
      <c r="B31" s="91">
        <v>344477543.12</v>
      </c>
      <c r="C31" s="63">
        <v>0.99999999999999978</v>
      </c>
      <c r="D31" s="105"/>
      <c r="E31" s="110" t="s">
        <v>49</v>
      </c>
      <c r="F31" s="91">
        <v>357796908.79999983</v>
      </c>
      <c r="G31" s="111">
        <v>0.99999999999999978</v>
      </c>
      <c r="H31" s="90"/>
      <c r="I31" s="52" t="s">
        <v>6</v>
      </c>
      <c r="J31" s="84">
        <f>SUM(J5:J30)</f>
        <v>4.4669129506402783E-17</v>
      </c>
    </row>
    <row r="32" spans="1:12">
      <c r="A32" s="90"/>
      <c r="B32" s="90"/>
      <c r="C32" s="90"/>
      <c r="D32" s="105"/>
      <c r="E32" s="90"/>
      <c r="F32" s="90"/>
      <c r="G32" s="90"/>
      <c r="H32" s="90"/>
      <c r="I32" s="105"/>
      <c r="J32" s="105"/>
    </row>
    <row r="33" spans="1:13">
      <c r="H33" s="104"/>
    </row>
    <row r="34" spans="1:13">
      <c r="H34" s="104"/>
    </row>
    <row r="36" spans="1:13">
      <c r="A36" s="105"/>
      <c r="B36" s="112"/>
      <c r="C36" s="112"/>
      <c r="D36" s="92"/>
      <c r="E36" s="112"/>
      <c r="F36" s="112"/>
      <c r="G36" s="112"/>
      <c r="H36" s="112"/>
      <c r="I36" s="66"/>
      <c r="J36" s="112"/>
      <c r="K36" s="104"/>
      <c r="L36" s="104"/>
      <c r="M36" s="104"/>
    </row>
    <row r="37" spans="1:13">
      <c r="A37" s="68"/>
      <c r="B37" s="93"/>
      <c r="C37" s="93"/>
      <c r="D37" s="112"/>
      <c r="E37" s="93"/>
      <c r="F37" s="93"/>
      <c r="G37" s="93"/>
      <c r="H37" s="93"/>
      <c r="I37" s="112"/>
      <c r="J37" s="112"/>
      <c r="K37" s="104"/>
      <c r="L37" s="104"/>
      <c r="M37" s="104"/>
    </row>
    <row r="38" spans="1:13">
      <c r="A38" s="70"/>
      <c r="B38" s="94"/>
      <c r="C38" s="94"/>
      <c r="D38" s="112"/>
      <c r="E38" s="94"/>
      <c r="F38" s="94"/>
      <c r="G38" s="94"/>
      <c r="H38" s="94"/>
      <c r="I38" s="112"/>
      <c r="J38" s="112"/>
      <c r="K38" s="104"/>
      <c r="L38" s="104"/>
      <c r="M38" s="104"/>
    </row>
    <row r="39" spans="1:13">
      <c r="A39" s="70"/>
      <c r="B39" s="94"/>
      <c r="C39" s="94"/>
      <c r="D39" s="92"/>
      <c r="E39" s="94"/>
      <c r="F39" s="94"/>
      <c r="G39" s="94"/>
      <c r="H39" s="94"/>
      <c r="I39" s="66"/>
      <c r="J39" s="112"/>
      <c r="K39" s="104"/>
      <c r="L39" s="104"/>
      <c r="M39" s="104"/>
    </row>
    <row r="40" spans="1:13">
      <c r="A40" s="68"/>
      <c r="B40" s="93"/>
      <c r="C40" s="93"/>
      <c r="D40" s="112"/>
      <c r="E40" s="93"/>
      <c r="F40" s="93"/>
      <c r="G40" s="93"/>
      <c r="H40" s="93"/>
      <c r="I40" s="112"/>
      <c r="J40" s="112"/>
      <c r="K40" s="104"/>
      <c r="L40" s="104"/>
      <c r="M40" s="104"/>
    </row>
    <row r="41" spans="1:13">
      <c r="B41" s="104"/>
      <c r="C41" s="104"/>
      <c r="D41" s="104"/>
      <c r="E41" s="104"/>
      <c r="F41" s="104"/>
      <c r="G41" s="104"/>
      <c r="H41" s="104"/>
      <c r="I41" s="104"/>
      <c r="J41" s="104"/>
      <c r="K41" s="104"/>
      <c r="L41" s="104"/>
      <c r="M41" s="104"/>
    </row>
    <row r="42" spans="1:13">
      <c r="B42" s="104"/>
      <c r="C42" s="104"/>
      <c r="D42" s="104"/>
      <c r="E42" s="104"/>
      <c r="F42" s="104"/>
      <c r="G42" s="104"/>
      <c r="H42" s="104"/>
      <c r="I42" s="104"/>
      <c r="J42" s="104"/>
      <c r="K42" s="104"/>
      <c r="L42" s="104"/>
      <c r="M42" s="104"/>
    </row>
    <row r="43" spans="1:13">
      <c r="B43" s="104"/>
      <c r="C43" s="104"/>
      <c r="D43" s="104"/>
      <c r="E43" s="104"/>
      <c r="F43" s="104"/>
      <c r="G43" s="104"/>
      <c r="H43" s="104"/>
      <c r="I43" s="104"/>
      <c r="J43" s="104"/>
      <c r="K43" s="104"/>
      <c r="L43" s="104"/>
      <c r="M43" s="104"/>
    </row>
    <row r="44" spans="1:13">
      <c r="B44" s="104"/>
      <c r="C44" s="104"/>
      <c r="D44" s="104"/>
      <c r="E44" s="104"/>
      <c r="F44" s="104"/>
      <c r="G44" s="104"/>
      <c r="H44" s="104"/>
      <c r="I44" s="104"/>
      <c r="J44" s="104"/>
      <c r="K44" s="104"/>
      <c r="L44" s="104"/>
      <c r="M44" s="104"/>
    </row>
  </sheetData>
  <mergeCells count="3">
    <mergeCell ref="A1:G1"/>
    <mergeCell ref="A3:C3"/>
    <mergeCell ref="E3:G3"/>
  </mergeCells>
  <pageMargins left="0.7" right="0.7" top="0.75" bottom="0.75" header="0.3" footer="0.3"/>
  <pageSetup scale="87" orientation="landscape" r:id="rId1"/>
  <headerFooter>
    <oddHeader>&amp;RKY PSC Case No. 2016-00162,
Attachment G to Staff Post Hearing Supp. DR 2</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O52"/>
  <sheetViews>
    <sheetView workbookViewId="0"/>
  </sheetViews>
  <sheetFormatPr defaultColWidth="9.109375" defaultRowHeight="14.4"/>
  <cols>
    <col min="1" max="1" width="18.33203125" style="47" customWidth="1"/>
    <col min="2" max="2" width="15.33203125" style="47" customWidth="1"/>
    <col min="3" max="5" width="14.33203125" style="47" customWidth="1"/>
    <col min="6" max="6" width="9.109375" style="47"/>
    <col min="7" max="7" width="12" style="47" customWidth="1"/>
    <col min="8" max="8" width="15.33203125" style="47" customWidth="1"/>
    <col min="9" max="9" width="11.6640625" style="47" bestFit="1" customWidth="1"/>
    <col min="10" max="11" width="10.6640625" style="47" bestFit="1" customWidth="1"/>
    <col min="12" max="12" width="9.6640625" style="47" bestFit="1" customWidth="1"/>
    <col min="13" max="13" width="10.6640625" style="47" bestFit="1" customWidth="1"/>
    <col min="14" max="14" width="9.6640625" style="47" bestFit="1" customWidth="1"/>
    <col min="15" max="15" width="10.6640625" style="47" bestFit="1" customWidth="1"/>
    <col min="16" max="17" width="9.6640625" style="47" bestFit="1" customWidth="1"/>
    <col min="18" max="20" width="8.6640625" style="47" customWidth="1"/>
    <col min="21" max="21" width="7.6640625" style="47" customWidth="1"/>
    <col min="22" max="22" width="7" style="47" customWidth="1"/>
    <col min="23" max="24" width="8" style="47" customWidth="1"/>
    <col min="25" max="28" width="9" style="47" customWidth="1"/>
    <col min="29" max="36" width="10" style="47" bestFit="1" customWidth="1"/>
    <col min="37" max="43" width="11" style="47" bestFit="1" customWidth="1"/>
    <col min="44" max="50" width="12" style="47" bestFit="1" customWidth="1"/>
    <col min="51" max="51" width="11.33203125" style="47" bestFit="1" customWidth="1"/>
    <col min="52" max="16384" width="9.109375" style="47"/>
  </cols>
  <sheetData>
    <row r="1" spans="1:15" ht="15" customHeight="1">
      <c r="G1" s="248" t="s">
        <v>73</v>
      </c>
      <c r="H1" s="248"/>
      <c r="I1" s="248"/>
      <c r="J1" s="248"/>
      <c r="K1" s="248"/>
    </row>
    <row r="2" spans="1:15">
      <c r="A2" t="s">
        <v>39</v>
      </c>
      <c r="B2" t="s">
        <v>40</v>
      </c>
      <c r="G2" s="248"/>
      <c r="H2" s="248"/>
      <c r="I2" s="248"/>
      <c r="J2" s="248"/>
      <c r="K2" s="248"/>
    </row>
    <row r="3" spans="1:15">
      <c r="G3" s="248"/>
      <c r="H3" s="248"/>
      <c r="I3" s="248"/>
      <c r="J3" s="248"/>
      <c r="K3" s="248"/>
    </row>
    <row r="4" spans="1:15">
      <c r="A4" t="s">
        <v>43</v>
      </c>
      <c r="B4"/>
      <c r="C4"/>
      <c r="K4" s="113"/>
      <c r="L4" s="113"/>
      <c r="M4" s="113"/>
      <c r="N4" s="113"/>
      <c r="O4" s="113"/>
    </row>
    <row r="5" spans="1:15">
      <c r="A5" t="s">
        <v>44</v>
      </c>
      <c r="B5" t="s">
        <v>6</v>
      </c>
      <c r="C5"/>
      <c r="D5" s="47" t="s">
        <v>44</v>
      </c>
      <c r="E5" s="47" t="s">
        <v>6</v>
      </c>
      <c r="G5" s="47" t="s">
        <v>69</v>
      </c>
      <c r="K5" s="113"/>
      <c r="L5" s="113"/>
      <c r="M5" s="113"/>
      <c r="N5" s="113"/>
      <c r="O5" s="113"/>
    </row>
    <row r="6" spans="1:15">
      <c r="A6" t="s">
        <v>8</v>
      </c>
      <c r="B6" s="73">
        <v>789627.86999999988</v>
      </c>
      <c r="C6"/>
      <c r="D6" s="47" t="s">
        <v>8</v>
      </c>
      <c r="E6" s="114">
        <v>789627.86999999988</v>
      </c>
      <c r="G6" s="47" t="s">
        <v>44</v>
      </c>
      <c r="H6" s="47" t="s">
        <v>6</v>
      </c>
      <c r="K6" s="65" t="s">
        <v>92</v>
      </c>
    </row>
    <row r="7" spans="1:15">
      <c r="A7" t="s">
        <v>9</v>
      </c>
      <c r="B7" s="73">
        <v>12089387.060000001</v>
      </c>
      <c r="C7"/>
      <c r="D7" s="47" t="s">
        <v>9</v>
      </c>
      <c r="E7" s="114">
        <v>12089387.060000001</v>
      </c>
      <c r="G7" s="47" t="s">
        <v>8</v>
      </c>
      <c r="H7" s="115">
        <v>789627.86999999988</v>
      </c>
      <c r="I7" s="116">
        <f>H7/$H$33</f>
        <v>2.2322833848129487E-3</v>
      </c>
      <c r="J7" s="116"/>
      <c r="K7" s="117">
        <f>ROUND(I7,4)</f>
        <v>2.2000000000000001E-3</v>
      </c>
    </row>
    <row r="8" spans="1:15">
      <c r="A8" t="s">
        <v>11</v>
      </c>
      <c r="B8" s="73">
        <v>258787.92</v>
      </c>
      <c r="C8"/>
      <c r="D8" s="47" t="s">
        <v>11</v>
      </c>
      <c r="E8" s="114">
        <v>258787.92</v>
      </c>
      <c r="G8" s="47" t="s">
        <v>9</v>
      </c>
      <c r="H8" s="115">
        <v>11894174.560000001</v>
      </c>
      <c r="I8" s="116">
        <f t="shared" ref="I8:I32" si="0">H8/$H$33</f>
        <v>3.362491276600061E-2</v>
      </c>
      <c r="J8" s="116"/>
      <c r="K8" s="117">
        <f t="shared" ref="K8:K32" si="1">ROUND(I8,4)</f>
        <v>3.3599999999999998E-2</v>
      </c>
    </row>
    <row r="9" spans="1:15">
      <c r="A9" t="s">
        <v>12</v>
      </c>
      <c r="B9" s="73">
        <v>310170.23</v>
      </c>
      <c r="C9"/>
      <c r="D9" s="47" t="s">
        <v>12</v>
      </c>
      <c r="E9" s="114">
        <v>310170.23</v>
      </c>
      <c r="G9" s="47" t="s">
        <v>11</v>
      </c>
      <c r="H9" s="115">
        <v>258787.92</v>
      </c>
      <c r="I9" s="116">
        <f t="shared" si="0"/>
        <v>7.315952183986397E-4</v>
      </c>
      <c r="J9" s="116"/>
      <c r="K9" s="117">
        <f t="shared" si="1"/>
        <v>6.9999999999999999E-4</v>
      </c>
    </row>
    <row r="10" spans="1:15">
      <c r="A10" t="s">
        <v>13</v>
      </c>
      <c r="B10" s="73">
        <v>7884907.4799999995</v>
      </c>
      <c r="C10"/>
      <c r="D10" s="47" t="s">
        <v>13</v>
      </c>
      <c r="E10" s="114">
        <v>7884907.4799999995</v>
      </c>
      <c r="G10" s="47" t="s">
        <v>12</v>
      </c>
      <c r="H10" s="115">
        <v>310170.23</v>
      </c>
      <c r="I10" s="116">
        <f t="shared" si="0"/>
        <v>8.768533599157422E-4</v>
      </c>
      <c r="J10" s="116"/>
      <c r="K10" s="117">
        <f t="shared" si="1"/>
        <v>8.9999999999999998E-4</v>
      </c>
    </row>
    <row r="11" spans="1:15">
      <c r="A11" t="s">
        <v>14</v>
      </c>
      <c r="B11" s="73">
        <v>62186960.859999999</v>
      </c>
      <c r="C11"/>
      <c r="D11" s="47" t="s">
        <v>14</v>
      </c>
      <c r="E11" s="114">
        <v>62186960.859999999</v>
      </c>
      <c r="G11" s="47" t="s">
        <v>13</v>
      </c>
      <c r="H11" s="115">
        <v>7702475.1999999993</v>
      </c>
      <c r="I11" s="116">
        <f t="shared" si="0"/>
        <v>2.1774950029174876E-2</v>
      </c>
      <c r="J11" s="116"/>
      <c r="K11" s="117">
        <f t="shared" si="1"/>
        <v>2.18E-2</v>
      </c>
    </row>
    <row r="12" spans="1:15">
      <c r="A12" t="s">
        <v>15</v>
      </c>
      <c r="B12" s="73">
        <v>3241223.7500000005</v>
      </c>
      <c r="C12"/>
      <c r="D12" s="47" t="s">
        <v>15</v>
      </c>
      <c r="E12" s="114">
        <v>3241223.7500000005</v>
      </c>
      <c r="G12" s="47" t="s">
        <v>14</v>
      </c>
      <c r="H12" s="115">
        <v>60491082.759999998</v>
      </c>
      <c r="I12" s="116">
        <f t="shared" si="0"/>
        <v>0.17100870435904578</v>
      </c>
      <c r="J12" s="116"/>
      <c r="K12" s="117">
        <f t="shared" si="1"/>
        <v>0.17100000000000001</v>
      </c>
    </row>
    <row r="13" spans="1:15">
      <c r="A13" t="s">
        <v>16</v>
      </c>
      <c r="B13" s="73">
        <v>26711370.379999999</v>
      </c>
      <c r="C13"/>
      <c r="D13" s="47" t="s">
        <v>16</v>
      </c>
      <c r="E13" s="114">
        <v>26711370.379999999</v>
      </c>
      <c r="G13" s="47" t="s">
        <v>15</v>
      </c>
      <c r="H13" s="115">
        <v>3177790.9500000007</v>
      </c>
      <c r="I13" s="116">
        <f t="shared" si="0"/>
        <v>8.9836367326978448E-3</v>
      </c>
      <c r="J13" s="116"/>
      <c r="K13" s="117">
        <f t="shared" si="1"/>
        <v>8.9999999999999993E-3</v>
      </c>
    </row>
    <row r="14" spans="1:15">
      <c r="A14" t="s">
        <v>17</v>
      </c>
      <c r="B14" s="73">
        <v>14349006.809999999</v>
      </c>
      <c r="C14"/>
      <c r="D14" s="47" t="s">
        <v>17</v>
      </c>
      <c r="E14" s="114">
        <v>14349006.809999999</v>
      </c>
      <c r="G14" s="47" t="s">
        <v>16</v>
      </c>
      <c r="H14" s="115">
        <v>26021996.029999997</v>
      </c>
      <c r="I14" s="116">
        <f t="shared" si="0"/>
        <v>7.3564360611331411E-2</v>
      </c>
      <c r="J14" s="116"/>
      <c r="K14" s="117">
        <f t="shared" si="1"/>
        <v>7.3599999999999999E-2</v>
      </c>
    </row>
    <row r="15" spans="1:15">
      <c r="A15" t="s">
        <v>18</v>
      </c>
      <c r="B15" s="73">
        <v>361938.44</v>
      </c>
      <c r="C15"/>
      <c r="D15" s="47" t="s">
        <v>18</v>
      </c>
      <c r="E15" s="114">
        <v>361938.44</v>
      </c>
      <c r="G15" s="47" t="s">
        <v>17</v>
      </c>
      <c r="H15" s="115">
        <v>13986265.939999999</v>
      </c>
      <c r="I15" s="116">
        <f t="shared" si="0"/>
        <v>3.953926939462922E-2</v>
      </c>
      <c r="J15" s="116"/>
      <c r="K15" s="117">
        <f t="shared" si="1"/>
        <v>3.95E-2</v>
      </c>
    </row>
    <row r="16" spans="1:15">
      <c r="A16" t="s">
        <v>19</v>
      </c>
      <c r="B16" s="73">
        <v>90627105.069999993</v>
      </c>
      <c r="C16"/>
      <c r="D16" s="47" t="s">
        <v>19</v>
      </c>
      <c r="E16" s="114">
        <v>90627105.069999993</v>
      </c>
      <c r="G16" s="47" t="s">
        <v>18</v>
      </c>
      <c r="H16" s="115">
        <v>352908.49</v>
      </c>
      <c r="I16" s="116">
        <f t="shared" si="0"/>
        <v>9.9767471300934042E-4</v>
      </c>
      <c r="J16" s="116"/>
      <c r="K16" s="117">
        <f t="shared" si="1"/>
        <v>1E-3</v>
      </c>
    </row>
    <row r="17" spans="1:11">
      <c r="A17" t="s">
        <v>20</v>
      </c>
      <c r="B17" s="73">
        <v>99754.24000000002</v>
      </c>
      <c r="C17"/>
      <c r="D17" s="47" t="s">
        <v>20</v>
      </c>
      <c r="E17" s="114">
        <v>99754.24000000002</v>
      </c>
      <c r="G17" s="47" t="s">
        <v>19</v>
      </c>
      <c r="H17" s="115">
        <v>89142874.909999996</v>
      </c>
      <c r="I17" s="116">
        <f t="shared" si="0"/>
        <v>0.2520075165736641</v>
      </c>
      <c r="J17" s="116"/>
      <c r="K17" s="117">
        <f t="shared" si="1"/>
        <v>0.252</v>
      </c>
    </row>
    <row r="18" spans="1:11">
      <c r="A18" t="s">
        <v>21</v>
      </c>
      <c r="B18" s="73">
        <v>6508822.8500000006</v>
      </c>
      <c r="C18"/>
      <c r="D18" s="47" t="s">
        <v>21</v>
      </c>
      <c r="E18" s="114">
        <v>6508822.8500000006</v>
      </c>
      <c r="G18" s="47" t="s">
        <v>20</v>
      </c>
      <c r="H18" s="115">
        <v>99754.24000000002</v>
      </c>
      <c r="I18" s="116">
        <f t="shared" si="0"/>
        <v>2.8200591820124501E-4</v>
      </c>
      <c r="J18" s="116"/>
      <c r="K18" s="117">
        <f t="shared" si="1"/>
        <v>2.9999999999999997E-4</v>
      </c>
    </row>
    <row r="19" spans="1:11">
      <c r="A19" t="s">
        <v>22</v>
      </c>
      <c r="B19" s="73">
        <v>86806228.140000001</v>
      </c>
      <c r="C19"/>
      <c r="D19" s="47" t="s">
        <v>22</v>
      </c>
      <c r="E19" s="114">
        <v>86806228.140000001</v>
      </c>
      <c r="G19" s="47" t="s">
        <v>21</v>
      </c>
      <c r="H19" s="115">
        <v>6508822.8500000006</v>
      </c>
      <c r="I19" s="116">
        <f t="shared" si="0"/>
        <v>1.8400486678295521E-2</v>
      </c>
      <c r="J19" s="116"/>
      <c r="K19" s="118">
        <f>ROUND(I19,4)+0.0001</f>
        <v>1.8499999999999999E-2</v>
      </c>
    </row>
    <row r="20" spans="1:11">
      <c r="A20" t="s">
        <v>23</v>
      </c>
      <c r="B20" s="73">
        <v>998884.23</v>
      </c>
      <c r="C20"/>
      <c r="D20" s="47" t="s">
        <v>23</v>
      </c>
      <c r="E20" s="114">
        <v>998884.23</v>
      </c>
      <c r="G20" s="47" t="s">
        <v>22</v>
      </c>
      <c r="H20" s="115">
        <v>93732203.519999996</v>
      </c>
      <c r="I20" s="116">
        <f t="shared" si="0"/>
        <v>0.26498157991764121</v>
      </c>
      <c r="J20" s="116"/>
      <c r="K20" s="117">
        <f t="shared" si="1"/>
        <v>0.26500000000000001</v>
      </c>
    </row>
    <row r="21" spans="1:11">
      <c r="A21" t="s">
        <v>24</v>
      </c>
      <c r="B21" s="73">
        <v>14438.880000000001</v>
      </c>
      <c r="C21"/>
      <c r="D21" s="47" t="s">
        <v>24</v>
      </c>
      <c r="E21" s="114">
        <v>14438.880000000001</v>
      </c>
      <c r="G21" s="47" t="s">
        <v>23</v>
      </c>
      <c r="H21" s="115">
        <v>998884.23</v>
      </c>
      <c r="I21" s="116">
        <f t="shared" si="0"/>
        <v>2.823852544592526E-3</v>
      </c>
      <c r="J21" s="116"/>
      <c r="K21" s="117">
        <f t="shared" si="1"/>
        <v>2.8E-3</v>
      </c>
    </row>
    <row r="22" spans="1:11">
      <c r="A22" t="s">
        <v>27</v>
      </c>
      <c r="B22" s="73">
        <v>147991.03</v>
      </c>
      <c r="D22" s="47" t="s">
        <v>27</v>
      </c>
      <c r="E22" s="114">
        <v>147991.03</v>
      </c>
      <c r="G22" s="47" t="s">
        <v>24</v>
      </c>
      <c r="H22" s="115">
        <v>14438.880000000001</v>
      </c>
      <c r="I22" s="116">
        <f t="shared" si="0"/>
        <v>4.0818812435417201E-5</v>
      </c>
      <c r="J22" s="116"/>
      <c r="K22" s="117">
        <f t="shared" si="1"/>
        <v>0</v>
      </c>
    </row>
    <row r="23" spans="1:11">
      <c r="A23" t="s">
        <v>55</v>
      </c>
      <c r="B23" s="73">
        <v>1404.01</v>
      </c>
      <c r="D23" s="47" t="s">
        <v>55</v>
      </c>
      <c r="E23" s="114">
        <v>1404.01</v>
      </c>
      <c r="G23" s="47" t="s">
        <v>27</v>
      </c>
      <c r="H23" s="115">
        <v>147991.03</v>
      </c>
      <c r="I23" s="116">
        <f t="shared" si="0"/>
        <v>4.1837165318183957E-4</v>
      </c>
      <c r="J23" s="116"/>
      <c r="K23" s="117">
        <f t="shared" si="1"/>
        <v>4.0000000000000002E-4</v>
      </c>
    </row>
    <row r="24" spans="1:11">
      <c r="A24" t="s">
        <v>30</v>
      </c>
      <c r="B24" s="73">
        <v>253155.78000000003</v>
      </c>
      <c r="D24" s="47" t="s">
        <v>30</v>
      </c>
      <c r="E24" s="114">
        <v>253155.78000000003</v>
      </c>
      <c r="G24" s="47" t="s">
        <v>55</v>
      </c>
      <c r="H24" s="115">
        <v>1404.01</v>
      </c>
      <c r="I24" s="116">
        <f t="shared" si="0"/>
        <v>3.9691458650151607E-6</v>
      </c>
      <c r="J24" s="116"/>
      <c r="K24" s="117">
        <f t="shared" si="1"/>
        <v>0</v>
      </c>
    </row>
    <row r="25" spans="1:11">
      <c r="A25" t="s">
        <v>31</v>
      </c>
      <c r="B25" s="73">
        <v>4141.550000000002</v>
      </c>
      <c r="D25" s="47" t="s">
        <v>31</v>
      </c>
      <c r="E25" s="114">
        <v>4141.550000000002</v>
      </c>
      <c r="G25" s="47" t="s">
        <v>30</v>
      </c>
      <c r="H25" s="115">
        <v>253155.78000000003</v>
      </c>
      <c r="I25" s="116">
        <f t="shared" si="0"/>
        <v>7.1567312012855164E-4</v>
      </c>
      <c r="J25" s="116"/>
      <c r="K25" s="117">
        <f t="shared" si="1"/>
        <v>6.9999999999999999E-4</v>
      </c>
    </row>
    <row r="26" spans="1:11">
      <c r="A26" t="s">
        <v>32</v>
      </c>
      <c r="B26" s="73">
        <v>30561937.509999998</v>
      </c>
      <c r="D26" s="47" t="s">
        <v>32</v>
      </c>
      <c r="E26" s="114">
        <v>30561937.509999998</v>
      </c>
      <c r="G26" s="47" t="s">
        <v>31</v>
      </c>
      <c r="H26" s="115">
        <v>4141.550000000002</v>
      </c>
      <c r="I26" s="116">
        <f t="shared" si="0"/>
        <v>1.1708190153384624E-5</v>
      </c>
      <c r="J26" s="116"/>
      <c r="K26" s="117">
        <f t="shared" si="1"/>
        <v>0</v>
      </c>
    </row>
    <row r="27" spans="1:11">
      <c r="A27" t="s">
        <v>33</v>
      </c>
      <c r="B27" s="73">
        <v>5529994.9500000002</v>
      </c>
      <c r="D27" s="47" t="s">
        <v>33</v>
      </c>
      <c r="E27" s="114">
        <v>5529994.9500000002</v>
      </c>
      <c r="G27" s="47" t="s">
        <v>32</v>
      </c>
      <c r="H27" s="115">
        <v>29887058.329999998</v>
      </c>
      <c r="I27" s="116">
        <f t="shared" si="0"/>
        <v>8.4490918147296951E-2</v>
      </c>
      <c r="J27" s="116"/>
      <c r="K27" s="117">
        <f t="shared" si="1"/>
        <v>8.4500000000000006E-2</v>
      </c>
    </row>
    <row r="28" spans="1:11">
      <c r="A28" t="s">
        <v>47</v>
      </c>
      <c r="B28" s="73">
        <v>5416201.7100000009</v>
      </c>
      <c r="D28" s="47" t="s">
        <v>22</v>
      </c>
      <c r="E28" s="114">
        <v>5416201.7100000009</v>
      </c>
      <c r="G28" s="47" t="s">
        <v>33</v>
      </c>
      <c r="H28" s="115">
        <v>5456425.4299999997</v>
      </c>
      <c r="I28" s="116">
        <f t="shared" si="0"/>
        <v>1.5425351979863439E-2</v>
      </c>
      <c r="J28" s="116"/>
      <c r="K28" s="117">
        <f t="shared" si="1"/>
        <v>1.54E-2</v>
      </c>
    </row>
    <row r="29" spans="1:11">
      <c r="A29" t="s">
        <v>48</v>
      </c>
      <c r="B29" s="73">
        <v>1982437.45</v>
      </c>
      <c r="D29" s="47" t="s">
        <v>22</v>
      </c>
      <c r="E29" s="114">
        <v>1982437.45</v>
      </c>
      <c r="G29" s="47" t="s">
        <v>35</v>
      </c>
      <c r="H29" s="115">
        <v>749288.32</v>
      </c>
      <c r="I29" s="116">
        <f t="shared" si="0"/>
        <v>2.1182432012821534E-3</v>
      </c>
      <c r="J29" s="116"/>
      <c r="K29" s="117">
        <f t="shared" si="1"/>
        <v>2.0999999999999999E-3</v>
      </c>
    </row>
    <row r="30" spans="1:11">
      <c r="A30" t="s">
        <v>35</v>
      </c>
      <c r="B30" s="73">
        <v>750545.24</v>
      </c>
      <c r="D30" s="47" t="s">
        <v>35</v>
      </c>
      <c r="E30" s="114">
        <v>750545.24</v>
      </c>
      <c r="G30" s="47" t="s">
        <v>36</v>
      </c>
      <c r="H30" s="115">
        <v>57889.94999999999</v>
      </c>
      <c r="I30" s="116">
        <f t="shared" si="0"/>
        <v>1.6365528427036443E-4</v>
      </c>
      <c r="J30" s="116"/>
      <c r="K30" s="117">
        <f t="shared" si="1"/>
        <v>2.0000000000000001E-4</v>
      </c>
    </row>
    <row r="31" spans="1:11">
      <c r="A31" t="s">
        <v>36</v>
      </c>
      <c r="B31" s="73">
        <v>57889.94999999999</v>
      </c>
      <c r="D31" s="47" t="s">
        <v>36</v>
      </c>
      <c r="E31" s="114">
        <v>57889.94999999999</v>
      </c>
      <c r="G31" s="47" t="s">
        <v>37</v>
      </c>
      <c r="H31" s="115">
        <v>81154.329999999987</v>
      </c>
      <c r="I31" s="116">
        <f t="shared" si="0"/>
        <v>2.2942384551931662E-4</v>
      </c>
      <c r="J31" s="116"/>
      <c r="K31" s="117">
        <f t="shared" si="1"/>
        <v>2.0000000000000001E-4</v>
      </c>
    </row>
    <row r="32" spans="1:11">
      <c r="A32" t="s">
        <v>37</v>
      </c>
      <c r="B32" s="73">
        <v>81154.329999999987</v>
      </c>
      <c r="D32" s="47" t="s">
        <v>37</v>
      </c>
      <c r="E32" s="114">
        <v>81154.329999999987</v>
      </c>
      <c r="G32" s="47" t="s">
        <v>38</v>
      </c>
      <c r="H32" s="115">
        <v>1610248.8199999998</v>
      </c>
      <c r="I32" s="116">
        <f t="shared" si="0"/>
        <v>4.5521844185928452E-3</v>
      </c>
      <c r="J32" s="116"/>
      <c r="K32" s="117">
        <f t="shared" si="1"/>
        <v>4.5999999999999999E-3</v>
      </c>
    </row>
    <row r="33" spans="1:11">
      <c r="A33" t="s">
        <v>70</v>
      </c>
      <c r="B33" s="73">
        <v>149.32</v>
      </c>
      <c r="D33" s="47" t="s">
        <v>22</v>
      </c>
      <c r="E33" s="114">
        <v>149.32</v>
      </c>
      <c r="G33" s="47" t="s">
        <v>49</v>
      </c>
      <c r="H33" s="115">
        <v>353731016.12999988</v>
      </c>
      <c r="K33" s="117">
        <f>SUM(K7:K32)</f>
        <v>0.99999999999999989</v>
      </c>
    </row>
    <row r="34" spans="1:11">
      <c r="A34" t="s">
        <v>38</v>
      </c>
      <c r="B34" s="73">
        <v>1688046.14</v>
      </c>
      <c r="D34" s="47" t="s">
        <v>38</v>
      </c>
      <c r="E34" s="114">
        <v>1688046.14</v>
      </c>
    </row>
    <row r="35" spans="1:11">
      <c r="A35" t="s">
        <v>49</v>
      </c>
      <c r="B35" s="73">
        <v>359713663.17999989</v>
      </c>
      <c r="D35" s="47" t="s">
        <v>9</v>
      </c>
      <c r="E35" s="115">
        <f>-'[3]Executive Dept'!B5</f>
        <v>-195212.50000000003</v>
      </c>
    </row>
    <row r="36" spans="1:11">
      <c r="A36"/>
      <c r="B36"/>
      <c r="D36" s="47" t="s">
        <v>13</v>
      </c>
      <c r="E36" s="115">
        <f>-'[3]Executive Dept'!B6</f>
        <v>-182432.28</v>
      </c>
    </row>
    <row r="37" spans="1:11">
      <c r="A37"/>
      <c r="B37"/>
      <c r="D37" s="47" t="s">
        <v>14</v>
      </c>
      <c r="E37" s="115">
        <f>-'[3]Executive Dept'!B7</f>
        <v>-1695878.1000000003</v>
      </c>
    </row>
    <row r="38" spans="1:11">
      <c r="A38"/>
      <c r="B38"/>
      <c r="D38" s="47" t="s">
        <v>15</v>
      </c>
      <c r="E38" s="115">
        <f>-'[3]Executive Dept'!B8</f>
        <v>-63432.799999999996</v>
      </c>
    </row>
    <row r="39" spans="1:11">
      <c r="D39" s="47" t="s">
        <v>16</v>
      </c>
      <c r="E39" s="115">
        <f>-'[3]Executive Dept'!B9</f>
        <v>-689374.35000000044</v>
      </c>
    </row>
    <row r="40" spans="1:11">
      <c r="D40" s="47" t="s">
        <v>17</v>
      </c>
      <c r="E40" s="115">
        <f>-'[3]Executive Dept'!B10</f>
        <v>-362740.86999999982</v>
      </c>
    </row>
    <row r="41" spans="1:11">
      <c r="D41" s="47" t="s">
        <v>18</v>
      </c>
      <c r="E41" s="115">
        <f>-'[3]Executive Dept'!B11</f>
        <v>-9029.9500000000025</v>
      </c>
      <c r="H41" s="65" t="s">
        <v>93</v>
      </c>
    </row>
    <row r="42" spans="1:11">
      <c r="D42" s="47" t="s">
        <v>19</v>
      </c>
      <c r="E42" s="115">
        <f>-'[3]Executive Dept'!B12</f>
        <v>-1484230.1600000008</v>
      </c>
    </row>
    <row r="43" spans="1:11">
      <c r="D43" s="47" t="s">
        <v>22</v>
      </c>
      <c r="E43" s="115">
        <f>-'[3]Executive Dept'!B13</f>
        <v>-472813.10000000003</v>
      </c>
    </row>
    <row r="44" spans="1:11">
      <c r="D44" s="47" t="s">
        <v>32</v>
      </c>
      <c r="E44" s="115">
        <f>-'[3]Executive Dept'!B14</f>
        <v>-674879.18000000017</v>
      </c>
    </row>
    <row r="45" spans="1:11">
      <c r="D45" s="47" t="s">
        <v>33</v>
      </c>
      <c r="E45" s="115">
        <f>-'[3]Executive Dept'!B15</f>
        <v>-73569.520000000019</v>
      </c>
    </row>
    <row r="46" spans="1:11">
      <c r="D46" s="47" t="s">
        <v>35</v>
      </c>
      <c r="E46" s="115">
        <f>-'[3]Executive Dept'!B16</f>
        <v>-1256.9199999999992</v>
      </c>
    </row>
    <row r="47" spans="1:11">
      <c r="D47" s="47" t="s">
        <v>38</v>
      </c>
      <c r="E47" s="115">
        <f>-'[3]Executive Dept'!B17</f>
        <v>-77797.320000000007</v>
      </c>
    </row>
    <row r="48" spans="1:11">
      <c r="D48" s="119" t="s">
        <v>56</v>
      </c>
      <c r="E48" s="115">
        <f>-'[3]Executive Dept'!B18</f>
        <v>-117.33999999999997</v>
      </c>
    </row>
    <row r="49" spans="2:5">
      <c r="B49" s="115"/>
      <c r="C49" s="115"/>
      <c r="D49" s="115"/>
      <c r="E49" s="115"/>
    </row>
    <row r="50" spans="2:5">
      <c r="B50" s="115"/>
      <c r="C50" s="115"/>
      <c r="D50" s="115"/>
      <c r="E50" s="115"/>
    </row>
    <row r="51" spans="2:5">
      <c r="B51" s="115"/>
      <c r="C51" s="115"/>
      <c r="D51" s="115"/>
      <c r="E51" s="115"/>
    </row>
    <row r="52" spans="2:5">
      <c r="B52" s="115"/>
      <c r="C52" s="115"/>
      <c r="D52" s="115"/>
      <c r="E52" s="115"/>
    </row>
  </sheetData>
  <mergeCells count="1">
    <mergeCell ref="G1:K3"/>
  </mergeCells>
  <pageMargins left="0.7" right="0.7" top="0.75" bottom="0.75" header="0.3" footer="0.3"/>
  <pageSetup scale="72" orientation="landscape" r:id="rId1"/>
  <headerFooter>
    <oddHeader>&amp;RKY PSC Case No. 2016-00162,
Attachment G to Staff Post Hearing Supp. DR 2</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I40"/>
  <sheetViews>
    <sheetView workbookViewId="0">
      <selection sqref="A1:I1"/>
    </sheetView>
  </sheetViews>
  <sheetFormatPr defaultRowHeight="14.4"/>
  <cols>
    <col min="1" max="1" width="13.6640625" style="151" customWidth="1"/>
    <col min="2" max="2" width="15.109375" style="151" bestFit="1" customWidth="1"/>
    <col min="3" max="3" width="15.109375" style="134" customWidth="1"/>
    <col min="4" max="4" width="2.6640625" style="136" customWidth="1"/>
    <col min="5" max="5" width="11.5546875" style="134" customWidth="1"/>
    <col min="6" max="6" width="15.109375" style="134" bestFit="1" customWidth="1"/>
    <col min="7" max="7" width="16.44140625" style="134" customWidth="1"/>
    <col min="8" max="8" width="2.6640625" style="134" customWidth="1"/>
    <col min="9" max="9" width="11.5546875" style="134" bestFit="1" customWidth="1"/>
  </cols>
  <sheetData>
    <row r="1" spans="1:9" ht="19.2">
      <c r="A1" s="249" t="s">
        <v>97</v>
      </c>
      <c r="B1" s="249"/>
      <c r="C1" s="249"/>
      <c r="D1" s="249"/>
      <c r="E1" s="249"/>
      <c r="F1" s="249"/>
      <c r="G1" s="249"/>
      <c r="H1" s="249"/>
      <c r="I1" s="249"/>
    </row>
    <row r="3" spans="1:9">
      <c r="A3" s="250" t="s">
        <v>95</v>
      </c>
      <c r="B3" s="250"/>
      <c r="C3" s="250"/>
      <c r="D3" s="152"/>
      <c r="E3" s="250" t="s">
        <v>96</v>
      </c>
      <c r="F3" s="250"/>
      <c r="G3" s="250"/>
    </row>
    <row r="4" spans="1:9">
      <c r="A4" s="153"/>
      <c r="B4" s="153"/>
      <c r="C4" s="153"/>
      <c r="E4" s="153"/>
      <c r="F4" s="153"/>
      <c r="G4" s="153"/>
    </row>
    <row r="5" spans="1:9">
      <c r="A5" s="152" t="s">
        <v>44</v>
      </c>
      <c r="B5" s="152" t="s">
        <v>63</v>
      </c>
      <c r="C5" s="154" t="s">
        <v>4</v>
      </c>
      <c r="D5" s="155"/>
      <c r="E5" s="152" t="s">
        <v>44</v>
      </c>
      <c r="F5" s="152" t="s">
        <v>63</v>
      </c>
      <c r="G5" s="154" t="s">
        <v>4</v>
      </c>
      <c r="H5" s="135"/>
      <c r="I5" s="154" t="s">
        <v>7</v>
      </c>
    </row>
    <row r="6" spans="1:9">
      <c r="A6" s="135" t="s">
        <v>8</v>
      </c>
      <c r="B6" s="162">
        <f>VLOOKUP(A6,'TI - Differences 1st 2013'!$A$5:$B$32,2,FALSE)</f>
        <v>197584.81</v>
      </c>
      <c r="C6" s="135">
        <v>1.1999999999999999E-3</v>
      </c>
      <c r="D6" s="135"/>
      <c r="E6" s="137" t="s">
        <v>8</v>
      </c>
      <c r="F6" s="162">
        <v>149007.84000000003</v>
      </c>
      <c r="G6" s="138">
        <v>8.0000000000000004E-4</v>
      </c>
      <c r="H6" s="156"/>
      <c r="I6" s="133">
        <f t="shared" ref="I6:I31" si="0">G6-C6</f>
        <v>-3.9999999999999986E-4</v>
      </c>
    </row>
    <row r="7" spans="1:9">
      <c r="A7" s="135" t="s">
        <v>9</v>
      </c>
      <c r="B7" s="162">
        <f>VLOOKUP(A7,'TI - Differences 1st 2013'!$A$5:$B$32,2,FALSE)</f>
        <v>5253087.75</v>
      </c>
      <c r="C7" s="135">
        <v>3.1E-2</v>
      </c>
      <c r="D7" s="135"/>
      <c r="E7" s="137" t="s">
        <v>9</v>
      </c>
      <c r="F7" s="162">
        <v>5328047.4799999977</v>
      </c>
      <c r="G7" s="138">
        <v>3.0200000000000001E-2</v>
      </c>
      <c r="H7" s="156"/>
      <c r="I7" s="133">
        <f t="shared" si="0"/>
        <v>-7.9999999999999863E-4</v>
      </c>
    </row>
    <row r="8" spans="1:9">
      <c r="A8" s="134" t="s">
        <v>11</v>
      </c>
      <c r="B8" s="162">
        <f>VLOOKUP(A8,'TI - Differences 1st 2013'!$A$5:$B$32,2,FALSE)</f>
        <v>115349.75000000009</v>
      </c>
      <c r="C8" s="134">
        <v>6.9999999999999999E-4</v>
      </c>
      <c r="D8" s="135"/>
      <c r="E8" s="137" t="s">
        <v>11</v>
      </c>
      <c r="F8" s="162">
        <v>112692.02999999997</v>
      </c>
      <c r="G8" s="138">
        <v>5.9999999999999995E-4</v>
      </c>
      <c r="H8" s="156"/>
      <c r="I8" s="133">
        <f t="shared" si="0"/>
        <v>-1.0000000000000005E-4</v>
      </c>
    </row>
    <row r="9" spans="1:9">
      <c r="A9" s="134" t="s">
        <v>12</v>
      </c>
      <c r="B9" s="162">
        <f>VLOOKUP(A9,'TI - Differences 1st 2013'!$A$5:$B$32,2,FALSE)</f>
        <v>141079.95000000001</v>
      </c>
      <c r="C9" s="134">
        <v>8.0000000000000004E-4</v>
      </c>
      <c r="D9" s="135"/>
      <c r="E9" s="137" t="s">
        <v>12</v>
      </c>
      <c r="F9" s="162">
        <v>138908.40000000008</v>
      </c>
      <c r="G9" s="138">
        <v>8.0000000000000004E-4</v>
      </c>
      <c r="H9" s="136"/>
      <c r="I9" s="133">
        <f t="shared" si="0"/>
        <v>0</v>
      </c>
    </row>
    <row r="10" spans="1:9">
      <c r="A10" s="134" t="s">
        <v>13</v>
      </c>
      <c r="B10" s="162">
        <f>VLOOKUP(A10,'TI - Differences 1st 2013'!$A$5:$B$32,2,FALSE)</f>
        <v>4006898.1100000022</v>
      </c>
      <c r="C10" s="134">
        <v>2.3699999999999999E-2</v>
      </c>
      <c r="D10" s="135"/>
      <c r="E10" s="137" t="s">
        <v>13</v>
      </c>
      <c r="F10" s="162">
        <v>4127433.7199999997</v>
      </c>
      <c r="G10" s="138">
        <v>2.3400000000000001E-2</v>
      </c>
      <c r="H10" s="136"/>
      <c r="I10" s="133">
        <f t="shared" si="0"/>
        <v>-2.9999999999999818E-4</v>
      </c>
    </row>
    <row r="11" spans="1:9">
      <c r="A11" s="134" t="s">
        <v>14</v>
      </c>
      <c r="B11" s="162">
        <f>VLOOKUP(A11,'TI - Differences 1st 2013'!$A$5:$B$32,2,FALSE)</f>
        <v>32822215.920000002</v>
      </c>
      <c r="C11" s="134">
        <v>0.19389999999999999</v>
      </c>
      <c r="D11" s="135"/>
      <c r="E11" s="137" t="s">
        <v>14</v>
      </c>
      <c r="F11" s="162">
        <v>34858605.31000001</v>
      </c>
      <c r="G11" s="138">
        <v>0.19739999999999999</v>
      </c>
      <c r="H11" s="136"/>
      <c r="I11" s="133">
        <f t="shared" si="0"/>
        <v>3.5000000000000031E-3</v>
      </c>
    </row>
    <row r="12" spans="1:9">
      <c r="A12" s="134" t="s">
        <v>15</v>
      </c>
      <c r="B12" s="162">
        <f>VLOOKUP(A12,'TI - Differences 1st 2013'!$A$5:$B$32,2,FALSE)</f>
        <v>1347091.6699999997</v>
      </c>
      <c r="C12" s="134">
        <v>8.0000000000000002E-3</v>
      </c>
      <c r="D12" s="135"/>
      <c r="E12" s="137" t="s">
        <v>15</v>
      </c>
      <c r="F12" s="162">
        <v>1403259.9399999997</v>
      </c>
      <c r="G12" s="138">
        <v>7.9000000000000008E-3</v>
      </c>
      <c r="H12" s="136"/>
      <c r="I12" s="133">
        <f t="shared" si="0"/>
        <v>-9.9999999999999395E-5</v>
      </c>
    </row>
    <row r="13" spans="1:9">
      <c r="A13" s="134" t="s">
        <v>16</v>
      </c>
      <c r="B13" s="162">
        <f>VLOOKUP(A13,'TI - Differences 1st 2013'!$A$5:$B$32,2,FALSE)</f>
        <v>13001974.349999998</v>
      </c>
      <c r="C13" s="134">
        <v>7.6799999999999993E-2</v>
      </c>
      <c r="D13" s="135"/>
      <c r="E13" s="137" t="s">
        <v>16</v>
      </c>
      <c r="F13" s="162">
        <v>13922988.000000007</v>
      </c>
      <c r="G13" s="138">
        <v>7.8899999999999998E-2</v>
      </c>
      <c r="H13" s="136"/>
      <c r="I13" s="133">
        <f t="shared" si="0"/>
        <v>2.1000000000000046E-3</v>
      </c>
    </row>
    <row r="14" spans="1:9">
      <c r="A14" s="134" t="s">
        <v>17</v>
      </c>
      <c r="B14" s="162">
        <f>VLOOKUP(A14,'TI - Differences 1st 2013'!$A$5:$B$32,2,FALSE)</f>
        <v>6908528.3899999978</v>
      </c>
      <c r="C14" s="134">
        <v>4.0800000000000003E-2</v>
      </c>
      <c r="D14" s="135"/>
      <c r="E14" s="137" t="s">
        <v>17</v>
      </c>
      <c r="F14" s="162">
        <v>7258334.6099999994</v>
      </c>
      <c r="G14" s="138">
        <v>4.1099999999999998E-2</v>
      </c>
      <c r="H14" s="136"/>
      <c r="I14" s="133">
        <f t="shared" si="0"/>
        <v>2.9999999999999472E-4</v>
      </c>
    </row>
    <row r="15" spans="1:9">
      <c r="A15" s="134" t="s">
        <v>18</v>
      </c>
      <c r="B15" s="162">
        <f>VLOOKUP(A15,'TI - Differences 1st 2013'!$A$5:$B$32,2,FALSE)</f>
        <v>162371.17999999996</v>
      </c>
      <c r="C15" s="134">
        <v>1E-3</v>
      </c>
      <c r="D15" s="135"/>
      <c r="E15" s="137" t="s">
        <v>18</v>
      </c>
      <c r="F15" s="162">
        <v>185301.14999999994</v>
      </c>
      <c r="G15" s="138">
        <v>1E-3</v>
      </c>
      <c r="H15" s="136"/>
      <c r="I15" s="133">
        <f t="shared" si="0"/>
        <v>0</v>
      </c>
    </row>
    <row r="16" spans="1:9">
      <c r="A16" s="134" t="s">
        <v>19</v>
      </c>
      <c r="B16" s="162">
        <f>VLOOKUP(A16,'TI - Differences 1st 2013'!$A$5:$B$32,2,FALSE)</f>
        <v>46349335.529999971</v>
      </c>
      <c r="C16" s="134">
        <v>0.27389999999999998</v>
      </c>
      <c r="D16" s="135"/>
      <c r="E16" s="137" t="s">
        <v>19</v>
      </c>
      <c r="F16" s="162">
        <v>46519736.479999997</v>
      </c>
      <c r="G16" s="138">
        <v>0.26350000000000001</v>
      </c>
      <c r="H16" s="136"/>
      <c r="I16" s="133">
        <f t="shared" si="0"/>
        <v>-1.0399999999999965E-2</v>
      </c>
    </row>
    <row r="17" spans="1:9">
      <c r="A17" s="134" t="s">
        <v>20</v>
      </c>
      <c r="B17" s="162">
        <f>VLOOKUP(A17,'TI - Differences 1st 2013'!$A$5:$B$32,2,FALSE)</f>
        <v>28020.199999999993</v>
      </c>
      <c r="C17" s="134">
        <v>2.0000000000000001E-4</v>
      </c>
      <c r="D17" s="135"/>
      <c r="E17" s="137" t="s">
        <v>20</v>
      </c>
      <c r="F17" s="162">
        <v>28313.019999999982</v>
      </c>
      <c r="G17" s="138">
        <v>2.0000000000000001E-4</v>
      </c>
      <c r="H17" s="136"/>
      <c r="I17" s="133">
        <f t="shared" si="0"/>
        <v>0</v>
      </c>
    </row>
    <row r="18" spans="1:9">
      <c r="A18" s="134" t="s">
        <v>21</v>
      </c>
      <c r="B18" s="162">
        <f>VLOOKUP(A18,'TI - Differences 1st 2013'!$A$5:$B$32,2,FALSE)</f>
        <v>630195.97000000009</v>
      </c>
      <c r="C18" s="134">
        <v>3.6000000000000003E-3</v>
      </c>
      <c r="D18" s="135"/>
      <c r="E18" s="137" t="s">
        <v>21</v>
      </c>
      <c r="F18" s="162">
        <v>658792.17000000004</v>
      </c>
      <c r="G18" s="138">
        <f>0.37%+0.0001</f>
        <v>3.8E-3</v>
      </c>
      <c r="H18" s="136"/>
      <c r="I18" s="133">
        <f t="shared" si="0"/>
        <v>1.9999999999999966E-4</v>
      </c>
    </row>
    <row r="19" spans="1:9">
      <c r="A19" s="134" t="s">
        <v>22</v>
      </c>
      <c r="B19" s="162">
        <f>VLOOKUP(A19,'TI - Differences 1st 2013'!$A$5:$B$32,2,FALSE)</f>
        <v>40251301.380000003</v>
      </c>
      <c r="C19" s="134">
        <v>0.2379</v>
      </c>
      <c r="D19" s="135"/>
      <c r="E19" s="137" t="s">
        <v>22</v>
      </c>
      <c r="F19" s="162">
        <v>43804945.529999994</v>
      </c>
      <c r="G19" s="138">
        <v>0.24809999999999999</v>
      </c>
      <c r="H19" s="136"/>
      <c r="I19" s="133">
        <f>G19-C19</f>
        <v>1.0199999999999987E-2</v>
      </c>
    </row>
    <row r="20" spans="1:9">
      <c r="A20" s="134" t="s">
        <v>23</v>
      </c>
      <c r="B20" s="162">
        <f>VLOOKUP(A20,'TI - Differences 1st 2013'!$A$5:$B$32,2,FALSE)</f>
        <v>133258.07000000007</v>
      </c>
      <c r="C20" s="134">
        <v>8.0000000000000004E-4</v>
      </c>
      <c r="D20" s="135"/>
      <c r="E20" s="137" t="s">
        <v>23</v>
      </c>
      <c r="F20" s="162">
        <v>117455.15999999995</v>
      </c>
      <c r="G20" s="138">
        <v>6.9999999999999999E-4</v>
      </c>
      <c r="H20" s="136"/>
      <c r="I20" s="133">
        <f t="shared" si="0"/>
        <v>-1.0000000000000005E-4</v>
      </c>
    </row>
    <row r="21" spans="1:9">
      <c r="A21" s="134" t="s">
        <v>24</v>
      </c>
      <c r="B21" s="162">
        <f>VLOOKUP(A21,'TI - Differences 1st 2013'!$A$5:$B$32,2,FALSE)</f>
        <v>1201.21</v>
      </c>
      <c r="C21" s="134">
        <v>0</v>
      </c>
      <c r="D21" s="135"/>
      <c r="E21" s="137" t="s">
        <v>24</v>
      </c>
      <c r="F21" s="162">
        <v>1263.2899999999997</v>
      </c>
      <c r="G21" s="138">
        <v>0</v>
      </c>
      <c r="H21" s="136"/>
      <c r="I21" s="133">
        <f t="shared" si="0"/>
        <v>0</v>
      </c>
    </row>
    <row r="22" spans="1:9">
      <c r="A22" s="134" t="s">
        <v>27</v>
      </c>
      <c r="B22" s="162">
        <f>VLOOKUP(A22,'TI - Differences 1st 2013'!$A$5:$B$32,2,FALSE)</f>
        <v>14604.480000000001</v>
      </c>
      <c r="C22" s="134">
        <v>1E-4</v>
      </c>
      <c r="D22" s="135"/>
      <c r="E22" s="137" t="s">
        <v>27</v>
      </c>
      <c r="F22" s="162">
        <v>12495.909999999991</v>
      </c>
      <c r="G22" s="138">
        <v>1E-4</v>
      </c>
      <c r="H22" s="136"/>
      <c r="I22" s="133">
        <f t="shared" si="0"/>
        <v>0</v>
      </c>
    </row>
    <row r="23" spans="1:9">
      <c r="A23" s="139" t="s">
        <v>55</v>
      </c>
      <c r="B23" s="162">
        <f>VLOOKUP(A23,'TI - Differences 1st 2013'!$A$5:$B$32,2,FALSE)</f>
        <v>39.1</v>
      </c>
      <c r="C23" s="134">
        <v>0</v>
      </c>
      <c r="D23" s="135"/>
      <c r="E23" s="137" t="s">
        <v>55</v>
      </c>
      <c r="F23" s="162">
        <v>23.380000000000003</v>
      </c>
      <c r="G23" s="138">
        <v>0</v>
      </c>
      <c r="H23" s="136"/>
      <c r="I23" s="133">
        <f t="shared" si="0"/>
        <v>0</v>
      </c>
    </row>
    <row r="24" spans="1:9">
      <c r="A24" s="134" t="s">
        <v>30</v>
      </c>
      <c r="B24" s="162">
        <f>VLOOKUP(A24,'TI - Differences 1st 2013'!$A$5:$B$32,2,FALSE)</f>
        <v>19311.080000000002</v>
      </c>
      <c r="C24" s="134">
        <v>1E-4</v>
      </c>
      <c r="D24" s="135"/>
      <c r="E24" s="137" t="s">
        <v>30</v>
      </c>
      <c r="F24" s="162">
        <v>18739.799999999996</v>
      </c>
      <c r="G24" s="138">
        <v>1E-4</v>
      </c>
      <c r="H24" s="136"/>
      <c r="I24" s="133">
        <f t="shared" si="0"/>
        <v>0</v>
      </c>
    </row>
    <row r="25" spans="1:9">
      <c r="A25" s="134" t="s">
        <v>31</v>
      </c>
      <c r="B25" s="162">
        <f>VLOOKUP(A25,'TI - Differences 1st 2013'!$A$5:$B$32,2,FALSE)</f>
        <v>11750.040000000003</v>
      </c>
      <c r="C25" s="134">
        <v>1E-4</v>
      </c>
      <c r="D25" s="135"/>
      <c r="E25" s="137" t="s">
        <v>31</v>
      </c>
      <c r="F25" s="162">
        <v>9876.8000000000029</v>
      </c>
      <c r="G25" s="138">
        <v>1E-4</v>
      </c>
      <c r="H25" s="140"/>
      <c r="I25" s="133">
        <f t="shared" si="0"/>
        <v>0</v>
      </c>
    </row>
    <row r="26" spans="1:9">
      <c r="A26" s="134" t="s">
        <v>32</v>
      </c>
      <c r="B26" s="162">
        <f>VLOOKUP(A26,'TI - Differences 1st 2013'!$A$5:$B$32,2,FALSE)</f>
        <v>15151491.959999995</v>
      </c>
      <c r="C26" s="134">
        <v>8.9499999999999996E-2</v>
      </c>
      <c r="D26" s="135"/>
      <c r="E26" s="137" t="s">
        <v>32</v>
      </c>
      <c r="F26" s="162">
        <v>14941384.690000003</v>
      </c>
      <c r="G26" s="138">
        <v>8.4599999999999995E-2</v>
      </c>
      <c r="H26" s="140"/>
      <c r="I26" s="133">
        <f t="shared" si="0"/>
        <v>-4.9000000000000016E-3</v>
      </c>
    </row>
    <row r="27" spans="1:9">
      <c r="A27" s="134" t="s">
        <v>33</v>
      </c>
      <c r="B27" s="162">
        <f>VLOOKUP(A27,'TI - Differences 1st 2013'!$A$5:$B$32,2,FALSE)</f>
        <v>2416783.63</v>
      </c>
      <c r="C27" s="134">
        <v>1.43E-2</v>
      </c>
      <c r="D27" s="135"/>
      <c r="E27" s="137" t="s">
        <v>33</v>
      </c>
      <c r="F27" s="162">
        <v>2553482.5600000005</v>
      </c>
      <c r="G27" s="138">
        <v>1.4500000000000001E-2</v>
      </c>
      <c r="H27" s="140"/>
      <c r="I27" s="133">
        <f t="shared" si="0"/>
        <v>2.0000000000000052E-4</v>
      </c>
    </row>
    <row r="28" spans="1:9">
      <c r="A28" s="134" t="s">
        <v>35</v>
      </c>
      <c r="B28" s="162">
        <f>VLOOKUP(A28,'TI - Differences 1st 2013'!$A$5:$B$32,2,FALSE)</f>
        <v>26807.260000000002</v>
      </c>
      <c r="C28" s="134">
        <v>2.0000000000000001E-4</v>
      </c>
      <c r="D28" s="135"/>
      <c r="E28" s="137" t="s">
        <v>35</v>
      </c>
      <c r="F28" s="162">
        <v>40006.219999999994</v>
      </c>
      <c r="G28" s="138">
        <v>2.0000000000000001E-4</v>
      </c>
      <c r="H28" s="156"/>
      <c r="I28" s="133">
        <f t="shared" si="0"/>
        <v>0</v>
      </c>
    </row>
    <row r="29" spans="1:9">
      <c r="A29" s="134" t="s">
        <v>36</v>
      </c>
      <c r="B29" s="162">
        <f>VLOOKUP(A29,'TI - Differences 1st 2013'!$A$5:$B$32,2,FALSE)</f>
        <v>6447.18</v>
      </c>
      <c r="C29" s="134">
        <v>0</v>
      </c>
      <c r="D29" s="135"/>
      <c r="E29" s="137" t="s">
        <v>36</v>
      </c>
      <c r="F29" s="162">
        <v>18478.840000000004</v>
      </c>
      <c r="G29" s="138">
        <v>1E-4</v>
      </c>
      <c r="H29" s="156"/>
      <c r="I29" s="133">
        <f t="shared" si="0"/>
        <v>1E-4</v>
      </c>
    </row>
    <row r="30" spans="1:9">
      <c r="A30" s="134" t="s">
        <v>37</v>
      </c>
      <c r="B30" s="162">
        <f>VLOOKUP(A30,'TI - Differences 1st 2013'!$A$5:$B$32,2,FALSE)</f>
        <v>6839.7399999999989</v>
      </c>
      <c r="C30" s="134">
        <v>0</v>
      </c>
      <c r="D30" s="135"/>
      <c r="E30" s="137" t="s">
        <v>37</v>
      </c>
      <c r="F30" s="162">
        <v>19618.420000000009</v>
      </c>
      <c r="G30" s="138">
        <v>1E-4</v>
      </c>
      <c r="H30" s="156"/>
      <c r="I30" s="133">
        <f t="shared" si="0"/>
        <v>1E-4</v>
      </c>
    </row>
    <row r="31" spans="1:9">
      <c r="A31" s="135" t="s">
        <v>38</v>
      </c>
      <c r="B31" s="162">
        <f>VLOOKUP(A31,'TI - Differences 1st 2013'!$A$5:$B$32,2,FALSE)</f>
        <v>234127.52000000002</v>
      </c>
      <c r="C31" s="135">
        <v>1.4E-3</v>
      </c>
      <c r="E31" s="137" t="s">
        <v>38</v>
      </c>
      <c r="F31" s="162">
        <v>323093.10999999993</v>
      </c>
      <c r="G31" s="138">
        <v>1.8E-3</v>
      </c>
      <c r="H31" s="135"/>
      <c r="I31" s="133">
        <f t="shared" si="0"/>
        <v>3.9999999999999996E-4</v>
      </c>
    </row>
    <row r="32" spans="1:9" ht="15" thickBot="1">
      <c r="A32" s="157" t="s">
        <v>6</v>
      </c>
      <c r="B32" s="161">
        <f>SUM(B6:B31)</f>
        <v>169237696.22999999</v>
      </c>
      <c r="C32" s="157">
        <f>SUM(C6:C31)</f>
        <v>0.99999999999999989</v>
      </c>
      <c r="E32" s="143" t="s">
        <v>6</v>
      </c>
      <c r="F32" s="148">
        <f>SUM(F6:F31)</f>
        <v>176552283.86000001</v>
      </c>
      <c r="G32" s="144">
        <f>SUM(G6:G31)</f>
        <v>0.99999999999999989</v>
      </c>
      <c r="I32" s="157">
        <f>SUM(I6:I31)</f>
        <v>2.7050844203513336E-17</v>
      </c>
    </row>
    <row r="33" spans="5:9" ht="15" thickTop="1">
      <c r="E33" s="137"/>
      <c r="F33" s="137"/>
      <c r="G33" s="158"/>
      <c r="H33" s="136"/>
      <c r="I33" s="151"/>
    </row>
    <row r="34" spans="5:9">
      <c r="E34" s="137"/>
      <c r="F34" s="137"/>
      <c r="G34" s="158"/>
      <c r="H34" s="136"/>
      <c r="I34" s="151"/>
    </row>
    <row r="35" spans="5:9">
      <c r="E35" s="159"/>
      <c r="F35" s="159"/>
      <c r="G35" s="159"/>
      <c r="H35" s="135"/>
      <c r="I35" s="135"/>
    </row>
    <row r="36" spans="5:9">
      <c r="E36" s="159"/>
      <c r="F36" s="159"/>
      <c r="G36" s="156"/>
      <c r="H36" s="135"/>
      <c r="I36" s="135"/>
    </row>
    <row r="37" spans="5:9">
      <c r="E37" s="159"/>
      <c r="F37" s="159"/>
      <c r="G37" s="156"/>
      <c r="H37" s="135"/>
      <c r="I37" s="135"/>
    </row>
    <row r="38" spans="5:9">
      <c r="E38" s="159"/>
      <c r="F38" s="159"/>
      <c r="G38" s="159"/>
      <c r="H38" s="135"/>
      <c r="I38" s="135"/>
    </row>
    <row r="39" spans="5:9">
      <c r="E39" s="135"/>
      <c r="F39" s="135"/>
      <c r="G39" s="135"/>
      <c r="H39" s="135"/>
      <c r="I39" s="135"/>
    </row>
    <row r="40" spans="5:9">
      <c r="E40" s="135"/>
      <c r="F40" s="135"/>
      <c r="G40" s="135"/>
      <c r="H40" s="135"/>
      <c r="I40" s="135"/>
    </row>
  </sheetData>
  <mergeCells count="3">
    <mergeCell ref="A1:I1"/>
    <mergeCell ref="A3:C3"/>
    <mergeCell ref="E3:G3"/>
  </mergeCells>
  <pageMargins left="0.7" right="0.7" top="0.75" bottom="0.75" header="0.3" footer="0.3"/>
  <pageSetup orientation="landscape" r:id="rId1"/>
  <headerFooter>
    <oddHeader>&amp;RKY PSC Case No. 2016-00162,
Attachment G to Staff Post Hearing Supp. DR 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B34"/>
  <sheetViews>
    <sheetView workbookViewId="0"/>
  </sheetViews>
  <sheetFormatPr defaultRowHeight="14.4"/>
  <cols>
    <col min="1" max="1" width="18.5546875" bestFit="1" customWidth="1"/>
    <col min="2" max="2" width="23" bestFit="1" customWidth="1"/>
  </cols>
  <sheetData>
    <row r="1" spans="1:2">
      <c r="A1" s="163" t="s">
        <v>101</v>
      </c>
      <c r="B1" t="s">
        <v>102</v>
      </c>
    </row>
    <row r="3" spans="1:2">
      <c r="A3" s="163" t="s">
        <v>100</v>
      </c>
    </row>
    <row r="4" spans="1:2">
      <c r="A4" s="163" t="s">
        <v>44</v>
      </c>
      <c r="B4" t="s">
        <v>6</v>
      </c>
    </row>
    <row r="5" spans="1:2">
      <c r="A5" t="s">
        <v>8</v>
      </c>
      <c r="B5" s="239">
        <v>149007.84000000003</v>
      </c>
    </row>
    <row r="6" spans="1:2">
      <c r="A6" t="s">
        <v>9</v>
      </c>
      <c r="B6" s="239">
        <v>5328047.4799999977</v>
      </c>
    </row>
    <row r="7" spans="1:2">
      <c r="A7" t="s">
        <v>11</v>
      </c>
      <c r="B7" s="239">
        <v>112692.02999999997</v>
      </c>
    </row>
    <row r="8" spans="1:2">
      <c r="A8" t="s">
        <v>12</v>
      </c>
      <c r="B8" s="239">
        <v>138908.40000000008</v>
      </c>
    </row>
    <row r="9" spans="1:2">
      <c r="A9" t="s">
        <v>13</v>
      </c>
      <c r="B9" s="239">
        <v>4127433.7199999997</v>
      </c>
    </row>
    <row r="10" spans="1:2">
      <c r="A10" t="s">
        <v>14</v>
      </c>
      <c r="B10" s="239">
        <v>34858605.31000001</v>
      </c>
    </row>
    <row r="11" spans="1:2">
      <c r="A11" t="s">
        <v>15</v>
      </c>
      <c r="B11" s="239">
        <v>1403259.9399999997</v>
      </c>
    </row>
    <row r="12" spans="1:2">
      <c r="A12" t="s">
        <v>16</v>
      </c>
      <c r="B12" s="239">
        <v>13922988.000000007</v>
      </c>
    </row>
    <row r="13" spans="1:2">
      <c r="A13" t="s">
        <v>17</v>
      </c>
      <c r="B13" s="239">
        <v>7258334.6099999994</v>
      </c>
    </row>
    <row r="14" spans="1:2">
      <c r="A14" t="s">
        <v>18</v>
      </c>
      <c r="B14" s="239">
        <v>185301.14999999994</v>
      </c>
    </row>
    <row r="15" spans="1:2">
      <c r="A15" t="s">
        <v>19</v>
      </c>
      <c r="B15" s="239">
        <v>46519736.479999997</v>
      </c>
    </row>
    <row r="16" spans="1:2">
      <c r="A16" t="s">
        <v>20</v>
      </c>
      <c r="B16" s="239">
        <v>28313.019999999982</v>
      </c>
    </row>
    <row r="17" spans="1:2">
      <c r="A17" t="s">
        <v>21</v>
      </c>
      <c r="B17" s="239">
        <v>658792.17000000004</v>
      </c>
    </row>
    <row r="18" spans="1:2">
      <c r="A18" t="s">
        <v>22</v>
      </c>
      <c r="B18" s="239">
        <v>42667702.869999997</v>
      </c>
    </row>
    <row r="19" spans="1:2">
      <c r="A19" t="s">
        <v>23</v>
      </c>
      <c r="B19" s="239">
        <v>117455.15999999995</v>
      </c>
    </row>
    <row r="20" spans="1:2">
      <c r="A20" t="s">
        <v>24</v>
      </c>
      <c r="B20" s="239">
        <v>1263.2899999999997</v>
      </c>
    </row>
    <row r="21" spans="1:2">
      <c r="A21" t="s">
        <v>27</v>
      </c>
      <c r="B21" s="239">
        <v>12495.909999999991</v>
      </c>
    </row>
    <row r="22" spans="1:2">
      <c r="A22" t="s">
        <v>55</v>
      </c>
      <c r="B22" s="239">
        <v>23.380000000000003</v>
      </c>
    </row>
    <row r="23" spans="1:2">
      <c r="A23" t="s">
        <v>30</v>
      </c>
      <c r="B23" s="239">
        <v>18739.799999999996</v>
      </c>
    </row>
    <row r="24" spans="1:2">
      <c r="A24" t="s">
        <v>31</v>
      </c>
      <c r="B24" s="239">
        <v>9876.8000000000029</v>
      </c>
    </row>
    <row r="25" spans="1:2">
      <c r="A25" t="s">
        <v>32</v>
      </c>
      <c r="B25" s="239">
        <v>14941384.690000003</v>
      </c>
    </row>
    <row r="26" spans="1:2">
      <c r="A26" t="s">
        <v>33</v>
      </c>
      <c r="B26" s="239">
        <v>2553482.5600000005</v>
      </c>
    </row>
    <row r="27" spans="1:2">
      <c r="A27" t="s">
        <v>47</v>
      </c>
      <c r="B27" s="239">
        <v>741030.82000000007</v>
      </c>
    </row>
    <row r="28" spans="1:2">
      <c r="A28" t="s">
        <v>48</v>
      </c>
      <c r="B28" s="239">
        <v>396199.72000000003</v>
      </c>
    </row>
    <row r="29" spans="1:2">
      <c r="A29" t="s">
        <v>35</v>
      </c>
      <c r="B29" s="239">
        <v>40006.219999999994</v>
      </c>
    </row>
    <row r="30" spans="1:2">
      <c r="A30" t="s">
        <v>36</v>
      </c>
      <c r="B30" s="239">
        <v>18478.840000000004</v>
      </c>
    </row>
    <row r="31" spans="1:2">
      <c r="A31" t="s">
        <v>37</v>
      </c>
      <c r="B31" s="239">
        <v>19618.420000000009</v>
      </c>
    </row>
    <row r="32" spans="1:2">
      <c r="A32" t="s">
        <v>70</v>
      </c>
      <c r="B32" s="239">
        <v>12.12</v>
      </c>
    </row>
    <row r="33" spans="1:2">
      <c r="A33" t="s">
        <v>38</v>
      </c>
      <c r="B33" s="239">
        <v>323093.10999999993</v>
      </c>
    </row>
    <row r="34" spans="1:2">
      <c r="A34" t="s">
        <v>49</v>
      </c>
      <c r="B34" s="73">
        <v>176552283.86000001</v>
      </c>
    </row>
  </sheetData>
  <pageMargins left="0.7" right="0.7" top="0.75" bottom="0.75" header="0.3" footer="0.3"/>
  <pageSetup orientation="landscape" r:id="rId1"/>
  <headerFooter>
    <oddHeader>&amp;RKY PSC Case No. 2016-00162,
Attachment G to Staff Post Hearing Supp. DR 2</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I40"/>
  <sheetViews>
    <sheetView workbookViewId="0">
      <selection sqref="A1:I1"/>
    </sheetView>
  </sheetViews>
  <sheetFormatPr defaultRowHeight="14.4"/>
  <cols>
    <col min="1" max="1" width="13.6640625" style="151" customWidth="1"/>
    <col min="2" max="2" width="14.109375" style="151" bestFit="1" customWidth="1"/>
    <col min="3" max="3" width="15.109375" style="134" customWidth="1"/>
    <col min="4" max="4" width="2.6640625" style="136" customWidth="1"/>
    <col min="5" max="5" width="11.5546875" style="134" customWidth="1"/>
    <col min="6" max="6" width="14.109375" style="134" bestFit="1" customWidth="1"/>
    <col min="7" max="7" width="16.44140625" style="134" customWidth="1"/>
    <col min="8" max="8" width="2.6640625" style="134" customWidth="1"/>
    <col min="9" max="9" width="11.5546875" style="134" bestFit="1" customWidth="1"/>
  </cols>
  <sheetData>
    <row r="1" spans="1:9" ht="19.2">
      <c r="A1" s="249" t="s">
        <v>94</v>
      </c>
      <c r="B1" s="249"/>
      <c r="C1" s="249"/>
      <c r="D1" s="249"/>
      <c r="E1" s="249"/>
      <c r="F1" s="249"/>
      <c r="G1" s="249"/>
      <c r="H1" s="249"/>
      <c r="I1" s="249"/>
    </row>
    <row r="3" spans="1:9">
      <c r="A3" s="250" t="s">
        <v>95</v>
      </c>
      <c r="B3" s="250"/>
      <c r="C3" s="250"/>
      <c r="D3" s="152"/>
      <c r="E3" s="250" t="s">
        <v>96</v>
      </c>
      <c r="F3" s="250"/>
      <c r="G3" s="250"/>
    </row>
    <row r="4" spans="1:9">
      <c r="A4" s="153"/>
      <c r="B4" s="153"/>
      <c r="C4" s="153"/>
      <c r="E4" s="153"/>
      <c r="F4" s="153"/>
      <c r="G4" s="153"/>
    </row>
    <row r="5" spans="1:9">
      <c r="A5" s="152" t="s">
        <v>44</v>
      </c>
      <c r="B5" s="152" t="s">
        <v>63</v>
      </c>
      <c r="C5" s="154" t="s">
        <v>4</v>
      </c>
      <c r="D5" s="155"/>
      <c r="E5" s="152" t="s">
        <v>44</v>
      </c>
      <c r="F5" s="152" t="s">
        <v>63</v>
      </c>
      <c r="G5" s="154" t="s">
        <v>4</v>
      </c>
      <c r="H5" s="135"/>
      <c r="I5" s="154" t="s">
        <v>7</v>
      </c>
    </row>
    <row r="6" spans="1:9">
      <c r="A6" s="135" t="s">
        <v>8</v>
      </c>
      <c r="B6" s="162">
        <v>327781.53999999998</v>
      </c>
      <c r="C6" s="135">
        <v>1.09E-2</v>
      </c>
      <c r="D6" s="135"/>
      <c r="E6" s="137" t="s">
        <v>8</v>
      </c>
      <c r="F6" s="160">
        <v>251342.44</v>
      </c>
      <c r="G6" s="138">
        <v>8.3999999999999995E-3</v>
      </c>
      <c r="H6" s="156"/>
      <c r="I6" s="133">
        <f t="shared" ref="I6:I31" si="0">G6-C6</f>
        <v>-2.5000000000000005E-3</v>
      </c>
    </row>
    <row r="7" spans="1:9">
      <c r="A7" s="135" t="s">
        <v>9</v>
      </c>
      <c r="B7" s="162">
        <v>1058279.5199999998</v>
      </c>
      <c r="C7" s="135">
        <v>3.5200000000000002E-2</v>
      </c>
      <c r="D7" s="135"/>
      <c r="E7" s="137" t="s">
        <v>9</v>
      </c>
      <c r="F7" s="160">
        <v>922366.96</v>
      </c>
      <c r="G7" s="138">
        <v>3.0800000000000001E-2</v>
      </c>
      <c r="H7" s="156"/>
      <c r="I7" s="133">
        <f t="shared" si="0"/>
        <v>-4.4000000000000011E-3</v>
      </c>
    </row>
    <row r="8" spans="1:9">
      <c r="A8" s="134" t="s">
        <v>11</v>
      </c>
      <c r="B8" s="162">
        <v>24723.929999999997</v>
      </c>
      <c r="C8" s="134">
        <v>8.0000000000000004E-4</v>
      </c>
      <c r="D8" s="135"/>
      <c r="E8" s="137" t="s">
        <v>11</v>
      </c>
      <c r="F8" s="160">
        <v>23257.010000000002</v>
      </c>
      <c r="G8" s="138">
        <v>8.0000000000000004E-4</v>
      </c>
      <c r="H8" s="156"/>
      <c r="I8" s="133">
        <f t="shared" si="0"/>
        <v>0</v>
      </c>
    </row>
    <row r="9" spans="1:9">
      <c r="A9" s="134" t="s">
        <v>12</v>
      </c>
      <c r="B9" s="162">
        <v>32418.639999999999</v>
      </c>
      <c r="C9" s="134">
        <v>1.1000000000000001E-3</v>
      </c>
      <c r="D9" s="135"/>
      <c r="E9" s="137" t="s">
        <v>12</v>
      </c>
      <c r="F9" s="160">
        <v>22416.399999999998</v>
      </c>
      <c r="G9" s="138">
        <v>6.9999999999999999E-4</v>
      </c>
      <c r="H9" s="136"/>
      <c r="I9" s="133">
        <f t="shared" si="0"/>
        <v>-4.0000000000000007E-4</v>
      </c>
    </row>
    <row r="10" spans="1:9">
      <c r="A10" s="134" t="s">
        <v>13</v>
      </c>
      <c r="B10" s="162">
        <v>420494.72000000003</v>
      </c>
      <c r="C10" s="134">
        <v>1.4E-2</v>
      </c>
      <c r="D10" s="135"/>
      <c r="E10" s="137" t="s">
        <v>13</v>
      </c>
      <c r="F10" s="160">
        <v>495193.07999999996</v>
      </c>
      <c r="G10" s="138">
        <v>1.66E-2</v>
      </c>
      <c r="H10" s="136"/>
      <c r="I10" s="133">
        <f t="shared" si="0"/>
        <v>2.5999999999999999E-3</v>
      </c>
    </row>
    <row r="11" spans="1:9">
      <c r="A11" s="134" t="s">
        <v>14</v>
      </c>
      <c r="B11" s="162">
        <v>3625244.53</v>
      </c>
      <c r="C11" s="134">
        <v>0.1206</v>
      </c>
      <c r="D11" s="135"/>
      <c r="E11" s="137" t="s">
        <v>14</v>
      </c>
      <c r="F11" s="160">
        <v>3891454.56</v>
      </c>
      <c r="G11" s="138">
        <v>0.13009999999999999</v>
      </c>
      <c r="H11" s="136"/>
      <c r="I11" s="133">
        <f t="shared" si="0"/>
        <v>9.4999999999999946E-3</v>
      </c>
    </row>
    <row r="12" spans="1:9">
      <c r="A12" s="134" t="s">
        <v>15</v>
      </c>
      <c r="B12" s="162">
        <v>254447.06000000003</v>
      </c>
      <c r="C12" s="134">
        <v>8.5000000000000006E-3</v>
      </c>
      <c r="D12" s="135"/>
      <c r="E12" s="137" t="s">
        <v>15</v>
      </c>
      <c r="F12" s="160">
        <v>332751.45999999996</v>
      </c>
      <c r="G12" s="138">
        <v>1.11E-2</v>
      </c>
      <c r="H12" s="136"/>
      <c r="I12" s="133">
        <f t="shared" si="0"/>
        <v>2.5999999999999999E-3</v>
      </c>
    </row>
    <row r="13" spans="1:9">
      <c r="A13" s="134" t="s">
        <v>16</v>
      </c>
      <c r="B13" s="162">
        <v>1806688.96</v>
      </c>
      <c r="C13" s="134">
        <v>6.0100000000000001E-2</v>
      </c>
      <c r="D13" s="135"/>
      <c r="E13" s="137" t="s">
        <v>16</v>
      </c>
      <c r="F13" s="160">
        <v>1863138.73</v>
      </c>
      <c r="G13" s="138">
        <v>6.2300000000000001E-2</v>
      </c>
      <c r="H13" s="136"/>
      <c r="I13" s="133">
        <f t="shared" si="0"/>
        <v>2.2000000000000006E-3</v>
      </c>
    </row>
    <row r="14" spans="1:9">
      <c r="A14" s="134" t="s">
        <v>17</v>
      </c>
      <c r="B14" s="162">
        <v>1308440.92</v>
      </c>
      <c r="C14" s="134">
        <v>4.3499999999999997E-2</v>
      </c>
      <c r="D14" s="135"/>
      <c r="E14" s="137" t="s">
        <v>17</v>
      </c>
      <c r="F14" s="160">
        <v>1415086.2000000002</v>
      </c>
      <c r="G14" s="138">
        <v>4.7300000000000002E-2</v>
      </c>
      <c r="H14" s="136"/>
      <c r="I14" s="133">
        <f t="shared" si="0"/>
        <v>3.8000000000000048E-3</v>
      </c>
    </row>
    <row r="15" spans="1:9">
      <c r="A15" s="134" t="s">
        <v>18</v>
      </c>
      <c r="B15" s="162">
        <v>20230.400000000001</v>
      </c>
      <c r="C15" s="134">
        <v>6.9999999999999999E-4</v>
      </c>
      <c r="D15" s="135"/>
      <c r="E15" s="137" t="s">
        <v>18</v>
      </c>
      <c r="F15" s="160">
        <v>17130.300000000003</v>
      </c>
      <c r="G15" s="138">
        <v>5.9999999999999995E-4</v>
      </c>
      <c r="H15" s="136"/>
      <c r="I15" s="133">
        <f t="shared" si="0"/>
        <v>-1.0000000000000005E-4</v>
      </c>
    </row>
    <row r="16" spans="1:9">
      <c r="A16" s="134" t="s">
        <v>19</v>
      </c>
      <c r="B16" s="162">
        <v>7712598.2700000005</v>
      </c>
      <c r="C16" s="134">
        <v>0.25659999999999999</v>
      </c>
      <c r="D16" s="135"/>
      <c r="E16" s="137" t="s">
        <v>19</v>
      </c>
      <c r="F16" s="160">
        <v>8183535.5799999991</v>
      </c>
      <c r="G16" s="138">
        <v>0.27350000000000002</v>
      </c>
      <c r="H16" s="136"/>
      <c r="I16" s="133">
        <f t="shared" si="0"/>
        <v>1.6900000000000026E-2</v>
      </c>
    </row>
    <row r="17" spans="1:9">
      <c r="A17" s="134" t="s">
        <v>20</v>
      </c>
      <c r="B17" s="162">
        <v>13342.189999999999</v>
      </c>
      <c r="C17" s="134">
        <v>4.0000000000000002E-4</v>
      </c>
      <c r="D17" s="135"/>
      <c r="E17" s="137" t="s">
        <v>20</v>
      </c>
      <c r="F17" s="160">
        <v>7442.5100000000011</v>
      </c>
      <c r="G17" s="138">
        <v>2.0000000000000001E-4</v>
      </c>
      <c r="H17" s="136"/>
      <c r="I17" s="133">
        <f t="shared" si="0"/>
        <v>-2.0000000000000001E-4</v>
      </c>
    </row>
    <row r="18" spans="1:9">
      <c r="A18" s="134" t="s">
        <v>21</v>
      </c>
      <c r="B18" s="162">
        <v>1454620.8799999997</v>
      </c>
      <c r="C18" s="134">
        <v>4.87E-2</v>
      </c>
      <c r="D18" s="135"/>
      <c r="E18" s="137" t="s">
        <v>21</v>
      </c>
      <c r="F18" s="160">
        <v>1522612.57</v>
      </c>
      <c r="G18" s="138">
        <f>5.09%-0.0001</f>
        <v>5.0799999999999998E-2</v>
      </c>
      <c r="H18" s="136"/>
      <c r="I18" s="133">
        <f t="shared" si="0"/>
        <v>2.0999999999999977E-3</v>
      </c>
    </row>
    <row r="19" spans="1:9">
      <c r="A19" s="134" t="s">
        <v>22</v>
      </c>
      <c r="B19" s="162">
        <v>7914260.6499999994</v>
      </c>
      <c r="C19" s="134">
        <v>0.26329999999999998</v>
      </c>
      <c r="D19" s="135"/>
      <c r="E19" s="137" t="s">
        <v>22</v>
      </c>
      <c r="F19" s="160">
        <v>6694589.5299999993</v>
      </c>
      <c r="G19" s="138">
        <v>0.2238</v>
      </c>
      <c r="H19" s="136"/>
      <c r="I19" s="133">
        <f t="shared" si="0"/>
        <v>-3.949999999999998E-2</v>
      </c>
    </row>
    <row r="20" spans="1:9">
      <c r="A20" s="134" t="s">
        <v>23</v>
      </c>
      <c r="B20" s="162">
        <v>379512.82999999996</v>
      </c>
      <c r="C20" s="134">
        <v>1.26E-2</v>
      </c>
      <c r="D20" s="135"/>
      <c r="E20" s="137" t="s">
        <v>23</v>
      </c>
      <c r="F20" s="160">
        <v>400452.78</v>
      </c>
      <c r="G20" s="138">
        <v>1.34E-2</v>
      </c>
      <c r="H20" s="136"/>
      <c r="I20" s="133">
        <f t="shared" si="0"/>
        <v>8.0000000000000036E-4</v>
      </c>
    </row>
    <row r="21" spans="1:9">
      <c r="A21" s="134" t="s">
        <v>24</v>
      </c>
      <c r="B21" s="162">
        <v>94.42</v>
      </c>
      <c r="C21" s="134">
        <v>0</v>
      </c>
      <c r="D21" s="135"/>
      <c r="E21" s="137" t="s">
        <v>24</v>
      </c>
      <c r="F21" s="160">
        <v>224.07999999999998</v>
      </c>
      <c r="G21" s="138">
        <v>0</v>
      </c>
      <c r="H21" s="136"/>
      <c r="I21" s="133">
        <f t="shared" si="0"/>
        <v>0</v>
      </c>
    </row>
    <row r="22" spans="1:9">
      <c r="A22" s="134" t="s">
        <v>27</v>
      </c>
      <c r="B22" s="162">
        <v>52852.150000000009</v>
      </c>
      <c r="C22" s="134">
        <v>1.8E-3</v>
      </c>
      <c r="D22" s="135"/>
      <c r="E22" s="137" t="s">
        <v>27</v>
      </c>
      <c r="F22" s="160">
        <v>78152.55</v>
      </c>
      <c r="G22" s="138">
        <v>2.5999999999999999E-3</v>
      </c>
      <c r="H22" s="136"/>
      <c r="I22" s="133">
        <f t="shared" si="0"/>
        <v>7.9999999999999993E-4</v>
      </c>
    </row>
    <row r="23" spans="1:9">
      <c r="A23" s="139" t="s">
        <v>55</v>
      </c>
      <c r="B23" s="162">
        <v>3.08</v>
      </c>
      <c r="C23" s="134">
        <v>0</v>
      </c>
      <c r="D23" s="135"/>
      <c r="E23" s="137" t="s">
        <v>55</v>
      </c>
      <c r="F23" s="160">
        <v>2.2199999999999998</v>
      </c>
      <c r="G23" s="138">
        <v>0</v>
      </c>
      <c r="H23" s="136"/>
      <c r="I23" s="133">
        <f t="shared" si="0"/>
        <v>0</v>
      </c>
    </row>
    <row r="24" spans="1:9">
      <c r="A24" s="134" t="s">
        <v>30</v>
      </c>
      <c r="B24" s="162">
        <v>85608.17</v>
      </c>
      <c r="C24" s="134">
        <v>2.8E-3</v>
      </c>
      <c r="D24" s="135"/>
      <c r="E24" s="137" t="s">
        <v>30</v>
      </c>
      <c r="F24" s="160">
        <v>133213.84999999998</v>
      </c>
      <c r="G24" s="138">
        <v>4.4999999999999997E-3</v>
      </c>
      <c r="H24" s="136"/>
      <c r="I24" s="133">
        <f t="shared" si="0"/>
        <v>1.6999999999999997E-3</v>
      </c>
    </row>
    <row r="25" spans="1:9">
      <c r="A25" s="134" t="s">
        <v>31</v>
      </c>
      <c r="B25" s="162">
        <v>2157.5299999999997</v>
      </c>
      <c r="C25" s="134">
        <v>1E-4</v>
      </c>
      <c r="D25" s="135"/>
      <c r="E25" s="137" t="s">
        <v>31</v>
      </c>
      <c r="F25" s="160">
        <v>1809.36</v>
      </c>
      <c r="G25" s="138">
        <v>1E-4</v>
      </c>
      <c r="H25" s="140"/>
      <c r="I25" s="133">
        <f t="shared" si="0"/>
        <v>0</v>
      </c>
    </row>
    <row r="26" spans="1:9">
      <c r="A26" s="134" t="s">
        <v>32</v>
      </c>
      <c r="B26" s="162">
        <v>1879299.7199999997</v>
      </c>
      <c r="C26" s="134">
        <v>6.25E-2</v>
      </c>
      <c r="D26" s="135"/>
      <c r="E26" s="137" t="s">
        <v>32</v>
      </c>
      <c r="F26" s="160">
        <v>2169040.0099999998</v>
      </c>
      <c r="G26" s="138">
        <v>7.2499999999999995E-2</v>
      </c>
      <c r="H26" s="140"/>
      <c r="I26" s="133">
        <f t="shared" si="0"/>
        <v>9.999999999999995E-3</v>
      </c>
    </row>
    <row r="27" spans="1:9">
      <c r="A27" s="134" t="s">
        <v>33</v>
      </c>
      <c r="B27" s="162">
        <v>795226.77000000025</v>
      </c>
      <c r="C27" s="134">
        <v>2.6499999999999999E-2</v>
      </c>
      <c r="D27" s="135"/>
      <c r="E27" s="137" t="s">
        <v>33</v>
      </c>
      <c r="F27" s="160">
        <v>685559.94000000006</v>
      </c>
      <c r="G27" s="138">
        <v>2.29E-2</v>
      </c>
      <c r="H27" s="140"/>
      <c r="I27" s="133">
        <f t="shared" si="0"/>
        <v>-3.599999999999999E-3</v>
      </c>
    </row>
    <row r="28" spans="1:9">
      <c r="A28" s="134" t="s">
        <v>35</v>
      </c>
      <c r="B28" s="162">
        <v>451856.57</v>
      </c>
      <c r="C28" s="134">
        <v>1.4999999999999999E-2</v>
      </c>
      <c r="D28" s="135"/>
      <c r="E28" s="137" t="s">
        <v>35</v>
      </c>
      <c r="F28" s="160">
        <v>546495.93000000005</v>
      </c>
      <c r="G28" s="138">
        <v>1.83E-2</v>
      </c>
      <c r="H28" s="156"/>
      <c r="I28" s="133">
        <f t="shared" si="0"/>
        <v>3.3000000000000008E-3</v>
      </c>
    </row>
    <row r="29" spans="1:9">
      <c r="A29" s="134" t="s">
        <v>36</v>
      </c>
      <c r="B29" s="162">
        <v>1227.49</v>
      </c>
      <c r="C29" s="134">
        <v>0</v>
      </c>
      <c r="D29" s="135"/>
      <c r="E29" s="137" t="s">
        <v>36</v>
      </c>
      <c r="F29" s="160">
        <v>1150.28</v>
      </c>
      <c r="G29" s="138">
        <v>0</v>
      </c>
      <c r="H29" s="156"/>
      <c r="I29" s="133">
        <f t="shared" si="0"/>
        <v>0</v>
      </c>
    </row>
    <row r="30" spans="1:9">
      <c r="A30" s="134" t="s">
        <v>37</v>
      </c>
      <c r="B30" s="162">
        <v>1259.83</v>
      </c>
      <c r="C30" s="134">
        <v>0</v>
      </c>
      <c r="D30" s="135"/>
      <c r="E30" s="137" t="s">
        <v>37</v>
      </c>
      <c r="F30" s="160">
        <v>1253.8899999999999</v>
      </c>
      <c r="G30" s="138">
        <v>0</v>
      </c>
      <c r="H30" s="156"/>
      <c r="I30" s="133">
        <f t="shared" si="0"/>
        <v>0</v>
      </c>
    </row>
    <row r="31" spans="1:9">
      <c r="A31" s="135" t="s">
        <v>38</v>
      </c>
      <c r="B31" s="162">
        <v>429058.27</v>
      </c>
      <c r="C31" s="135">
        <v>1.43E-2</v>
      </c>
      <c r="E31" s="137" t="s">
        <v>38</v>
      </c>
      <c r="F31" s="160">
        <v>260113.45</v>
      </c>
      <c r="G31" s="138">
        <v>8.6999999999999994E-3</v>
      </c>
      <c r="H31" s="135"/>
      <c r="I31" s="133">
        <f t="shared" si="0"/>
        <v>-5.6000000000000008E-3</v>
      </c>
    </row>
    <row r="32" spans="1:9" ht="15" thickBot="1">
      <c r="A32" s="157" t="s">
        <v>6</v>
      </c>
      <c r="B32" s="161">
        <f>SUM(B6:B31)</f>
        <v>30051729.039999992</v>
      </c>
      <c r="C32" s="157">
        <f>SUM(C6:C31)</f>
        <v>0.99999999999999978</v>
      </c>
      <c r="E32" s="143" t="s">
        <v>6</v>
      </c>
      <c r="F32" s="148">
        <f>SUM(F6:F31)</f>
        <v>29919785.670000002</v>
      </c>
      <c r="G32" s="144">
        <f>SUM(G6:G31)</f>
        <v>1</v>
      </c>
      <c r="I32" s="157">
        <f>SUM(I6:I31)</f>
        <v>4.163336342344337E-17</v>
      </c>
    </row>
    <row r="33" spans="5:9" ht="15" thickTop="1">
      <c r="E33" s="137"/>
      <c r="F33" s="137"/>
      <c r="G33" s="158"/>
      <c r="H33" s="136"/>
      <c r="I33" s="151"/>
    </row>
    <row r="34" spans="5:9">
      <c r="E34" s="137"/>
      <c r="F34" s="137"/>
      <c r="G34" s="158"/>
      <c r="H34" s="136"/>
      <c r="I34" s="151"/>
    </row>
    <row r="35" spans="5:9">
      <c r="E35" s="159"/>
      <c r="F35" s="159"/>
      <c r="G35" s="159"/>
      <c r="H35" s="135"/>
      <c r="I35" s="135"/>
    </row>
    <row r="36" spans="5:9">
      <c r="E36" s="159"/>
      <c r="F36" s="159"/>
      <c r="G36" s="156"/>
      <c r="H36" s="135"/>
      <c r="I36" s="135"/>
    </row>
    <row r="37" spans="5:9">
      <c r="E37" s="159"/>
      <c r="F37" s="159"/>
      <c r="G37" s="156"/>
      <c r="H37" s="135"/>
      <c r="I37" s="135"/>
    </row>
    <row r="38" spans="5:9">
      <c r="E38" s="159"/>
      <c r="F38" s="159"/>
      <c r="G38" s="159"/>
      <c r="H38" s="135"/>
      <c r="I38" s="135"/>
    </row>
    <row r="39" spans="5:9">
      <c r="E39" s="135"/>
      <c r="F39" s="135"/>
      <c r="G39" s="135"/>
      <c r="H39" s="135"/>
      <c r="I39" s="135"/>
    </row>
    <row r="40" spans="5:9">
      <c r="E40" s="135"/>
      <c r="F40" s="135"/>
      <c r="G40" s="135"/>
      <c r="H40" s="135"/>
      <c r="I40" s="135"/>
    </row>
  </sheetData>
  <mergeCells count="3">
    <mergeCell ref="A1:I1"/>
    <mergeCell ref="A3:C3"/>
    <mergeCell ref="E3:G3"/>
  </mergeCells>
  <pageMargins left="0.7" right="0.7" top="0.75" bottom="0.75" header="0.3" footer="0.3"/>
  <pageSetup orientation="landscape" r:id="rId1"/>
  <headerFooter>
    <oddHeader>&amp;RKY PSC Case No. 2016-00162,
Attachment G to Staff Post Hearing Supp. DR 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B34"/>
  <sheetViews>
    <sheetView workbookViewId="0"/>
  </sheetViews>
  <sheetFormatPr defaultRowHeight="14.4"/>
  <cols>
    <col min="1" max="1" width="18.5546875" bestFit="1" customWidth="1"/>
    <col min="2" max="2" width="14.109375" bestFit="1" customWidth="1"/>
  </cols>
  <sheetData>
    <row r="1" spans="1:2">
      <c r="A1" s="163" t="s">
        <v>98</v>
      </c>
      <c r="B1" t="s">
        <v>99</v>
      </c>
    </row>
    <row r="3" spans="1:2">
      <c r="A3" s="163" t="s">
        <v>100</v>
      </c>
    </row>
    <row r="4" spans="1:2">
      <c r="A4" s="163" t="s">
        <v>44</v>
      </c>
      <c r="B4" t="s">
        <v>6</v>
      </c>
    </row>
    <row r="5" spans="1:2">
      <c r="A5" t="s">
        <v>8</v>
      </c>
      <c r="B5" s="73">
        <v>251342.44</v>
      </c>
    </row>
    <row r="6" spans="1:2">
      <c r="A6" t="s">
        <v>9</v>
      </c>
      <c r="B6" s="73">
        <v>922366.96</v>
      </c>
    </row>
    <row r="7" spans="1:2">
      <c r="A7" t="s">
        <v>11</v>
      </c>
      <c r="B7" s="73">
        <v>23257.010000000002</v>
      </c>
    </row>
    <row r="8" spans="1:2">
      <c r="A8" t="s">
        <v>12</v>
      </c>
      <c r="B8" s="73">
        <v>22416.399999999998</v>
      </c>
    </row>
    <row r="9" spans="1:2">
      <c r="A9" t="s">
        <v>13</v>
      </c>
      <c r="B9" s="73">
        <v>495193.07999999996</v>
      </c>
    </row>
    <row r="10" spans="1:2">
      <c r="A10" t="s">
        <v>14</v>
      </c>
      <c r="B10" s="73">
        <v>3891454.56</v>
      </c>
    </row>
    <row r="11" spans="1:2">
      <c r="A11" t="s">
        <v>15</v>
      </c>
      <c r="B11" s="73">
        <v>332751.45999999996</v>
      </c>
    </row>
    <row r="12" spans="1:2">
      <c r="A12" t="s">
        <v>16</v>
      </c>
      <c r="B12" s="73">
        <v>1863138.73</v>
      </c>
    </row>
    <row r="13" spans="1:2">
      <c r="A13" t="s">
        <v>17</v>
      </c>
      <c r="B13" s="73">
        <v>1415086.2000000002</v>
      </c>
    </row>
    <row r="14" spans="1:2">
      <c r="A14" t="s">
        <v>18</v>
      </c>
      <c r="B14" s="73">
        <v>17130.300000000003</v>
      </c>
    </row>
    <row r="15" spans="1:2">
      <c r="A15" t="s">
        <v>19</v>
      </c>
      <c r="B15" s="73">
        <v>8183535.5799999991</v>
      </c>
    </row>
    <row r="16" spans="1:2">
      <c r="A16" t="s">
        <v>20</v>
      </c>
      <c r="B16" s="73">
        <v>7442.5100000000011</v>
      </c>
    </row>
    <row r="17" spans="1:2">
      <c r="A17" t="s">
        <v>21</v>
      </c>
      <c r="B17" s="73">
        <v>1522612.57</v>
      </c>
    </row>
    <row r="18" spans="1:2">
      <c r="A18" t="s">
        <v>22</v>
      </c>
      <c r="B18" s="73">
        <v>3968619.09</v>
      </c>
    </row>
    <row r="19" spans="1:2">
      <c r="A19" t="s">
        <v>23</v>
      </c>
      <c r="B19" s="73">
        <v>400452.78</v>
      </c>
    </row>
    <row r="20" spans="1:2">
      <c r="A20" t="s">
        <v>24</v>
      </c>
      <c r="B20" s="73">
        <v>224.07999999999998</v>
      </c>
    </row>
    <row r="21" spans="1:2">
      <c r="A21" t="s">
        <v>27</v>
      </c>
      <c r="B21" s="73">
        <v>78152.55</v>
      </c>
    </row>
    <row r="22" spans="1:2">
      <c r="A22" t="s">
        <v>55</v>
      </c>
      <c r="B22" s="73">
        <v>2.2199999999999998</v>
      </c>
    </row>
    <row r="23" spans="1:2">
      <c r="A23" t="s">
        <v>30</v>
      </c>
      <c r="B23" s="73">
        <v>133213.84999999998</v>
      </c>
    </row>
    <row r="24" spans="1:2">
      <c r="A24" t="s">
        <v>31</v>
      </c>
      <c r="B24" s="73">
        <v>1809.36</v>
      </c>
    </row>
    <row r="25" spans="1:2">
      <c r="A25" t="s">
        <v>32</v>
      </c>
      <c r="B25" s="73">
        <v>2169040.0099999998</v>
      </c>
    </row>
    <row r="26" spans="1:2">
      <c r="A26" t="s">
        <v>33</v>
      </c>
      <c r="B26" s="73">
        <v>685559.94000000006</v>
      </c>
    </row>
    <row r="27" spans="1:2">
      <c r="A27" t="s">
        <v>47</v>
      </c>
      <c r="B27" s="73">
        <v>2195228.17</v>
      </c>
    </row>
    <row r="28" spans="1:2">
      <c r="A28" t="s">
        <v>48</v>
      </c>
      <c r="B28" s="73">
        <v>530714.13</v>
      </c>
    </row>
    <row r="29" spans="1:2">
      <c r="A29" t="s">
        <v>35</v>
      </c>
      <c r="B29" s="73">
        <v>546495.93000000005</v>
      </c>
    </row>
    <row r="30" spans="1:2">
      <c r="A30" t="s">
        <v>36</v>
      </c>
      <c r="B30" s="73">
        <v>1150.28</v>
      </c>
    </row>
    <row r="31" spans="1:2">
      <c r="A31" t="s">
        <v>37</v>
      </c>
      <c r="B31" s="73">
        <v>1253.8899999999999</v>
      </c>
    </row>
    <row r="32" spans="1:2">
      <c r="A32" t="s">
        <v>70</v>
      </c>
      <c r="B32" s="73">
        <v>28.14</v>
      </c>
    </row>
    <row r="33" spans="1:2">
      <c r="A33" t="s">
        <v>38</v>
      </c>
      <c r="B33" s="73">
        <v>260113.45</v>
      </c>
    </row>
    <row r="34" spans="1:2">
      <c r="A34" t="s">
        <v>49</v>
      </c>
      <c r="B34" s="73">
        <v>29919785.670000002</v>
      </c>
    </row>
  </sheetData>
  <pageMargins left="0.7" right="0.7" top="0.75" bottom="0.75" header="0.3" footer="0.3"/>
  <pageSetup orientation="landscape" r:id="rId1"/>
  <headerFooter>
    <oddHeader>&amp;RKY PSC Case No. 2016-00162,
Attachment G to Staff Post Hearing Supp. DR 2</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34998626667073579"/>
    <pageSetUpPr fitToPage="1"/>
  </sheetPr>
  <dimension ref="A1:H131"/>
  <sheetViews>
    <sheetView workbookViewId="0"/>
  </sheetViews>
  <sheetFormatPr defaultRowHeight="14.4"/>
  <cols>
    <col min="1" max="1" width="18.33203125" bestFit="1" customWidth="1"/>
    <col min="2" max="2" width="14.5546875" style="32" customWidth="1"/>
    <col min="3" max="3" width="14.5546875" bestFit="1" customWidth="1"/>
    <col min="5" max="5" width="9.33203125" style="31" bestFit="1" customWidth="1"/>
    <col min="6" max="6" width="14.5546875" style="31" bestFit="1" customWidth="1"/>
    <col min="7" max="7" width="11" style="31" bestFit="1" customWidth="1"/>
    <col min="8" max="8" width="19.6640625" style="31" bestFit="1" customWidth="1"/>
  </cols>
  <sheetData>
    <row r="1" spans="1:8">
      <c r="A1" t="s">
        <v>39</v>
      </c>
      <c r="B1" t="s">
        <v>40</v>
      </c>
    </row>
    <row r="2" spans="1:8">
      <c r="A2" t="s">
        <v>41</v>
      </c>
      <c r="B2" t="s">
        <v>42</v>
      </c>
    </row>
    <row r="3" spans="1:8">
      <c r="B3"/>
    </row>
    <row r="4" spans="1:8">
      <c r="A4" t="s">
        <v>43</v>
      </c>
    </row>
    <row r="5" spans="1:8">
      <c r="A5" t="s">
        <v>44</v>
      </c>
      <c r="B5" t="s">
        <v>6</v>
      </c>
      <c r="E5" s="33" t="s">
        <v>2</v>
      </c>
      <c r="F5" s="34" t="s">
        <v>3</v>
      </c>
      <c r="G5" s="34" t="s">
        <v>4</v>
      </c>
      <c r="H5" s="35" t="s">
        <v>5</v>
      </c>
    </row>
    <row r="6" spans="1:8">
      <c r="A6" t="s">
        <v>8</v>
      </c>
      <c r="B6" s="32">
        <v>4336807.3399999989</v>
      </c>
      <c r="E6" s="36" t="s">
        <v>8</v>
      </c>
      <c r="F6" s="37">
        <v>4336807.3399999989</v>
      </c>
      <c r="G6" s="38">
        <f>F6/$F$37</f>
        <v>1.2756180950882977E-2</v>
      </c>
      <c r="H6" s="12">
        <f>ROUND(G6,4)</f>
        <v>1.2800000000000001E-2</v>
      </c>
    </row>
    <row r="7" spans="1:8">
      <c r="A7" t="s">
        <v>9</v>
      </c>
      <c r="B7" s="32">
        <v>13167096.240000002</v>
      </c>
      <c r="E7" s="36" t="s">
        <v>9</v>
      </c>
      <c r="F7" s="37">
        <v>13167096.240000002</v>
      </c>
      <c r="G7" s="38">
        <f t="shared" ref="G7:G36" si="0">F7/$F$37</f>
        <v>3.8729380640443886E-2</v>
      </c>
      <c r="H7" s="12">
        <f t="shared" ref="H7:H36" si="1">ROUND(G7,4)</f>
        <v>3.8699999999999998E-2</v>
      </c>
    </row>
    <row r="8" spans="1:8">
      <c r="A8" t="s">
        <v>10</v>
      </c>
      <c r="B8" s="32">
        <v>102724.4</v>
      </c>
      <c r="E8" s="36" t="s">
        <v>10</v>
      </c>
      <c r="F8" s="37">
        <v>102724.4</v>
      </c>
      <c r="G8" s="38">
        <f t="shared" si="0"/>
        <v>3.0215108298329056E-4</v>
      </c>
      <c r="H8" s="12">
        <f t="shared" si="1"/>
        <v>2.9999999999999997E-4</v>
      </c>
    </row>
    <row r="9" spans="1:8">
      <c r="A9" t="s">
        <v>11</v>
      </c>
      <c r="B9" s="32">
        <v>193417.28999999998</v>
      </c>
      <c r="E9" s="36" t="s">
        <v>11</v>
      </c>
      <c r="F9" s="37">
        <v>193417.28999999998</v>
      </c>
      <c r="G9" s="38">
        <f t="shared" si="0"/>
        <v>5.689129714186033E-4</v>
      </c>
      <c r="H9" s="12">
        <f t="shared" si="1"/>
        <v>5.9999999999999995E-4</v>
      </c>
    </row>
    <row r="10" spans="1:8">
      <c r="A10" t="s">
        <v>12</v>
      </c>
      <c r="B10" s="32">
        <v>625758.10000000009</v>
      </c>
      <c r="E10" s="36" t="s">
        <v>12</v>
      </c>
      <c r="F10" s="37">
        <v>625758.10000000009</v>
      </c>
      <c r="G10" s="38">
        <f t="shared" si="0"/>
        <v>1.8405898462348408E-3</v>
      </c>
      <c r="H10" s="12">
        <f t="shared" si="1"/>
        <v>1.8E-3</v>
      </c>
    </row>
    <row r="11" spans="1:8">
      <c r="A11" t="s">
        <v>13</v>
      </c>
      <c r="B11" s="32">
        <v>7841569.6700000009</v>
      </c>
      <c r="E11" s="36" t="s">
        <v>13</v>
      </c>
      <c r="F11" s="37">
        <v>7841569.6700000009</v>
      </c>
      <c r="G11" s="38">
        <f t="shared" si="0"/>
        <v>2.3065004692939796E-2</v>
      </c>
      <c r="H11" s="12">
        <f t="shared" si="1"/>
        <v>2.3099999999999999E-2</v>
      </c>
    </row>
    <row r="12" spans="1:8">
      <c r="A12" t="s">
        <v>14</v>
      </c>
      <c r="B12" s="32">
        <v>61060209.890000001</v>
      </c>
      <c r="E12" s="36" t="s">
        <v>14</v>
      </c>
      <c r="F12" s="37">
        <v>61060209.890000001</v>
      </c>
      <c r="G12" s="38">
        <f t="shared" si="0"/>
        <v>0.17960103486075879</v>
      </c>
      <c r="H12" s="12">
        <f t="shared" si="1"/>
        <v>0.17960000000000001</v>
      </c>
    </row>
    <row r="13" spans="1:8">
      <c r="A13" t="s">
        <v>15</v>
      </c>
      <c r="B13" s="32">
        <v>2956758.66</v>
      </c>
      <c r="E13" s="36" t="s">
        <v>15</v>
      </c>
      <c r="F13" s="37">
        <v>2956758.66</v>
      </c>
      <c r="G13" s="38">
        <f t="shared" si="0"/>
        <v>8.6969389087619212E-3</v>
      </c>
      <c r="H13" s="12">
        <f t="shared" si="1"/>
        <v>8.6999999999999994E-3</v>
      </c>
    </row>
    <row r="14" spans="1:8">
      <c r="A14" t="s">
        <v>16</v>
      </c>
      <c r="B14" s="32">
        <v>24997039.109999999</v>
      </c>
      <c r="E14" s="36" t="s">
        <v>16</v>
      </c>
      <c r="F14" s="37">
        <v>24997039.109999999</v>
      </c>
      <c r="G14" s="38">
        <f t="shared" si="0"/>
        <v>7.3525690473365338E-2</v>
      </c>
      <c r="H14" s="12">
        <f t="shared" si="1"/>
        <v>7.3499999999999996E-2</v>
      </c>
    </row>
    <row r="15" spans="1:8">
      <c r="A15" t="s">
        <v>17</v>
      </c>
      <c r="B15" s="32">
        <v>13966126.52</v>
      </c>
      <c r="E15" s="36" t="s">
        <v>17</v>
      </c>
      <c r="F15" s="37">
        <v>13966126.52</v>
      </c>
      <c r="G15" s="38">
        <f t="shared" si="0"/>
        <v>4.1079629115377214E-2</v>
      </c>
      <c r="H15" s="12">
        <f t="shared" si="1"/>
        <v>4.1099999999999998E-2</v>
      </c>
    </row>
    <row r="16" spans="1:8">
      <c r="A16" t="s">
        <v>18</v>
      </c>
      <c r="B16" s="32">
        <v>342023.75</v>
      </c>
      <c r="E16" s="36" t="s">
        <v>18</v>
      </c>
      <c r="F16" s="37">
        <v>342023.75</v>
      </c>
      <c r="G16" s="38">
        <f t="shared" si="0"/>
        <v>1.0060204437164512E-3</v>
      </c>
      <c r="H16" s="12">
        <f t="shared" si="1"/>
        <v>1E-3</v>
      </c>
    </row>
    <row r="17" spans="1:8">
      <c r="A17" t="s">
        <v>19</v>
      </c>
      <c r="B17" s="32">
        <v>78626425.560000002</v>
      </c>
      <c r="E17" s="36" t="s">
        <v>19</v>
      </c>
      <c r="F17" s="37">
        <v>78626425.560000002</v>
      </c>
      <c r="G17" s="38">
        <f t="shared" si="0"/>
        <v>0.23126987973703503</v>
      </c>
      <c r="H17" s="12">
        <f t="shared" si="1"/>
        <v>0.23130000000000001</v>
      </c>
    </row>
    <row r="18" spans="1:8">
      <c r="A18" s="39" t="s">
        <v>45</v>
      </c>
      <c r="B18" s="40">
        <v>262274.59000000003</v>
      </c>
      <c r="C18" s="41" t="s">
        <v>46</v>
      </c>
      <c r="E18" s="36" t="s">
        <v>20</v>
      </c>
      <c r="F18" s="37">
        <v>91981</v>
      </c>
      <c r="G18" s="38">
        <f t="shared" si="0"/>
        <v>2.7055070425221323E-4</v>
      </c>
      <c r="H18" s="12">
        <f t="shared" si="1"/>
        <v>2.9999999999999997E-4</v>
      </c>
    </row>
    <row r="19" spans="1:8">
      <c r="A19" t="s">
        <v>20</v>
      </c>
      <c r="B19" s="32">
        <v>91981</v>
      </c>
      <c r="E19" s="36" t="s">
        <v>21</v>
      </c>
      <c r="F19" s="37">
        <v>8018995.6500000004</v>
      </c>
      <c r="G19" s="38">
        <f t="shared" si="0"/>
        <v>2.3586881209194662E-2</v>
      </c>
      <c r="H19" s="12">
        <f>ROUND(G19,4)+0.0001</f>
        <v>2.3699999999999999E-2</v>
      </c>
    </row>
    <row r="20" spans="1:8">
      <c r="A20" t="s">
        <v>21</v>
      </c>
      <c r="B20" s="32">
        <v>8018995.6500000004</v>
      </c>
      <c r="E20" s="36" t="s">
        <v>22</v>
      </c>
      <c r="F20" s="37">
        <v>83366829.859999999</v>
      </c>
      <c r="G20" s="38">
        <f t="shared" si="0"/>
        <v>0.24521319109269779</v>
      </c>
      <c r="H20" s="12">
        <f t="shared" si="1"/>
        <v>0.2452</v>
      </c>
    </row>
    <row r="21" spans="1:8">
      <c r="A21" t="s">
        <v>22</v>
      </c>
      <c r="B21" s="32">
        <v>73312621.219999999</v>
      </c>
      <c r="C21" s="32">
        <f>B21+B33+B34</f>
        <v>83366829.859999999</v>
      </c>
      <c r="E21" s="36" t="s">
        <v>23</v>
      </c>
      <c r="F21" s="37">
        <v>2444549.4500000002</v>
      </c>
      <c r="G21" s="38">
        <f t="shared" si="0"/>
        <v>7.1903390404198745E-3</v>
      </c>
      <c r="H21" s="12">
        <f t="shared" si="1"/>
        <v>7.1999999999999998E-3</v>
      </c>
    </row>
    <row r="22" spans="1:8">
      <c r="A22" t="s">
        <v>23</v>
      </c>
      <c r="B22" s="32">
        <v>2444549.4500000002</v>
      </c>
      <c r="E22" s="36" t="s">
        <v>24</v>
      </c>
      <c r="F22" s="37">
        <v>8610.09</v>
      </c>
      <c r="G22" s="38">
        <f t="shared" si="0"/>
        <v>2.5325511933713901E-5</v>
      </c>
      <c r="H22" s="12">
        <f t="shared" si="1"/>
        <v>0</v>
      </c>
    </row>
    <row r="23" spans="1:8">
      <c r="A23" t="s">
        <v>24</v>
      </c>
      <c r="B23" s="32">
        <v>8610.09</v>
      </c>
      <c r="E23" s="36" t="s">
        <v>25</v>
      </c>
      <c r="F23" s="37">
        <v>1543721.3299999998</v>
      </c>
      <c r="G23" s="38">
        <f t="shared" si="0"/>
        <v>4.5406648438336521E-3</v>
      </c>
      <c r="H23" s="12">
        <f t="shared" si="1"/>
        <v>4.4999999999999997E-3</v>
      </c>
    </row>
    <row r="24" spans="1:8">
      <c r="A24" t="s">
        <v>25</v>
      </c>
      <c r="B24" s="32">
        <v>1543721.3299999998</v>
      </c>
      <c r="E24" s="36" t="s">
        <v>26</v>
      </c>
      <c r="F24" s="37">
        <v>1774639.06</v>
      </c>
      <c r="G24" s="38">
        <f t="shared" si="0"/>
        <v>5.2198807088038365E-3</v>
      </c>
      <c r="H24" s="12">
        <f t="shared" si="1"/>
        <v>5.1999999999999998E-3</v>
      </c>
    </row>
    <row r="25" spans="1:8">
      <c r="A25" t="s">
        <v>26</v>
      </c>
      <c r="B25" s="32">
        <v>1774639.06</v>
      </c>
      <c r="E25" s="36" t="s">
        <v>27</v>
      </c>
      <c r="F25" s="37">
        <v>260254.3</v>
      </c>
      <c r="G25" s="38">
        <f t="shared" si="0"/>
        <v>7.6550574737898876E-4</v>
      </c>
      <c r="H25" s="12">
        <f t="shared" si="1"/>
        <v>8.0000000000000004E-4</v>
      </c>
    </row>
    <row r="26" spans="1:8">
      <c r="A26" t="s">
        <v>27</v>
      </c>
      <c r="B26" s="32">
        <v>260254.3</v>
      </c>
      <c r="E26" s="36" t="s">
        <v>28</v>
      </c>
      <c r="F26" s="37">
        <v>172731.61000000002</v>
      </c>
      <c r="G26" s="38">
        <f t="shared" si="0"/>
        <v>5.0806860908360026E-4</v>
      </c>
      <c r="H26" s="12">
        <f t="shared" si="1"/>
        <v>5.0000000000000001E-4</v>
      </c>
    </row>
    <row r="27" spans="1:8">
      <c r="A27" t="s">
        <v>28</v>
      </c>
      <c r="B27" s="32">
        <v>172731.61000000002</v>
      </c>
      <c r="E27" s="36" t="s">
        <v>29</v>
      </c>
      <c r="F27" s="37">
        <v>766756.26</v>
      </c>
      <c r="G27" s="38">
        <f t="shared" si="0"/>
        <v>2.2553184476445474E-3</v>
      </c>
      <c r="H27" s="12">
        <f t="shared" si="1"/>
        <v>2.3E-3</v>
      </c>
    </row>
    <row r="28" spans="1:8">
      <c r="A28" t="s">
        <v>29</v>
      </c>
      <c r="B28" s="32">
        <v>766756.26</v>
      </c>
      <c r="E28" s="36" t="s">
        <v>30</v>
      </c>
      <c r="F28" s="37">
        <v>162738.40999999997</v>
      </c>
      <c r="G28" s="38">
        <f t="shared" si="0"/>
        <v>4.7867485061464226E-4</v>
      </c>
      <c r="H28" s="12">
        <f t="shared" si="1"/>
        <v>5.0000000000000001E-4</v>
      </c>
    </row>
    <row r="29" spans="1:8">
      <c r="A29" t="s">
        <v>30</v>
      </c>
      <c r="B29" s="32">
        <v>162738.40999999997</v>
      </c>
      <c r="E29" s="36" t="s">
        <v>31</v>
      </c>
      <c r="F29" s="37">
        <v>145085.02999999997</v>
      </c>
      <c r="G29" s="38">
        <f t="shared" si="0"/>
        <v>4.2674962267156771E-4</v>
      </c>
      <c r="H29" s="12">
        <f t="shared" si="1"/>
        <v>4.0000000000000002E-4</v>
      </c>
    </row>
    <row r="30" spans="1:8">
      <c r="A30" t="s">
        <v>31</v>
      </c>
      <c r="B30" s="32">
        <v>145085.02999999997</v>
      </c>
      <c r="E30" s="36" t="s">
        <v>32</v>
      </c>
      <c r="F30" s="37">
        <v>28947687.260000002</v>
      </c>
      <c r="G30" s="38">
        <f t="shared" si="0"/>
        <v>8.514603205733598E-2</v>
      </c>
      <c r="H30" s="12">
        <f t="shared" si="1"/>
        <v>8.5099999999999995E-2</v>
      </c>
    </row>
    <row r="31" spans="1:8">
      <c r="A31" t="s">
        <v>32</v>
      </c>
      <c r="B31" s="32">
        <v>28947687.260000002</v>
      </c>
      <c r="E31" s="36" t="s">
        <v>33</v>
      </c>
      <c r="F31" s="37">
        <v>3813014.5100000002</v>
      </c>
      <c r="G31" s="38">
        <f t="shared" si="0"/>
        <v>1.1215509300881788E-2</v>
      </c>
      <c r="H31" s="12">
        <f t="shared" si="1"/>
        <v>1.12E-2</v>
      </c>
    </row>
    <row r="32" spans="1:8">
      <c r="A32" t="s">
        <v>33</v>
      </c>
      <c r="B32" s="32">
        <v>3813014.5100000002</v>
      </c>
      <c r="E32" s="36" t="s">
        <v>34</v>
      </c>
      <c r="F32" s="37">
        <v>13936.6</v>
      </c>
      <c r="G32" s="38">
        <f t="shared" si="0"/>
        <v>4.099278051860052E-5</v>
      </c>
      <c r="H32" s="12">
        <f t="shared" si="1"/>
        <v>0</v>
      </c>
    </row>
    <row r="33" spans="1:8">
      <c r="A33" t="s">
        <v>47</v>
      </c>
      <c r="B33" s="32">
        <v>6316036.6099999994</v>
      </c>
      <c r="E33" s="36" t="s">
        <v>35</v>
      </c>
      <c r="F33" s="37">
        <v>13871.21</v>
      </c>
      <c r="G33" s="38">
        <f t="shared" si="0"/>
        <v>4.080044394310066E-5</v>
      </c>
      <c r="H33" s="12">
        <f t="shared" si="1"/>
        <v>0</v>
      </c>
    </row>
    <row r="34" spans="1:8">
      <c r="A34" t="s">
        <v>48</v>
      </c>
      <c r="B34" s="32">
        <v>3738172.03</v>
      </c>
      <c r="E34" s="36" t="s">
        <v>36</v>
      </c>
      <c r="F34" s="37">
        <v>76243.099999999991</v>
      </c>
      <c r="G34" s="38">
        <f t="shared" si="0"/>
        <v>2.2425962317622024E-4</v>
      </c>
      <c r="H34" s="12">
        <f t="shared" si="1"/>
        <v>2.0000000000000001E-4</v>
      </c>
    </row>
    <row r="35" spans="1:8">
      <c r="A35" t="s">
        <v>34</v>
      </c>
      <c r="B35" s="32">
        <v>13936.6</v>
      </c>
      <c r="E35" s="36" t="s">
        <v>37</v>
      </c>
      <c r="F35" s="37">
        <v>40124.959999999992</v>
      </c>
      <c r="G35" s="38">
        <f t="shared" si="0"/>
        <v>1.1802259364533852E-4</v>
      </c>
      <c r="H35" s="12">
        <f t="shared" si="1"/>
        <v>1E-4</v>
      </c>
    </row>
    <row r="36" spans="1:8">
      <c r="A36" t="s">
        <v>35</v>
      </c>
      <c r="B36" s="32">
        <v>13871.21</v>
      </c>
      <c r="E36" s="36" t="s">
        <v>38</v>
      </c>
      <c r="F36" s="37">
        <v>99211.75999999998</v>
      </c>
      <c r="G36" s="38">
        <f t="shared" si="0"/>
        <v>2.9181908805189712E-4</v>
      </c>
      <c r="H36" s="12">
        <f t="shared" si="1"/>
        <v>2.9999999999999997E-4</v>
      </c>
    </row>
    <row r="37" spans="1:8">
      <c r="A37" t="s">
        <v>36</v>
      </c>
      <c r="B37" s="32">
        <v>76243.099999999991</v>
      </c>
      <c r="E37" s="42" t="s">
        <v>6</v>
      </c>
      <c r="F37" s="43">
        <f>SUM(F6:F36)</f>
        <v>339976937.97999996</v>
      </c>
      <c r="G37" s="44">
        <f>SUM(G6:G36)</f>
        <v>0.99999999999999989</v>
      </c>
      <c r="H37" s="45">
        <f>SUM(H6:H36)</f>
        <v>0.99999999999999967</v>
      </c>
    </row>
    <row r="38" spans="1:8">
      <c r="A38" t="s">
        <v>37</v>
      </c>
      <c r="B38" s="32">
        <v>40124.959999999992</v>
      </c>
    </row>
    <row r="39" spans="1:8">
      <c r="A39" t="s">
        <v>38</v>
      </c>
      <c r="B39" s="32">
        <v>99211.75999999998</v>
      </c>
    </row>
    <row r="40" spans="1:8">
      <c r="A40" t="s">
        <v>49</v>
      </c>
      <c r="B40" s="32">
        <v>340239212.56999993</v>
      </c>
      <c r="C40" s="32">
        <f>SUM(B19:B39,B6:B17)</f>
        <v>339976937.98000002</v>
      </c>
    </row>
    <row r="41" spans="1:8">
      <c r="B41"/>
    </row>
    <row r="42" spans="1:8">
      <c r="B42"/>
    </row>
    <row r="43" spans="1:8">
      <c r="B43"/>
    </row>
    <row r="44" spans="1:8">
      <c r="B44"/>
    </row>
    <row r="45" spans="1:8">
      <c r="B45"/>
    </row>
    <row r="46" spans="1:8">
      <c r="B46"/>
    </row>
    <row r="47" spans="1:8">
      <c r="B47"/>
    </row>
    <row r="48" spans="1:8">
      <c r="B48"/>
    </row>
    <row r="49" spans="2:2">
      <c r="B49"/>
    </row>
    <row r="50" spans="2:2">
      <c r="B50"/>
    </row>
    <row r="51" spans="2:2">
      <c r="B51"/>
    </row>
    <row r="52" spans="2:2">
      <c r="B52"/>
    </row>
    <row r="53" spans="2:2">
      <c r="B53"/>
    </row>
    <row r="54" spans="2:2">
      <c r="B54"/>
    </row>
    <row r="55" spans="2:2">
      <c r="B55"/>
    </row>
    <row r="56" spans="2:2">
      <c r="B56"/>
    </row>
    <row r="57" spans="2:2">
      <c r="B57"/>
    </row>
    <row r="58" spans="2:2">
      <c r="B58"/>
    </row>
    <row r="59" spans="2:2">
      <c r="B59"/>
    </row>
    <row r="60" spans="2:2">
      <c r="B60"/>
    </row>
    <row r="61" spans="2:2">
      <c r="B61"/>
    </row>
    <row r="62" spans="2:2">
      <c r="B62"/>
    </row>
    <row r="63" spans="2:2">
      <c r="B63"/>
    </row>
    <row r="64" spans="2:2">
      <c r="B64"/>
    </row>
    <row r="65" spans="2:2">
      <c r="B65"/>
    </row>
    <row r="66" spans="2:2">
      <c r="B66"/>
    </row>
    <row r="67" spans="2:2">
      <c r="B67"/>
    </row>
    <row r="68" spans="2:2">
      <c r="B68"/>
    </row>
    <row r="69" spans="2:2">
      <c r="B69"/>
    </row>
    <row r="70" spans="2:2">
      <c r="B70"/>
    </row>
    <row r="71" spans="2:2">
      <c r="B71"/>
    </row>
    <row r="72" spans="2:2">
      <c r="B72"/>
    </row>
    <row r="73" spans="2:2">
      <c r="B73"/>
    </row>
    <row r="74" spans="2:2">
      <c r="B74"/>
    </row>
    <row r="75" spans="2:2">
      <c r="B75"/>
    </row>
    <row r="76" spans="2:2">
      <c r="B76"/>
    </row>
    <row r="77" spans="2:2">
      <c r="B77"/>
    </row>
    <row r="78" spans="2:2">
      <c r="B78"/>
    </row>
    <row r="79" spans="2:2">
      <c r="B79"/>
    </row>
    <row r="80" spans="2:2">
      <c r="B80"/>
    </row>
    <row r="81" spans="2:2">
      <c r="B81"/>
    </row>
    <row r="82" spans="2:2">
      <c r="B82"/>
    </row>
    <row r="83" spans="2:2">
      <c r="B83"/>
    </row>
    <row r="84" spans="2:2">
      <c r="B84"/>
    </row>
    <row r="85" spans="2:2">
      <c r="B85"/>
    </row>
    <row r="86" spans="2:2">
      <c r="B86"/>
    </row>
    <row r="87" spans="2:2">
      <c r="B87"/>
    </row>
    <row r="88" spans="2:2">
      <c r="B88"/>
    </row>
    <row r="89" spans="2:2">
      <c r="B89"/>
    </row>
    <row r="90" spans="2:2">
      <c r="B90"/>
    </row>
    <row r="91" spans="2:2">
      <c r="B91"/>
    </row>
    <row r="92" spans="2:2">
      <c r="B92"/>
    </row>
    <row r="93" spans="2:2">
      <c r="B93"/>
    </row>
    <row r="94" spans="2:2">
      <c r="B94"/>
    </row>
    <row r="95" spans="2:2">
      <c r="B95"/>
    </row>
    <row r="96" spans="2:2">
      <c r="B96"/>
    </row>
    <row r="97" spans="2:2">
      <c r="B97"/>
    </row>
    <row r="98" spans="2:2">
      <c r="B98"/>
    </row>
    <row r="99" spans="2:2">
      <c r="B99"/>
    </row>
    <row r="100" spans="2:2">
      <c r="B100"/>
    </row>
    <row r="101" spans="2:2">
      <c r="B101"/>
    </row>
    <row r="102" spans="2:2">
      <c r="B102"/>
    </row>
    <row r="103" spans="2:2">
      <c r="B103"/>
    </row>
    <row r="104" spans="2:2">
      <c r="B104"/>
    </row>
    <row r="105" spans="2:2">
      <c r="B105"/>
    </row>
    <row r="106" spans="2:2">
      <c r="B106"/>
    </row>
    <row r="107" spans="2:2">
      <c r="B107"/>
    </row>
    <row r="108" spans="2:2">
      <c r="B108"/>
    </row>
    <row r="109" spans="2:2">
      <c r="B109"/>
    </row>
    <row r="110" spans="2:2">
      <c r="B110"/>
    </row>
    <row r="111" spans="2:2">
      <c r="B111"/>
    </row>
    <row r="112" spans="2:2">
      <c r="B112"/>
    </row>
    <row r="113" spans="2:2">
      <c r="B113"/>
    </row>
    <row r="114" spans="2:2">
      <c r="B114"/>
    </row>
    <row r="115" spans="2:2">
      <c r="B115"/>
    </row>
    <row r="116" spans="2:2">
      <c r="B116"/>
    </row>
    <row r="117" spans="2:2">
      <c r="B117"/>
    </row>
    <row r="118" spans="2:2">
      <c r="B118"/>
    </row>
    <row r="119" spans="2:2">
      <c r="B119"/>
    </row>
    <row r="120" spans="2:2">
      <c r="B120"/>
    </row>
    <row r="121" spans="2:2">
      <c r="B121"/>
    </row>
    <row r="122" spans="2:2">
      <c r="B122"/>
    </row>
    <row r="123" spans="2:2">
      <c r="B123"/>
    </row>
    <row r="124" spans="2:2">
      <c r="B124"/>
    </row>
    <row r="125" spans="2:2">
      <c r="B125"/>
    </row>
    <row r="126" spans="2:2">
      <c r="B126"/>
    </row>
    <row r="127" spans="2:2">
      <c r="B127"/>
    </row>
    <row r="128" spans="2:2">
      <c r="B128"/>
    </row>
    <row r="129" spans="2:2">
      <c r="B129"/>
    </row>
    <row r="130" spans="2:2">
      <c r="B130"/>
    </row>
    <row r="131" spans="2:2">
      <c r="B131"/>
    </row>
  </sheetData>
  <pageMargins left="0.7" right="0.7" top="0.75" bottom="0.75" header="0.3" footer="0.3"/>
  <pageSetup scale="86" orientation="landscape" r:id="rId1"/>
  <headerFooter>
    <oddHeader>&amp;RKY PSC Case No. 2016-00162,
Attachment G to Staff Post Hearing Supp. DR 2</oddHeader>
  </headerFooter>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1"/>
  <sheetViews>
    <sheetView workbookViewId="0">
      <selection sqref="A1:G1"/>
    </sheetView>
  </sheetViews>
  <sheetFormatPr defaultRowHeight="14.4"/>
  <cols>
    <col min="1" max="1" width="11.109375" bestFit="1" customWidth="1"/>
    <col min="2" max="2" width="15.33203125" bestFit="1" customWidth="1"/>
    <col min="3" max="3" width="19.6640625" bestFit="1" customWidth="1"/>
    <col min="4" max="4" width="5" customWidth="1"/>
    <col min="5" max="5" width="11.109375" bestFit="1" customWidth="1"/>
    <col min="6" max="6" width="15.33203125" bestFit="1" customWidth="1"/>
    <col min="7" max="7" width="19.6640625" bestFit="1" customWidth="1"/>
    <col min="8" max="8" width="4.6640625" customWidth="1"/>
    <col min="10" max="10" width="10.44140625" bestFit="1" customWidth="1"/>
    <col min="12" max="12" width="11.33203125" bestFit="1" customWidth="1"/>
    <col min="15" max="15" width="12.5546875" bestFit="1" customWidth="1"/>
    <col min="16" max="16" width="11.33203125" bestFit="1" customWidth="1"/>
  </cols>
  <sheetData>
    <row r="1" spans="1:16" ht="15.6">
      <c r="A1" s="247" t="s">
        <v>50</v>
      </c>
      <c r="B1" s="247"/>
      <c r="C1" s="247"/>
      <c r="D1" s="247"/>
      <c r="E1" s="247"/>
      <c r="F1" s="247"/>
      <c r="G1" s="247"/>
      <c r="H1" s="102"/>
      <c r="I1" s="103"/>
      <c r="J1" s="103"/>
    </row>
    <row r="2" spans="1:16">
      <c r="A2" s="165"/>
      <c r="B2" s="165"/>
      <c r="C2" s="165"/>
      <c r="D2" s="165"/>
      <c r="E2" s="165"/>
      <c r="F2" s="165"/>
      <c r="G2" s="165"/>
      <c r="H2" s="166"/>
      <c r="I2" s="165"/>
      <c r="J2" s="165"/>
    </row>
    <row r="3" spans="1:16">
      <c r="A3" s="243" t="s">
        <v>103</v>
      </c>
      <c r="B3" s="243"/>
      <c r="C3" s="243"/>
      <c r="D3" s="105"/>
      <c r="E3" s="243" t="s">
        <v>104</v>
      </c>
      <c r="F3" s="243"/>
      <c r="G3" s="243"/>
      <c r="H3" s="87"/>
      <c r="I3" s="48"/>
      <c r="J3" s="48"/>
    </row>
    <row r="4" spans="1:16">
      <c r="A4" s="49" t="s">
        <v>2</v>
      </c>
      <c r="B4" s="50" t="s">
        <v>3</v>
      </c>
      <c r="C4" s="167" t="s">
        <v>5</v>
      </c>
      <c r="D4" s="105"/>
      <c r="E4" s="49" t="s">
        <v>2</v>
      </c>
      <c r="F4" s="50" t="s">
        <v>3</v>
      </c>
      <c r="G4" s="106" t="s">
        <v>5</v>
      </c>
      <c r="H4" s="88"/>
      <c r="I4" s="52" t="s">
        <v>2</v>
      </c>
      <c r="J4" s="52" t="s">
        <v>7</v>
      </c>
      <c r="K4" s="88"/>
      <c r="L4" s="88"/>
      <c r="O4" s="104"/>
      <c r="P4" s="104"/>
    </row>
    <row r="5" spans="1:16">
      <c r="A5" s="54" t="s">
        <v>8</v>
      </c>
      <c r="B5" s="89">
        <v>789627.86999999988</v>
      </c>
      <c r="C5" s="56">
        <v>2.2000000000000001E-3</v>
      </c>
      <c r="D5" s="105"/>
      <c r="E5" s="54" t="s">
        <v>8</v>
      </c>
      <c r="F5" s="89">
        <v>422391.62000000128</v>
      </c>
      <c r="G5" s="107">
        <v>1.4E-3</v>
      </c>
      <c r="H5" s="168"/>
      <c r="I5" s="57" t="s">
        <v>8</v>
      </c>
      <c r="J5" s="82">
        <f>G5-C5</f>
        <v>-8.0000000000000015E-4</v>
      </c>
      <c r="K5" s="76"/>
      <c r="L5" s="73"/>
      <c r="O5" s="104"/>
      <c r="P5" s="104"/>
    </row>
    <row r="6" spans="1:16">
      <c r="A6" s="54" t="s">
        <v>9</v>
      </c>
      <c r="B6" s="89">
        <v>11896978.360000001</v>
      </c>
      <c r="C6" s="56">
        <v>3.3599999999999998E-2</v>
      </c>
      <c r="D6" s="105"/>
      <c r="E6" s="54" t="s">
        <v>9</v>
      </c>
      <c r="F6" s="89">
        <v>9724903.1299999971</v>
      </c>
      <c r="G6" s="107">
        <v>3.2800000000000003E-2</v>
      </c>
      <c r="H6" s="168"/>
      <c r="I6" s="57" t="s">
        <v>9</v>
      </c>
      <c r="J6" s="82">
        <f t="shared" ref="J6:J30" si="0">G6-C6</f>
        <v>-7.9999999999999516E-4</v>
      </c>
      <c r="K6" s="76"/>
      <c r="L6" s="73"/>
      <c r="O6" s="104"/>
      <c r="P6" s="104"/>
    </row>
    <row r="7" spans="1:16">
      <c r="A7" s="54" t="s">
        <v>11</v>
      </c>
      <c r="B7" s="89">
        <v>258787.92</v>
      </c>
      <c r="C7" s="56">
        <v>6.9999999999999999E-4</v>
      </c>
      <c r="D7" s="105"/>
      <c r="E7" s="54" t="s">
        <v>11</v>
      </c>
      <c r="F7" s="89">
        <v>199005.77999999977</v>
      </c>
      <c r="G7" s="107">
        <v>6.9999999999999999E-4</v>
      </c>
      <c r="H7" s="168"/>
      <c r="I7" s="57" t="s">
        <v>11</v>
      </c>
      <c r="J7" s="82">
        <f t="shared" si="0"/>
        <v>0</v>
      </c>
      <c r="K7" s="76"/>
      <c r="L7" s="73"/>
      <c r="O7" s="104"/>
      <c r="P7" s="104"/>
    </row>
    <row r="8" spans="1:16">
      <c r="A8" s="54" t="s">
        <v>12</v>
      </c>
      <c r="B8" s="89">
        <v>310170.23</v>
      </c>
      <c r="C8" s="56">
        <v>8.9999999999999998E-4</v>
      </c>
      <c r="D8" s="105"/>
      <c r="E8" s="54" t="s">
        <v>12</v>
      </c>
      <c r="F8" s="89">
        <v>206743.66999999995</v>
      </c>
      <c r="G8" s="107">
        <v>6.9999999999999999E-4</v>
      </c>
      <c r="H8" s="168"/>
      <c r="I8" s="57" t="s">
        <v>12</v>
      </c>
      <c r="J8" s="82">
        <f t="shared" si="0"/>
        <v>-1.9999999999999998E-4</v>
      </c>
      <c r="K8" s="76"/>
      <c r="L8" s="73"/>
      <c r="O8" s="104"/>
      <c r="P8" s="169"/>
    </row>
    <row r="9" spans="1:16">
      <c r="A9" s="54" t="s">
        <v>13</v>
      </c>
      <c r="B9" s="89">
        <v>7887379.1099999994</v>
      </c>
      <c r="C9" s="56">
        <v>2.18E-2</v>
      </c>
      <c r="D9" s="105"/>
      <c r="E9" s="54" t="s">
        <v>13</v>
      </c>
      <c r="F9" s="89">
        <v>6608490.8199999975</v>
      </c>
      <c r="G9" s="107">
        <v>2.23E-2</v>
      </c>
      <c r="H9" s="168"/>
      <c r="I9" s="57" t="s">
        <v>13</v>
      </c>
      <c r="J9" s="82">
        <f t="shared" si="0"/>
        <v>5.0000000000000044E-4</v>
      </c>
      <c r="K9" s="76"/>
      <c r="L9" s="73"/>
      <c r="O9" s="104"/>
      <c r="P9" s="169"/>
    </row>
    <row r="10" spans="1:16">
      <c r="A10" s="54" t="s">
        <v>14</v>
      </c>
      <c r="B10" s="89">
        <v>62207237.82</v>
      </c>
      <c r="C10" s="56">
        <v>0.17100000000000001</v>
      </c>
      <c r="D10" s="105"/>
      <c r="E10" s="54" t="s">
        <v>14</v>
      </c>
      <c r="F10" s="89">
        <v>52423412.789999977</v>
      </c>
      <c r="G10" s="107">
        <v>0.17699999999999999</v>
      </c>
      <c r="H10" s="168"/>
      <c r="I10" s="57" t="s">
        <v>14</v>
      </c>
      <c r="J10" s="82">
        <f t="shared" si="0"/>
        <v>5.9999999999999776E-3</v>
      </c>
      <c r="K10" s="76"/>
      <c r="L10" s="73"/>
      <c r="P10" s="73"/>
    </row>
    <row r="11" spans="1:16">
      <c r="A11" s="54" t="s">
        <v>15</v>
      </c>
      <c r="B11" s="89">
        <v>3242118.0800000005</v>
      </c>
      <c r="C11" s="56">
        <v>8.9999999999999993E-3</v>
      </c>
      <c r="D11" s="105"/>
      <c r="E11" s="54" t="s">
        <v>15</v>
      </c>
      <c r="F11" s="89">
        <v>3038005.0200000019</v>
      </c>
      <c r="G11" s="107">
        <v>1.03E-2</v>
      </c>
      <c r="H11" s="168"/>
      <c r="I11" s="57" t="s">
        <v>15</v>
      </c>
      <c r="J11" s="82">
        <f t="shared" si="0"/>
        <v>1.3000000000000008E-3</v>
      </c>
      <c r="K11" s="76"/>
      <c r="L11" s="73"/>
      <c r="P11" s="73"/>
    </row>
    <row r="12" spans="1:16">
      <c r="A12" s="54" t="s">
        <v>16</v>
      </c>
      <c r="B12" s="89">
        <v>26722144.189999998</v>
      </c>
      <c r="C12" s="56">
        <v>7.3599999999999999E-2</v>
      </c>
      <c r="D12" s="105"/>
      <c r="E12" s="54" t="s">
        <v>16</v>
      </c>
      <c r="F12" s="89">
        <v>22201674.670000009</v>
      </c>
      <c r="G12" s="107">
        <v>7.4999999999999997E-2</v>
      </c>
      <c r="H12" s="168"/>
      <c r="I12" s="57" t="s">
        <v>16</v>
      </c>
      <c r="J12" s="82">
        <f t="shared" si="0"/>
        <v>1.3999999999999985E-3</v>
      </c>
      <c r="K12" s="76"/>
      <c r="L12" s="73"/>
    </row>
    <row r="13" spans="1:16">
      <c r="A13" s="54" t="s">
        <v>17</v>
      </c>
      <c r="B13" s="89">
        <v>14354474.099999998</v>
      </c>
      <c r="C13" s="56">
        <v>3.95E-2</v>
      </c>
      <c r="D13" s="105"/>
      <c r="E13" s="54" t="s">
        <v>17</v>
      </c>
      <c r="F13" s="89">
        <v>12197239.769999996</v>
      </c>
      <c r="G13" s="107">
        <v>4.1200000000000001E-2</v>
      </c>
      <c r="H13" s="168"/>
      <c r="I13" s="57" t="s">
        <v>17</v>
      </c>
      <c r="J13" s="82">
        <f t="shared" si="0"/>
        <v>1.7000000000000001E-3</v>
      </c>
      <c r="K13" s="76"/>
      <c r="L13" s="73"/>
    </row>
    <row r="14" spans="1:16">
      <c r="A14" s="54" t="s">
        <v>18</v>
      </c>
      <c r="B14" s="89">
        <v>353040.72</v>
      </c>
      <c r="C14" s="56">
        <v>1E-3</v>
      </c>
      <c r="D14" s="105"/>
      <c r="E14" s="54" t="s">
        <v>18</v>
      </c>
      <c r="F14" s="89">
        <v>292053.40999999945</v>
      </c>
      <c r="G14" s="107">
        <v>1E-3</v>
      </c>
      <c r="H14" s="168"/>
      <c r="I14" s="57" t="s">
        <v>18</v>
      </c>
      <c r="J14" s="82">
        <f t="shared" si="0"/>
        <v>0</v>
      </c>
      <c r="K14" s="76"/>
      <c r="L14" s="73"/>
    </row>
    <row r="15" spans="1:16">
      <c r="A15" s="54" t="s">
        <v>19</v>
      </c>
      <c r="B15" s="89">
        <v>89163498.75999999</v>
      </c>
      <c r="C15" s="56">
        <v>0.252</v>
      </c>
      <c r="D15" s="105"/>
      <c r="E15" s="54" t="s">
        <v>19</v>
      </c>
      <c r="F15" s="89">
        <v>72907858.180000201</v>
      </c>
      <c r="G15" s="107">
        <v>0.2462</v>
      </c>
      <c r="H15" s="168"/>
      <c r="I15" s="57" t="s">
        <v>19</v>
      </c>
      <c r="J15" s="82">
        <f t="shared" si="0"/>
        <v>-5.7999999999999996E-3</v>
      </c>
      <c r="K15" s="76"/>
      <c r="L15" s="73"/>
    </row>
    <row r="16" spans="1:16">
      <c r="A16" s="54" t="s">
        <v>20</v>
      </c>
      <c r="B16" s="89">
        <v>99754.24000000002</v>
      </c>
      <c r="C16" s="56">
        <v>2.9999999999999997E-4</v>
      </c>
      <c r="D16" s="105"/>
      <c r="E16" s="54" t="s">
        <v>20</v>
      </c>
      <c r="F16" s="89">
        <v>56009.139999999912</v>
      </c>
      <c r="G16" s="107">
        <v>2.0000000000000001E-4</v>
      </c>
      <c r="H16" s="168"/>
      <c r="I16" s="57" t="s">
        <v>20</v>
      </c>
      <c r="J16" s="82">
        <f t="shared" si="0"/>
        <v>-9.9999999999999964E-5</v>
      </c>
      <c r="K16" s="76"/>
      <c r="L16" s="73"/>
    </row>
    <row r="17" spans="1:12">
      <c r="A17" s="59" t="s">
        <v>21</v>
      </c>
      <c r="B17" s="89">
        <v>6508822.8500000006</v>
      </c>
      <c r="C17" s="56">
        <v>1.8499999999999999E-2</v>
      </c>
      <c r="D17" s="105"/>
      <c r="E17" s="59" t="s">
        <v>21</v>
      </c>
      <c r="F17" s="89">
        <v>5107269.2500000009</v>
      </c>
      <c r="G17" s="107">
        <v>1.7000000000000001E-2</v>
      </c>
      <c r="H17" s="168"/>
      <c r="I17" s="57" t="s">
        <v>21</v>
      </c>
      <c r="J17" s="82">
        <f t="shared" si="0"/>
        <v>-1.4999999999999979E-3</v>
      </c>
      <c r="K17" s="76"/>
      <c r="L17" s="73"/>
    </row>
    <row r="18" spans="1:12">
      <c r="A18" s="54" t="s">
        <v>22</v>
      </c>
      <c r="B18" s="89">
        <v>94053269.329999983</v>
      </c>
      <c r="C18" s="56">
        <v>0.26500000000000001</v>
      </c>
      <c r="D18" s="105"/>
      <c r="E18" s="54" t="s">
        <v>22</v>
      </c>
      <c r="F18" s="89">
        <v>78211264.479999959</v>
      </c>
      <c r="G18" s="107">
        <v>0.2641</v>
      </c>
      <c r="H18" s="168"/>
      <c r="I18" s="60" t="s">
        <v>22</v>
      </c>
      <c r="J18" s="82">
        <f t="shared" si="0"/>
        <v>-9.000000000000119E-4</v>
      </c>
      <c r="K18" s="76"/>
      <c r="L18" s="73"/>
    </row>
    <row r="19" spans="1:12">
      <c r="A19" s="54" t="s">
        <v>23</v>
      </c>
      <c r="B19" s="89">
        <v>998884.23</v>
      </c>
      <c r="C19" s="56">
        <v>2.8E-3</v>
      </c>
      <c r="D19" s="105"/>
      <c r="E19" s="54" t="s">
        <v>23</v>
      </c>
      <c r="F19" s="89">
        <v>734398.29999999935</v>
      </c>
      <c r="G19" s="107">
        <v>2.5000000000000001E-3</v>
      </c>
      <c r="H19" s="168"/>
      <c r="I19" s="57" t="s">
        <v>23</v>
      </c>
      <c r="J19" s="82">
        <f t="shared" si="0"/>
        <v>-2.9999999999999992E-4</v>
      </c>
      <c r="K19" s="76"/>
      <c r="L19" s="73"/>
    </row>
    <row r="20" spans="1:12">
      <c r="A20" s="54" t="s">
        <v>24</v>
      </c>
      <c r="B20" s="89">
        <v>14438.880000000001</v>
      </c>
      <c r="C20" s="56">
        <v>0</v>
      </c>
      <c r="D20" s="105"/>
      <c r="E20" s="54" t="s">
        <v>24</v>
      </c>
      <c r="F20" s="89">
        <v>3857.5300000000061</v>
      </c>
      <c r="G20" s="107">
        <v>0</v>
      </c>
      <c r="H20" s="168"/>
      <c r="I20" s="57" t="s">
        <v>24</v>
      </c>
      <c r="J20" s="82">
        <f t="shared" si="0"/>
        <v>0</v>
      </c>
      <c r="K20" s="76"/>
      <c r="L20" s="73"/>
    </row>
    <row r="21" spans="1:12">
      <c r="A21" s="54" t="s">
        <v>27</v>
      </c>
      <c r="B21" s="89">
        <v>147991.03</v>
      </c>
      <c r="C21" s="56">
        <v>4.0000000000000002E-4</v>
      </c>
      <c r="D21" s="105"/>
      <c r="E21" s="54" t="s">
        <v>27</v>
      </c>
      <c r="F21" s="89">
        <v>83714.879999999976</v>
      </c>
      <c r="G21" s="107">
        <v>2.9999999999999997E-4</v>
      </c>
      <c r="H21" s="168"/>
      <c r="I21" s="57" t="s">
        <v>27</v>
      </c>
      <c r="J21" s="82">
        <f t="shared" si="0"/>
        <v>-1.0000000000000005E-4</v>
      </c>
      <c r="K21" s="76"/>
      <c r="L21" s="73"/>
    </row>
    <row r="22" spans="1:12">
      <c r="A22" s="54" t="s">
        <v>55</v>
      </c>
      <c r="B22" s="89">
        <v>1404.01</v>
      </c>
      <c r="C22" s="56">
        <v>0</v>
      </c>
      <c r="D22" s="105"/>
      <c r="E22" s="54" t="s">
        <v>55</v>
      </c>
      <c r="F22" s="89">
        <v>435.1</v>
      </c>
      <c r="G22" s="107">
        <v>0</v>
      </c>
      <c r="H22" s="168"/>
      <c r="I22" s="57" t="s">
        <v>55</v>
      </c>
      <c r="J22" s="82">
        <f t="shared" si="0"/>
        <v>0</v>
      </c>
      <c r="K22" s="76"/>
      <c r="L22" s="73"/>
    </row>
    <row r="23" spans="1:12">
      <c r="A23" s="54" t="s">
        <v>30</v>
      </c>
      <c r="B23" s="89">
        <v>253155.78000000003</v>
      </c>
      <c r="C23" s="56">
        <v>6.9999999999999999E-4</v>
      </c>
      <c r="D23" s="105"/>
      <c r="E23" s="54" t="s">
        <v>30</v>
      </c>
      <c r="F23" s="89">
        <v>144386.02000000008</v>
      </c>
      <c r="G23" s="107">
        <v>5.0000000000000001E-4</v>
      </c>
      <c r="H23" s="168"/>
      <c r="I23" s="57" t="s">
        <v>30</v>
      </c>
      <c r="J23" s="82">
        <f t="shared" si="0"/>
        <v>-1.9999999999999998E-4</v>
      </c>
      <c r="K23" s="76"/>
      <c r="L23" s="73"/>
    </row>
    <row r="24" spans="1:12">
      <c r="A24" s="54" t="s">
        <v>31</v>
      </c>
      <c r="B24" s="89">
        <v>4141.550000000002</v>
      </c>
      <c r="C24" s="56">
        <v>0</v>
      </c>
      <c r="D24" s="105"/>
      <c r="E24" s="54" t="s">
        <v>31</v>
      </c>
      <c r="F24" s="89">
        <v>24825.900000000016</v>
      </c>
      <c r="G24" s="107">
        <v>1E-4</v>
      </c>
      <c r="H24" s="168"/>
      <c r="I24" s="57" t="s">
        <v>31</v>
      </c>
      <c r="J24" s="82">
        <f t="shared" si="0"/>
        <v>1E-4</v>
      </c>
      <c r="K24" s="76"/>
      <c r="L24" s="73"/>
    </row>
    <row r="25" spans="1:12">
      <c r="A25" s="54" t="s">
        <v>32</v>
      </c>
      <c r="B25" s="89">
        <v>30572824.359999999</v>
      </c>
      <c r="C25" s="56">
        <v>8.4500000000000006E-2</v>
      </c>
      <c r="D25" s="105"/>
      <c r="E25" s="54" t="s">
        <v>32</v>
      </c>
      <c r="F25" s="89">
        <v>24604730.34</v>
      </c>
      <c r="G25" s="107">
        <v>8.3099999999999993E-2</v>
      </c>
      <c r="H25" s="168"/>
      <c r="I25" s="57" t="s">
        <v>32</v>
      </c>
      <c r="J25" s="82">
        <f t="shared" si="0"/>
        <v>-1.4000000000000123E-3</v>
      </c>
      <c r="K25" s="76"/>
      <c r="L25" s="73"/>
    </row>
    <row r="26" spans="1:12">
      <c r="A26" s="54" t="s">
        <v>33</v>
      </c>
      <c r="B26" s="89">
        <v>5457500.75</v>
      </c>
      <c r="C26" s="56">
        <v>1.54E-2</v>
      </c>
      <c r="D26" s="105"/>
      <c r="E26" s="54" t="s">
        <v>33</v>
      </c>
      <c r="F26" s="89">
        <v>4639338.0299999947</v>
      </c>
      <c r="G26" s="107">
        <v>1.5699999999999999E-2</v>
      </c>
      <c r="H26" s="168"/>
      <c r="I26" s="57" t="s">
        <v>33</v>
      </c>
      <c r="J26" s="82">
        <f t="shared" si="0"/>
        <v>2.9999999999999818E-4</v>
      </c>
      <c r="K26" s="76"/>
      <c r="L26" s="73"/>
    </row>
    <row r="27" spans="1:12">
      <c r="A27" s="54" t="s">
        <v>35</v>
      </c>
      <c r="B27" s="89">
        <v>749306.9</v>
      </c>
      <c r="C27" s="56">
        <v>2.0999999999999999E-3</v>
      </c>
      <c r="D27" s="105"/>
      <c r="E27" s="54" t="s">
        <v>35</v>
      </c>
      <c r="F27" s="89">
        <v>418281.92</v>
      </c>
      <c r="G27" s="107">
        <v>1.4E-3</v>
      </c>
      <c r="H27" s="168"/>
      <c r="I27" s="57" t="s">
        <v>35</v>
      </c>
      <c r="J27" s="82">
        <f t="shared" si="0"/>
        <v>-6.9999999999999988E-4</v>
      </c>
      <c r="K27" s="76"/>
      <c r="L27" s="73"/>
    </row>
    <row r="28" spans="1:12">
      <c r="A28" s="54" t="s">
        <v>36</v>
      </c>
      <c r="B28" s="89">
        <v>57889.94999999999</v>
      </c>
      <c r="C28" s="56">
        <v>2.0000000000000001E-4</v>
      </c>
      <c r="D28" s="105"/>
      <c r="E28" s="54" t="s">
        <v>36</v>
      </c>
      <c r="F28" s="89">
        <v>37697.239999999991</v>
      </c>
      <c r="G28" s="107">
        <v>1E-4</v>
      </c>
      <c r="H28" s="168"/>
      <c r="I28" s="57" t="s">
        <v>36</v>
      </c>
      <c r="J28" s="82">
        <f t="shared" si="0"/>
        <v>-1E-4</v>
      </c>
      <c r="K28" s="76"/>
      <c r="L28" s="73"/>
    </row>
    <row r="29" spans="1:12">
      <c r="A29" s="54" t="s">
        <v>37</v>
      </c>
      <c r="B29" s="89">
        <v>81154.329999999987</v>
      </c>
      <c r="C29" s="56">
        <v>2.0000000000000001E-4</v>
      </c>
      <c r="D29" s="105"/>
      <c r="E29" s="54" t="s">
        <v>37</v>
      </c>
      <c r="F29" s="89">
        <v>55082.129999999983</v>
      </c>
      <c r="G29" s="107">
        <v>2.0000000000000001E-4</v>
      </c>
      <c r="H29" s="168"/>
      <c r="I29" s="57" t="s">
        <v>37</v>
      </c>
      <c r="J29" s="82">
        <f t="shared" si="0"/>
        <v>0</v>
      </c>
      <c r="K29" s="76"/>
      <c r="L29" s="73"/>
    </row>
    <row r="30" spans="1:12">
      <c r="A30" s="54" t="s">
        <v>38</v>
      </c>
      <c r="B30" s="89">
        <v>1610913.45</v>
      </c>
      <c r="C30" s="56">
        <v>4.5999999999999999E-3</v>
      </c>
      <c r="D30" s="105"/>
      <c r="E30" s="109" t="s">
        <v>38</v>
      </c>
      <c r="F30" s="89">
        <v>1849686.840000004</v>
      </c>
      <c r="G30" s="107">
        <v>6.1999999999999998E-3</v>
      </c>
      <c r="H30" s="168"/>
      <c r="I30" s="57" t="s">
        <v>38</v>
      </c>
      <c r="J30" s="82">
        <f t="shared" si="0"/>
        <v>1.5999999999999999E-3</v>
      </c>
      <c r="K30" s="76"/>
      <c r="L30" s="73"/>
    </row>
    <row r="31" spans="1:12">
      <c r="A31" s="61" t="s">
        <v>49</v>
      </c>
      <c r="B31" s="91">
        <f>SUM(B5:B30)</f>
        <v>357796908.79999983</v>
      </c>
      <c r="C31" s="170">
        <f>SUM(C5:C30)</f>
        <v>0.99999999999999989</v>
      </c>
      <c r="D31" s="105"/>
      <c r="E31" s="110" t="s">
        <v>49</v>
      </c>
      <c r="F31" s="91">
        <f>SUM(F5:F30)</f>
        <v>296192755.96000016</v>
      </c>
      <c r="G31" s="111">
        <f>SUM(G5:G30)</f>
        <v>0.99999999999999978</v>
      </c>
      <c r="H31" s="90"/>
      <c r="I31" s="52" t="s">
        <v>6</v>
      </c>
      <c r="J31" s="171">
        <f>SUM(J5:J30)</f>
        <v>-4.0332320816460765E-17</v>
      </c>
    </row>
  </sheetData>
  <mergeCells count="3">
    <mergeCell ref="A1:G1"/>
    <mergeCell ref="A3:C3"/>
    <mergeCell ref="E3:G3"/>
  </mergeCells>
  <pageMargins left="0.7" right="0.7" top="0.75" bottom="0.75" header="0.3" footer="0.3"/>
  <pageSetup orientation="landscape" r:id="rId1"/>
  <headerFooter>
    <oddHeader>&amp;RKY PSC Case No. 2016-00162,
Attachment G to Staff Post Hearing Supp. DR 2</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workbookViewId="0"/>
  </sheetViews>
  <sheetFormatPr defaultRowHeight="14.4"/>
  <cols>
    <col min="1" max="1" width="11.33203125" bestFit="1" customWidth="1"/>
    <col min="2" max="2" width="19.109375" bestFit="1" customWidth="1"/>
    <col min="5" max="5" width="14.33203125" bestFit="1" customWidth="1"/>
    <col min="7" max="7" width="11.33203125" customWidth="1"/>
    <col min="8" max="8" width="19.109375" customWidth="1"/>
    <col min="9" max="9" width="12.109375" customWidth="1"/>
    <col min="11" max="11" width="10.109375" bestFit="1" customWidth="1"/>
  </cols>
  <sheetData>
    <row r="1" spans="1:11">
      <c r="G1" s="248" t="s">
        <v>105</v>
      </c>
      <c r="H1" s="248"/>
      <c r="I1" s="248"/>
      <c r="J1" s="248"/>
      <c r="K1" s="248"/>
    </row>
    <row r="2" spans="1:11">
      <c r="A2" s="163" t="s">
        <v>106</v>
      </c>
      <c r="B2" t="s">
        <v>107</v>
      </c>
      <c r="G2" s="248"/>
      <c r="H2" s="248"/>
      <c r="I2" s="248"/>
      <c r="J2" s="248"/>
      <c r="K2" s="248"/>
    </row>
    <row r="3" spans="1:11">
      <c r="A3" s="163" t="s">
        <v>39</v>
      </c>
      <c r="B3" t="s">
        <v>40</v>
      </c>
      <c r="G3" s="248"/>
      <c r="H3" s="248"/>
      <c r="I3" s="248"/>
      <c r="J3" s="248"/>
      <c r="K3" s="248"/>
    </row>
    <row r="4" spans="1:11">
      <c r="G4" s="172"/>
      <c r="H4" s="172"/>
      <c r="I4" s="172"/>
      <c r="J4" s="172"/>
      <c r="K4" s="172"/>
    </row>
    <row r="5" spans="1:11">
      <c r="A5" s="163" t="s">
        <v>44</v>
      </c>
      <c r="B5" t="s">
        <v>100</v>
      </c>
      <c r="D5" t="s">
        <v>44</v>
      </c>
      <c r="E5" t="s">
        <v>108</v>
      </c>
      <c r="G5" s="163" t="s">
        <v>44</v>
      </c>
      <c r="H5" t="s">
        <v>100</v>
      </c>
    </row>
    <row r="6" spans="1:11">
      <c r="A6" t="s">
        <v>8</v>
      </c>
      <c r="B6" s="73">
        <v>422391.66000000125</v>
      </c>
      <c r="D6" t="s">
        <v>8</v>
      </c>
      <c r="E6" s="72">
        <v>422391.66000000125</v>
      </c>
      <c r="G6" t="s">
        <v>8</v>
      </c>
      <c r="H6" s="73">
        <v>422391.62000000128</v>
      </c>
      <c r="I6" s="76"/>
      <c r="J6" s="76">
        <f>ROUND(H6/$H$32,4)</f>
        <v>1.4E-3</v>
      </c>
      <c r="K6" s="85"/>
    </row>
    <row r="7" spans="1:11">
      <c r="A7" t="s">
        <v>9</v>
      </c>
      <c r="B7" s="73">
        <v>10357429.079999996</v>
      </c>
      <c r="D7" t="s">
        <v>9</v>
      </c>
      <c r="E7" s="72">
        <v>10357429.079999996</v>
      </c>
      <c r="G7" t="s">
        <v>9</v>
      </c>
      <c r="H7" s="73">
        <v>9724903.1299999971</v>
      </c>
      <c r="I7" s="76"/>
      <c r="J7" s="76">
        <f t="shared" ref="J7:J31" si="0">ROUND(H7/$H$32,4)</f>
        <v>3.2800000000000003E-2</v>
      </c>
      <c r="K7" s="85"/>
    </row>
    <row r="8" spans="1:11">
      <c r="A8" t="s">
        <v>11</v>
      </c>
      <c r="B8" s="73">
        <v>199005.78999999978</v>
      </c>
      <c r="D8" t="s">
        <v>11</v>
      </c>
      <c r="E8" s="72">
        <v>199005.78999999978</v>
      </c>
      <c r="G8" t="s">
        <v>11</v>
      </c>
      <c r="H8" s="73">
        <v>199005.77999999977</v>
      </c>
      <c r="I8" s="76"/>
      <c r="J8" s="76">
        <f t="shared" si="0"/>
        <v>6.9999999999999999E-4</v>
      </c>
      <c r="K8" s="85"/>
    </row>
    <row r="9" spans="1:11">
      <c r="A9" t="s">
        <v>12</v>
      </c>
      <c r="B9" s="73">
        <v>206743.78999999995</v>
      </c>
      <c r="D9" t="s">
        <v>12</v>
      </c>
      <c r="E9" s="72">
        <v>206743.78999999995</v>
      </c>
      <c r="G9" t="s">
        <v>12</v>
      </c>
      <c r="H9" s="73">
        <v>206743.66999999995</v>
      </c>
      <c r="I9" s="76"/>
      <c r="J9" s="76">
        <f t="shared" si="0"/>
        <v>6.9999999999999999E-4</v>
      </c>
      <c r="K9" s="85"/>
    </row>
    <row r="10" spans="1:11">
      <c r="A10" t="s">
        <v>13</v>
      </c>
      <c r="B10" s="73">
        <v>6608493.6299999971</v>
      </c>
      <c r="D10" t="s">
        <v>13</v>
      </c>
      <c r="E10" s="72">
        <v>6608493.6299999971</v>
      </c>
      <c r="G10" t="s">
        <v>13</v>
      </c>
      <c r="H10" s="73">
        <v>6608490.8199999975</v>
      </c>
      <c r="I10" s="76"/>
      <c r="J10" s="76">
        <f t="shared" si="0"/>
        <v>2.23E-2</v>
      </c>
      <c r="K10" s="85"/>
    </row>
    <row r="11" spans="1:11">
      <c r="A11" t="s">
        <v>14</v>
      </c>
      <c r="B11" s="73">
        <v>52423452.919999972</v>
      </c>
      <c r="D11" t="s">
        <v>14</v>
      </c>
      <c r="E11" s="72">
        <v>52423452.919999979</v>
      </c>
      <c r="G11" t="s">
        <v>14</v>
      </c>
      <c r="H11" s="73">
        <v>52423412.789999977</v>
      </c>
      <c r="I11" s="76"/>
      <c r="J11" s="76">
        <f t="shared" si="0"/>
        <v>0.17699999999999999</v>
      </c>
      <c r="K11" s="85"/>
    </row>
    <row r="12" spans="1:11">
      <c r="A12" t="s">
        <v>15</v>
      </c>
      <c r="B12" s="73">
        <v>3038006.1600000015</v>
      </c>
      <c r="D12" t="s">
        <v>15</v>
      </c>
      <c r="E12" s="72">
        <v>3038006.160000002</v>
      </c>
      <c r="G12" t="s">
        <v>15</v>
      </c>
      <c r="H12" s="73">
        <v>3038005.0200000019</v>
      </c>
      <c r="I12" s="76"/>
      <c r="J12" s="76">
        <f t="shared" si="0"/>
        <v>1.03E-2</v>
      </c>
      <c r="K12" s="85"/>
    </row>
    <row r="13" spans="1:11">
      <c r="A13" t="s">
        <v>16</v>
      </c>
      <c r="B13" s="73">
        <v>22201685.99000001</v>
      </c>
      <c r="D13" t="s">
        <v>16</v>
      </c>
      <c r="E13" s="72">
        <v>22201685.99000001</v>
      </c>
      <c r="G13" t="s">
        <v>16</v>
      </c>
      <c r="H13" s="73">
        <v>22201674.670000009</v>
      </c>
      <c r="I13" s="76"/>
      <c r="J13" s="76">
        <f t="shared" si="0"/>
        <v>7.4999999999999997E-2</v>
      </c>
      <c r="K13" s="85"/>
    </row>
    <row r="14" spans="1:11">
      <c r="A14" t="s">
        <v>17</v>
      </c>
      <c r="B14" s="73">
        <v>12197245.009999996</v>
      </c>
      <c r="D14" t="s">
        <v>17</v>
      </c>
      <c r="E14" s="72">
        <v>12197245.009999996</v>
      </c>
      <c r="G14" t="s">
        <v>17</v>
      </c>
      <c r="H14" s="73">
        <v>12197239.769999996</v>
      </c>
      <c r="I14" s="76"/>
      <c r="J14" s="76">
        <f t="shared" si="0"/>
        <v>4.1200000000000001E-2</v>
      </c>
      <c r="K14" s="85"/>
    </row>
    <row r="15" spans="1:11">
      <c r="A15" t="s">
        <v>18</v>
      </c>
      <c r="B15" s="73">
        <v>319610.32999999955</v>
      </c>
      <c r="D15" t="s">
        <v>18</v>
      </c>
      <c r="E15" s="72">
        <v>319610.32999999943</v>
      </c>
      <c r="G15" t="s">
        <v>18</v>
      </c>
      <c r="H15" s="73">
        <v>292053.40999999945</v>
      </c>
      <c r="I15" s="76"/>
      <c r="J15" s="76">
        <f t="shared" si="0"/>
        <v>1E-3</v>
      </c>
      <c r="K15" s="85"/>
    </row>
    <row r="16" spans="1:11">
      <c r="A16" t="s">
        <v>19</v>
      </c>
      <c r="B16" s="73">
        <v>77226325.54000023</v>
      </c>
      <c r="D16" t="s">
        <v>19</v>
      </c>
      <c r="E16" s="72">
        <v>77226325.5400002</v>
      </c>
      <c r="G16" t="s">
        <v>19</v>
      </c>
      <c r="H16" s="73">
        <v>72907858.180000201</v>
      </c>
      <c r="I16" s="76"/>
      <c r="J16" s="76">
        <f t="shared" si="0"/>
        <v>0.2462</v>
      </c>
      <c r="K16" s="85"/>
    </row>
    <row r="17" spans="1:11">
      <c r="A17" t="s">
        <v>20</v>
      </c>
      <c r="B17" s="73">
        <v>56009.169999999925</v>
      </c>
      <c r="D17" t="s">
        <v>20</v>
      </c>
      <c r="E17" s="72">
        <v>56009.169999999911</v>
      </c>
      <c r="G17" t="s">
        <v>20</v>
      </c>
      <c r="H17" s="73">
        <v>56009.139999999912</v>
      </c>
      <c r="I17" s="76"/>
      <c r="J17" s="76">
        <f t="shared" si="0"/>
        <v>2.0000000000000001E-4</v>
      </c>
      <c r="K17" s="85"/>
    </row>
    <row r="18" spans="1:11">
      <c r="A18" t="s">
        <v>21</v>
      </c>
      <c r="B18" s="73">
        <v>5107269.5499999989</v>
      </c>
      <c r="D18" t="s">
        <v>21</v>
      </c>
      <c r="E18" s="72">
        <v>5107269.5500000007</v>
      </c>
      <c r="G18" t="s">
        <v>21</v>
      </c>
      <c r="H18" s="73">
        <v>5107269.2500000009</v>
      </c>
      <c r="I18" s="76"/>
      <c r="J18" s="76">
        <f>ROUND(H18/$H$32,4)-0.0002</f>
        <v>1.7000000000000001E-2</v>
      </c>
      <c r="K18" s="85"/>
    </row>
    <row r="19" spans="1:11">
      <c r="A19" t="s">
        <v>22</v>
      </c>
      <c r="B19" s="73">
        <v>70379858.119999945</v>
      </c>
      <c r="D19" t="s">
        <v>22</v>
      </c>
      <c r="E19" s="72">
        <v>70379858.119999945</v>
      </c>
      <c r="G19" t="s">
        <v>22</v>
      </c>
      <c r="H19" s="73">
        <v>78211264.479999959</v>
      </c>
      <c r="I19" s="76"/>
      <c r="J19" s="76">
        <f t="shared" si="0"/>
        <v>0.2641</v>
      </c>
      <c r="K19" s="85"/>
    </row>
    <row r="20" spans="1:11">
      <c r="A20" t="s">
        <v>23</v>
      </c>
      <c r="B20" s="73">
        <v>734398.34999999939</v>
      </c>
      <c r="D20" t="s">
        <v>23</v>
      </c>
      <c r="E20" s="72">
        <v>734398.34999999939</v>
      </c>
      <c r="G20" t="s">
        <v>23</v>
      </c>
      <c r="H20" s="73">
        <v>734398.29999999935</v>
      </c>
      <c r="I20" s="76"/>
      <c r="J20" s="76">
        <f t="shared" si="0"/>
        <v>2.5000000000000001E-3</v>
      </c>
      <c r="K20" s="85"/>
    </row>
    <row r="21" spans="1:11">
      <c r="A21" t="s">
        <v>24</v>
      </c>
      <c r="B21" s="73">
        <v>3857.5300000000066</v>
      </c>
      <c r="D21" t="s">
        <v>24</v>
      </c>
      <c r="E21" s="72">
        <v>3857.5300000000061</v>
      </c>
      <c r="G21" t="s">
        <v>24</v>
      </c>
      <c r="H21" s="73">
        <v>3857.5300000000061</v>
      </c>
      <c r="I21" s="76"/>
      <c r="J21" s="76">
        <f t="shared" si="0"/>
        <v>0</v>
      </c>
      <c r="K21" s="85"/>
    </row>
    <row r="22" spans="1:11">
      <c r="A22" t="s">
        <v>27</v>
      </c>
      <c r="B22" s="73">
        <v>83714.879999999976</v>
      </c>
      <c r="D22" t="s">
        <v>27</v>
      </c>
      <c r="E22" s="72">
        <v>83714.879999999976</v>
      </c>
      <c r="G22" t="s">
        <v>27</v>
      </c>
      <c r="H22" s="73">
        <v>83714.879999999976</v>
      </c>
      <c r="I22" s="76"/>
      <c r="J22" s="76">
        <f t="shared" si="0"/>
        <v>2.9999999999999997E-4</v>
      </c>
      <c r="K22" s="85"/>
    </row>
    <row r="23" spans="1:11">
      <c r="A23" t="s">
        <v>55</v>
      </c>
      <c r="B23" s="73">
        <v>435.1</v>
      </c>
      <c r="D23" t="s">
        <v>55</v>
      </c>
      <c r="E23" s="72">
        <v>435.1</v>
      </c>
      <c r="G23" t="s">
        <v>55</v>
      </c>
      <c r="H23" s="73">
        <v>435.1</v>
      </c>
      <c r="I23" s="76"/>
      <c r="J23" s="76">
        <f t="shared" si="0"/>
        <v>0</v>
      </c>
      <c r="K23" s="85"/>
    </row>
    <row r="24" spans="1:11">
      <c r="A24" t="s">
        <v>30</v>
      </c>
      <c r="B24" s="73">
        <v>144386.03000000009</v>
      </c>
      <c r="D24" t="s">
        <v>30</v>
      </c>
      <c r="E24" s="72">
        <v>144386.03000000009</v>
      </c>
      <c r="G24" t="s">
        <v>30</v>
      </c>
      <c r="H24" s="73">
        <v>144386.02000000008</v>
      </c>
      <c r="I24" s="76"/>
      <c r="J24" s="76">
        <f t="shared" si="0"/>
        <v>5.0000000000000001E-4</v>
      </c>
      <c r="K24" s="85"/>
    </row>
    <row r="25" spans="1:11">
      <c r="A25" t="s">
        <v>31</v>
      </c>
      <c r="B25" s="73">
        <v>24825.900000000016</v>
      </c>
      <c r="D25" t="s">
        <v>31</v>
      </c>
      <c r="E25" s="72">
        <v>24825.900000000016</v>
      </c>
      <c r="G25" t="s">
        <v>31</v>
      </c>
      <c r="H25" s="73">
        <v>24825.900000000016</v>
      </c>
      <c r="I25" s="76"/>
      <c r="J25" s="76">
        <f t="shared" si="0"/>
        <v>1E-4</v>
      </c>
      <c r="K25" s="85"/>
    </row>
    <row r="26" spans="1:11">
      <c r="A26" t="s">
        <v>32</v>
      </c>
      <c r="B26" s="73">
        <v>24604741.679999996</v>
      </c>
      <c r="D26" t="s">
        <v>32</v>
      </c>
      <c r="E26" s="72">
        <v>24604741.68</v>
      </c>
      <c r="G26" t="s">
        <v>32</v>
      </c>
      <c r="H26" s="73">
        <v>24604730.34</v>
      </c>
      <c r="I26" s="76"/>
      <c r="J26" s="76">
        <f t="shared" si="0"/>
        <v>8.3099999999999993E-2</v>
      </c>
      <c r="K26" s="85"/>
    </row>
    <row r="27" spans="1:11">
      <c r="A27" t="s">
        <v>33</v>
      </c>
      <c r="B27" s="73">
        <v>4871373.4499999955</v>
      </c>
      <c r="D27" t="s">
        <v>33</v>
      </c>
      <c r="E27" s="72">
        <v>4871373.4499999946</v>
      </c>
      <c r="G27" t="s">
        <v>33</v>
      </c>
      <c r="H27" s="73">
        <v>4639338.0299999947</v>
      </c>
      <c r="I27" s="76"/>
      <c r="J27" s="76">
        <f t="shared" si="0"/>
        <v>1.5699999999999999E-2</v>
      </c>
      <c r="K27" s="85"/>
    </row>
    <row r="28" spans="1:11">
      <c r="A28" t="s">
        <v>47</v>
      </c>
      <c r="B28" s="73">
        <v>5867293.4600000065</v>
      </c>
      <c r="D28" t="s">
        <v>22</v>
      </c>
      <c r="E28" s="72">
        <v>5867293.4600000046</v>
      </c>
      <c r="G28" t="s">
        <v>35</v>
      </c>
      <c r="H28" s="73">
        <v>418281.92</v>
      </c>
      <c r="I28" s="76"/>
      <c r="J28" s="76">
        <f t="shared" si="0"/>
        <v>1.4E-3</v>
      </c>
      <c r="K28" s="85"/>
    </row>
    <row r="29" spans="1:11">
      <c r="A29" t="s">
        <v>48</v>
      </c>
      <c r="B29" s="73">
        <v>1983872.1100000022</v>
      </c>
      <c r="D29" t="s">
        <v>22</v>
      </c>
      <c r="E29" s="72">
        <v>1983872.1100000015</v>
      </c>
      <c r="G29" t="s">
        <v>36</v>
      </c>
      <c r="H29" s="73">
        <v>37697.239999999991</v>
      </c>
      <c r="I29" s="76"/>
      <c r="J29" s="76">
        <f t="shared" si="0"/>
        <v>1E-4</v>
      </c>
      <c r="K29" s="85"/>
    </row>
    <row r="30" spans="1:11">
      <c r="A30" t="s">
        <v>35</v>
      </c>
      <c r="B30" s="73">
        <v>429780.91</v>
      </c>
      <c r="D30" t="s">
        <v>35</v>
      </c>
      <c r="E30" s="72">
        <v>429780.91</v>
      </c>
      <c r="G30" t="s">
        <v>37</v>
      </c>
      <c r="H30" s="73">
        <v>55082.129999999983</v>
      </c>
      <c r="I30" s="76"/>
      <c r="J30" s="76">
        <f t="shared" si="0"/>
        <v>2.0000000000000001E-4</v>
      </c>
      <c r="K30" s="85"/>
    </row>
    <row r="31" spans="1:11">
      <c r="A31" t="s">
        <v>36</v>
      </c>
      <c r="B31" s="73">
        <v>37697.239999999976</v>
      </c>
      <c r="D31" t="s">
        <v>36</v>
      </c>
      <c r="E31" s="72">
        <v>37697.239999999991</v>
      </c>
      <c r="G31" t="s">
        <v>38</v>
      </c>
      <c r="H31" s="73">
        <v>1849686.840000004</v>
      </c>
      <c r="I31" s="85"/>
      <c r="J31" s="76">
        <f t="shared" si="0"/>
        <v>6.1999999999999998E-3</v>
      </c>
      <c r="K31" s="85"/>
    </row>
    <row r="32" spans="1:11">
      <c r="A32" t="s">
        <v>37</v>
      </c>
      <c r="B32" s="73">
        <v>55082.12999999999</v>
      </c>
      <c r="D32" t="s">
        <v>37</v>
      </c>
      <c r="E32" s="72">
        <v>55082.129999999983</v>
      </c>
      <c r="G32" t="s">
        <v>49</v>
      </c>
      <c r="H32" s="73">
        <v>296192755.96000016</v>
      </c>
      <c r="J32" s="85">
        <f>SUM(J6:J31)</f>
        <v>0.99999999999999978</v>
      </c>
    </row>
    <row r="33" spans="1:9">
      <c r="A33" t="s">
        <v>38</v>
      </c>
      <c r="B33" s="73">
        <v>2134498.3100000024</v>
      </c>
      <c r="D33" t="s">
        <v>38</v>
      </c>
      <c r="E33" s="72">
        <v>2134498.3100000042</v>
      </c>
    </row>
    <row r="34" spans="1:9">
      <c r="A34" t="s">
        <v>49</v>
      </c>
      <c r="B34" s="73">
        <v>301719483.82000017</v>
      </c>
      <c r="D34" t="s">
        <v>8</v>
      </c>
      <c r="E34" s="72">
        <v>-0.04</v>
      </c>
      <c r="F34" s="73"/>
    </row>
    <row r="35" spans="1:9">
      <c r="D35" t="s">
        <v>9</v>
      </c>
      <c r="E35" s="72">
        <v>-632525.95000000007</v>
      </c>
      <c r="F35" s="73"/>
    </row>
    <row r="36" spans="1:9">
      <c r="D36" t="s">
        <v>11</v>
      </c>
      <c r="E36" s="72">
        <v>-0.01</v>
      </c>
      <c r="F36" s="73"/>
    </row>
    <row r="37" spans="1:9">
      <c r="D37" t="s">
        <v>12</v>
      </c>
      <c r="E37" s="72">
        <v>-0.12</v>
      </c>
      <c r="F37" s="73"/>
    </row>
    <row r="38" spans="1:9">
      <c r="D38" t="s">
        <v>13</v>
      </c>
      <c r="E38" s="72">
        <v>-2.81</v>
      </c>
      <c r="F38" s="73"/>
    </row>
    <row r="39" spans="1:9">
      <c r="D39" t="s">
        <v>14</v>
      </c>
      <c r="E39" s="72">
        <v>-40.129999999999995</v>
      </c>
      <c r="F39" s="73"/>
    </row>
    <row r="40" spans="1:9">
      <c r="D40" t="s">
        <v>15</v>
      </c>
      <c r="E40" s="72">
        <v>-1.1399999999999999</v>
      </c>
      <c r="F40" s="73"/>
    </row>
    <row r="41" spans="1:9">
      <c r="D41" t="s">
        <v>16</v>
      </c>
      <c r="E41" s="72">
        <v>-11.32</v>
      </c>
      <c r="F41" s="73"/>
    </row>
    <row r="42" spans="1:9">
      <c r="D42" t="s">
        <v>17</v>
      </c>
      <c r="E42" s="72">
        <v>-5.24</v>
      </c>
      <c r="F42" s="73"/>
    </row>
    <row r="43" spans="1:9">
      <c r="D43" t="s">
        <v>18</v>
      </c>
      <c r="E43" s="72">
        <v>-27556.92</v>
      </c>
      <c r="F43" s="73"/>
      <c r="I43" s="173"/>
    </row>
    <row r="44" spans="1:9">
      <c r="D44" t="s">
        <v>19</v>
      </c>
      <c r="E44" s="72">
        <v>-4318467.3599999985</v>
      </c>
      <c r="F44" s="73"/>
      <c r="H44" s="173" t="s">
        <v>109</v>
      </c>
      <c r="I44" s="173"/>
    </row>
    <row r="45" spans="1:9">
      <c r="D45" t="s">
        <v>20</v>
      </c>
      <c r="E45" s="72">
        <v>-0.03</v>
      </c>
      <c r="F45" s="73"/>
    </row>
    <row r="46" spans="1:9">
      <c r="D46" t="s">
        <v>21</v>
      </c>
      <c r="E46" s="72">
        <v>-0.3</v>
      </c>
      <c r="F46" s="73"/>
    </row>
    <row r="47" spans="1:9">
      <c r="D47" t="s">
        <v>22</v>
      </c>
      <c r="E47" s="72">
        <v>-19758.64</v>
      </c>
      <c r="F47" s="73"/>
    </row>
    <row r="48" spans="1:9">
      <c r="D48" t="s">
        <v>23</v>
      </c>
      <c r="E48" s="72">
        <v>-0.05</v>
      </c>
      <c r="F48" s="73"/>
    </row>
    <row r="49" spans="4:6">
      <c r="D49" t="s">
        <v>30</v>
      </c>
      <c r="E49" s="72">
        <v>-0.01</v>
      </c>
      <c r="F49" s="73"/>
    </row>
    <row r="50" spans="4:6">
      <c r="D50" t="s">
        <v>32</v>
      </c>
      <c r="E50" s="72">
        <v>-11.34</v>
      </c>
      <c r="F50" s="73"/>
    </row>
    <row r="51" spans="4:6">
      <c r="D51" t="s">
        <v>33</v>
      </c>
      <c r="E51" s="72">
        <v>-232035.41999999998</v>
      </c>
      <c r="F51" s="73"/>
    </row>
    <row r="52" spans="4:6">
      <c r="D52" t="s">
        <v>22</v>
      </c>
      <c r="E52" s="72">
        <v>-0.38</v>
      </c>
      <c r="F52" s="73"/>
    </row>
    <row r="53" spans="4:6">
      <c r="D53" t="s">
        <v>22</v>
      </c>
      <c r="E53" s="72">
        <v>-0.19</v>
      </c>
      <c r="F53" s="73"/>
    </row>
    <row r="54" spans="4:6">
      <c r="D54" t="s">
        <v>35</v>
      </c>
      <c r="E54" s="72">
        <v>-11498.99</v>
      </c>
      <c r="F54" s="73"/>
    </row>
    <row r="55" spans="4:6">
      <c r="D55" t="s">
        <v>38</v>
      </c>
      <c r="E55" s="72">
        <v>-284811.4700000002</v>
      </c>
      <c r="F55" s="73"/>
    </row>
  </sheetData>
  <mergeCells count="1">
    <mergeCell ref="G1:K3"/>
  </mergeCells>
  <pageMargins left="0.7" right="0.7" top="0.75" bottom="0.75" header="0.3" footer="0.3"/>
  <pageSetup scale="63" orientation="landscape" r:id="rId1"/>
  <headerFooter>
    <oddHeader>&amp;RKY PSC Case No. 2016-00162,
Attachment G to Staff Post Hearing Supp. DR 2</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3"/>
  <sheetViews>
    <sheetView workbookViewId="0">
      <selection sqref="A1:I1"/>
    </sheetView>
  </sheetViews>
  <sheetFormatPr defaultRowHeight="14.4"/>
  <cols>
    <col min="1" max="1" width="8.88671875" style="77"/>
    <col min="2" max="2" width="15.109375" style="77" bestFit="1" customWidth="1"/>
    <col min="3" max="3" width="11.44140625" style="77" bestFit="1" customWidth="1"/>
    <col min="4" max="5" width="8.88671875" style="77"/>
    <col min="6" max="6" width="15.109375" style="77" bestFit="1" customWidth="1"/>
    <col min="7" max="7" width="11.44140625" style="77" bestFit="1" customWidth="1"/>
    <col min="8" max="8" width="8.88671875" style="77"/>
    <col min="9" max="9" width="10.33203125" style="77" bestFit="1" customWidth="1"/>
    <col min="10" max="10" width="22.6640625" style="77" customWidth="1"/>
    <col min="11" max="11" width="0" style="77" hidden="1" customWidth="1"/>
    <col min="12" max="12" width="11.44140625" style="77" hidden="1" customWidth="1"/>
    <col min="13" max="14" width="0" style="77" hidden="1" customWidth="1"/>
    <col min="15" max="15" width="11.44140625" style="77" hidden="1" customWidth="1"/>
    <col min="16" max="16" width="0" style="77" hidden="1" customWidth="1"/>
    <col min="17" max="17" width="10.33203125" style="77" hidden="1" customWidth="1"/>
    <col min="18" max="16384" width="8.88671875" style="77"/>
  </cols>
  <sheetData>
    <row r="1" spans="1:17" ht="19.2">
      <c r="A1" s="249" t="s">
        <v>97</v>
      </c>
      <c r="B1" s="249"/>
      <c r="C1" s="249"/>
      <c r="D1" s="249"/>
      <c r="E1" s="249"/>
      <c r="F1" s="249"/>
      <c r="G1" s="249"/>
      <c r="H1" s="249"/>
      <c r="I1" s="249"/>
      <c r="K1" s="249" t="s">
        <v>97</v>
      </c>
      <c r="L1" s="249"/>
      <c r="M1" s="249"/>
      <c r="N1" s="249"/>
      <c r="O1" s="249"/>
      <c r="P1" s="249"/>
      <c r="Q1" s="249"/>
    </row>
    <row r="3" spans="1:17">
      <c r="A3" s="250" t="s">
        <v>95</v>
      </c>
      <c r="B3" s="250"/>
      <c r="C3" s="250"/>
      <c r="D3" s="152"/>
      <c r="E3" s="250" t="s">
        <v>96</v>
      </c>
      <c r="F3" s="250"/>
      <c r="G3" s="250"/>
      <c r="K3" s="250" t="s">
        <v>95</v>
      </c>
      <c r="L3" s="250"/>
      <c r="M3" s="152"/>
      <c r="N3" s="250" t="s">
        <v>96</v>
      </c>
      <c r="O3" s="250"/>
    </row>
    <row r="4" spans="1:17">
      <c r="A4" s="153"/>
      <c r="B4" s="153"/>
      <c r="C4" s="153"/>
      <c r="E4" s="153"/>
      <c r="F4" s="153"/>
      <c r="G4" s="153" t="s">
        <v>110</v>
      </c>
      <c r="K4" s="153"/>
      <c r="L4" s="153"/>
      <c r="N4" s="153"/>
      <c r="O4" s="153" t="s">
        <v>111</v>
      </c>
    </row>
    <row r="5" spans="1:17">
      <c r="A5" s="152" t="s">
        <v>44</v>
      </c>
      <c r="B5" s="152" t="s">
        <v>63</v>
      </c>
      <c r="C5" s="154" t="s">
        <v>4</v>
      </c>
      <c r="D5" s="155"/>
      <c r="E5" s="152" t="s">
        <v>44</v>
      </c>
      <c r="F5" s="152" t="s">
        <v>63</v>
      </c>
      <c r="G5" s="154" t="s">
        <v>4</v>
      </c>
      <c r="H5" s="135"/>
      <c r="I5" s="154" t="s">
        <v>7</v>
      </c>
      <c r="K5" s="152" t="s">
        <v>44</v>
      </c>
      <c r="L5" s="154" t="s">
        <v>4</v>
      </c>
      <c r="M5" s="155"/>
      <c r="N5" s="152" t="s">
        <v>44</v>
      </c>
      <c r="O5" s="154" t="s">
        <v>4</v>
      </c>
      <c r="P5" s="135"/>
      <c r="Q5" s="154" t="s">
        <v>7</v>
      </c>
    </row>
    <row r="6" spans="1:17">
      <c r="A6" s="135" t="s">
        <v>8</v>
      </c>
      <c r="B6" s="160">
        <f>VLOOKUP(A6,'TI - Differences 2nd 2013'!$E$6:$F$31,2,FALSE)</f>
        <v>149007.84000000003</v>
      </c>
      <c r="C6" s="135">
        <v>8.0000000000000004E-4</v>
      </c>
      <c r="D6" s="135"/>
      <c r="E6" s="137" t="s">
        <v>8</v>
      </c>
      <c r="F6" s="160">
        <v>80558.87999999999</v>
      </c>
      <c r="G6" s="138">
        <v>5.9999999999999995E-4</v>
      </c>
      <c r="H6" s="156"/>
      <c r="I6" s="133">
        <f t="shared" ref="I6:I31" si="0">G6-C6</f>
        <v>-2.0000000000000009E-4</v>
      </c>
      <c r="K6" s="135" t="s">
        <v>8</v>
      </c>
      <c r="L6" s="135">
        <v>8.0000000000000004E-4</v>
      </c>
      <c r="M6" s="135"/>
      <c r="N6" s="137" t="s">
        <v>8</v>
      </c>
      <c r="O6" s="138">
        <v>6.9999999999999999E-4</v>
      </c>
      <c r="P6" s="156"/>
      <c r="Q6" s="133">
        <f>O6-L6</f>
        <v>-1.0000000000000005E-4</v>
      </c>
    </row>
    <row r="7" spans="1:17">
      <c r="A7" s="135" t="s">
        <v>9</v>
      </c>
      <c r="B7" s="160">
        <f>VLOOKUP(A7,'TI - Differences 2nd 2013'!$E$6:$F$31,2,FALSE)</f>
        <v>5328047.4799999977</v>
      </c>
      <c r="C7" s="135">
        <v>3.0200000000000001E-2</v>
      </c>
      <c r="D7" s="135"/>
      <c r="E7" s="137" t="s">
        <v>9</v>
      </c>
      <c r="F7" s="160">
        <v>3856123.32</v>
      </c>
      <c r="G7" s="138">
        <v>2.81E-2</v>
      </c>
      <c r="H7" s="156"/>
      <c r="I7" s="133">
        <f t="shared" si="0"/>
        <v>-2.1000000000000012E-3</v>
      </c>
      <c r="K7" s="135" t="s">
        <v>9</v>
      </c>
      <c r="L7" s="135">
        <v>3.0200000000000001E-2</v>
      </c>
      <c r="M7" s="135"/>
      <c r="N7" s="137" t="s">
        <v>9</v>
      </c>
      <c r="O7" s="138">
        <v>2.8799999999999999E-2</v>
      </c>
      <c r="P7" s="156"/>
      <c r="Q7" s="133">
        <f t="shared" ref="Q7:Q31" si="1">O7-L7</f>
        <v>-1.4000000000000019E-3</v>
      </c>
    </row>
    <row r="8" spans="1:17">
      <c r="A8" s="134" t="s">
        <v>11</v>
      </c>
      <c r="B8" s="160">
        <f>VLOOKUP(A8,'TI - Differences 2nd 2013'!$E$6:$F$31,2,FALSE)</f>
        <v>112692.02999999997</v>
      </c>
      <c r="C8" s="134">
        <v>5.9999999999999995E-4</v>
      </c>
      <c r="D8" s="135"/>
      <c r="E8" s="137" t="s">
        <v>11</v>
      </c>
      <c r="F8" s="160">
        <v>68765.69</v>
      </c>
      <c r="G8" s="138">
        <v>5.0000000000000001E-4</v>
      </c>
      <c r="H8" s="156"/>
      <c r="I8" s="133">
        <f t="shared" si="0"/>
        <v>-9.9999999999999937E-5</v>
      </c>
      <c r="K8" s="134" t="s">
        <v>11</v>
      </c>
      <c r="L8" s="134">
        <v>5.9999999999999995E-4</v>
      </c>
      <c r="M8" s="135"/>
      <c r="N8" s="137" t="s">
        <v>11</v>
      </c>
      <c r="O8" s="138">
        <v>5.0000000000000001E-4</v>
      </c>
      <c r="P8" s="156"/>
      <c r="Q8" s="133">
        <f t="shared" si="1"/>
        <v>-9.9999999999999937E-5</v>
      </c>
    </row>
    <row r="9" spans="1:17">
      <c r="A9" s="134" t="s">
        <v>12</v>
      </c>
      <c r="B9" s="160">
        <f>VLOOKUP(A9,'TI - Differences 2nd 2013'!$E$6:$F$31,2,FALSE)</f>
        <v>138908.40000000008</v>
      </c>
      <c r="C9" s="134">
        <v>8.0000000000000004E-4</v>
      </c>
      <c r="D9" s="135"/>
      <c r="E9" s="137" t="s">
        <v>12</v>
      </c>
      <c r="F9" s="160">
        <v>73536.360000000088</v>
      </c>
      <c r="G9" s="138">
        <v>5.0000000000000001E-4</v>
      </c>
      <c r="H9" s="136"/>
      <c r="I9" s="133">
        <f t="shared" si="0"/>
        <v>-3.0000000000000003E-4</v>
      </c>
      <c r="K9" s="134" t="s">
        <v>12</v>
      </c>
      <c r="L9" s="134">
        <v>8.0000000000000004E-4</v>
      </c>
      <c r="M9" s="135"/>
      <c r="N9" s="137" t="s">
        <v>12</v>
      </c>
      <c r="O9" s="138">
        <v>0</v>
      </c>
      <c r="P9" s="136"/>
      <c r="Q9" s="133">
        <f t="shared" si="1"/>
        <v>-8.0000000000000004E-4</v>
      </c>
    </row>
    <row r="10" spans="1:17">
      <c r="A10" s="134" t="s">
        <v>13</v>
      </c>
      <c r="B10" s="160">
        <f>VLOOKUP(A10,'TI - Differences 2nd 2013'!$E$6:$F$31,2,FALSE)</f>
        <v>4127433.7199999997</v>
      </c>
      <c r="C10" s="134">
        <v>2.3400000000000001E-2</v>
      </c>
      <c r="D10" s="135"/>
      <c r="E10" s="137" t="s">
        <v>13</v>
      </c>
      <c r="F10" s="160">
        <v>3114899.2699999968</v>
      </c>
      <c r="G10" s="138">
        <v>2.2700000000000001E-2</v>
      </c>
      <c r="H10" s="136"/>
      <c r="I10" s="133">
        <f t="shared" si="0"/>
        <v>-6.9999999999999923E-4</v>
      </c>
      <c r="K10" s="134" t="s">
        <v>13</v>
      </c>
      <c r="L10" s="134">
        <v>2.3400000000000001E-2</v>
      </c>
      <c r="M10" s="135"/>
      <c r="N10" s="137" t="s">
        <v>13</v>
      </c>
      <c r="O10" s="138">
        <v>2.29E-2</v>
      </c>
      <c r="P10" s="136"/>
      <c r="Q10" s="133">
        <f t="shared" si="1"/>
        <v>-5.0000000000000044E-4</v>
      </c>
    </row>
    <row r="11" spans="1:17">
      <c r="A11" s="134" t="s">
        <v>14</v>
      </c>
      <c r="B11" s="160">
        <f>VLOOKUP(A11,'TI - Differences 2nd 2013'!$E$6:$F$31,2,FALSE)</f>
        <v>34858605.31000001</v>
      </c>
      <c r="C11" s="134">
        <v>0.19739999999999999</v>
      </c>
      <c r="D11" s="135"/>
      <c r="E11" s="137" t="s">
        <v>14</v>
      </c>
      <c r="F11" s="160">
        <v>27562307.150000006</v>
      </c>
      <c r="G11" s="138">
        <v>0.2009</v>
      </c>
      <c r="H11" s="136"/>
      <c r="I11" s="133">
        <f t="shared" si="0"/>
        <v>3.5000000000000031E-3</v>
      </c>
      <c r="K11" s="134" t="s">
        <v>14</v>
      </c>
      <c r="L11" s="134">
        <v>0.19739999999999999</v>
      </c>
      <c r="M11" s="135"/>
      <c r="N11" s="137" t="s">
        <v>14</v>
      </c>
      <c r="O11" s="138">
        <v>0.1996</v>
      </c>
      <c r="P11" s="136"/>
      <c r="Q11" s="133">
        <f t="shared" si="1"/>
        <v>2.2000000000000075E-3</v>
      </c>
    </row>
    <row r="12" spans="1:17">
      <c r="A12" s="134" t="s">
        <v>15</v>
      </c>
      <c r="B12" s="160">
        <f>VLOOKUP(A12,'TI - Differences 2nd 2013'!$E$6:$F$31,2,FALSE)</f>
        <v>1403259.9399999997</v>
      </c>
      <c r="C12" s="134">
        <v>7.9000000000000008E-3</v>
      </c>
      <c r="D12" s="135"/>
      <c r="E12" s="137" t="s">
        <v>15</v>
      </c>
      <c r="F12" s="160">
        <v>1111557.9399999997</v>
      </c>
      <c r="G12" s="138">
        <v>8.0999999999999996E-3</v>
      </c>
      <c r="H12" s="136"/>
      <c r="I12" s="133">
        <f t="shared" si="0"/>
        <v>1.9999999999999879E-4</v>
      </c>
      <c r="K12" s="134" t="s">
        <v>15</v>
      </c>
      <c r="L12" s="134">
        <v>7.9000000000000008E-3</v>
      </c>
      <c r="M12" s="135"/>
      <c r="N12" s="137" t="s">
        <v>15</v>
      </c>
      <c r="O12" s="138">
        <v>8.0999999999999996E-3</v>
      </c>
      <c r="P12" s="136"/>
      <c r="Q12" s="133">
        <f t="shared" si="1"/>
        <v>1.9999999999999879E-4</v>
      </c>
    </row>
    <row r="13" spans="1:17">
      <c r="A13" s="134" t="s">
        <v>16</v>
      </c>
      <c r="B13" s="160">
        <f>VLOOKUP(A13,'TI - Differences 2nd 2013'!$E$6:$F$31,2,FALSE)</f>
        <v>13922988.000000007</v>
      </c>
      <c r="C13" s="134">
        <v>7.8899999999999998E-2</v>
      </c>
      <c r="D13" s="135"/>
      <c r="E13" s="137" t="s">
        <v>16</v>
      </c>
      <c r="F13" s="160">
        <v>11028607.370000022</v>
      </c>
      <c r="G13" s="138">
        <v>8.0399999999999999E-2</v>
      </c>
      <c r="H13" s="136"/>
      <c r="I13" s="133">
        <f t="shared" si="0"/>
        <v>1.5000000000000013E-3</v>
      </c>
      <c r="K13" s="134" t="s">
        <v>16</v>
      </c>
      <c r="L13" s="134">
        <v>7.8899999999999998E-2</v>
      </c>
      <c r="M13" s="135"/>
      <c r="N13" s="137" t="s">
        <v>16</v>
      </c>
      <c r="O13" s="138">
        <v>7.9799999999999996E-2</v>
      </c>
      <c r="P13" s="136"/>
      <c r="Q13" s="133">
        <f t="shared" si="1"/>
        <v>8.9999999999999802E-4</v>
      </c>
    </row>
    <row r="14" spans="1:17">
      <c r="A14" s="134" t="s">
        <v>17</v>
      </c>
      <c r="B14" s="160">
        <f>VLOOKUP(A14,'TI - Differences 2nd 2013'!$E$6:$F$31,2,FALSE)</f>
        <v>7258334.6099999994</v>
      </c>
      <c r="C14" s="134">
        <v>4.1099999999999998E-2</v>
      </c>
      <c r="D14" s="135"/>
      <c r="E14" s="137" t="s">
        <v>17</v>
      </c>
      <c r="F14" s="160">
        <v>5760092.0000000037</v>
      </c>
      <c r="G14" s="138">
        <v>4.2000000000000003E-2</v>
      </c>
      <c r="H14" s="136"/>
      <c r="I14" s="133">
        <f t="shared" si="0"/>
        <v>9.0000000000000496E-4</v>
      </c>
      <c r="K14" s="134" t="s">
        <v>17</v>
      </c>
      <c r="L14" s="134">
        <v>4.1099999999999998E-2</v>
      </c>
      <c r="M14" s="135"/>
      <c r="N14" s="137" t="s">
        <v>17</v>
      </c>
      <c r="O14" s="138">
        <v>4.1700000000000001E-2</v>
      </c>
      <c r="P14" s="136"/>
      <c r="Q14" s="133">
        <f t="shared" si="1"/>
        <v>6.0000000000000331E-4</v>
      </c>
    </row>
    <row r="15" spans="1:17">
      <c r="A15" s="134" t="s">
        <v>18</v>
      </c>
      <c r="B15" s="160">
        <f>VLOOKUP(A15,'TI - Differences 2nd 2013'!$E$6:$F$31,2,FALSE)</f>
        <v>185301.14999999994</v>
      </c>
      <c r="C15" s="134">
        <v>1E-3</v>
      </c>
      <c r="D15" s="135"/>
      <c r="E15" s="137" t="s">
        <v>18</v>
      </c>
      <c r="F15" s="160">
        <v>164497.77999999982</v>
      </c>
      <c r="G15" s="138">
        <v>1.1999999999999999E-3</v>
      </c>
      <c r="H15" s="136"/>
      <c r="I15" s="133">
        <f t="shared" si="0"/>
        <v>1.9999999999999987E-4</v>
      </c>
      <c r="K15" s="134" t="s">
        <v>18</v>
      </c>
      <c r="L15" s="134">
        <v>1E-3</v>
      </c>
      <c r="M15" s="135"/>
      <c r="N15" s="137" t="s">
        <v>18</v>
      </c>
      <c r="O15" s="138">
        <v>1.1000000000000001E-3</v>
      </c>
      <c r="P15" s="136"/>
      <c r="Q15" s="133">
        <f t="shared" si="1"/>
        <v>1.0000000000000005E-4</v>
      </c>
    </row>
    <row r="16" spans="1:17">
      <c r="A16" s="134" t="s">
        <v>19</v>
      </c>
      <c r="B16" s="160">
        <f>VLOOKUP(A16,'TI - Differences 2nd 2013'!$E$6:$F$31,2,FALSE)</f>
        <v>46519736.479999997</v>
      </c>
      <c r="C16" s="134">
        <v>0.26350000000000001</v>
      </c>
      <c r="D16" s="135"/>
      <c r="E16" s="137" t="s">
        <v>19</v>
      </c>
      <c r="F16" s="160">
        <v>34201850.969999939</v>
      </c>
      <c r="G16" s="138">
        <v>0.24929999999999999</v>
      </c>
      <c r="H16" s="136"/>
      <c r="I16" s="133">
        <f t="shared" si="0"/>
        <v>-1.4200000000000018E-2</v>
      </c>
      <c r="K16" s="134" t="s">
        <v>19</v>
      </c>
      <c r="L16" s="134">
        <v>0.26350000000000001</v>
      </c>
      <c r="M16" s="135"/>
      <c r="N16" s="137" t="s">
        <v>19</v>
      </c>
      <c r="O16" s="138">
        <v>0.25440000000000002</v>
      </c>
      <c r="P16" s="136"/>
      <c r="Q16" s="133">
        <f t="shared" si="1"/>
        <v>-9.099999999999997E-3</v>
      </c>
    </row>
    <row r="17" spans="1:17">
      <c r="A17" s="134" t="s">
        <v>20</v>
      </c>
      <c r="B17" s="160">
        <f>VLOOKUP(A17,'TI - Differences 2nd 2013'!$E$6:$F$31,2,FALSE)</f>
        <v>28313.019999999982</v>
      </c>
      <c r="C17" s="134">
        <v>2.0000000000000001E-4</v>
      </c>
      <c r="D17" s="135"/>
      <c r="E17" s="137" t="s">
        <v>20</v>
      </c>
      <c r="F17" s="160">
        <v>17090.469999999965</v>
      </c>
      <c r="G17" s="138">
        <v>1E-4</v>
      </c>
      <c r="H17" s="136"/>
      <c r="I17" s="133">
        <f t="shared" si="0"/>
        <v>-1E-4</v>
      </c>
      <c r="K17" s="134" t="s">
        <v>20</v>
      </c>
      <c r="L17" s="134">
        <v>2.0000000000000001E-4</v>
      </c>
      <c r="M17" s="135"/>
      <c r="N17" s="137" t="s">
        <v>20</v>
      </c>
      <c r="O17" s="138">
        <v>1E-4</v>
      </c>
      <c r="P17" s="136"/>
      <c r="Q17" s="133">
        <f t="shared" si="1"/>
        <v>-1E-4</v>
      </c>
    </row>
    <row r="18" spans="1:17">
      <c r="A18" s="134" t="s">
        <v>21</v>
      </c>
      <c r="B18" s="160">
        <f>VLOOKUP(A18,'TI - Differences 2nd 2013'!$E$6:$F$31,2,FALSE)</f>
        <v>658792.17000000004</v>
      </c>
      <c r="C18" s="134">
        <v>3.8E-3</v>
      </c>
      <c r="D18" s="135"/>
      <c r="E18" s="137" t="s">
        <v>21</v>
      </c>
      <c r="F18" s="160">
        <v>513478.56000000023</v>
      </c>
      <c r="G18" s="138">
        <v>3.9000000000000003E-3</v>
      </c>
      <c r="H18" s="136"/>
      <c r="I18" s="133">
        <f t="shared" si="0"/>
        <v>1.0000000000000026E-4</v>
      </c>
      <c r="K18" s="134" t="s">
        <v>21</v>
      </c>
      <c r="L18" s="134">
        <v>3.8E-3</v>
      </c>
      <c r="M18" s="135"/>
      <c r="N18" s="137" t="s">
        <v>21</v>
      </c>
      <c r="O18" s="138">
        <v>4.0000000000000001E-3</v>
      </c>
      <c r="P18" s="136"/>
      <c r="Q18" s="133">
        <f t="shared" si="1"/>
        <v>2.0000000000000009E-4</v>
      </c>
    </row>
    <row r="19" spans="1:17">
      <c r="A19" s="134" t="s">
        <v>22</v>
      </c>
      <c r="B19" s="160">
        <f>VLOOKUP(A19,'TI - Differences 2nd 2013'!$E$6:$F$31,2,FALSE)</f>
        <v>43804945.529999994</v>
      </c>
      <c r="C19" s="134">
        <v>0.24809999999999999</v>
      </c>
      <c r="D19" s="135"/>
      <c r="E19" s="137" t="s">
        <v>22</v>
      </c>
      <c r="F19" s="160">
        <v>36511215.649999999</v>
      </c>
      <c r="G19" s="138">
        <v>0.2661</v>
      </c>
      <c r="H19" s="136"/>
      <c r="I19" s="133">
        <f t="shared" si="0"/>
        <v>1.8000000000000016E-2</v>
      </c>
      <c r="K19" s="134" t="s">
        <v>22</v>
      </c>
      <c r="L19" s="134">
        <v>0.24809999999999999</v>
      </c>
      <c r="M19" s="135"/>
      <c r="N19" s="137" t="s">
        <v>22</v>
      </c>
      <c r="O19" s="138">
        <v>0.26050000000000001</v>
      </c>
      <c r="P19" s="136"/>
      <c r="Q19" s="133">
        <f t="shared" si="1"/>
        <v>1.2400000000000022E-2</v>
      </c>
    </row>
    <row r="20" spans="1:17">
      <c r="A20" s="134" t="s">
        <v>23</v>
      </c>
      <c r="B20" s="160">
        <f>VLOOKUP(A20,'TI - Differences 2nd 2013'!$E$6:$F$31,2,FALSE)</f>
        <v>117455.15999999995</v>
      </c>
      <c r="C20" s="134">
        <v>6.9999999999999999E-4</v>
      </c>
      <c r="D20" s="135"/>
      <c r="E20" s="137" t="s">
        <v>23</v>
      </c>
      <c r="F20" s="160">
        <v>81603.450000000041</v>
      </c>
      <c r="G20" s="138">
        <v>5.9999999999999995E-4</v>
      </c>
      <c r="H20" s="136"/>
      <c r="I20" s="133">
        <f t="shared" si="0"/>
        <v>-1.0000000000000005E-4</v>
      </c>
      <c r="K20" s="134" t="s">
        <v>23</v>
      </c>
      <c r="L20" s="134">
        <v>6.9999999999999999E-4</v>
      </c>
      <c r="M20" s="135"/>
      <c r="N20" s="137" t="s">
        <v>23</v>
      </c>
      <c r="O20" s="138">
        <v>5.9999999999999995E-4</v>
      </c>
      <c r="P20" s="136"/>
      <c r="Q20" s="133">
        <f t="shared" si="1"/>
        <v>-1.0000000000000005E-4</v>
      </c>
    </row>
    <row r="21" spans="1:17">
      <c r="A21" s="134" t="s">
        <v>24</v>
      </c>
      <c r="B21" s="160">
        <f>VLOOKUP(A21,'TI - Differences 2nd 2013'!$E$6:$F$31,2,FALSE)</f>
        <v>1263.2899999999997</v>
      </c>
      <c r="C21" s="134">
        <v>0</v>
      </c>
      <c r="D21" s="135"/>
      <c r="E21" s="137" t="s">
        <v>24</v>
      </c>
      <c r="F21" s="160">
        <v>794.81999999999903</v>
      </c>
      <c r="G21" s="138">
        <v>0</v>
      </c>
      <c r="H21" s="136"/>
      <c r="I21" s="133">
        <f t="shared" si="0"/>
        <v>0</v>
      </c>
      <c r="K21" s="134" t="s">
        <v>24</v>
      </c>
      <c r="L21" s="134">
        <v>0</v>
      </c>
      <c r="M21" s="135"/>
      <c r="N21" s="137" t="s">
        <v>24</v>
      </c>
      <c r="O21" s="138">
        <v>0</v>
      </c>
      <c r="P21" s="136"/>
      <c r="Q21" s="133">
        <f t="shared" si="1"/>
        <v>0</v>
      </c>
    </row>
    <row r="22" spans="1:17">
      <c r="A22" s="134" t="s">
        <v>27</v>
      </c>
      <c r="B22" s="160">
        <f>VLOOKUP(A22,'TI - Differences 2nd 2013'!$E$6:$F$31,2,FALSE)</f>
        <v>12495.909999999991</v>
      </c>
      <c r="C22" s="134">
        <v>1E-4</v>
      </c>
      <c r="D22" s="135"/>
      <c r="E22" s="137" t="s">
        <v>27</v>
      </c>
      <c r="F22" s="160">
        <v>8346.8200000000106</v>
      </c>
      <c r="G22" s="138">
        <v>1E-4</v>
      </c>
      <c r="H22" s="136"/>
      <c r="I22" s="133">
        <f t="shared" si="0"/>
        <v>0</v>
      </c>
      <c r="K22" s="134" t="s">
        <v>27</v>
      </c>
      <c r="L22" s="134">
        <v>1E-4</v>
      </c>
      <c r="M22" s="135"/>
      <c r="N22" s="137" t="s">
        <v>27</v>
      </c>
      <c r="O22" s="138">
        <v>1E-4</v>
      </c>
      <c r="P22" s="136"/>
      <c r="Q22" s="133">
        <f t="shared" si="1"/>
        <v>0</v>
      </c>
    </row>
    <row r="23" spans="1:17">
      <c r="A23" s="139" t="s">
        <v>55</v>
      </c>
      <c r="B23" s="160">
        <f>VLOOKUP(A23,'TI - Differences 2nd 2013'!$E$6:$F$31,2,FALSE)</f>
        <v>23.380000000000003</v>
      </c>
      <c r="C23" s="134">
        <v>0</v>
      </c>
      <c r="D23" s="135"/>
      <c r="E23" s="137" t="s">
        <v>55</v>
      </c>
      <c r="F23" s="160">
        <v>6.08</v>
      </c>
      <c r="G23" s="138">
        <v>0</v>
      </c>
      <c r="H23" s="136"/>
      <c r="I23" s="133">
        <f t="shared" si="0"/>
        <v>0</v>
      </c>
      <c r="K23" s="139" t="s">
        <v>55</v>
      </c>
      <c r="L23" s="134">
        <v>0</v>
      </c>
      <c r="M23" s="135"/>
      <c r="N23" s="137" t="s">
        <v>55</v>
      </c>
      <c r="O23" s="138">
        <v>0</v>
      </c>
      <c r="P23" s="136"/>
      <c r="Q23" s="133">
        <f t="shared" si="1"/>
        <v>0</v>
      </c>
    </row>
    <row r="24" spans="1:17">
      <c r="A24" s="134" t="s">
        <v>30</v>
      </c>
      <c r="B24" s="160">
        <f>VLOOKUP(A24,'TI - Differences 2nd 2013'!$E$6:$F$31,2,FALSE)</f>
        <v>18739.799999999996</v>
      </c>
      <c r="C24" s="134">
        <v>1E-4</v>
      </c>
      <c r="D24" s="135"/>
      <c r="E24" s="137" t="s">
        <v>30</v>
      </c>
      <c r="F24" s="160">
        <v>13789.890000000001</v>
      </c>
      <c r="G24" s="138">
        <v>1E-4</v>
      </c>
      <c r="H24" s="136"/>
      <c r="I24" s="133">
        <f t="shared" si="0"/>
        <v>0</v>
      </c>
      <c r="K24" s="134" t="s">
        <v>30</v>
      </c>
      <c r="L24" s="134">
        <v>1E-4</v>
      </c>
      <c r="M24" s="135"/>
      <c r="N24" s="137" t="s">
        <v>30</v>
      </c>
      <c r="O24" s="138">
        <v>1E-4</v>
      </c>
      <c r="P24" s="136"/>
      <c r="Q24" s="133">
        <f t="shared" si="1"/>
        <v>0</v>
      </c>
    </row>
    <row r="25" spans="1:17">
      <c r="A25" s="134" t="s">
        <v>31</v>
      </c>
      <c r="B25" s="160">
        <f>VLOOKUP(A25,'TI - Differences 2nd 2013'!$E$6:$F$31,2,FALSE)</f>
        <v>9876.8000000000029</v>
      </c>
      <c r="C25" s="134">
        <v>1E-4</v>
      </c>
      <c r="D25" s="135"/>
      <c r="E25" s="137" t="s">
        <v>31</v>
      </c>
      <c r="F25" s="160">
        <v>3490.820000000002</v>
      </c>
      <c r="G25" s="138">
        <v>0</v>
      </c>
      <c r="H25" s="140"/>
      <c r="I25" s="133">
        <f t="shared" si="0"/>
        <v>-1E-4</v>
      </c>
      <c r="K25" s="134" t="s">
        <v>31</v>
      </c>
      <c r="L25" s="134">
        <v>1E-4</v>
      </c>
      <c r="M25" s="135"/>
      <c r="N25" s="137" t="s">
        <v>31</v>
      </c>
      <c r="O25" s="138">
        <v>0</v>
      </c>
      <c r="P25" s="140"/>
      <c r="Q25" s="133">
        <f t="shared" si="1"/>
        <v>-1E-4</v>
      </c>
    </row>
    <row r="26" spans="1:17">
      <c r="A26" s="134" t="s">
        <v>32</v>
      </c>
      <c r="B26" s="160">
        <f>VLOOKUP(A26,'TI - Differences 2nd 2013'!$E$6:$F$31,2,FALSE)</f>
        <v>14941384.690000003</v>
      </c>
      <c r="C26" s="134">
        <v>8.4599999999999995E-2</v>
      </c>
      <c r="D26" s="135"/>
      <c r="E26" s="137" t="s">
        <v>32</v>
      </c>
      <c r="F26" s="160">
        <v>10700824.840000007</v>
      </c>
      <c r="G26" s="138">
        <v>7.8E-2</v>
      </c>
      <c r="H26" s="140"/>
      <c r="I26" s="133">
        <f t="shared" si="0"/>
        <v>-6.5999999999999948E-3</v>
      </c>
      <c r="K26" s="134" t="s">
        <v>32</v>
      </c>
      <c r="L26" s="134">
        <v>8.4599999999999995E-2</v>
      </c>
      <c r="M26" s="135"/>
      <c r="N26" s="137" t="s">
        <v>32</v>
      </c>
      <c r="O26" s="138">
        <v>8.0399999999999999E-2</v>
      </c>
      <c r="P26" s="140"/>
      <c r="Q26" s="133">
        <f t="shared" si="1"/>
        <v>-4.1999999999999954E-3</v>
      </c>
    </row>
    <row r="27" spans="1:17">
      <c r="A27" s="134" t="s">
        <v>33</v>
      </c>
      <c r="B27" s="160">
        <f>VLOOKUP(A27,'TI - Differences 2nd 2013'!$E$6:$F$31,2,FALSE)</f>
        <v>2553482.5600000005</v>
      </c>
      <c r="C27" s="134">
        <v>1.4500000000000001E-2</v>
      </c>
      <c r="D27" s="135"/>
      <c r="E27" s="137" t="s">
        <v>33</v>
      </c>
      <c r="F27" s="160">
        <v>1835112.86</v>
      </c>
      <c r="G27" s="138">
        <v>1.34E-2</v>
      </c>
      <c r="H27" s="140"/>
      <c r="I27" s="133">
        <f t="shared" si="0"/>
        <v>-1.1000000000000003E-3</v>
      </c>
      <c r="K27" s="134" t="s">
        <v>33</v>
      </c>
      <c r="L27" s="134">
        <v>1.4500000000000001E-2</v>
      </c>
      <c r="M27" s="135"/>
      <c r="N27" s="137" t="s">
        <v>33</v>
      </c>
      <c r="O27" s="138">
        <v>1.3599999999999999E-2</v>
      </c>
      <c r="P27" s="140"/>
      <c r="Q27" s="133">
        <f t="shared" si="1"/>
        <v>-9.0000000000000149E-4</v>
      </c>
    </row>
    <row r="28" spans="1:17">
      <c r="A28" s="134" t="s">
        <v>35</v>
      </c>
      <c r="B28" s="160">
        <f>VLOOKUP(A28,'TI - Differences 2nd 2013'!$E$6:$F$31,2,FALSE)</f>
        <v>40006.219999999994</v>
      </c>
      <c r="C28" s="134">
        <v>2.0000000000000001E-4</v>
      </c>
      <c r="D28" s="135"/>
      <c r="E28" s="137" t="s">
        <v>35</v>
      </c>
      <c r="F28" s="160">
        <v>53150.719999999936</v>
      </c>
      <c r="G28" s="138">
        <v>4.0000000000000002E-4</v>
      </c>
      <c r="H28" s="156"/>
      <c r="I28" s="133">
        <f t="shared" si="0"/>
        <v>2.0000000000000001E-4</v>
      </c>
      <c r="K28" s="134" t="s">
        <v>35</v>
      </c>
      <c r="L28" s="134">
        <v>2.0000000000000001E-4</v>
      </c>
      <c r="M28" s="135"/>
      <c r="N28" s="137" t="s">
        <v>35</v>
      </c>
      <c r="O28" s="138">
        <v>2.9999999999999997E-4</v>
      </c>
      <c r="P28" s="156"/>
      <c r="Q28" s="133">
        <f t="shared" si="1"/>
        <v>9.9999999999999964E-5</v>
      </c>
    </row>
    <row r="29" spans="1:17">
      <c r="A29" s="134" t="s">
        <v>36</v>
      </c>
      <c r="B29" s="160">
        <f>VLOOKUP(A29,'TI - Differences 2nd 2013'!$E$6:$F$31,2,FALSE)</f>
        <v>18478.840000000004</v>
      </c>
      <c r="C29" s="134">
        <v>1E-4</v>
      </c>
      <c r="D29" s="135"/>
      <c r="E29" s="137" t="s">
        <v>36</v>
      </c>
      <c r="F29" s="160">
        <v>17411.520000000015</v>
      </c>
      <c r="G29" s="138">
        <v>1E-4</v>
      </c>
      <c r="H29" s="156"/>
      <c r="I29" s="133">
        <f t="shared" si="0"/>
        <v>0</v>
      </c>
      <c r="K29" s="134" t="s">
        <v>36</v>
      </c>
      <c r="L29" s="134">
        <v>1E-4</v>
      </c>
      <c r="M29" s="135"/>
      <c r="N29" s="137" t="s">
        <v>36</v>
      </c>
      <c r="O29" s="138">
        <v>1E-4</v>
      </c>
      <c r="P29" s="156"/>
      <c r="Q29" s="133">
        <f t="shared" si="1"/>
        <v>0</v>
      </c>
    </row>
    <row r="30" spans="1:17">
      <c r="A30" s="134" t="s">
        <v>37</v>
      </c>
      <c r="B30" s="160">
        <f>VLOOKUP(A30,'TI - Differences 2nd 2013'!$E$6:$F$31,2,FALSE)</f>
        <v>19618.420000000009</v>
      </c>
      <c r="C30" s="134">
        <v>1E-4</v>
      </c>
      <c r="D30" s="135"/>
      <c r="E30" s="137" t="s">
        <v>37</v>
      </c>
      <c r="F30" s="160">
        <v>18108.270000000011</v>
      </c>
      <c r="G30" s="138">
        <v>1E-4</v>
      </c>
      <c r="H30" s="156"/>
      <c r="I30" s="133">
        <f t="shared" si="0"/>
        <v>0</v>
      </c>
      <c r="K30" s="134" t="s">
        <v>37</v>
      </c>
      <c r="L30" s="134">
        <v>1E-4</v>
      </c>
      <c r="M30" s="135"/>
      <c r="N30" s="137" t="s">
        <v>37</v>
      </c>
      <c r="O30" s="138">
        <v>1E-4</v>
      </c>
      <c r="P30" s="156"/>
      <c r="Q30" s="133">
        <f t="shared" si="1"/>
        <v>0</v>
      </c>
    </row>
    <row r="31" spans="1:17">
      <c r="A31" s="135" t="s">
        <v>38</v>
      </c>
      <c r="B31" s="160">
        <f>VLOOKUP(A31,'TI - Differences 2nd 2013'!$E$6:$F$31,2,FALSE)</f>
        <v>323093.10999999993</v>
      </c>
      <c r="C31" s="135">
        <v>1.8E-3</v>
      </c>
      <c r="E31" s="137" t="s">
        <v>38</v>
      </c>
      <c r="F31" s="160">
        <v>387706.56999999948</v>
      </c>
      <c r="G31" s="138">
        <v>2.8E-3</v>
      </c>
      <c r="H31" s="135"/>
      <c r="I31" s="133">
        <f t="shared" si="0"/>
        <v>1E-3</v>
      </c>
      <c r="K31" s="135" t="s">
        <v>38</v>
      </c>
      <c r="L31" s="135">
        <v>1.8E-3</v>
      </c>
      <c r="N31" s="137" t="s">
        <v>38</v>
      </c>
      <c r="O31" s="138">
        <v>2.5000000000000001E-3</v>
      </c>
      <c r="P31" s="135"/>
      <c r="Q31" s="133">
        <f t="shared" si="1"/>
        <v>7.000000000000001E-4</v>
      </c>
    </row>
    <row r="32" spans="1:17" ht="15" thickBot="1">
      <c r="A32" s="157" t="s">
        <v>6</v>
      </c>
      <c r="B32" s="161">
        <f>SUM(B6:B31)</f>
        <v>176552283.86000001</v>
      </c>
      <c r="C32" s="157">
        <f>SUM(C6:C31)</f>
        <v>0.99999999999999989</v>
      </c>
      <c r="E32" s="143" t="s">
        <v>6</v>
      </c>
      <c r="F32" s="148">
        <f>SUM(F6:F31)</f>
        <v>137184928.06999999</v>
      </c>
      <c r="G32" s="144">
        <f>SUM(G6:G31)</f>
        <v>0.99999999999999989</v>
      </c>
      <c r="I32" s="157">
        <f>SUM(I6:I31)</f>
        <v>9.1072982488782372E-18</v>
      </c>
      <c r="K32" s="157" t="s">
        <v>6</v>
      </c>
      <c r="L32" s="157">
        <f>SUM(L6:L31)</f>
        <v>0.99999999999999989</v>
      </c>
      <c r="N32" s="143" t="s">
        <v>6</v>
      </c>
      <c r="O32" s="144">
        <f>SUM(O6:O31)</f>
        <v>0.99999999999999978</v>
      </c>
      <c r="Q32" s="157">
        <f>SUM(Q6:Q31)</f>
        <v>3.4369208867790491E-17</v>
      </c>
    </row>
    <row r="33" ht="15" thickTop="1"/>
  </sheetData>
  <mergeCells count="6">
    <mergeCell ref="A1:I1"/>
    <mergeCell ref="K1:Q1"/>
    <mergeCell ref="A3:C3"/>
    <mergeCell ref="E3:G3"/>
    <mergeCell ref="K3:L3"/>
    <mergeCell ref="N3:O3"/>
  </mergeCells>
  <pageMargins left="0.7" right="0.7" top="0.75" bottom="0.75" header="0.3" footer="0.3"/>
  <pageSetup orientation="landscape" r:id="rId1"/>
  <headerFooter>
    <oddHeader>&amp;RKY PSC Case No. 2016-00162,
Attachment G to Staff Post Hearing Supp. DR 2</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workbookViewId="0"/>
  </sheetViews>
  <sheetFormatPr defaultRowHeight="14.4"/>
  <cols>
    <col min="1" max="1" width="14.109375" customWidth="1"/>
    <col min="2" max="2" width="23" customWidth="1"/>
    <col min="5" max="5" width="12.33203125" bestFit="1" customWidth="1"/>
    <col min="7" max="7" width="11.33203125" customWidth="1"/>
    <col min="8" max="8" width="19.109375" bestFit="1" customWidth="1"/>
  </cols>
  <sheetData>
    <row r="1" spans="1:8">
      <c r="A1" s="163" t="s">
        <v>101</v>
      </c>
      <c r="B1" t="s">
        <v>102</v>
      </c>
    </row>
    <row r="2" spans="1:8">
      <c r="A2" s="163" t="s">
        <v>106</v>
      </c>
      <c r="B2" t="s">
        <v>107</v>
      </c>
    </row>
    <row r="4" spans="1:8">
      <c r="A4" s="163" t="s">
        <v>44</v>
      </c>
      <c r="B4" t="s">
        <v>100</v>
      </c>
      <c r="D4" t="s">
        <v>44</v>
      </c>
      <c r="E4" t="s">
        <v>108</v>
      </c>
      <c r="G4" s="163" t="s">
        <v>44</v>
      </c>
      <c r="H4" t="s">
        <v>100</v>
      </c>
    </row>
    <row r="5" spans="1:8">
      <c r="A5" t="s">
        <v>8</v>
      </c>
      <c r="B5" s="73">
        <v>80558.87999999999</v>
      </c>
      <c r="D5" t="s">
        <v>8</v>
      </c>
      <c r="E5" s="76">
        <v>5.8722835761443142E-4</v>
      </c>
      <c r="G5" t="s">
        <v>8</v>
      </c>
      <c r="H5" s="85">
        <v>5.8722835761443142E-4</v>
      </c>
    </row>
    <row r="6" spans="1:8">
      <c r="A6" t="s">
        <v>9</v>
      </c>
      <c r="B6" s="73">
        <v>3856123.32</v>
      </c>
      <c r="D6" t="s">
        <v>9</v>
      </c>
      <c r="E6" s="76">
        <v>2.8108942973913104E-2</v>
      </c>
      <c r="G6" t="s">
        <v>9</v>
      </c>
      <c r="H6" s="85">
        <v>2.8108942973913104E-2</v>
      </c>
    </row>
    <row r="7" spans="1:8">
      <c r="A7" t="s">
        <v>11</v>
      </c>
      <c r="B7" s="73">
        <v>68765.69</v>
      </c>
      <c r="D7" t="s">
        <v>11</v>
      </c>
      <c r="E7" s="76">
        <v>5.0126271863416101E-4</v>
      </c>
      <c r="G7" t="s">
        <v>11</v>
      </c>
      <c r="H7" s="85">
        <v>5.0126271863416101E-4</v>
      </c>
    </row>
    <row r="8" spans="1:8">
      <c r="A8" t="s">
        <v>12</v>
      </c>
      <c r="B8" s="73">
        <v>73536.360000000088</v>
      </c>
      <c r="D8" t="s">
        <v>12</v>
      </c>
      <c r="E8" s="76">
        <v>5.3603818607884848E-4</v>
      </c>
      <c r="G8" t="s">
        <v>12</v>
      </c>
      <c r="H8" s="85">
        <v>5.3603818607884848E-4</v>
      </c>
    </row>
    <row r="9" spans="1:8">
      <c r="A9" t="s">
        <v>13</v>
      </c>
      <c r="B9" s="73">
        <v>3114899.2699999968</v>
      </c>
      <c r="D9" t="s">
        <v>13</v>
      </c>
      <c r="E9" s="76">
        <v>2.27058417701002E-2</v>
      </c>
      <c r="G9" t="s">
        <v>13</v>
      </c>
      <c r="H9" s="85">
        <v>2.27058417701002E-2</v>
      </c>
    </row>
    <row r="10" spans="1:8">
      <c r="A10" t="s">
        <v>14</v>
      </c>
      <c r="B10" s="73">
        <v>27562307.150000006</v>
      </c>
      <c r="D10" t="s">
        <v>14</v>
      </c>
      <c r="E10" s="76">
        <v>0.20091352262790899</v>
      </c>
      <c r="G10" t="s">
        <v>14</v>
      </c>
      <c r="H10" s="85">
        <v>0.20091352262790899</v>
      </c>
    </row>
    <row r="11" spans="1:8">
      <c r="A11" t="s">
        <v>15</v>
      </c>
      <c r="B11" s="73">
        <v>1111557.9399999997</v>
      </c>
      <c r="D11" t="s">
        <v>15</v>
      </c>
      <c r="E11" s="76">
        <v>8.1026243599647933E-3</v>
      </c>
      <c r="G11" t="s">
        <v>15</v>
      </c>
      <c r="H11" s="85">
        <v>8.1026243599647933E-3</v>
      </c>
    </row>
    <row r="12" spans="1:8">
      <c r="A12" t="s">
        <v>16</v>
      </c>
      <c r="B12" s="73">
        <v>11028607.370000022</v>
      </c>
      <c r="D12" t="s">
        <v>16</v>
      </c>
      <c r="E12" s="76">
        <v>8.0392267030767156E-2</v>
      </c>
      <c r="G12" t="s">
        <v>16</v>
      </c>
      <c r="H12" s="85">
        <v>8.0392267030767156E-2</v>
      </c>
    </row>
    <row r="13" spans="1:8">
      <c r="A13" t="s">
        <v>17</v>
      </c>
      <c r="B13" s="73">
        <v>5760092.0000000037</v>
      </c>
      <c r="D13" t="s">
        <v>17</v>
      </c>
      <c r="E13" s="76">
        <v>4.1987790357413464E-2</v>
      </c>
      <c r="G13" t="s">
        <v>17</v>
      </c>
      <c r="H13" s="85">
        <v>4.1987790357413464E-2</v>
      </c>
    </row>
    <row r="14" spans="1:8">
      <c r="A14" t="s">
        <v>18</v>
      </c>
      <c r="B14" s="73">
        <v>164497.77999999982</v>
      </c>
      <c r="D14" t="s">
        <v>18</v>
      </c>
      <c r="E14" s="76">
        <v>1.1990951361366988E-3</v>
      </c>
      <c r="G14" t="s">
        <v>18</v>
      </c>
      <c r="H14" s="85">
        <v>1.1990951361366988E-3</v>
      </c>
    </row>
    <row r="15" spans="1:8">
      <c r="A15" t="s">
        <v>19</v>
      </c>
      <c r="B15" s="73">
        <v>34201850.969999939</v>
      </c>
      <c r="D15" t="s">
        <v>19</v>
      </c>
      <c r="E15" s="76">
        <v>0.24931201591291507</v>
      </c>
      <c r="G15" t="s">
        <v>19</v>
      </c>
      <c r="H15" s="85">
        <v>0.24931201591291507</v>
      </c>
    </row>
    <row r="16" spans="1:8">
      <c r="A16" t="s">
        <v>20</v>
      </c>
      <c r="B16" s="73">
        <v>17090.469999999965</v>
      </c>
      <c r="D16" t="s">
        <v>20</v>
      </c>
      <c r="E16" s="76">
        <v>1.245797934251158E-4</v>
      </c>
      <c r="G16" t="s">
        <v>20</v>
      </c>
      <c r="H16" s="85">
        <v>1.245797934251158E-4</v>
      </c>
    </row>
    <row r="17" spans="1:8">
      <c r="A17" t="s">
        <v>21</v>
      </c>
      <c r="B17" s="73">
        <v>513478.56000000023</v>
      </c>
      <c r="D17" t="s">
        <v>21</v>
      </c>
      <c r="E17" s="76">
        <v>3.7429662808001235E-3</v>
      </c>
      <c r="G17" t="s">
        <v>21</v>
      </c>
      <c r="H17" s="85">
        <v>3.7429662808001235E-3</v>
      </c>
    </row>
    <row r="18" spans="1:8">
      <c r="A18" t="s">
        <v>22</v>
      </c>
      <c r="B18" s="73">
        <v>35141077.020000011</v>
      </c>
      <c r="D18" t="s">
        <v>22</v>
      </c>
      <c r="E18" s="76">
        <v>0.25615843893630158</v>
      </c>
      <c r="G18" t="s">
        <v>22</v>
      </c>
      <c r="H18" s="85">
        <v>0.26614596926689937</v>
      </c>
    </row>
    <row r="19" spans="1:8">
      <c r="A19" t="s">
        <v>23</v>
      </c>
      <c r="B19" s="73">
        <v>81603.450000000041</v>
      </c>
      <c r="D19" t="s">
        <v>23</v>
      </c>
      <c r="E19" s="76">
        <v>5.9484267804084921E-4</v>
      </c>
      <c r="G19" t="s">
        <v>23</v>
      </c>
      <c r="H19" s="85">
        <v>5.9484267804084921E-4</v>
      </c>
    </row>
    <row r="20" spans="1:8">
      <c r="A20" t="s">
        <v>24</v>
      </c>
      <c r="B20" s="73">
        <v>794.81999999999903</v>
      </c>
      <c r="D20" t="s">
        <v>24</v>
      </c>
      <c r="E20" s="76">
        <v>5.7937851568827899E-6</v>
      </c>
      <c r="G20" t="s">
        <v>24</v>
      </c>
      <c r="H20" s="85">
        <v>5.7937851568827899E-6</v>
      </c>
    </row>
    <row r="21" spans="1:8">
      <c r="A21" t="s">
        <v>27</v>
      </c>
      <c r="B21" s="73">
        <v>8346.8200000000106</v>
      </c>
      <c r="D21" t="s">
        <v>27</v>
      </c>
      <c r="E21" s="76">
        <v>6.0843564358184913E-5</v>
      </c>
      <c r="G21" t="s">
        <v>27</v>
      </c>
      <c r="H21" s="85">
        <v>6.0843564358184913E-5</v>
      </c>
    </row>
    <row r="22" spans="1:8">
      <c r="A22" t="s">
        <v>55</v>
      </c>
      <c r="B22" s="73">
        <v>6.08</v>
      </c>
      <c r="D22" t="s">
        <v>55</v>
      </c>
      <c r="E22" s="76">
        <v>4.4319737492573675E-8</v>
      </c>
      <c r="G22" t="s">
        <v>55</v>
      </c>
      <c r="H22" s="85">
        <v>4.4319737492573675E-8</v>
      </c>
    </row>
    <row r="23" spans="1:8">
      <c r="A23" t="s">
        <v>30</v>
      </c>
      <c r="B23" s="73">
        <v>13789.890000000001</v>
      </c>
      <c r="D23" t="s">
        <v>30</v>
      </c>
      <c r="E23" s="76">
        <v>1.0052044487688599E-4</v>
      </c>
      <c r="G23" t="s">
        <v>30</v>
      </c>
      <c r="H23" s="85">
        <v>1.0052044487688599E-4</v>
      </c>
    </row>
    <row r="24" spans="1:8">
      <c r="A24" t="s">
        <v>31</v>
      </c>
      <c r="B24" s="73">
        <v>3490.820000000002</v>
      </c>
      <c r="D24" t="s">
        <v>31</v>
      </c>
      <c r="E24" s="76">
        <v>2.5446089808195084E-5</v>
      </c>
      <c r="G24" t="s">
        <v>31</v>
      </c>
      <c r="H24" s="85">
        <v>2.5446089808195084E-5</v>
      </c>
    </row>
    <row r="25" spans="1:8">
      <c r="A25" t="s">
        <v>32</v>
      </c>
      <c r="B25" s="73">
        <v>10700824.840000007</v>
      </c>
      <c r="D25" t="s">
        <v>32</v>
      </c>
      <c r="E25" s="76">
        <v>7.8002919056383554E-2</v>
      </c>
      <c r="G25" t="s">
        <v>32</v>
      </c>
      <c r="H25" s="85">
        <v>7.8002919056383554E-2</v>
      </c>
    </row>
    <row r="26" spans="1:8">
      <c r="A26" t="s">
        <v>33</v>
      </c>
      <c r="B26" s="73">
        <v>1835112.86</v>
      </c>
      <c r="D26" t="s">
        <v>33</v>
      </c>
      <c r="E26" s="76">
        <v>1.3376927668494425E-2</v>
      </c>
      <c r="G26" t="s">
        <v>33</v>
      </c>
      <c r="H26" s="85">
        <v>1.3376927668494425E-2</v>
      </c>
    </row>
    <row r="27" spans="1:8">
      <c r="A27" t="s">
        <v>47</v>
      </c>
      <c r="B27" s="73">
        <v>954261.3399999995</v>
      </c>
      <c r="D27" s="74" t="s">
        <v>22</v>
      </c>
      <c r="E27" s="76">
        <v>6.9560217250183506E-3</v>
      </c>
      <c r="G27" t="s">
        <v>35</v>
      </c>
      <c r="H27" s="85">
        <v>3.8743847992455305E-4</v>
      </c>
    </row>
    <row r="28" spans="1:8">
      <c r="A28" t="s">
        <v>48</v>
      </c>
      <c r="B28" s="73">
        <v>415877.28999999975</v>
      </c>
      <c r="D28" s="74" t="s">
        <v>22</v>
      </c>
      <c r="E28" s="76">
        <v>3.0315086055794282E-3</v>
      </c>
      <c r="G28" t="s">
        <v>36</v>
      </c>
      <c r="H28" s="85">
        <v>1.2692006508991727E-4</v>
      </c>
    </row>
    <row r="29" spans="1:8">
      <c r="A29" t="s">
        <v>35</v>
      </c>
      <c r="B29" s="73">
        <v>53150.719999999936</v>
      </c>
      <c r="D29" t="s">
        <v>35</v>
      </c>
      <c r="E29" s="76">
        <v>3.8743847992455305E-4</v>
      </c>
      <c r="G29" t="s">
        <v>37</v>
      </c>
      <c r="H29" s="85">
        <v>1.3199897579681703E-4</v>
      </c>
    </row>
    <row r="30" spans="1:8">
      <c r="A30" t="s">
        <v>36</v>
      </c>
      <c r="B30" s="73">
        <v>17411.520000000015</v>
      </c>
      <c r="D30" t="s">
        <v>36</v>
      </c>
      <c r="E30" s="76">
        <v>1.2692006508991727E-4</v>
      </c>
      <c r="G30" t="s">
        <v>38</v>
      </c>
      <c r="H30" s="85">
        <v>2.8261600997608743E-3</v>
      </c>
    </row>
    <row r="31" spans="1:8">
      <c r="A31" t="s">
        <v>37</v>
      </c>
      <c r="B31" s="73">
        <v>18108.270000000011</v>
      </c>
      <c r="D31" t="s">
        <v>37</v>
      </c>
      <c r="E31" s="76">
        <v>1.3199897579681703E-4</v>
      </c>
      <c r="G31" t="s">
        <v>49</v>
      </c>
      <c r="H31" s="85">
        <v>1</v>
      </c>
    </row>
    <row r="32" spans="1:8">
      <c r="A32" t="s">
        <v>38</v>
      </c>
      <c r="B32" s="73">
        <v>387706.56999999948</v>
      </c>
      <c r="D32" t="s">
        <v>38</v>
      </c>
      <c r="E32" s="76">
        <v>2.8261600997608743E-3</v>
      </c>
    </row>
    <row r="33" spans="1:8">
      <c r="A33" t="s">
        <v>49</v>
      </c>
      <c r="B33" s="73">
        <v>137184928.06999996</v>
      </c>
    </row>
    <row r="40" spans="1:8">
      <c r="A40" s="163" t="s">
        <v>101</v>
      </c>
      <c r="B40" t="s">
        <v>102</v>
      </c>
    </row>
    <row r="42" spans="1:8">
      <c r="A42" s="163" t="s">
        <v>44</v>
      </c>
      <c r="B42" t="s">
        <v>100</v>
      </c>
      <c r="D42" t="s">
        <v>44</v>
      </c>
      <c r="E42" t="s">
        <v>108</v>
      </c>
      <c r="G42" s="163" t="s">
        <v>44</v>
      </c>
      <c r="H42" t="s">
        <v>100</v>
      </c>
    </row>
    <row r="43" spans="1:8">
      <c r="A43" t="s">
        <v>8</v>
      </c>
      <c r="B43" s="85">
        <v>7.0068037424173381E-4</v>
      </c>
      <c r="D43" t="s">
        <v>8</v>
      </c>
      <c r="E43" s="76">
        <v>7.0068037424173381E-4</v>
      </c>
      <c r="G43" t="s">
        <v>8</v>
      </c>
      <c r="H43" s="85">
        <v>7.0110217771498964E-4</v>
      </c>
    </row>
    <row r="44" spans="1:8">
      <c r="A44" t="s">
        <v>9</v>
      </c>
      <c r="B44" s="85">
        <v>2.8742157478830497E-2</v>
      </c>
      <c r="D44" t="s">
        <v>9</v>
      </c>
      <c r="E44" s="76">
        <v>2.8742157478830497E-2</v>
      </c>
      <c r="G44" t="s">
        <v>9</v>
      </c>
      <c r="H44" s="85">
        <v>2.8759460006914796E-2</v>
      </c>
    </row>
    <row r="45" spans="1:8">
      <c r="A45" t="s">
        <v>11</v>
      </c>
      <c r="B45" s="85">
        <v>5.4041542583448349E-4</v>
      </c>
      <c r="D45" t="s">
        <v>11</v>
      </c>
      <c r="E45" s="76">
        <v>5.4041542583448349E-4</v>
      </c>
      <c r="G45" t="s">
        <v>11</v>
      </c>
      <c r="H45" s="85">
        <v>5.4074075120678986E-4</v>
      </c>
    </row>
    <row r="46" spans="1:8">
      <c r="A46" t="s">
        <v>12</v>
      </c>
      <c r="B46" s="85">
        <v>6.0162910152491522E-4</v>
      </c>
      <c r="D46" t="s">
        <v>12</v>
      </c>
      <c r="E46" s="76">
        <v>6.0162910152491522E-4</v>
      </c>
      <c r="G46" t="s">
        <v>13</v>
      </c>
      <c r="H46" s="85">
        <v>2.2936675250612559E-2</v>
      </c>
    </row>
    <row r="47" spans="1:8">
      <c r="A47" t="s">
        <v>13</v>
      </c>
      <c r="B47" s="85">
        <v>2.2922875879289567E-2</v>
      </c>
      <c r="D47" t="s">
        <v>13</v>
      </c>
      <c r="E47" s="76">
        <v>2.2922875879289567E-2</v>
      </c>
      <c r="G47" t="s">
        <v>14</v>
      </c>
      <c r="H47" s="85">
        <v>0.19963083978775334</v>
      </c>
    </row>
    <row r="48" spans="1:8">
      <c r="A48" t="s">
        <v>14</v>
      </c>
      <c r="B48" s="85">
        <v>0.19951073606497519</v>
      </c>
      <c r="D48" t="s">
        <v>14</v>
      </c>
      <c r="E48" s="76">
        <v>0.19951073606497519</v>
      </c>
      <c r="G48" t="s">
        <v>15</v>
      </c>
      <c r="H48" s="85">
        <v>8.0596740762324311E-3</v>
      </c>
    </row>
    <row r="49" spans="1:8">
      <c r="A49" t="s">
        <v>15</v>
      </c>
      <c r="B49" s="85">
        <v>8.0548251417593645E-3</v>
      </c>
      <c r="D49" t="s">
        <v>15</v>
      </c>
      <c r="E49" s="76">
        <v>8.0548251417593645E-3</v>
      </c>
      <c r="G49" t="s">
        <v>16</v>
      </c>
      <c r="H49" s="85">
        <v>7.9767062627696769E-2</v>
      </c>
    </row>
    <row r="50" spans="1:8">
      <c r="A50" t="s">
        <v>16</v>
      </c>
      <c r="B50" s="85">
        <v>7.9719072441476788E-2</v>
      </c>
      <c r="D50" t="s">
        <v>16</v>
      </c>
      <c r="E50" s="76">
        <v>7.9719072441476788E-2</v>
      </c>
      <c r="G50" t="s">
        <v>17</v>
      </c>
      <c r="H50" s="85">
        <v>4.174573905472119E-2</v>
      </c>
    </row>
    <row r="51" spans="1:8">
      <c r="A51" t="s">
        <v>17</v>
      </c>
      <c r="B51" s="85">
        <v>4.1720623603241205E-2</v>
      </c>
      <c r="D51" t="s">
        <v>17</v>
      </c>
      <c r="E51" s="76">
        <v>4.1720623603241205E-2</v>
      </c>
      <c r="G51" t="s">
        <v>18</v>
      </c>
      <c r="H51" s="85">
        <v>1.1482891236235019E-3</v>
      </c>
    </row>
    <row r="52" spans="1:8">
      <c r="A52" t="s">
        <v>18</v>
      </c>
      <c r="B52" s="85">
        <v>1.1475982794697656E-3</v>
      </c>
      <c r="D52" t="s">
        <v>18</v>
      </c>
      <c r="E52" s="76">
        <v>1.1475982794697656E-3</v>
      </c>
      <c r="G52" t="s">
        <v>19</v>
      </c>
      <c r="H52" s="85">
        <v>0.25441806991367744</v>
      </c>
    </row>
    <row r="53" spans="1:8">
      <c r="A53" t="s">
        <v>19</v>
      </c>
      <c r="B53" s="85">
        <v>0.25426500459886359</v>
      </c>
      <c r="D53" t="s">
        <v>19</v>
      </c>
      <c r="E53" s="76">
        <v>0.25426500459886359</v>
      </c>
      <c r="G53" t="s">
        <v>20</v>
      </c>
      <c r="H53" s="85">
        <v>1.4338378537096389E-4</v>
      </c>
    </row>
    <row r="54" spans="1:8">
      <c r="A54" t="s">
        <v>20</v>
      </c>
      <c r="B54" s="85">
        <v>1.4329752151299793E-4</v>
      </c>
      <c r="D54" t="s">
        <v>20</v>
      </c>
      <c r="E54" s="76">
        <v>1.4329752151299793E-4</v>
      </c>
      <c r="G54" t="s">
        <v>21</v>
      </c>
      <c r="H54" s="85">
        <v>3.7364144723956169E-3</v>
      </c>
    </row>
    <row r="55" spans="1:8">
      <c r="A55" t="s">
        <v>21</v>
      </c>
      <c r="B55" s="85">
        <v>3.734166536713665E-3</v>
      </c>
      <c r="D55" t="s">
        <v>21</v>
      </c>
      <c r="E55" s="76">
        <v>3.734166536713665E-3</v>
      </c>
      <c r="G55" t="s">
        <v>22</v>
      </c>
      <c r="H55" s="85">
        <v>0.2604708194526405</v>
      </c>
    </row>
    <row r="56" spans="1:8">
      <c r="A56" t="s">
        <v>22</v>
      </c>
      <c r="B56" s="85">
        <v>0.2528070239385331</v>
      </c>
      <c r="D56" t="s">
        <v>22</v>
      </c>
      <c r="E56" s="76">
        <v>0.2528070239385331</v>
      </c>
      <c r="G56" t="s">
        <v>23</v>
      </c>
      <c r="H56" s="85">
        <v>6.3802196552569153E-4</v>
      </c>
    </row>
    <row r="57" spans="1:8">
      <c r="A57" t="s">
        <v>23</v>
      </c>
      <c r="B57" s="85">
        <v>6.3763811294381917E-4</v>
      </c>
      <c r="D57" t="s">
        <v>23</v>
      </c>
      <c r="E57" s="76">
        <v>6.3763811294381917E-4</v>
      </c>
      <c r="G57" t="s">
        <v>24</v>
      </c>
      <c r="H57" s="85">
        <v>4.3574978860872126E-6</v>
      </c>
    </row>
    <row r="58" spans="1:8">
      <c r="A58" t="s">
        <v>24</v>
      </c>
      <c r="B58" s="85">
        <v>4.3548762885491094E-6</v>
      </c>
      <c r="D58" t="s">
        <v>24</v>
      </c>
      <c r="E58" s="76">
        <v>4.3548762885491094E-6</v>
      </c>
      <c r="G58" t="s">
        <v>27</v>
      </c>
      <c r="H58" s="85">
        <v>7.0582617208290441E-5</v>
      </c>
    </row>
    <row r="59" spans="1:8">
      <c r="A59" t="s">
        <v>27</v>
      </c>
      <c r="B59" s="85">
        <v>7.054015265171615E-5</v>
      </c>
      <c r="D59" t="s">
        <v>27</v>
      </c>
      <c r="E59" s="76">
        <v>7.054015265171615E-5</v>
      </c>
      <c r="G59" t="s">
        <v>55</v>
      </c>
      <c r="H59" s="85">
        <v>3.3332813904293157E-8</v>
      </c>
    </row>
    <row r="60" spans="1:8">
      <c r="A60" t="s">
        <v>55</v>
      </c>
      <c r="B60" s="85">
        <v>3.3312759913412624E-8</v>
      </c>
      <c r="D60" t="s">
        <v>55</v>
      </c>
      <c r="E60" s="76">
        <v>3.3312759913412624E-8</v>
      </c>
      <c r="G60" t="s">
        <v>30</v>
      </c>
      <c r="H60" s="85">
        <v>1.0042354473757337E-4</v>
      </c>
    </row>
    <row r="61" spans="1:8">
      <c r="A61" t="s">
        <v>30</v>
      </c>
      <c r="B61" s="85">
        <v>1.0036312701058095E-4</v>
      </c>
      <c r="D61" t="s">
        <v>30</v>
      </c>
      <c r="E61" s="76">
        <v>1.0036312701058095E-4</v>
      </c>
      <c r="G61" t="s">
        <v>31</v>
      </c>
      <c r="H61" s="85">
        <v>4.3960225050519344E-5</v>
      </c>
    </row>
    <row r="62" spans="1:8">
      <c r="A62" t="s">
        <v>31</v>
      </c>
      <c r="B62" s="85">
        <v>4.3933777299819373E-5</v>
      </c>
      <c r="D62" t="s">
        <v>31</v>
      </c>
      <c r="E62" s="76">
        <v>4.3933777299819373E-5</v>
      </c>
      <c r="G62" t="s">
        <v>32</v>
      </c>
      <c r="H62" s="85">
        <v>8.0399050092960431E-2</v>
      </c>
    </row>
    <row r="63" spans="1:8">
      <c r="A63" t="s">
        <v>32</v>
      </c>
      <c r="B63" s="85">
        <v>8.0350679684689549E-2</v>
      </c>
      <c r="D63" t="s">
        <v>32</v>
      </c>
      <c r="E63" s="76">
        <v>8.0350679684689549E-2</v>
      </c>
      <c r="G63" t="s">
        <v>33</v>
      </c>
      <c r="H63" s="85">
        <v>1.3620778864270787E-2</v>
      </c>
    </row>
    <row r="64" spans="1:8">
      <c r="A64" t="s">
        <v>33</v>
      </c>
      <c r="B64" s="85">
        <v>1.3612584207320607E-2</v>
      </c>
      <c r="D64" t="s">
        <v>33</v>
      </c>
      <c r="E64" s="76">
        <v>1.3612584207320607E-2</v>
      </c>
      <c r="G64" t="s">
        <v>35</v>
      </c>
      <c r="H64" s="85">
        <v>3.3901796265846244E-4</v>
      </c>
    </row>
    <row r="65" spans="1:8">
      <c r="A65" t="s">
        <v>47</v>
      </c>
      <c r="B65" s="85">
        <v>5.22846692665648E-3</v>
      </c>
      <c r="D65" s="74" t="s">
        <v>22</v>
      </c>
      <c r="E65" s="76">
        <v>5.22846692665648E-3</v>
      </c>
      <c r="G65" t="s">
        <v>36</v>
      </c>
      <c r="H65" s="85">
        <v>1.0565696099166869E-4</v>
      </c>
    </row>
    <row r="66" spans="1:8">
      <c r="A66" t="s">
        <v>48</v>
      </c>
      <c r="B66" s="85">
        <v>2.2786217623701759E-3</v>
      </c>
      <c r="D66" s="74" t="s">
        <v>22</v>
      </c>
      <c r="E66" s="76">
        <v>2.2786217623701759E-3</v>
      </c>
      <c r="G66" t="s">
        <v>37</v>
      </c>
      <c r="H66" s="85">
        <v>1.0947680278242796E-4</v>
      </c>
    </row>
    <row r="67" spans="1:8">
      <c r="A67" t="s">
        <v>35</v>
      </c>
      <c r="B67" s="85">
        <v>3.3881399958618746E-4</v>
      </c>
      <c r="D67" t="s">
        <v>35</v>
      </c>
      <c r="E67" s="76">
        <v>3.3881399958618746E-4</v>
      </c>
      <c r="G67" t="s">
        <v>38</v>
      </c>
      <c r="H67" s="85">
        <v>2.5103696525532581E-3</v>
      </c>
    </row>
    <row r="68" spans="1:8">
      <c r="A68" t="s">
        <v>36</v>
      </c>
      <c r="B68" s="85">
        <v>1.0559339468915743E-4</v>
      </c>
      <c r="D68" t="s">
        <v>36</v>
      </c>
      <c r="E68" s="76">
        <v>1.0559339468915743E-4</v>
      </c>
      <c r="G68" t="s">
        <v>49</v>
      </c>
      <c r="H68" s="85">
        <v>1</v>
      </c>
    </row>
    <row r="69" spans="1:8">
      <c r="A69" t="s">
        <v>37</v>
      </c>
      <c r="B69" s="85">
        <v>1.0941093835193215E-4</v>
      </c>
      <c r="D69" t="s">
        <v>37</v>
      </c>
      <c r="E69" s="76">
        <v>1.0941093835193215E-4</v>
      </c>
    </row>
    <row r="70" spans="1:8">
      <c r="A70" t="s">
        <v>38</v>
      </c>
      <c r="B70" s="85">
        <v>2.5088593411146973E-3</v>
      </c>
      <c r="D70" t="s">
        <v>38</v>
      </c>
      <c r="E70" s="76">
        <v>2.5088593411146973E-3</v>
      </c>
    </row>
    <row r="71" spans="1:8">
      <c r="A71" t="s">
        <v>49</v>
      </c>
      <c r="B71" s="85">
        <v>1</v>
      </c>
    </row>
  </sheetData>
  <pageMargins left="0.7" right="0.7" top="0.75" bottom="0.75" header="0.3" footer="0.3"/>
  <pageSetup scale="49" orientation="landscape" r:id="rId1"/>
  <headerFooter>
    <oddHeader>&amp;RKY PSC Case No. 2016-00162,
Attachment G to Staff Post Hearing Supp. DR 2</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workbookViewId="0">
      <selection sqref="A1:I1"/>
    </sheetView>
  </sheetViews>
  <sheetFormatPr defaultRowHeight="14.4"/>
  <cols>
    <col min="1" max="1" width="8.109375" customWidth="1"/>
    <col min="2" max="2" width="14.109375" bestFit="1" customWidth="1"/>
    <col min="3" max="3" width="11.44140625" bestFit="1" customWidth="1"/>
    <col min="6" max="6" width="14.109375" bestFit="1" customWidth="1"/>
    <col min="7" max="7" width="11.44140625" bestFit="1" customWidth="1"/>
    <col min="9" max="9" width="10.33203125" bestFit="1" customWidth="1"/>
  </cols>
  <sheetData>
    <row r="1" spans="1:9" ht="19.2">
      <c r="A1" s="245" t="s">
        <v>94</v>
      </c>
      <c r="B1" s="245"/>
      <c r="C1" s="245"/>
      <c r="D1" s="245"/>
      <c r="E1" s="245"/>
      <c r="F1" s="245"/>
      <c r="G1" s="245"/>
      <c r="H1" s="245"/>
      <c r="I1" s="245"/>
    </row>
    <row r="3" spans="1:9">
      <c r="A3" s="246" t="s">
        <v>95</v>
      </c>
      <c r="B3" s="246"/>
      <c r="C3" s="246"/>
      <c r="D3" s="124"/>
      <c r="E3" s="246" t="s">
        <v>96</v>
      </c>
      <c r="F3" s="246"/>
      <c r="G3" s="246"/>
    </row>
    <row r="4" spans="1:9">
      <c r="A4" s="125"/>
      <c r="B4" s="125"/>
      <c r="C4" s="125"/>
      <c r="E4" s="125"/>
      <c r="F4" s="125"/>
      <c r="G4" s="125" t="s">
        <v>112</v>
      </c>
    </row>
    <row r="5" spans="1:9">
      <c r="A5" s="124" t="s">
        <v>44</v>
      </c>
      <c r="B5" s="124" t="s">
        <v>63</v>
      </c>
      <c r="C5" s="126" t="s">
        <v>4</v>
      </c>
      <c r="D5" s="127"/>
      <c r="E5" s="124" t="s">
        <v>44</v>
      </c>
      <c r="F5" s="124" t="s">
        <v>63</v>
      </c>
      <c r="G5" s="126" t="s">
        <v>4</v>
      </c>
      <c r="H5" s="128"/>
      <c r="I5" s="126" t="s">
        <v>7</v>
      </c>
    </row>
    <row r="6" spans="1:9">
      <c r="A6" s="128" t="s">
        <v>8</v>
      </c>
      <c r="B6" s="147">
        <v>251342.44</v>
      </c>
      <c r="C6" s="128">
        <v>8.3999999999999995E-3</v>
      </c>
      <c r="D6" s="128"/>
      <c r="E6" s="129" t="s">
        <v>8</v>
      </c>
      <c r="F6" s="147">
        <v>189347.38</v>
      </c>
      <c r="G6" s="130">
        <v>6.0000000000000001E-3</v>
      </c>
      <c r="H6" s="131"/>
      <c r="I6" s="132">
        <f t="shared" ref="I6:I31" si="0">G6-C6</f>
        <v>-2.3999999999999994E-3</v>
      </c>
    </row>
    <row r="7" spans="1:9">
      <c r="A7" s="128" t="s">
        <v>9</v>
      </c>
      <c r="B7" s="147">
        <v>922366.96</v>
      </c>
      <c r="C7" s="128">
        <v>3.0800000000000001E-2</v>
      </c>
      <c r="D7" s="128"/>
      <c r="E7" s="129" t="s">
        <v>9</v>
      </c>
      <c r="F7" s="147">
        <v>1046225.56</v>
      </c>
      <c r="G7" s="130">
        <v>3.3399999999999999E-2</v>
      </c>
      <c r="H7" s="131"/>
      <c r="I7" s="132">
        <f t="shared" si="0"/>
        <v>2.5999999999999981E-3</v>
      </c>
    </row>
    <row r="8" spans="1:9">
      <c r="A8" s="122" t="s">
        <v>11</v>
      </c>
      <c r="B8" s="147">
        <v>23257.010000000002</v>
      </c>
      <c r="C8" s="122">
        <v>8.0000000000000004E-4</v>
      </c>
      <c r="D8" s="128"/>
      <c r="E8" s="129" t="s">
        <v>11</v>
      </c>
      <c r="F8" s="147">
        <v>17796.370000000003</v>
      </c>
      <c r="G8" s="130">
        <v>5.9999999999999995E-4</v>
      </c>
      <c r="H8" s="131"/>
      <c r="I8" s="132">
        <f t="shared" si="0"/>
        <v>-2.0000000000000009E-4</v>
      </c>
    </row>
    <row r="9" spans="1:9">
      <c r="A9" s="122" t="s">
        <v>12</v>
      </c>
      <c r="B9" s="147">
        <v>22416.399999999998</v>
      </c>
      <c r="C9" s="122">
        <v>6.9999999999999999E-4</v>
      </c>
      <c r="D9" s="128"/>
      <c r="E9" s="129" t="s">
        <v>12</v>
      </c>
      <c r="F9" s="147">
        <v>13532.549999999997</v>
      </c>
      <c r="G9" s="130">
        <v>4.0000000000000002E-4</v>
      </c>
      <c r="H9" s="123"/>
      <c r="I9" s="132">
        <f t="shared" si="0"/>
        <v>-2.9999999999999997E-4</v>
      </c>
    </row>
    <row r="10" spans="1:9">
      <c r="A10" s="122" t="s">
        <v>13</v>
      </c>
      <c r="B10" s="147">
        <v>495193.07999999996</v>
      </c>
      <c r="C10" s="122">
        <v>1.66E-2</v>
      </c>
      <c r="D10" s="128"/>
      <c r="E10" s="129" t="s">
        <v>13</v>
      </c>
      <c r="F10" s="147">
        <v>613886.20000000019</v>
      </c>
      <c r="G10" s="130">
        <v>1.9599999999999999E-2</v>
      </c>
      <c r="H10" s="123"/>
      <c r="I10" s="132">
        <f t="shared" si="0"/>
        <v>2.9999999999999992E-3</v>
      </c>
    </row>
    <row r="11" spans="1:9">
      <c r="A11" s="122" t="s">
        <v>14</v>
      </c>
      <c r="B11" s="147">
        <v>3891454.56</v>
      </c>
      <c r="C11" s="122">
        <v>0.13009999999999999</v>
      </c>
      <c r="D11" s="128"/>
      <c r="E11" s="129" t="s">
        <v>14</v>
      </c>
      <c r="F11" s="147">
        <v>3921231.9299999992</v>
      </c>
      <c r="G11" s="130">
        <v>0.125</v>
      </c>
      <c r="H11" s="123"/>
      <c r="I11" s="132">
        <f t="shared" si="0"/>
        <v>-5.0999999999999934E-3</v>
      </c>
    </row>
    <row r="12" spans="1:9">
      <c r="A12" s="122" t="s">
        <v>15</v>
      </c>
      <c r="B12" s="147">
        <v>332751.45999999996</v>
      </c>
      <c r="C12" s="122">
        <v>1.11E-2</v>
      </c>
      <c r="D12" s="128"/>
      <c r="E12" s="129" t="s">
        <v>15</v>
      </c>
      <c r="F12" s="147">
        <v>588829.14999999979</v>
      </c>
      <c r="G12" s="130">
        <v>1.8800000000000001E-2</v>
      </c>
      <c r="H12" s="123"/>
      <c r="I12" s="132">
        <f t="shared" si="0"/>
        <v>7.7000000000000002E-3</v>
      </c>
    </row>
    <row r="13" spans="1:9">
      <c r="A13" s="122" t="s">
        <v>16</v>
      </c>
      <c r="B13" s="147">
        <v>1863138.73</v>
      </c>
      <c r="C13" s="122">
        <v>6.2300000000000001E-2</v>
      </c>
      <c r="D13" s="128"/>
      <c r="E13" s="129" t="s">
        <v>16</v>
      </c>
      <c r="F13" s="147">
        <v>1750995.1899999995</v>
      </c>
      <c r="G13" s="130">
        <v>5.5800000000000002E-2</v>
      </c>
      <c r="H13" s="123"/>
      <c r="I13" s="132">
        <f t="shared" si="0"/>
        <v>-6.4999999999999988E-3</v>
      </c>
    </row>
    <row r="14" spans="1:9">
      <c r="A14" s="122" t="s">
        <v>17</v>
      </c>
      <c r="B14" s="147">
        <v>1415086.2000000002</v>
      </c>
      <c r="C14" s="122">
        <v>4.7300000000000002E-2</v>
      </c>
      <c r="D14" s="128"/>
      <c r="E14" s="129" t="s">
        <v>17</v>
      </c>
      <c r="F14" s="147">
        <v>1445837.8600000006</v>
      </c>
      <c r="G14" s="130">
        <v>4.6100000000000002E-2</v>
      </c>
      <c r="H14" s="123"/>
      <c r="I14" s="132">
        <f t="shared" si="0"/>
        <v>-1.1999999999999997E-3</v>
      </c>
    </row>
    <row r="15" spans="1:9">
      <c r="A15" s="122" t="s">
        <v>18</v>
      </c>
      <c r="B15" s="147">
        <v>17130.300000000003</v>
      </c>
      <c r="C15" s="122">
        <v>5.9999999999999995E-4</v>
      </c>
      <c r="D15" s="128"/>
      <c r="E15" s="129" t="s">
        <v>18</v>
      </c>
      <c r="F15" s="147">
        <v>14373.330000000002</v>
      </c>
      <c r="G15" s="130">
        <v>5.0000000000000001E-4</v>
      </c>
      <c r="H15" s="123"/>
      <c r="I15" s="132">
        <f t="shared" si="0"/>
        <v>-9.9999999999999937E-5</v>
      </c>
    </row>
    <row r="16" spans="1:9">
      <c r="A16" s="122" t="s">
        <v>19</v>
      </c>
      <c r="B16" s="147">
        <v>8183535.5799999991</v>
      </c>
      <c r="C16" s="122">
        <v>0.27350000000000002</v>
      </c>
      <c r="D16" s="128"/>
      <c r="E16" s="129" t="s">
        <v>19</v>
      </c>
      <c r="F16" s="147">
        <v>8867341.3600000013</v>
      </c>
      <c r="G16" s="130">
        <v>0.2828</v>
      </c>
      <c r="H16" s="123"/>
      <c r="I16" s="132">
        <f t="shared" si="0"/>
        <v>9.299999999999975E-3</v>
      </c>
    </row>
    <row r="17" spans="1:9">
      <c r="A17" s="134" t="s">
        <v>20</v>
      </c>
      <c r="B17" s="147">
        <v>7442.5100000000011</v>
      </c>
      <c r="C17" s="134">
        <v>2.0000000000000001E-4</v>
      </c>
      <c r="D17" s="135"/>
      <c r="E17" s="129" t="s">
        <v>20</v>
      </c>
      <c r="F17" s="147">
        <v>4643.0800000000008</v>
      </c>
      <c r="G17" s="130">
        <v>1E-4</v>
      </c>
      <c r="H17" s="123"/>
      <c r="I17" s="132">
        <f t="shared" si="0"/>
        <v>-1E-4</v>
      </c>
    </row>
    <row r="18" spans="1:9">
      <c r="A18" s="122" t="s">
        <v>21</v>
      </c>
      <c r="B18" s="147">
        <v>1522612.57</v>
      </c>
      <c r="C18" s="122">
        <v>5.0799999999999998E-2</v>
      </c>
      <c r="D18" s="128"/>
      <c r="E18" s="129" t="s">
        <v>21</v>
      </c>
      <c r="F18" s="147">
        <v>1813760.3899999997</v>
      </c>
      <c r="G18" s="138">
        <v>5.79E-2</v>
      </c>
      <c r="H18" s="123"/>
      <c r="I18" s="132">
        <f t="shared" si="0"/>
        <v>7.1000000000000021E-3</v>
      </c>
    </row>
    <row r="19" spans="1:9">
      <c r="A19" s="134" t="s">
        <v>22</v>
      </c>
      <c r="B19" s="147">
        <v>6694589.5299999993</v>
      </c>
      <c r="C19" s="134">
        <v>0.2238</v>
      </c>
      <c r="D19" s="135"/>
      <c r="E19" s="129" t="s">
        <v>22</v>
      </c>
      <c r="F19" s="147">
        <v>6959464.6900000004</v>
      </c>
      <c r="G19" s="130">
        <v>0.22189999999999999</v>
      </c>
      <c r="H19" s="136"/>
      <c r="I19" s="132">
        <f t="shared" si="0"/>
        <v>-1.9000000000000128E-3</v>
      </c>
    </row>
    <row r="20" spans="1:9">
      <c r="A20" s="134" t="s">
        <v>23</v>
      </c>
      <c r="B20" s="147">
        <v>400452.78</v>
      </c>
      <c r="C20" s="134">
        <v>1.34E-2</v>
      </c>
      <c r="D20" s="135"/>
      <c r="E20" s="137" t="s">
        <v>23</v>
      </c>
      <c r="F20" s="147">
        <v>360114.72000000003</v>
      </c>
      <c r="G20" s="138">
        <v>1.15E-2</v>
      </c>
      <c r="H20" s="136"/>
      <c r="I20" s="132">
        <f t="shared" si="0"/>
        <v>-1.9000000000000006E-3</v>
      </c>
    </row>
    <row r="21" spans="1:9">
      <c r="A21" s="134" t="s">
        <v>24</v>
      </c>
      <c r="B21" s="147">
        <v>224.07999999999998</v>
      </c>
      <c r="C21" s="134">
        <v>0</v>
      </c>
      <c r="D21" s="135"/>
      <c r="E21" s="137" t="s">
        <v>24</v>
      </c>
      <c r="F21" s="147">
        <v>202.82999999999998</v>
      </c>
      <c r="G21" s="138">
        <v>0</v>
      </c>
      <c r="H21" s="136"/>
      <c r="I21" s="132">
        <f t="shared" si="0"/>
        <v>0</v>
      </c>
    </row>
    <row r="22" spans="1:9">
      <c r="A22" s="134" t="s">
        <v>27</v>
      </c>
      <c r="B22" s="147">
        <v>78152.55</v>
      </c>
      <c r="C22" s="134">
        <v>2.5999999999999999E-3</v>
      </c>
      <c r="D22" s="135"/>
      <c r="E22" s="137" t="s">
        <v>27</v>
      </c>
      <c r="F22" s="147">
        <v>51748.959999999999</v>
      </c>
      <c r="G22" s="138">
        <v>1.6999999999999999E-3</v>
      </c>
      <c r="H22" s="136"/>
      <c r="I22" s="132">
        <f t="shared" si="0"/>
        <v>-8.9999999999999998E-4</v>
      </c>
    </row>
    <row r="23" spans="1:9">
      <c r="A23" s="139" t="s">
        <v>55</v>
      </c>
      <c r="B23" s="147">
        <v>2.2199999999999998</v>
      </c>
      <c r="C23" s="134">
        <v>0</v>
      </c>
      <c r="D23" s="135"/>
      <c r="E23" s="137" t="s">
        <v>55</v>
      </c>
      <c r="F23" s="147">
        <v>0.3</v>
      </c>
      <c r="G23" s="138">
        <v>0</v>
      </c>
      <c r="H23" s="136"/>
      <c r="I23" s="132">
        <f t="shared" si="0"/>
        <v>0</v>
      </c>
    </row>
    <row r="24" spans="1:9">
      <c r="A24" s="134" t="s">
        <v>30</v>
      </c>
      <c r="B24" s="147">
        <v>133213.84999999998</v>
      </c>
      <c r="C24" s="134">
        <v>4.4999999999999997E-3</v>
      </c>
      <c r="D24" s="135"/>
      <c r="E24" s="137" t="s">
        <v>30</v>
      </c>
      <c r="F24" s="147">
        <v>65954.540000000008</v>
      </c>
      <c r="G24" s="138">
        <v>2.0999999999999999E-3</v>
      </c>
      <c r="H24" s="136"/>
      <c r="I24" s="132">
        <f t="shared" si="0"/>
        <v>-2.3999999999999998E-3</v>
      </c>
    </row>
    <row r="25" spans="1:9">
      <c r="A25" s="134" t="s">
        <v>31</v>
      </c>
      <c r="B25" s="147">
        <v>1809.36</v>
      </c>
      <c r="C25" s="134">
        <v>1E-4</v>
      </c>
      <c r="D25" s="135"/>
      <c r="E25" s="137" t="s">
        <v>31</v>
      </c>
      <c r="F25" s="147">
        <v>560.78</v>
      </c>
      <c r="G25" s="138">
        <v>0</v>
      </c>
      <c r="H25" s="140"/>
      <c r="I25" s="132">
        <f t="shared" si="0"/>
        <v>-1E-4</v>
      </c>
    </row>
    <row r="26" spans="1:9">
      <c r="A26" s="134" t="s">
        <v>32</v>
      </c>
      <c r="B26" s="147">
        <v>2169040.0099999998</v>
      </c>
      <c r="C26" s="134">
        <v>7.2499999999999995E-2</v>
      </c>
      <c r="D26" s="135"/>
      <c r="E26" s="137" t="s">
        <v>32</v>
      </c>
      <c r="F26" s="147">
        <v>2228366.37</v>
      </c>
      <c r="G26" s="138">
        <v>7.1099999999999997E-2</v>
      </c>
      <c r="H26" s="140"/>
      <c r="I26" s="132">
        <f t="shared" si="0"/>
        <v>-1.3999999999999985E-3</v>
      </c>
    </row>
    <row r="27" spans="1:9">
      <c r="A27" s="134" t="s">
        <v>33</v>
      </c>
      <c r="B27" s="147">
        <v>685559.94000000006</v>
      </c>
      <c r="C27" s="134">
        <v>2.29E-2</v>
      </c>
      <c r="D27" s="135"/>
      <c r="E27" s="137" t="s">
        <v>33</v>
      </c>
      <c r="F27" s="147">
        <v>933199.24000000011</v>
      </c>
      <c r="G27" s="138">
        <v>2.98E-2</v>
      </c>
      <c r="H27" s="140"/>
      <c r="I27" s="132">
        <f t="shared" si="0"/>
        <v>6.8999999999999999E-3</v>
      </c>
    </row>
    <row r="28" spans="1:9">
      <c r="A28" s="122" t="s">
        <v>35</v>
      </c>
      <c r="B28" s="147">
        <v>546495.93000000005</v>
      </c>
      <c r="C28" s="122">
        <v>1.83E-2</v>
      </c>
      <c r="D28" s="128"/>
      <c r="E28" s="137" t="s">
        <v>35</v>
      </c>
      <c r="F28" s="147">
        <v>145647.12</v>
      </c>
      <c r="G28" s="138">
        <v>4.5999999999999999E-3</v>
      </c>
      <c r="H28" s="131"/>
      <c r="I28" s="150">
        <f t="shared" si="0"/>
        <v>-1.37E-2</v>
      </c>
    </row>
    <row r="29" spans="1:9">
      <c r="A29" s="122" t="s">
        <v>36</v>
      </c>
      <c r="B29" s="147">
        <v>1150.28</v>
      </c>
      <c r="C29" s="122">
        <v>0</v>
      </c>
      <c r="D29" s="128"/>
      <c r="E29" s="137" t="s">
        <v>36</v>
      </c>
      <c r="F29" s="147">
        <v>1122.6099999999999</v>
      </c>
      <c r="G29" s="138">
        <v>0</v>
      </c>
      <c r="H29" s="131"/>
      <c r="I29" s="132">
        <f t="shared" si="0"/>
        <v>0</v>
      </c>
    </row>
    <row r="30" spans="1:9">
      <c r="A30" s="122" t="s">
        <v>37</v>
      </c>
      <c r="B30" s="147">
        <v>1253.8899999999999</v>
      </c>
      <c r="C30" s="122">
        <v>0</v>
      </c>
      <c r="D30" s="128"/>
      <c r="E30" s="137" t="s">
        <v>37</v>
      </c>
      <c r="F30" s="147">
        <v>1246.8</v>
      </c>
      <c r="G30" s="138">
        <v>0</v>
      </c>
      <c r="H30" s="131"/>
      <c r="I30" s="132">
        <f t="shared" si="0"/>
        <v>0</v>
      </c>
    </row>
    <row r="31" spans="1:9">
      <c r="A31" s="128" t="s">
        <v>38</v>
      </c>
      <c r="B31" s="147">
        <v>260113.45</v>
      </c>
      <c r="C31" s="128">
        <v>8.6999999999999994E-3</v>
      </c>
      <c r="E31" s="137" t="s">
        <v>38</v>
      </c>
      <c r="F31" s="147">
        <v>324067.53999999986</v>
      </c>
      <c r="G31" s="138">
        <v>1.03E-2</v>
      </c>
      <c r="H31" s="128"/>
      <c r="I31" s="132">
        <f t="shared" si="0"/>
        <v>1.6000000000000007E-3</v>
      </c>
    </row>
    <row r="32" spans="1:9" ht="15" thickBot="1">
      <c r="A32" s="142" t="s">
        <v>6</v>
      </c>
      <c r="B32" s="174">
        <v>29919785.670000002</v>
      </c>
      <c r="C32" s="142">
        <f>SUM(C6:C31)</f>
        <v>1</v>
      </c>
      <c r="E32" s="143" t="s">
        <v>6</v>
      </c>
      <c r="F32" s="148">
        <v>31359496.850000001</v>
      </c>
      <c r="G32" s="144">
        <v>0.99999999999999989</v>
      </c>
      <c r="I32" s="142">
        <f>SUM(I6:I31)</f>
        <v>-2.7755575615628914E-17</v>
      </c>
    </row>
    <row r="33" spans="1:9" ht="15" thickTop="1">
      <c r="E33" s="129"/>
      <c r="F33" s="129"/>
      <c r="G33" s="145"/>
      <c r="H33" s="123"/>
      <c r="I33" s="121"/>
    </row>
    <row r="34" spans="1:9">
      <c r="E34" s="129"/>
      <c r="F34" s="129"/>
      <c r="G34" s="145"/>
      <c r="H34" s="123"/>
      <c r="I34" s="121"/>
    </row>
    <row r="35" spans="1:9">
      <c r="A35" s="121"/>
      <c r="B35" s="121"/>
      <c r="C35" s="122"/>
      <c r="D35" s="123"/>
      <c r="E35" s="146"/>
      <c r="F35" s="146"/>
      <c r="G35" s="146"/>
      <c r="H35" s="128"/>
      <c r="I35" s="128"/>
    </row>
    <row r="36" spans="1:9">
      <c r="A36" s="121"/>
      <c r="B36" s="121"/>
      <c r="C36" s="122"/>
      <c r="D36" s="123"/>
      <c r="E36" s="146"/>
      <c r="F36" s="146"/>
      <c r="G36" s="131"/>
      <c r="H36" s="128"/>
      <c r="I36" s="128"/>
    </row>
    <row r="37" spans="1:9">
      <c r="A37" s="121"/>
      <c r="B37" s="121"/>
      <c r="C37" s="122"/>
      <c r="D37" s="123"/>
      <c r="E37" s="146"/>
      <c r="F37" s="146"/>
      <c r="G37" s="131"/>
      <c r="H37" s="128"/>
      <c r="I37" s="128"/>
    </row>
    <row r="38" spans="1:9">
      <c r="A38" s="121"/>
      <c r="B38" s="121"/>
      <c r="C38" s="122"/>
      <c r="D38" s="123"/>
      <c r="E38" s="146"/>
      <c r="F38" s="146"/>
      <c r="G38" s="146"/>
      <c r="H38" s="128"/>
      <c r="I38" s="128"/>
    </row>
    <row r="39" spans="1:9">
      <c r="A39" s="121"/>
      <c r="B39" s="121"/>
      <c r="C39" s="122"/>
      <c r="D39" s="123"/>
      <c r="E39" s="128"/>
      <c r="F39" s="128"/>
      <c r="G39" s="128"/>
      <c r="H39" s="128"/>
      <c r="I39" s="128"/>
    </row>
    <row r="40" spans="1:9">
      <c r="A40" s="121"/>
      <c r="B40" s="121"/>
      <c r="C40" s="122"/>
      <c r="D40" s="123"/>
      <c r="E40" s="128"/>
      <c r="F40" s="128"/>
      <c r="G40" s="128"/>
      <c r="H40" s="128"/>
      <c r="I40" s="128"/>
    </row>
  </sheetData>
  <mergeCells count="3">
    <mergeCell ref="A1:I1"/>
    <mergeCell ref="A3:C3"/>
    <mergeCell ref="E3:G3"/>
  </mergeCells>
  <pageMargins left="0.7" right="0.7" top="0.75" bottom="0.75" header="0.3" footer="0.3"/>
  <pageSetup orientation="landscape" r:id="rId1"/>
  <headerFooter>
    <oddHeader>&amp;RKY PSC Case No. 2016-00162,
Attachment G to Staff Post Hearing Supp. DR 2</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9"/>
  <sheetViews>
    <sheetView workbookViewId="0"/>
  </sheetViews>
  <sheetFormatPr defaultRowHeight="14.4"/>
  <cols>
    <col min="1" max="1" width="10.77734375" customWidth="1"/>
    <col min="2" max="2" width="18.5546875" customWidth="1"/>
    <col min="4" max="4" width="6.109375" customWidth="1"/>
    <col min="5" max="5" width="12.33203125" bestFit="1" customWidth="1"/>
    <col min="7" max="7" width="11.33203125" customWidth="1"/>
    <col min="8" max="8" width="19.109375" bestFit="1" customWidth="1"/>
  </cols>
  <sheetData>
    <row r="1" spans="1:8">
      <c r="A1" s="163" t="s">
        <v>98</v>
      </c>
      <c r="B1" t="s">
        <v>99</v>
      </c>
    </row>
    <row r="2" spans="1:8">
      <c r="A2" s="163" t="s">
        <v>106</v>
      </c>
      <c r="B2" t="s">
        <v>107</v>
      </c>
    </row>
    <row r="3" spans="1:8" ht="14.4" customHeight="1"/>
    <row r="4" spans="1:8">
      <c r="A4" s="163" t="s">
        <v>44</v>
      </c>
      <c r="B4" t="s">
        <v>100</v>
      </c>
      <c r="D4" t="s">
        <v>44</v>
      </c>
      <c r="E4" t="s">
        <v>108</v>
      </c>
      <c r="G4" s="163" t="s">
        <v>44</v>
      </c>
      <c r="H4" t="s">
        <v>100</v>
      </c>
    </row>
    <row r="5" spans="1:8">
      <c r="A5" t="s">
        <v>8</v>
      </c>
      <c r="B5" s="73">
        <v>189347.38</v>
      </c>
      <c r="D5" t="s">
        <v>8</v>
      </c>
      <c r="E5" s="76">
        <v>6.0379597576355887E-3</v>
      </c>
      <c r="F5" s="76"/>
      <c r="G5" t="s">
        <v>8</v>
      </c>
      <c r="H5" s="85">
        <v>6.0379597576355869E-3</v>
      </c>
    </row>
    <row r="6" spans="1:8">
      <c r="A6" t="s">
        <v>9</v>
      </c>
      <c r="B6" s="73">
        <v>1046225.56</v>
      </c>
      <c r="D6" t="s">
        <v>9</v>
      </c>
      <c r="E6" s="76">
        <v>3.3362319714641729E-2</v>
      </c>
      <c r="F6" s="76"/>
      <c r="G6" t="s">
        <v>9</v>
      </c>
      <c r="H6" s="85">
        <v>3.3362319714641722E-2</v>
      </c>
    </row>
    <row r="7" spans="1:8">
      <c r="A7" t="s">
        <v>11</v>
      </c>
      <c r="B7" s="73">
        <v>17796.370000000003</v>
      </c>
      <c r="D7" t="s">
        <v>11</v>
      </c>
      <c r="E7" s="76">
        <v>5.6749539334525405E-4</v>
      </c>
      <c r="F7" s="76"/>
      <c r="G7" t="s">
        <v>11</v>
      </c>
      <c r="H7" s="85">
        <v>5.6749539334525394E-4</v>
      </c>
    </row>
    <row r="8" spans="1:8">
      <c r="A8" t="s">
        <v>12</v>
      </c>
      <c r="B8" s="73">
        <v>13532.549999999997</v>
      </c>
      <c r="D8" t="s">
        <v>12</v>
      </c>
      <c r="E8" s="76">
        <v>4.3152956390625247E-4</v>
      </c>
      <c r="G8" t="s">
        <v>12</v>
      </c>
      <c r="H8" s="85">
        <v>4.3152956390625236E-4</v>
      </c>
    </row>
    <row r="9" spans="1:8">
      <c r="A9" t="s">
        <v>13</v>
      </c>
      <c r="B9" s="73">
        <v>613886.20000000019</v>
      </c>
      <c r="D9" t="s">
        <v>13</v>
      </c>
      <c r="E9" s="76">
        <v>1.9575766886068525E-2</v>
      </c>
      <c r="F9" s="76"/>
      <c r="G9" t="s">
        <v>13</v>
      </c>
      <c r="H9" s="85">
        <v>1.9575766886068522E-2</v>
      </c>
    </row>
    <row r="10" spans="1:8">
      <c r="A10" t="s">
        <v>14</v>
      </c>
      <c r="B10" s="73">
        <v>3921231.9299999992</v>
      </c>
      <c r="D10" t="s">
        <v>14</v>
      </c>
      <c r="E10" s="76">
        <v>0.12504128968510539</v>
      </c>
      <c r="F10" s="76"/>
      <c r="G10" t="s">
        <v>14</v>
      </c>
      <c r="H10" s="85">
        <v>0.12504128968510536</v>
      </c>
    </row>
    <row r="11" spans="1:8">
      <c r="A11" t="s">
        <v>15</v>
      </c>
      <c r="B11" s="73">
        <v>588829.14999999979</v>
      </c>
      <c r="D11" t="s">
        <v>15</v>
      </c>
      <c r="E11" s="76">
        <v>1.8776740992258612E-2</v>
      </c>
      <c r="F11" s="76"/>
      <c r="G11" t="s">
        <v>15</v>
      </c>
      <c r="H11" s="85">
        <v>1.8776740992258609E-2</v>
      </c>
    </row>
    <row r="12" spans="1:8">
      <c r="A12" t="s">
        <v>16</v>
      </c>
      <c r="B12" s="73">
        <v>1750995.1899999995</v>
      </c>
      <c r="D12" t="s">
        <v>16</v>
      </c>
      <c r="E12" s="76">
        <v>5.5836201657680599E-2</v>
      </c>
      <c r="F12" s="76"/>
      <c r="G12" t="s">
        <v>16</v>
      </c>
      <c r="H12" s="85">
        <v>5.5836201657680586E-2</v>
      </c>
    </row>
    <row r="13" spans="1:8">
      <c r="A13" t="s">
        <v>17</v>
      </c>
      <c r="B13" s="73">
        <v>1445837.8600000006</v>
      </c>
      <c r="D13" t="s">
        <v>17</v>
      </c>
      <c r="E13" s="76">
        <v>4.6105263324720744E-2</v>
      </c>
      <c r="F13" s="76"/>
      <c r="G13" t="s">
        <v>17</v>
      </c>
      <c r="H13" s="85">
        <v>4.6105263324720737E-2</v>
      </c>
    </row>
    <row r="14" spans="1:8">
      <c r="A14" t="s">
        <v>18</v>
      </c>
      <c r="B14" s="73">
        <v>14373.330000000002</v>
      </c>
      <c r="D14" t="s">
        <v>18</v>
      </c>
      <c r="E14" s="76">
        <v>4.5834058080558788E-4</v>
      </c>
      <c r="F14" s="76"/>
      <c r="G14" t="s">
        <v>18</v>
      </c>
      <c r="H14" s="85">
        <v>4.5834058080558777E-4</v>
      </c>
    </row>
    <row r="15" spans="1:8">
      <c r="A15" t="s">
        <v>19</v>
      </c>
      <c r="B15" s="73">
        <v>8867341.3600000013</v>
      </c>
      <c r="D15" t="s">
        <v>19</v>
      </c>
      <c r="E15" s="76">
        <v>0.2827641464534531</v>
      </c>
      <c r="F15" s="76"/>
      <c r="G15" t="s">
        <v>19</v>
      </c>
      <c r="H15" s="85">
        <v>0.28276414645345305</v>
      </c>
    </row>
    <row r="16" spans="1:8">
      <c r="A16" t="s">
        <v>20</v>
      </c>
      <c r="B16" s="73">
        <v>4643.0800000000008</v>
      </c>
      <c r="D16" t="s">
        <v>20</v>
      </c>
      <c r="E16" s="76">
        <v>1.4805977347815774E-4</v>
      </c>
      <c r="F16" s="76"/>
      <c r="G16" t="s">
        <v>20</v>
      </c>
      <c r="H16" s="85">
        <v>1.4805977347815772E-4</v>
      </c>
    </row>
    <row r="17" spans="1:8">
      <c r="A17" t="s">
        <v>21</v>
      </c>
      <c r="B17" s="73">
        <v>1813760.3899999997</v>
      </c>
      <c r="D17" t="s">
        <v>21</v>
      </c>
      <c r="E17" s="76">
        <v>5.7837675096499508E-2</v>
      </c>
      <c r="F17" s="76"/>
      <c r="G17" t="s">
        <v>21</v>
      </c>
      <c r="H17" s="85">
        <v>5.7837675096499494E-2</v>
      </c>
    </row>
    <row r="18" spans="1:8">
      <c r="A18" t="s">
        <v>22</v>
      </c>
      <c r="B18" s="73">
        <v>3687148.939999999</v>
      </c>
      <c r="D18" t="s">
        <v>22</v>
      </c>
      <c r="E18" s="76">
        <v>0.11757678886356238</v>
      </c>
      <c r="F18" s="76"/>
      <c r="G18" t="s">
        <v>22</v>
      </c>
      <c r="H18" s="85">
        <v>0.22192526631689238</v>
      </c>
    </row>
    <row r="19" spans="1:8">
      <c r="A19" t="s">
        <v>23</v>
      </c>
      <c r="B19" s="73">
        <v>360114.72000000003</v>
      </c>
      <c r="D19" t="s">
        <v>23</v>
      </c>
      <c r="E19" s="76">
        <v>1.1483434243939409E-2</v>
      </c>
      <c r="F19" s="76"/>
      <c r="G19" t="s">
        <v>23</v>
      </c>
      <c r="H19" s="85">
        <v>1.1483434243939408E-2</v>
      </c>
    </row>
    <row r="20" spans="1:8">
      <c r="A20" t="s">
        <v>24</v>
      </c>
      <c r="B20" s="73">
        <v>202.82999999999998</v>
      </c>
      <c r="D20" t="s">
        <v>24</v>
      </c>
      <c r="E20" s="76">
        <v>6.4678971403841258E-6</v>
      </c>
      <c r="F20" s="76"/>
      <c r="G20" t="s">
        <v>24</v>
      </c>
      <c r="H20" s="85">
        <v>6.4678971403841241E-6</v>
      </c>
    </row>
    <row r="21" spans="1:8">
      <c r="A21" t="s">
        <v>27</v>
      </c>
      <c r="B21" s="73">
        <v>51748.959999999999</v>
      </c>
      <c r="D21" t="s">
        <v>27</v>
      </c>
      <c r="E21" s="76">
        <v>1.6501846393622863E-3</v>
      </c>
      <c r="F21" s="76"/>
      <c r="G21" t="s">
        <v>27</v>
      </c>
      <c r="H21" s="85">
        <v>1.6501846393622858E-3</v>
      </c>
    </row>
    <row r="22" spans="1:8">
      <c r="A22" t="s">
        <v>55</v>
      </c>
      <c r="B22" s="73">
        <v>0.3</v>
      </c>
      <c r="D22" t="s">
        <v>55</v>
      </c>
      <c r="E22" s="76">
        <v>9.5664800183170034E-9</v>
      </c>
      <c r="F22" s="76"/>
      <c r="G22" t="s">
        <v>55</v>
      </c>
      <c r="H22" s="85">
        <v>9.5664800183170017E-9</v>
      </c>
    </row>
    <row r="23" spans="1:8">
      <c r="A23" t="s">
        <v>30</v>
      </c>
      <c r="B23" s="73">
        <v>65954.540000000008</v>
      </c>
      <c r="D23" t="s">
        <v>30</v>
      </c>
      <c r="E23" s="76">
        <v>2.1031759634242988E-3</v>
      </c>
      <c r="F23" s="76"/>
      <c r="G23" t="s">
        <v>30</v>
      </c>
      <c r="H23" s="85">
        <v>2.1031759634242983E-3</v>
      </c>
    </row>
    <row r="24" spans="1:8">
      <c r="A24" t="s">
        <v>31</v>
      </c>
      <c r="B24" s="73">
        <v>560.78</v>
      </c>
      <c r="D24" t="s">
        <v>31</v>
      </c>
      <c r="E24" s="76">
        <v>1.7882302215572696E-5</v>
      </c>
      <c r="F24" s="76"/>
      <c r="G24" t="s">
        <v>31</v>
      </c>
      <c r="H24" s="85">
        <v>1.7882302215572692E-5</v>
      </c>
    </row>
    <row r="25" spans="1:8">
      <c r="A25" t="s">
        <v>32</v>
      </c>
      <c r="B25" s="73">
        <v>2228366.37</v>
      </c>
      <c r="D25" t="s">
        <v>32</v>
      </c>
      <c r="E25" s="76">
        <v>7.105874117364866E-2</v>
      </c>
      <c r="F25" s="76"/>
      <c r="G25" t="s">
        <v>32</v>
      </c>
      <c r="H25" s="85">
        <v>7.1058741173648646E-2</v>
      </c>
    </row>
    <row r="26" spans="1:8">
      <c r="A26" t="s">
        <v>33</v>
      </c>
      <c r="B26" s="73">
        <v>933199.24000000011</v>
      </c>
      <c r="D26" t="s">
        <v>33</v>
      </c>
      <c r="E26" s="76">
        <v>2.9758106275228718E-2</v>
      </c>
      <c r="F26" s="76"/>
      <c r="G26" t="s">
        <v>33</v>
      </c>
      <c r="H26" s="85">
        <v>2.9758106275228711E-2</v>
      </c>
    </row>
    <row r="27" spans="1:8">
      <c r="A27" t="s">
        <v>47</v>
      </c>
      <c r="B27" s="73">
        <v>2616008.5000000005</v>
      </c>
      <c r="D27" s="74" t="s">
        <v>22</v>
      </c>
      <c r="E27" s="76">
        <v>8.341997680999147E-2</v>
      </c>
      <c r="F27" s="76"/>
      <c r="G27" t="s">
        <v>35</v>
      </c>
      <c r="H27" s="85">
        <v>4.6444342106847286E-3</v>
      </c>
    </row>
    <row r="28" spans="1:8">
      <c r="A28" t="s">
        <v>48</v>
      </c>
      <c r="B28" s="73">
        <v>656307.24999999988</v>
      </c>
      <c r="D28" s="74" t="s">
        <v>22</v>
      </c>
      <c r="E28" s="76">
        <v>2.0928500643338604E-2</v>
      </c>
      <c r="F28" s="76"/>
      <c r="G28" t="s">
        <v>36</v>
      </c>
      <c r="H28" s="85">
        <v>3.5798087111209493E-5</v>
      </c>
    </row>
    <row r="29" spans="1:8">
      <c r="A29" t="s">
        <v>35</v>
      </c>
      <c r="B29" s="73">
        <v>145647.12</v>
      </c>
      <c r="D29" t="s">
        <v>35</v>
      </c>
      <c r="E29" s="76">
        <v>4.6444342106847294E-3</v>
      </c>
      <c r="F29" s="76"/>
      <c r="G29" t="s">
        <v>37</v>
      </c>
      <c r="H29" s="85">
        <v>3.9758290956125459E-5</v>
      </c>
    </row>
    <row r="30" spans="1:8">
      <c r="A30" t="s">
        <v>36</v>
      </c>
      <c r="B30" s="73">
        <v>1122.6099999999999</v>
      </c>
      <c r="D30" t="s">
        <v>36</v>
      </c>
      <c r="E30" s="76">
        <v>3.57980871112095E-5</v>
      </c>
      <c r="F30" s="76"/>
      <c r="G30" t="s">
        <v>38</v>
      </c>
      <c r="H30" s="85">
        <v>1.0333952153317148E-2</v>
      </c>
    </row>
    <row r="31" spans="1:8">
      <c r="A31" t="s">
        <v>37</v>
      </c>
      <c r="B31" s="73">
        <v>1246.8</v>
      </c>
      <c r="D31" t="s">
        <v>37</v>
      </c>
      <c r="E31" s="76">
        <v>3.9758290956125466E-5</v>
      </c>
      <c r="F31" s="76"/>
      <c r="G31" t="s">
        <v>49</v>
      </c>
      <c r="H31" s="85">
        <v>1</v>
      </c>
    </row>
    <row r="32" spans="1:8">
      <c r="A32" t="s">
        <v>38</v>
      </c>
      <c r="B32" s="73">
        <v>324067.53999999986</v>
      </c>
      <c r="D32" t="s">
        <v>38</v>
      </c>
      <c r="E32" s="76">
        <v>1.0333952153317149E-2</v>
      </c>
      <c r="F32" s="76"/>
    </row>
    <row r="33" spans="1:8">
      <c r="A33" t="s">
        <v>49</v>
      </c>
      <c r="B33" s="73">
        <v>31359496.849999998</v>
      </c>
    </row>
    <row r="38" spans="1:8">
      <c r="A38" s="163" t="s">
        <v>98</v>
      </c>
      <c r="B38" t="s">
        <v>99</v>
      </c>
    </row>
    <row r="40" spans="1:8">
      <c r="A40" s="163" t="s">
        <v>44</v>
      </c>
      <c r="B40" t="s">
        <v>100</v>
      </c>
      <c r="D40" t="s">
        <v>44</v>
      </c>
      <c r="E40" t="s">
        <v>108</v>
      </c>
      <c r="G40" s="163" t="s">
        <v>44</v>
      </c>
      <c r="H40" t="s">
        <v>100</v>
      </c>
    </row>
    <row r="41" spans="1:8">
      <c r="A41" t="s">
        <v>8</v>
      </c>
      <c r="B41" s="85">
        <v>6.2339859871235661E-3</v>
      </c>
      <c r="D41" t="s">
        <v>8</v>
      </c>
      <c r="E41" s="76">
        <v>6.2339859871235661E-3</v>
      </c>
      <c r="G41" t="s">
        <v>8</v>
      </c>
      <c r="H41" s="85">
        <v>6.2368291242761659E-3</v>
      </c>
    </row>
    <row r="42" spans="1:8">
      <c r="A42" t="s">
        <v>9</v>
      </c>
      <c r="B42" s="85">
        <v>3.3326785033095996E-2</v>
      </c>
      <c r="D42" t="s">
        <v>9</v>
      </c>
      <c r="E42" s="76">
        <v>3.3326785033095996E-2</v>
      </c>
      <c r="G42" t="s">
        <v>9</v>
      </c>
      <c r="H42" s="85">
        <v>3.3341984396857802E-2</v>
      </c>
    </row>
    <row r="43" spans="1:8">
      <c r="A43" t="s">
        <v>11</v>
      </c>
      <c r="B43" s="85">
        <v>5.8024158946691528E-4</v>
      </c>
      <c r="D43" t="s">
        <v>11</v>
      </c>
      <c r="E43" s="76">
        <v>5.8024158946691528E-4</v>
      </c>
      <c r="G43" t="s">
        <v>11</v>
      </c>
      <c r="H43" s="85">
        <v>5.8050622054306856E-4</v>
      </c>
    </row>
    <row r="44" spans="1:8">
      <c r="A44" t="s">
        <v>12</v>
      </c>
      <c r="B44" s="85">
        <v>4.5586260196423781E-4</v>
      </c>
      <c r="D44" t="s">
        <v>12</v>
      </c>
      <c r="E44" s="76">
        <v>4.5586260196423781E-4</v>
      </c>
      <c r="G44" t="s">
        <v>13</v>
      </c>
      <c r="H44" s="85">
        <v>1.9360639666518353E-2</v>
      </c>
    </row>
    <row r="45" spans="1:8">
      <c r="A45" t="s">
        <v>13</v>
      </c>
      <c r="B45" s="85">
        <v>1.9351813874944279E-2</v>
      </c>
      <c r="D45" t="s">
        <v>13</v>
      </c>
      <c r="E45" s="76">
        <v>1.9351813874944279E-2</v>
      </c>
      <c r="G45" t="s">
        <v>14</v>
      </c>
      <c r="H45" s="85">
        <v>0.12514607727394583</v>
      </c>
    </row>
    <row r="46" spans="1:8">
      <c r="A46" t="s">
        <v>14</v>
      </c>
      <c r="B46" s="85">
        <v>0.12508902785753409</v>
      </c>
      <c r="D46" t="s">
        <v>14</v>
      </c>
      <c r="E46" s="76">
        <v>0.12508902785753409</v>
      </c>
      <c r="G46" t="s">
        <v>15</v>
      </c>
      <c r="H46" s="85">
        <v>1.8303976420595159E-2</v>
      </c>
    </row>
    <row r="47" spans="1:8">
      <c r="A47" t="s">
        <v>15</v>
      </c>
      <c r="B47" s="85">
        <v>1.8295632322277773E-2</v>
      </c>
      <c r="D47" t="s">
        <v>15</v>
      </c>
      <c r="E47" s="76">
        <v>1.8295632322277773E-2</v>
      </c>
      <c r="G47" t="s">
        <v>16</v>
      </c>
      <c r="H47" s="85">
        <v>5.6159722133300262E-2</v>
      </c>
    </row>
    <row r="48" spans="1:8">
      <c r="A48" t="s">
        <v>16</v>
      </c>
      <c r="B48" s="85">
        <v>5.6134121016242981E-2</v>
      </c>
      <c r="D48" t="s">
        <v>16</v>
      </c>
      <c r="E48" s="76">
        <v>5.6134121016242981E-2</v>
      </c>
      <c r="G48" t="s">
        <v>17</v>
      </c>
      <c r="H48" s="85">
        <v>4.610201640662951E-2</v>
      </c>
    </row>
    <row r="49" spans="1:8">
      <c r="A49" t="s">
        <v>17</v>
      </c>
      <c r="B49" s="85">
        <v>4.6081000221474579E-2</v>
      </c>
      <c r="D49" t="s">
        <v>17</v>
      </c>
      <c r="E49" s="76">
        <v>4.6081000221474579E-2</v>
      </c>
      <c r="G49" t="s">
        <v>18</v>
      </c>
      <c r="H49" s="85">
        <v>4.6875339503376446E-4</v>
      </c>
    </row>
    <row r="50" spans="1:8">
      <c r="A50" t="s">
        <v>18</v>
      </c>
      <c r="B50" s="85">
        <v>4.6853970789142475E-4</v>
      </c>
      <c r="D50" t="s">
        <v>18</v>
      </c>
      <c r="E50" s="76">
        <v>4.6853970789142475E-4</v>
      </c>
      <c r="G50" t="s">
        <v>19</v>
      </c>
      <c r="H50" s="85">
        <v>0.28195694124491211</v>
      </c>
    </row>
    <row r="51" spans="1:8">
      <c r="A51" t="s">
        <v>19</v>
      </c>
      <c r="B51" s="85">
        <v>0.2818284076200343</v>
      </c>
      <c r="D51" t="s">
        <v>19</v>
      </c>
      <c r="E51" s="76">
        <v>0.2818284076200343</v>
      </c>
      <c r="G51" t="s">
        <v>20</v>
      </c>
      <c r="H51" s="85">
        <v>1.5582376323508971E-4</v>
      </c>
    </row>
    <row r="52" spans="1:8">
      <c r="A52" t="s">
        <v>20</v>
      </c>
      <c r="B52" s="85">
        <v>1.5575272900893348E-4</v>
      </c>
      <c r="D52" t="s">
        <v>20</v>
      </c>
      <c r="E52" s="76">
        <v>1.5575272900893348E-4</v>
      </c>
      <c r="G52" t="s">
        <v>21</v>
      </c>
      <c r="H52" s="85">
        <v>5.7430912371208627E-2</v>
      </c>
    </row>
    <row r="53" spans="1:8">
      <c r="A53" t="s">
        <v>21</v>
      </c>
      <c r="B53" s="85">
        <v>5.7404731766061902E-2</v>
      </c>
      <c r="D53" t="s">
        <v>21</v>
      </c>
      <c r="E53" s="76">
        <v>5.7404731766061902E-2</v>
      </c>
      <c r="G53" t="s">
        <v>22</v>
      </c>
      <c r="H53" s="85">
        <v>0.22310890277052522</v>
      </c>
    </row>
    <row r="54" spans="1:8">
      <c r="A54" t="s">
        <v>22</v>
      </c>
      <c r="B54" s="85">
        <v>0.12433564495936407</v>
      </c>
      <c r="D54" t="s">
        <v>22</v>
      </c>
      <c r="E54" s="76">
        <v>0.12433564495936407</v>
      </c>
      <c r="G54" t="s">
        <v>23</v>
      </c>
      <c r="H54" s="85">
        <v>1.1570539635097951E-2</v>
      </c>
    </row>
    <row r="55" spans="1:8">
      <c r="A55" t="s">
        <v>23</v>
      </c>
      <c r="B55" s="85">
        <v>1.1565265058793763E-2</v>
      </c>
      <c r="D55" t="s">
        <v>23</v>
      </c>
      <c r="E55" s="76">
        <v>1.1565265058793763E-2</v>
      </c>
      <c r="G55" t="s">
        <v>24</v>
      </c>
      <c r="H55" s="85">
        <v>6.11880997126486E-6</v>
      </c>
    </row>
    <row r="56" spans="1:8">
      <c r="A56" t="s">
        <v>24</v>
      </c>
      <c r="B56" s="85">
        <v>6.1160206346304336E-6</v>
      </c>
      <c r="D56" t="s">
        <v>24</v>
      </c>
      <c r="E56" s="76">
        <v>6.1160206346304336E-6</v>
      </c>
      <c r="G56" t="s">
        <v>27</v>
      </c>
      <c r="H56" s="85">
        <v>1.6828519351719839E-3</v>
      </c>
    </row>
    <row r="57" spans="1:8">
      <c r="A57" t="s">
        <v>27</v>
      </c>
      <c r="B57" s="85">
        <v>1.6820847859100956E-3</v>
      </c>
      <c r="D57" t="s">
        <v>27</v>
      </c>
      <c r="E57" s="76">
        <v>1.6820847859100956E-3</v>
      </c>
      <c r="G57" t="s">
        <v>55</v>
      </c>
      <c r="H57" s="85">
        <v>9.0501552599687331E-9</v>
      </c>
    </row>
    <row r="58" spans="1:8">
      <c r="A58" t="s">
        <v>55</v>
      </c>
      <c r="B58" s="85">
        <v>9.0460296326437415E-9</v>
      </c>
      <c r="D58" t="s">
        <v>55</v>
      </c>
      <c r="E58" s="76">
        <v>9.0460296326437415E-9</v>
      </c>
      <c r="G58" t="s">
        <v>30</v>
      </c>
      <c r="H58" s="85">
        <v>2.1981602338785539E-3</v>
      </c>
    </row>
    <row r="59" spans="1:8">
      <c r="A59" t="s">
        <v>30</v>
      </c>
      <c r="B59" s="85">
        <v>2.1971581748348032E-3</v>
      </c>
      <c r="D59" t="s">
        <v>30</v>
      </c>
      <c r="E59" s="76">
        <v>2.1971581748348032E-3</v>
      </c>
      <c r="G59" t="s">
        <v>31</v>
      </c>
      <c r="H59" s="85">
        <v>2.2361726960014739E-5</v>
      </c>
    </row>
    <row r="60" spans="1:8">
      <c r="A60" t="s">
        <v>31</v>
      </c>
      <c r="B60" s="85">
        <v>2.2351533084978331E-5</v>
      </c>
      <c r="D60" t="s">
        <v>31</v>
      </c>
      <c r="E60" s="76">
        <v>2.2351533084978331E-5</v>
      </c>
      <c r="G60" t="s">
        <v>32</v>
      </c>
      <c r="H60" s="85">
        <v>7.0925140036476375E-2</v>
      </c>
    </row>
    <row r="61" spans="1:8">
      <c r="A61" t="s">
        <v>32</v>
      </c>
      <c r="B61" s="85">
        <v>7.0892807917594655E-2</v>
      </c>
      <c r="D61" t="s">
        <v>32</v>
      </c>
      <c r="E61" s="76">
        <v>7.0892807917594655E-2</v>
      </c>
      <c r="G61" t="s">
        <v>33</v>
      </c>
      <c r="H61" s="85">
        <v>2.9479605290800185E-2</v>
      </c>
    </row>
    <row r="62" spans="1:8">
      <c r="A62" t="s">
        <v>33</v>
      </c>
      <c r="B62" s="85">
        <v>2.9466166641227438E-2</v>
      </c>
      <c r="D62" t="s">
        <v>33</v>
      </c>
      <c r="E62" s="76">
        <v>2.9466166641227438E-2</v>
      </c>
      <c r="G62" t="s">
        <v>35</v>
      </c>
      <c r="H62" s="85">
        <v>5.3092696615267112E-3</v>
      </c>
    </row>
    <row r="63" spans="1:8">
      <c r="A63" t="s">
        <v>47</v>
      </c>
      <c r="B63" s="85">
        <v>7.8881634700826375E-2</v>
      </c>
      <c r="D63" s="74" t="s">
        <v>22</v>
      </c>
      <c r="E63" s="76">
        <v>7.8881634700826375E-2</v>
      </c>
      <c r="G63" t="s">
        <v>36</v>
      </c>
      <c r="H63" s="85">
        <v>3.3865982654645E-5</v>
      </c>
    </row>
    <row r="64" spans="1:8">
      <c r="A64" t="s">
        <v>48</v>
      </c>
      <c r="B64" s="85">
        <v>1.9789916105396411E-2</v>
      </c>
      <c r="D64" s="74" t="s">
        <v>22</v>
      </c>
      <c r="E64" s="76">
        <v>1.9789916105396411E-2</v>
      </c>
      <c r="G64" t="s">
        <v>37</v>
      </c>
      <c r="H64" s="85">
        <v>3.7612445260430053E-5</v>
      </c>
    </row>
    <row r="65" spans="1:8">
      <c r="A65" t="s">
        <v>35</v>
      </c>
      <c r="B65" s="85">
        <v>5.3068493640442771E-3</v>
      </c>
      <c r="D65" t="s">
        <v>35</v>
      </c>
      <c r="E65" s="76">
        <v>5.3068493640442771E-3</v>
      </c>
      <c r="G65" t="s">
        <v>38</v>
      </c>
      <c r="H65" s="85">
        <v>1.0381380004465942E-2</v>
      </c>
    </row>
    <row r="66" spans="1:8">
      <c r="A66" t="s">
        <v>36</v>
      </c>
      <c r="B66" s="85">
        <v>3.3850544419673971E-5</v>
      </c>
      <c r="D66" t="s">
        <v>36</v>
      </c>
      <c r="E66" s="76">
        <v>3.3850544419673971E-5</v>
      </c>
      <c r="G66" t="s">
        <v>49</v>
      </c>
      <c r="H66" s="85">
        <v>1</v>
      </c>
    </row>
    <row r="67" spans="1:8">
      <c r="A67" t="s">
        <v>37</v>
      </c>
      <c r="B67" s="85">
        <v>3.7595299153267393E-5</v>
      </c>
      <c r="D67" t="s">
        <v>37</v>
      </c>
      <c r="E67" s="76">
        <v>3.7595299153267393E-5</v>
      </c>
    </row>
    <row r="68" spans="1:8">
      <c r="A68" t="s">
        <v>38</v>
      </c>
      <c r="B68" s="85">
        <v>1.0376647521565125E-2</v>
      </c>
      <c r="D68" t="s">
        <v>38</v>
      </c>
      <c r="E68" s="76">
        <v>1.0376647521565125E-2</v>
      </c>
    </row>
    <row r="69" spans="1:8">
      <c r="A69" t="s">
        <v>49</v>
      </c>
      <c r="B69" s="85">
        <v>1</v>
      </c>
    </row>
  </sheetData>
  <pageMargins left="0.7" right="0.7" top="0.75" bottom="0.75" header="0.3" footer="0.3"/>
  <pageSetup scale="49" orientation="landscape" r:id="rId1"/>
  <headerFooter>
    <oddHeader>&amp;RKY PSC Case No. 2016-00162,
Attachment G to Staff Post Hearing Supp. DR 2</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J31"/>
  <sheetViews>
    <sheetView workbookViewId="0">
      <selection sqref="A1:G1"/>
    </sheetView>
  </sheetViews>
  <sheetFormatPr defaultRowHeight="14.4"/>
  <cols>
    <col min="1" max="1" width="11.109375" bestFit="1" customWidth="1"/>
    <col min="2" max="2" width="15.33203125" bestFit="1" customWidth="1"/>
    <col min="3" max="3" width="19.6640625" bestFit="1" customWidth="1"/>
    <col min="4" max="4" width="3" customWidth="1"/>
    <col min="5" max="5" width="11.109375" bestFit="1" customWidth="1"/>
    <col min="6" max="6" width="15.33203125" bestFit="1" customWidth="1"/>
    <col min="7" max="7" width="19.6640625" bestFit="1" customWidth="1"/>
    <col min="8" max="8" width="3.6640625" customWidth="1"/>
    <col min="9" max="9" width="9.33203125" bestFit="1" customWidth="1"/>
    <col min="10" max="10" width="10.44140625" bestFit="1" customWidth="1"/>
  </cols>
  <sheetData>
    <row r="1" spans="1:10" ht="15.6">
      <c r="A1" s="247" t="s">
        <v>50</v>
      </c>
      <c r="B1" s="247"/>
      <c r="C1" s="247"/>
      <c r="D1" s="247"/>
      <c r="E1" s="247"/>
      <c r="F1" s="247"/>
      <c r="G1" s="247"/>
      <c r="H1" s="102"/>
      <c r="I1" s="103"/>
      <c r="J1" s="103"/>
    </row>
    <row r="2" spans="1:10">
      <c r="A2" s="165"/>
      <c r="B2" s="165"/>
      <c r="C2" s="165"/>
      <c r="D2" s="165"/>
      <c r="E2" s="165"/>
      <c r="F2" s="165"/>
      <c r="G2" s="165"/>
      <c r="H2" s="166"/>
      <c r="I2" s="165"/>
      <c r="J2" s="165"/>
    </row>
    <row r="3" spans="1:10">
      <c r="A3" s="243" t="s">
        <v>113</v>
      </c>
      <c r="B3" s="243"/>
      <c r="C3" s="243"/>
      <c r="D3" s="105"/>
      <c r="E3" s="243" t="s">
        <v>114</v>
      </c>
      <c r="F3" s="243"/>
      <c r="G3" s="243"/>
      <c r="H3" s="87"/>
      <c r="I3" s="48"/>
      <c r="J3" s="48"/>
    </row>
    <row r="4" spans="1:10">
      <c r="A4" s="49" t="s">
        <v>2</v>
      </c>
      <c r="B4" s="50" t="s">
        <v>3</v>
      </c>
      <c r="C4" s="167" t="s">
        <v>5</v>
      </c>
      <c r="D4" s="105"/>
      <c r="E4" s="49" t="s">
        <v>2</v>
      </c>
      <c r="F4" s="50" t="s">
        <v>3</v>
      </c>
      <c r="G4" s="106" t="s">
        <v>5</v>
      </c>
      <c r="H4" s="88"/>
      <c r="I4" s="52" t="s">
        <v>2</v>
      </c>
      <c r="J4" s="52" t="s">
        <v>7</v>
      </c>
    </row>
    <row r="5" spans="1:10">
      <c r="A5" s="54" t="s">
        <v>8</v>
      </c>
      <c r="B5" s="89">
        <v>422391.62000000128</v>
      </c>
      <c r="C5" s="107">
        <v>1.4E-3</v>
      </c>
      <c r="D5" s="105"/>
      <c r="E5" s="54" t="s">
        <v>8</v>
      </c>
      <c r="F5" s="89">
        <v>434571.24000000261</v>
      </c>
      <c r="G5" s="107">
        <v>1.4E-3</v>
      </c>
      <c r="H5" s="168"/>
      <c r="I5" s="57" t="s">
        <v>8</v>
      </c>
      <c r="J5" s="82">
        <f>G5-C5</f>
        <v>0</v>
      </c>
    </row>
    <row r="6" spans="1:10">
      <c r="A6" s="54" t="s">
        <v>9</v>
      </c>
      <c r="B6" s="89">
        <v>9724903.1299999971</v>
      </c>
      <c r="C6" s="107">
        <v>3.2800000000000003E-2</v>
      </c>
      <c r="D6" s="105"/>
      <c r="E6" s="54" t="s">
        <v>9</v>
      </c>
      <c r="F6" s="89">
        <v>11082796.359999951</v>
      </c>
      <c r="G6" s="107">
        <v>3.4799999999999998E-2</v>
      </c>
      <c r="H6" s="168"/>
      <c r="I6" s="57" t="s">
        <v>9</v>
      </c>
      <c r="J6" s="82">
        <f t="shared" ref="J6:J30" si="0">G6-C6</f>
        <v>1.9999999999999948E-3</v>
      </c>
    </row>
    <row r="7" spans="1:10">
      <c r="A7" s="54" t="s">
        <v>11</v>
      </c>
      <c r="B7" s="89">
        <v>199005.77999999977</v>
      </c>
      <c r="C7" s="107">
        <v>6.9999999999999999E-4</v>
      </c>
      <c r="D7" s="105"/>
      <c r="E7" s="54" t="s">
        <v>11</v>
      </c>
      <c r="F7" s="89">
        <v>177841.79999999923</v>
      </c>
      <c r="G7" s="107">
        <v>5.9999999999999995E-4</v>
      </c>
      <c r="H7" s="168"/>
      <c r="I7" s="57" t="s">
        <v>11</v>
      </c>
      <c r="J7" s="82">
        <f t="shared" si="0"/>
        <v>-1.0000000000000005E-4</v>
      </c>
    </row>
    <row r="8" spans="1:10">
      <c r="A8" s="54" t="s">
        <v>12</v>
      </c>
      <c r="B8" s="89">
        <v>206743.66999999995</v>
      </c>
      <c r="C8" s="107">
        <v>6.9999999999999999E-4</v>
      </c>
      <c r="D8" s="105"/>
      <c r="E8" s="54" t="s">
        <v>12</v>
      </c>
      <c r="F8" s="89">
        <v>0</v>
      </c>
      <c r="G8" s="107">
        <v>0</v>
      </c>
      <c r="H8" s="168"/>
      <c r="I8" s="57" t="s">
        <v>12</v>
      </c>
      <c r="J8" s="82">
        <f t="shared" si="0"/>
        <v>-6.9999999999999999E-4</v>
      </c>
    </row>
    <row r="9" spans="1:10">
      <c r="A9" s="54" t="s">
        <v>13</v>
      </c>
      <c r="B9" s="89">
        <v>6608490.8199999975</v>
      </c>
      <c r="C9" s="107">
        <v>2.23E-2</v>
      </c>
      <c r="D9" s="105"/>
      <c r="E9" s="54" t="s">
        <v>13</v>
      </c>
      <c r="F9" s="89">
        <v>6890172.9599999338</v>
      </c>
      <c r="G9" s="107">
        <v>2.1600000000000001E-2</v>
      </c>
      <c r="H9" s="168"/>
      <c r="I9" s="57" t="s">
        <v>13</v>
      </c>
      <c r="J9" s="82">
        <f t="shared" si="0"/>
        <v>-6.9999999999999923E-4</v>
      </c>
    </row>
    <row r="10" spans="1:10">
      <c r="A10" s="54" t="s">
        <v>14</v>
      </c>
      <c r="B10" s="89">
        <v>52423412.789999977</v>
      </c>
      <c r="C10" s="107">
        <v>0.17699999999999999</v>
      </c>
      <c r="D10" s="105"/>
      <c r="E10" s="54" t="s">
        <v>14</v>
      </c>
      <c r="F10" s="89">
        <v>53230028.839999631</v>
      </c>
      <c r="G10" s="107">
        <v>0.16719999999999999</v>
      </c>
      <c r="H10" s="168"/>
      <c r="I10" s="57" t="s">
        <v>14</v>
      </c>
      <c r="J10" s="82">
        <f t="shared" si="0"/>
        <v>-9.8000000000000032E-3</v>
      </c>
    </row>
    <row r="11" spans="1:10">
      <c r="A11" s="54" t="s">
        <v>15</v>
      </c>
      <c r="B11" s="89">
        <v>3038005.0200000019</v>
      </c>
      <c r="C11" s="107">
        <v>1.03E-2</v>
      </c>
      <c r="D11" s="105"/>
      <c r="E11" s="54" t="s">
        <v>15</v>
      </c>
      <c r="F11" s="89">
        <v>3163718.0099999919</v>
      </c>
      <c r="G11" s="107">
        <v>9.9000000000000008E-3</v>
      </c>
      <c r="H11" s="168"/>
      <c r="I11" s="57" t="s">
        <v>15</v>
      </c>
      <c r="J11" s="82">
        <f t="shared" si="0"/>
        <v>-3.9999999999999931E-4</v>
      </c>
    </row>
    <row r="12" spans="1:10">
      <c r="A12" s="54" t="s">
        <v>16</v>
      </c>
      <c r="B12" s="89">
        <v>22201674.670000009</v>
      </c>
      <c r="C12" s="107">
        <v>7.4999999999999997E-2</v>
      </c>
      <c r="D12" s="105"/>
      <c r="E12" s="54" t="s">
        <v>16</v>
      </c>
      <c r="F12" s="89">
        <v>24233829.869999934</v>
      </c>
      <c r="G12" s="107">
        <v>7.6100000000000001E-2</v>
      </c>
      <c r="H12" s="168"/>
      <c r="I12" s="57" t="s">
        <v>16</v>
      </c>
      <c r="J12" s="82">
        <f t="shared" si="0"/>
        <v>1.1000000000000038E-3</v>
      </c>
    </row>
    <row r="13" spans="1:10">
      <c r="A13" s="54" t="s">
        <v>17</v>
      </c>
      <c r="B13" s="89">
        <v>12197239.769999996</v>
      </c>
      <c r="C13" s="107">
        <v>4.1200000000000001E-2</v>
      </c>
      <c r="D13" s="105"/>
      <c r="E13" s="54" t="s">
        <v>17</v>
      </c>
      <c r="F13" s="89">
        <v>13519516.360000063</v>
      </c>
      <c r="G13" s="107">
        <v>4.2500000000000003E-2</v>
      </c>
      <c r="H13" s="168"/>
      <c r="I13" s="57" t="s">
        <v>17</v>
      </c>
      <c r="J13" s="82">
        <f t="shared" si="0"/>
        <v>1.3000000000000025E-3</v>
      </c>
    </row>
    <row r="14" spans="1:10">
      <c r="A14" s="54" t="s">
        <v>18</v>
      </c>
      <c r="B14" s="89">
        <v>292053.40999999945</v>
      </c>
      <c r="C14" s="107">
        <v>1E-3</v>
      </c>
      <c r="D14" s="105"/>
      <c r="E14" s="54" t="s">
        <v>18</v>
      </c>
      <c r="F14" s="89">
        <v>329190.71000000066</v>
      </c>
      <c r="G14" s="107">
        <v>1E-3</v>
      </c>
      <c r="H14" s="168"/>
      <c r="I14" s="57" t="s">
        <v>18</v>
      </c>
      <c r="J14" s="82">
        <f t="shared" si="0"/>
        <v>0</v>
      </c>
    </row>
    <row r="15" spans="1:10">
      <c r="A15" s="54" t="s">
        <v>19</v>
      </c>
      <c r="B15" s="89">
        <v>72907858.180000201</v>
      </c>
      <c r="C15" s="107">
        <v>0.2462</v>
      </c>
      <c r="D15" s="105"/>
      <c r="E15" s="54" t="s">
        <v>19</v>
      </c>
      <c r="F15" s="89">
        <v>80334735.75999999</v>
      </c>
      <c r="G15" s="107">
        <v>0.25240000000000001</v>
      </c>
      <c r="H15" s="168"/>
      <c r="I15" s="57" t="s">
        <v>19</v>
      </c>
      <c r="J15" s="82">
        <f t="shared" si="0"/>
        <v>6.2000000000000111E-3</v>
      </c>
    </row>
    <row r="16" spans="1:10">
      <c r="A16" s="54" t="s">
        <v>20</v>
      </c>
      <c r="B16" s="89">
        <v>56009.139999999912</v>
      </c>
      <c r="C16" s="107">
        <v>2.0000000000000001E-4</v>
      </c>
      <c r="D16" s="105"/>
      <c r="E16" s="54" t="s">
        <v>20</v>
      </c>
      <c r="F16" s="89">
        <v>37438.649999999812</v>
      </c>
      <c r="G16" s="107">
        <v>1E-4</v>
      </c>
      <c r="H16" s="168"/>
      <c r="I16" s="57" t="s">
        <v>20</v>
      </c>
      <c r="J16" s="82">
        <f t="shared" si="0"/>
        <v>-1E-4</v>
      </c>
    </row>
    <row r="17" spans="1:10">
      <c r="A17" s="59" t="s">
        <v>21</v>
      </c>
      <c r="B17" s="89">
        <v>5107269.2500000009</v>
      </c>
      <c r="C17" s="107">
        <v>1.7000000000000001E-2</v>
      </c>
      <c r="D17" s="105"/>
      <c r="E17" s="59" t="s">
        <v>21</v>
      </c>
      <c r="F17" s="89">
        <v>5894916.1299999673</v>
      </c>
      <c r="G17" s="178">
        <v>1.8599999999999998E-2</v>
      </c>
      <c r="H17" s="168"/>
      <c r="I17" s="57" t="s">
        <v>21</v>
      </c>
      <c r="J17" s="82">
        <f t="shared" si="0"/>
        <v>1.5999999999999973E-3</v>
      </c>
    </row>
    <row r="18" spans="1:10">
      <c r="A18" s="54" t="s">
        <v>22</v>
      </c>
      <c r="B18" s="89">
        <v>78211264.479999959</v>
      </c>
      <c r="C18" s="107">
        <v>0.2641</v>
      </c>
      <c r="D18" s="105"/>
      <c r="E18" s="54" t="s">
        <v>22</v>
      </c>
      <c r="F18" s="89">
        <v>85463579.119999573</v>
      </c>
      <c r="G18" s="107">
        <v>0.26850000000000002</v>
      </c>
      <c r="H18" s="168"/>
      <c r="I18" s="60" t="s">
        <v>22</v>
      </c>
      <c r="J18" s="82">
        <f t="shared" si="0"/>
        <v>4.400000000000015E-3</v>
      </c>
    </row>
    <row r="19" spans="1:10">
      <c r="A19" s="54" t="s">
        <v>23</v>
      </c>
      <c r="B19" s="89">
        <v>734398.29999999935</v>
      </c>
      <c r="C19" s="107">
        <v>2.5000000000000001E-3</v>
      </c>
      <c r="D19" s="105"/>
      <c r="E19" s="54" t="s">
        <v>23</v>
      </c>
      <c r="F19" s="89">
        <v>744675.47000000812</v>
      </c>
      <c r="G19" s="107">
        <v>2.3E-3</v>
      </c>
      <c r="H19" s="168"/>
      <c r="I19" s="57" t="s">
        <v>23</v>
      </c>
      <c r="J19" s="82">
        <f t="shared" si="0"/>
        <v>-2.0000000000000009E-4</v>
      </c>
    </row>
    <row r="20" spans="1:10">
      <c r="A20" s="54" t="s">
        <v>24</v>
      </c>
      <c r="B20" s="89">
        <v>3857.5300000000061</v>
      </c>
      <c r="C20" s="107">
        <v>0</v>
      </c>
      <c r="D20" s="105"/>
      <c r="E20" s="54" t="s">
        <v>24</v>
      </c>
      <c r="F20" s="89">
        <v>1071.2499999999923</v>
      </c>
      <c r="G20" s="176">
        <v>0</v>
      </c>
      <c r="H20" s="168"/>
      <c r="I20" s="57" t="s">
        <v>24</v>
      </c>
      <c r="J20" s="82">
        <f t="shared" si="0"/>
        <v>0</v>
      </c>
    </row>
    <row r="21" spans="1:10">
      <c r="A21" s="54" t="s">
        <v>27</v>
      </c>
      <c r="B21" s="89">
        <v>83714.879999999976</v>
      </c>
      <c r="C21" s="107">
        <v>2.9999999999999997E-4</v>
      </c>
      <c r="D21" s="105"/>
      <c r="E21" s="54" t="s">
        <v>27</v>
      </c>
      <c r="F21" s="89">
        <v>37766.929999999295</v>
      </c>
      <c r="G21" s="107">
        <v>1E-4</v>
      </c>
      <c r="H21" s="168"/>
      <c r="I21" s="57" t="s">
        <v>27</v>
      </c>
      <c r="J21" s="82">
        <f t="shared" si="0"/>
        <v>-1.9999999999999998E-4</v>
      </c>
    </row>
    <row r="22" spans="1:10">
      <c r="A22" s="54" t="s">
        <v>55</v>
      </c>
      <c r="B22" s="89">
        <v>435.1</v>
      </c>
      <c r="C22" s="107">
        <v>0</v>
      </c>
      <c r="D22" s="105"/>
      <c r="E22" s="54" t="s">
        <v>55</v>
      </c>
      <c r="F22" s="89">
        <v>0</v>
      </c>
      <c r="G22" s="107">
        <v>0</v>
      </c>
      <c r="H22" s="168"/>
      <c r="I22" s="57" t="s">
        <v>55</v>
      </c>
      <c r="J22" s="82">
        <f t="shared" si="0"/>
        <v>0</v>
      </c>
    </row>
    <row r="23" spans="1:10">
      <c r="A23" s="54" t="s">
        <v>30</v>
      </c>
      <c r="B23" s="89">
        <v>144386.02000000008</v>
      </c>
      <c r="C23" s="107">
        <v>5.0000000000000001E-4</v>
      </c>
      <c r="D23" s="105"/>
      <c r="E23" s="54" t="s">
        <v>30</v>
      </c>
      <c r="F23" s="89">
        <v>99239.939999998576</v>
      </c>
      <c r="G23" s="107">
        <v>2.9999999999999997E-4</v>
      </c>
      <c r="H23" s="168"/>
      <c r="I23" s="57" t="s">
        <v>30</v>
      </c>
      <c r="J23" s="82">
        <f t="shared" si="0"/>
        <v>-2.0000000000000004E-4</v>
      </c>
    </row>
    <row r="24" spans="1:10">
      <c r="A24" s="54" t="s">
        <v>31</v>
      </c>
      <c r="B24" s="89">
        <v>24825.900000000016</v>
      </c>
      <c r="C24" s="107">
        <v>1E-4</v>
      </c>
      <c r="D24" s="105"/>
      <c r="E24" s="54" t="s">
        <v>31</v>
      </c>
      <c r="F24" s="89">
        <v>25545.469999999936</v>
      </c>
      <c r="G24" s="107">
        <v>1E-4</v>
      </c>
      <c r="H24" s="168"/>
      <c r="I24" s="57" t="s">
        <v>31</v>
      </c>
      <c r="J24" s="82">
        <f t="shared" si="0"/>
        <v>0</v>
      </c>
    </row>
    <row r="25" spans="1:10">
      <c r="A25" s="54" t="s">
        <v>32</v>
      </c>
      <c r="B25" s="89">
        <v>24604730.34</v>
      </c>
      <c r="C25" s="107">
        <v>8.3099999999999993E-2</v>
      </c>
      <c r="D25" s="105"/>
      <c r="E25" s="54" t="s">
        <v>32</v>
      </c>
      <c r="F25" s="89">
        <v>24894954.319999829</v>
      </c>
      <c r="G25" s="107">
        <v>7.8200000000000006E-2</v>
      </c>
      <c r="H25" s="168"/>
      <c r="I25" s="57" t="s">
        <v>32</v>
      </c>
      <c r="J25" s="82">
        <f t="shared" si="0"/>
        <v>-4.8999999999999877E-3</v>
      </c>
    </row>
    <row r="26" spans="1:10">
      <c r="A26" s="54" t="s">
        <v>33</v>
      </c>
      <c r="B26" s="89">
        <v>4639338.0299999947</v>
      </c>
      <c r="C26" s="107">
        <v>1.5699999999999999E-2</v>
      </c>
      <c r="D26" s="105"/>
      <c r="E26" s="54" t="s">
        <v>33</v>
      </c>
      <c r="F26" s="89">
        <v>4847975.9799999837</v>
      </c>
      <c r="G26" s="107">
        <v>1.52E-2</v>
      </c>
      <c r="H26" s="168"/>
      <c r="I26" s="57" t="s">
        <v>33</v>
      </c>
      <c r="J26" s="82">
        <f t="shared" si="0"/>
        <v>-4.9999999999999871E-4</v>
      </c>
    </row>
    <row r="27" spans="1:10">
      <c r="A27" s="54" t="s">
        <v>35</v>
      </c>
      <c r="B27" s="89">
        <v>418281.92</v>
      </c>
      <c r="C27" s="107">
        <v>1.4E-3</v>
      </c>
      <c r="D27" s="105"/>
      <c r="E27" s="54" t="s">
        <v>35</v>
      </c>
      <c r="F27" s="89">
        <v>458932.04000000312</v>
      </c>
      <c r="G27" s="107">
        <v>1.4E-3</v>
      </c>
      <c r="H27" s="168"/>
      <c r="I27" s="57" t="s">
        <v>35</v>
      </c>
      <c r="J27" s="82">
        <f t="shared" si="0"/>
        <v>0</v>
      </c>
    </row>
    <row r="28" spans="1:10">
      <c r="A28" s="54" t="s">
        <v>36</v>
      </c>
      <c r="B28" s="89">
        <v>37697.239999999991</v>
      </c>
      <c r="C28" s="107">
        <v>1E-4</v>
      </c>
      <c r="D28" s="105"/>
      <c r="E28" s="54" t="s">
        <v>36</v>
      </c>
      <c r="F28" s="89">
        <v>24139.519999999749</v>
      </c>
      <c r="G28" s="107">
        <v>1E-4</v>
      </c>
      <c r="H28" s="168"/>
      <c r="I28" s="57" t="s">
        <v>36</v>
      </c>
      <c r="J28" s="82">
        <f t="shared" si="0"/>
        <v>0</v>
      </c>
    </row>
    <row r="29" spans="1:10">
      <c r="A29" s="54" t="s">
        <v>37</v>
      </c>
      <c r="B29" s="89">
        <v>55082.129999999983</v>
      </c>
      <c r="C29" s="107">
        <v>2.0000000000000001E-4</v>
      </c>
      <c r="D29" s="105"/>
      <c r="E29" s="54" t="s">
        <v>37</v>
      </c>
      <c r="F29" s="89">
        <v>18274.450000000448</v>
      </c>
      <c r="G29" s="107">
        <v>1E-4</v>
      </c>
      <c r="H29" s="168"/>
      <c r="I29" s="57" t="s">
        <v>37</v>
      </c>
      <c r="J29" s="82">
        <f t="shared" si="0"/>
        <v>-1E-4</v>
      </c>
    </row>
    <row r="30" spans="1:10">
      <c r="A30" s="109" t="s">
        <v>38</v>
      </c>
      <c r="B30" s="89">
        <v>1849686.840000004</v>
      </c>
      <c r="C30" s="107">
        <v>6.1999999999999998E-3</v>
      </c>
      <c r="D30" s="105"/>
      <c r="E30" s="109" t="s">
        <v>38</v>
      </c>
      <c r="F30" s="89">
        <v>2397401.120000008</v>
      </c>
      <c r="G30" s="107">
        <v>7.4999999999999997E-3</v>
      </c>
      <c r="H30" s="168"/>
      <c r="I30" s="57" t="s">
        <v>38</v>
      </c>
      <c r="J30" s="82">
        <f t="shared" si="0"/>
        <v>1.2999999999999999E-3</v>
      </c>
    </row>
    <row r="31" spans="1:10">
      <c r="A31" s="110" t="s">
        <v>49</v>
      </c>
      <c r="B31" s="91">
        <v>296192755.96000016</v>
      </c>
      <c r="C31" s="111">
        <v>0.99999999999999978</v>
      </c>
      <c r="D31" s="105"/>
      <c r="E31" s="110" t="s">
        <v>49</v>
      </c>
      <c r="F31" s="91">
        <f>SUM(F5:F30)</f>
        <v>318342312.29999888</v>
      </c>
      <c r="G31" s="177">
        <f>SUM(G5:G30)</f>
        <v>0.99999999999999967</v>
      </c>
      <c r="H31" s="90"/>
      <c r="I31" s="52" t="s">
        <v>6</v>
      </c>
      <c r="J31" s="171">
        <f>SUM(J5:J30)</f>
        <v>3.664603343001005E-17</v>
      </c>
    </row>
  </sheetData>
  <mergeCells count="3">
    <mergeCell ref="A1:G1"/>
    <mergeCell ref="A3:C3"/>
    <mergeCell ref="E3:G3"/>
  </mergeCells>
  <conditionalFormatting sqref="J5:J30">
    <cfRule type="cellIs" dxfId="8" priority="1" operator="notBetween">
      <formula>-0.0099</formula>
      <formula>0.0099</formula>
    </cfRule>
  </conditionalFormatting>
  <pageMargins left="0.7" right="0.7" top="0.75" bottom="0.75" header="0.3" footer="0.3"/>
  <pageSetup orientation="landscape" r:id="rId1"/>
  <headerFooter>
    <oddHeader>&amp;RKY PSC Case No. 2016-00162,
Attachment G to Staff Post Hearing Supp. DR 2</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P32"/>
  <sheetViews>
    <sheetView workbookViewId="0"/>
  </sheetViews>
  <sheetFormatPr defaultColWidth="9.109375" defaultRowHeight="14.4"/>
  <cols>
    <col min="1" max="1" width="11.33203125" bestFit="1" customWidth="1"/>
    <col min="2" max="2" width="19.109375" bestFit="1" customWidth="1"/>
    <col min="4" max="4" width="7.33203125" customWidth="1"/>
    <col min="5" max="5" width="19.109375" bestFit="1" customWidth="1"/>
    <col min="7" max="7" width="11.33203125" customWidth="1"/>
    <col min="8" max="8" width="19.109375" customWidth="1"/>
  </cols>
  <sheetData>
    <row r="1" spans="1:16">
      <c r="A1" s="163" t="s">
        <v>106</v>
      </c>
      <c r="B1" t="s">
        <v>107</v>
      </c>
      <c r="G1" s="251" t="s">
        <v>105</v>
      </c>
      <c r="H1" s="251"/>
      <c r="I1" s="251"/>
      <c r="J1" s="251"/>
      <c r="K1" s="251"/>
    </row>
    <row r="2" spans="1:16">
      <c r="A2" s="163" t="s">
        <v>39</v>
      </c>
      <c r="B2" t="s">
        <v>40</v>
      </c>
      <c r="G2" s="251"/>
      <c r="H2" s="251"/>
      <c r="I2" s="251"/>
      <c r="J2" s="251"/>
      <c r="K2" s="251"/>
    </row>
    <row r="3" spans="1:16">
      <c r="A3" s="163" t="s">
        <v>115</v>
      </c>
      <c r="B3" t="s">
        <v>107</v>
      </c>
      <c r="G3" s="251"/>
      <c r="H3" s="251"/>
      <c r="I3" s="251"/>
      <c r="J3" s="251"/>
      <c r="K3" s="251"/>
    </row>
    <row r="5" spans="1:16">
      <c r="A5" s="163" t="s">
        <v>44</v>
      </c>
      <c r="B5" t="s">
        <v>100</v>
      </c>
      <c r="D5" t="s">
        <v>44</v>
      </c>
      <c r="E5" t="s">
        <v>108</v>
      </c>
      <c r="G5" s="163" t="s">
        <v>44</v>
      </c>
      <c r="H5" t="s">
        <v>100</v>
      </c>
    </row>
    <row r="6" spans="1:16">
      <c r="A6" t="s">
        <v>8</v>
      </c>
      <c r="B6" s="73">
        <v>434571.24000000261</v>
      </c>
      <c r="D6" t="s">
        <v>8</v>
      </c>
      <c r="E6" s="72">
        <v>434571.24000000261</v>
      </c>
      <c r="G6" t="s">
        <v>8</v>
      </c>
      <c r="H6" s="73">
        <v>434571.24000000261</v>
      </c>
      <c r="J6" s="76">
        <f>ROUND(H6/SUM($H$6:$H$29),4)</f>
        <v>1.4E-3</v>
      </c>
    </row>
    <row r="7" spans="1:16">
      <c r="A7" t="s">
        <v>9</v>
      </c>
      <c r="B7" s="73">
        <v>11082796.359999944</v>
      </c>
      <c r="D7" t="s">
        <v>9</v>
      </c>
      <c r="E7" s="72">
        <v>11082796.359999944</v>
      </c>
      <c r="G7" t="s">
        <v>9</v>
      </c>
      <c r="H7" s="73">
        <v>11082796.359999944</v>
      </c>
      <c r="J7" s="76">
        <f t="shared" ref="J7:J29" si="0">ROUND(H7/SUM($H$6:$H$29),4)</f>
        <v>3.4799999999999998E-2</v>
      </c>
    </row>
    <row r="8" spans="1:16">
      <c r="A8" t="s">
        <v>11</v>
      </c>
      <c r="B8" s="73">
        <v>177841.79999999885</v>
      </c>
      <c r="D8" t="s">
        <v>11</v>
      </c>
      <c r="E8" s="72">
        <v>177841.79999999885</v>
      </c>
      <c r="G8" t="s">
        <v>11</v>
      </c>
      <c r="H8" s="73">
        <v>177841.79999999885</v>
      </c>
      <c r="J8" s="76">
        <f t="shared" si="0"/>
        <v>5.9999999999999995E-4</v>
      </c>
    </row>
    <row r="9" spans="1:16">
      <c r="A9" t="s">
        <v>13</v>
      </c>
      <c r="B9" s="73">
        <v>6890172.9599999571</v>
      </c>
      <c r="D9" t="s">
        <v>13</v>
      </c>
      <c r="E9" s="72">
        <v>6890172.9599999571</v>
      </c>
      <c r="G9" t="s">
        <v>13</v>
      </c>
      <c r="H9" s="73">
        <v>6890172.9599999571</v>
      </c>
      <c r="J9" s="76">
        <f t="shared" si="0"/>
        <v>2.1600000000000001E-2</v>
      </c>
    </row>
    <row r="10" spans="1:16">
      <c r="A10" t="s">
        <v>14</v>
      </c>
      <c r="B10" s="73">
        <v>53230028.839999631</v>
      </c>
      <c r="D10" t="s">
        <v>14</v>
      </c>
      <c r="E10" s="72">
        <v>53230028.839999631</v>
      </c>
      <c r="G10" t="s">
        <v>14</v>
      </c>
      <c r="H10" s="73">
        <v>53230028.839999631</v>
      </c>
      <c r="J10" s="76">
        <f t="shared" si="0"/>
        <v>0.16719999999999999</v>
      </c>
      <c r="P10" s="179"/>
    </row>
    <row r="11" spans="1:16">
      <c r="A11" t="s">
        <v>15</v>
      </c>
      <c r="B11" s="73">
        <v>3163718.0099999919</v>
      </c>
      <c r="D11" t="s">
        <v>15</v>
      </c>
      <c r="E11" s="72">
        <v>3163718.0099999919</v>
      </c>
      <c r="G11" t="s">
        <v>15</v>
      </c>
      <c r="H11" s="73">
        <v>3163718.0099999919</v>
      </c>
      <c r="J11" s="76">
        <f t="shared" si="0"/>
        <v>9.9000000000000008E-3</v>
      </c>
    </row>
    <row r="12" spans="1:16">
      <c r="A12" t="s">
        <v>16</v>
      </c>
      <c r="B12" s="73">
        <v>24233829.869999934</v>
      </c>
      <c r="D12" t="s">
        <v>16</v>
      </c>
      <c r="E12" s="72">
        <v>24233829.869999934</v>
      </c>
      <c r="G12" t="s">
        <v>16</v>
      </c>
      <c r="H12" s="73">
        <v>24233829.869999934</v>
      </c>
      <c r="J12" s="76">
        <f t="shared" si="0"/>
        <v>7.6100000000000001E-2</v>
      </c>
    </row>
    <row r="13" spans="1:16">
      <c r="A13" t="s">
        <v>17</v>
      </c>
      <c r="B13" s="73">
        <v>13519516.360000063</v>
      </c>
      <c r="D13" t="s">
        <v>17</v>
      </c>
      <c r="E13" s="72">
        <v>13519516.360000063</v>
      </c>
      <c r="G13" t="s">
        <v>17</v>
      </c>
      <c r="H13" s="73">
        <v>13519516.360000063</v>
      </c>
      <c r="J13" s="76">
        <f t="shared" si="0"/>
        <v>4.2500000000000003E-2</v>
      </c>
    </row>
    <row r="14" spans="1:16">
      <c r="A14" t="s">
        <v>18</v>
      </c>
      <c r="B14" s="73">
        <v>329190.71000000066</v>
      </c>
      <c r="D14" t="s">
        <v>18</v>
      </c>
      <c r="E14" s="72">
        <v>329190.71000000066</v>
      </c>
      <c r="G14" t="s">
        <v>18</v>
      </c>
      <c r="H14" s="73">
        <v>329190.71000000066</v>
      </c>
      <c r="J14" s="76">
        <f t="shared" si="0"/>
        <v>1E-3</v>
      </c>
    </row>
    <row r="15" spans="1:16">
      <c r="A15" t="s">
        <v>19</v>
      </c>
      <c r="B15" s="73">
        <v>80340321.600000188</v>
      </c>
      <c r="D15" t="s">
        <v>19</v>
      </c>
      <c r="E15" s="72">
        <v>80340321.600000188</v>
      </c>
      <c r="G15" t="s">
        <v>19</v>
      </c>
      <c r="H15" s="73">
        <v>80340321.600000188</v>
      </c>
      <c r="J15" s="76">
        <f t="shared" si="0"/>
        <v>0.25240000000000001</v>
      </c>
    </row>
    <row r="16" spans="1:16">
      <c r="A16" t="s">
        <v>20</v>
      </c>
      <c r="B16" s="73">
        <v>37438.649999999863</v>
      </c>
      <c r="D16" t="s">
        <v>20</v>
      </c>
      <c r="E16" s="72">
        <v>37438.649999999863</v>
      </c>
      <c r="G16" t="s">
        <v>20</v>
      </c>
      <c r="H16" s="73">
        <v>37438.649999999863</v>
      </c>
      <c r="J16" s="76">
        <f t="shared" si="0"/>
        <v>1E-4</v>
      </c>
    </row>
    <row r="17" spans="1:10">
      <c r="A17" t="s">
        <v>21</v>
      </c>
      <c r="B17" s="73">
        <v>5894916.1299999822</v>
      </c>
      <c r="D17" t="s">
        <v>21</v>
      </c>
      <c r="E17" s="72">
        <v>5894916.1299999822</v>
      </c>
      <c r="G17" t="s">
        <v>21</v>
      </c>
      <c r="H17" s="73">
        <v>5894916.1299999822</v>
      </c>
      <c r="J17" s="180">
        <f>ROUND(H17/SUM($H$6:$H$29),4)+0.0001</f>
        <v>1.8599999999999998E-2</v>
      </c>
    </row>
    <row r="18" spans="1:10">
      <c r="A18" t="s">
        <v>22</v>
      </c>
      <c r="B18" s="73">
        <v>77214940.249999568</v>
      </c>
      <c r="D18" t="s">
        <v>22</v>
      </c>
      <c r="E18" s="72">
        <v>77214940.249999568</v>
      </c>
      <c r="G18" t="s">
        <v>22</v>
      </c>
      <c r="H18" s="73">
        <v>85468960.629999578</v>
      </c>
      <c r="J18" s="76">
        <f t="shared" si="0"/>
        <v>0.26850000000000002</v>
      </c>
    </row>
    <row r="19" spans="1:10">
      <c r="A19" t="s">
        <v>23</v>
      </c>
      <c r="B19" s="73">
        <v>744675.47000000486</v>
      </c>
      <c r="D19" t="s">
        <v>23</v>
      </c>
      <c r="E19" s="72">
        <v>744675.47000000486</v>
      </c>
      <c r="G19" t="s">
        <v>23</v>
      </c>
      <c r="H19" s="73">
        <v>744675.47000000486</v>
      </c>
      <c r="J19" s="76">
        <f t="shared" si="0"/>
        <v>2.3E-3</v>
      </c>
    </row>
    <row r="20" spans="1:10">
      <c r="A20" t="s">
        <v>24</v>
      </c>
      <c r="B20" s="73">
        <v>1071.2499999999923</v>
      </c>
      <c r="D20" t="s">
        <v>24</v>
      </c>
      <c r="E20" s="72">
        <v>1071.2499999999923</v>
      </c>
      <c r="G20" t="s">
        <v>24</v>
      </c>
      <c r="H20" s="73">
        <v>1071.2499999999923</v>
      </c>
      <c r="J20" s="76">
        <f t="shared" si="0"/>
        <v>0</v>
      </c>
    </row>
    <row r="21" spans="1:10">
      <c r="A21" t="s">
        <v>27</v>
      </c>
      <c r="B21" s="73">
        <v>37766.929999999295</v>
      </c>
      <c r="D21" t="s">
        <v>27</v>
      </c>
      <c r="E21" s="72">
        <v>37766.929999999295</v>
      </c>
      <c r="G21" t="s">
        <v>27</v>
      </c>
      <c r="H21" s="73">
        <v>37766.929999999295</v>
      </c>
      <c r="J21" s="76">
        <f t="shared" si="0"/>
        <v>1E-4</v>
      </c>
    </row>
    <row r="22" spans="1:10">
      <c r="A22" t="s">
        <v>30</v>
      </c>
      <c r="B22" s="73">
        <v>99239.939999998576</v>
      </c>
      <c r="D22" t="s">
        <v>30</v>
      </c>
      <c r="E22" s="72">
        <v>99239.939999998576</v>
      </c>
      <c r="G22" t="s">
        <v>30</v>
      </c>
      <c r="H22" s="73">
        <v>99239.939999998576</v>
      </c>
      <c r="J22" s="76">
        <f t="shared" si="0"/>
        <v>2.9999999999999997E-4</v>
      </c>
    </row>
    <row r="23" spans="1:10">
      <c r="A23" t="s">
        <v>31</v>
      </c>
      <c r="B23" s="73">
        <v>25545.469999999936</v>
      </c>
      <c r="D23" t="s">
        <v>31</v>
      </c>
      <c r="E23" s="72">
        <v>25545.469999999936</v>
      </c>
      <c r="G23" t="s">
        <v>31</v>
      </c>
      <c r="H23" s="73">
        <v>25545.469999999936</v>
      </c>
      <c r="J23" s="76">
        <f t="shared" si="0"/>
        <v>1E-4</v>
      </c>
    </row>
    <row r="24" spans="1:10">
      <c r="A24" t="s">
        <v>32</v>
      </c>
      <c r="B24" s="73">
        <v>24894954.319999829</v>
      </c>
      <c r="D24" t="s">
        <v>32</v>
      </c>
      <c r="E24" s="72">
        <v>24894954.319999829</v>
      </c>
      <c r="G24" t="s">
        <v>32</v>
      </c>
      <c r="H24" s="73">
        <v>24894954.319999829</v>
      </c>
      <c r="J24" s="76">
        <f t="shared" si="0"/>
        <v>7.8200000000000006E-2</v>
      </c>
    </row>
    <row r="25" spans="1:10">
      <c r="A25" t="s">
        <v>33</v>
      </c>
      <c r="B25" s="73">
        <v>4847975.9799999837</v>
      </c>
      <c r="D25" t="s">
        <v>33</v>
      </c>
      <c r="E25" s="72">
        <v>4847975.9799999837</v>
      </c>
      <c r="G25" t="s">
        <v>33</v>
      </c>
      <c r="H25" s="73">
        <v>4847975.9799999837</v>
      </c>
      <c r="J25" s="76">
        <f t="shared" si="0"/>
        <v>1.52E-2</v>
      </c>
    </row>
    <row r="26" spans="1:10">
      <c r="A26" t="s">
        <v>47</v>
      </c>
      <c r="B26" s="73">
        <v>6399877.4999999823</v>
      </c>
      <c r="D26" s="74" t="s">
        <v>22</v>
      </c>
      <c r="E26" s="72">
        <v>6399877.4999999823</v>
      </c>
      <c r="G26" t="s">
        <v>35</v>
      </c>
      <c r="H26" s="73">
        <v>458932.04000000312</v>
      </c>
      <c r="J26" s="76">
        <f t="shared" si="0"/>
        <v>1.4E-3</v>
      </c>
    </row>
    <row r="27" spans="1:10">
      <c r="A27" t="s">
        <v>48</v>
      </c>
      <c r="B27" s="73">
        <v>1854142.8800000211</v>
      </c>
      <c r="D27" s="74" t="s">
        <v>22</v>
      </c>
      <c r="E27" s="72">
        <v>1854142.8800000211</v>
      </c>
      <c r="G27" t="s">
        <v>36</v>
      </c>
      <c r="H27" s="73">
        <v>24139.519999999749</v>
      </c>
      <c r="J27" s="76">
        <f t="shared" si="0"/>
        <v>1E-4</v>
      </c>
    </row>
    <row r="28" spans="1:10">
      <c r="A28" t="s">
        <v>35</v>
      </c>
      <c r="B28" s="73">
        <v>458932.04000000312</v>
      </c>
      <c r="D28" s="74" t="s">
        <v>35</v>
      </c>
      <c r="E28" s="72">
        <v>458932.04000000312</v>
      </c>
      <c r="G28" t="s">
        <v>37</v>
      </c>
      <c r="H28" s="73">
        <v>18274.450000000448</v>
      </c>
      <c r="J28" s="76">
        <f t="shared" si="0"/>
        <v>1E-4</v>
      </c>
    </row>
    <row r="29" spans="1:10">
      <c r="A29" t="s">
        <v>36</v>
      </c>
      <c r="B29" s="73">
        <v>24139.519999999749</v>
      </c>
      <c r="D29" t="s">
        <v>36</v>
      </c>
      <c r="E29" s="72">
        <v>24139.519999999749</v>
      </c>
      <c r="G29" t="s">
        <v>38</v>
      </c>
      <c r="H29" s="73">
        <v>2400940.4900000095</v>
      </c>
      <c r="J29" s="76">
        <f t="shared" si="0"/>
        <v>7.4999999999999997E-3</v>
      </c>
    </row>
    <row r="30" spans="1:10">
      <c r="A30" t="s">
        <v>37</v>
      </c>
      <c r="B30" s="73">
        <v>18274.450000000448</v>
      </c>
      <c r="D30" t="s">
        <v>37</v>
      </c>
      <c r="E30" s="72">
        <v>18274.450000000448</v>
      </c>
      <c r="G30" t="s">
        <v>49</v>
      </c>
      <c r="H30" s="73">
        <v>318356819.01999909</v>
      </c>
      <c r="J30" s="76"/>
    </row>
    <row r="31" spans="1:10">
      <c r="A31" t="s">
        <v>38</v>
      </c>
      <c r="B31" s="73">
        <v>2400940.4900000095</v>
      </c>
      <c r="D31" t="s">
        <v>38</v>
      </c>
      <c r="E31" s="72">
        <v>2400940.4900000095</v>
      </c>
    </row>
    <row r="32" spans="1:10">
      <c r="A32" t="s">
        <v>49</v>
      </c>
      <c r="B32" s="73">
        <v>318356819.01999909</v>
      </c>
      <c r="E32" s="72"/>
    </row>
  </sheetData>
  <mergeCells count="1">
    <mergeCell ref="G1:K3"/>
  </mergeCells>
  <pageMargins left="0.7" right="0.7" top="0.75" bottom="0.75" header="0.3" footer="0.3"/>
  <pageSetup scale="92" orientation="landscape" r:id="rId1"/>
  <headerFooter>
    <oddHeader>&amp;RKY PSC Case No. 2016-00162,
Attachment G to Staff Post Hearing Supp. DR 2</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I32"/>
  <sheetViews>
    <sheetView workbookViewId="0">
      <selection sqref="A1:I1"/>
    </sheetView>
  </sheetViews>
  <sheetFormatPr defaultRowHeight="14.4"/>
  <cols>
    <col min="1" max="1" width="8.88671875" style="77"/>
    <col min="2" max="2" width="15.109375" style="77" bestFit="1" customWidth="1"/>
    <col min="3" max="3" width="11.44140625" style="77" bestFit="1" customWidth="1"/>
    <col min="4" max="5" width="8.88671875" style="77"/>
    <col min="6" max="6" width="15.109375" style="77" bestFit="1" customWidth="1"/>
    <col min="7" max="7" width="11.44140625" style="77" bestFit="1" customWidth="1"/>
    <col min="8" max="8" width="9.109375" style="77" customWidth="1"/>
    <col min="9" max="9" width="10.33203125" style="77" bestFit="1" customWidth="1"/>
    <col min="10" max="16384" width="8.88671875" style="77"/>
  </cols>
  <sheetData>
    <row r="1" spans="1:9" ht="19.2">
      <c r="A1" s="249" t="s">
        <v>97</v>
      </c>
      <c r="B1" s="249"/>
      <c r="C1" s="249"/>
      <c r="D1" s="249"/>
      <c r="E1" s="249"/>
      <c r="F1" s="249"/>
      <c r="G1" s="249"/>
      <c r="H1" s="249"/>
      <c r="I1" s="249"/>
    </row>
    <row r="3" spans="1:9">
      <c r="A3" s="250" t="s">
        <v>95</v>
      </c>
      <c r="B3" s="250"/>
      <c r="C3" s="250"/>
      <c r="D3" s="152"/>
      <c r="E3" s="250" t="s">
        <v>96</v>
      </c>
      <c r="F3" s="250"/>
      <c r="G3" s="250"/>
    </row>
    <row r="4" spans="1:9">
      <c r="A4" s="153"/>
      <c r="B4" s="153"/>
      <c r="C4" s="153"/>
      <c r="E4" s="153"/>
      <c r="F4" s="153"/>
      <c r="G4" s="153" t="s">
        <v>110</v>
      </c>
    </row>
    <row r="5" spans="1:9">
      <c r="A5" s="152" t="s">
        <v>44</v>
      </c>
      <c r="B5" s="152" t="s">
        <v>63</v>
      </c>
      <c r="C5" s="154" t="s">
        <v>4</v>
      </c>
      <c r="D5" s="155"/>
      <c r="E5" s="152" t="s">
        <v>44</v>
      </c>
      <c r="F5" s="152" t="s">
        <v>63</v>
      </c>
      <c r="G5" s="154" t="s">
        <v>4</v>
      </c>
      <c r="H5" s="135"/>
      <c r="I5" s="154" t="s">
        <v>7</v>
      </c>
    </row>
    <row r="6" spans="1:9">
      <c r="A6" s="135" t="s">
        <v>8</v>
      </c>
      <c r="B6" s="160">
        <v>80558.87999999999</v>
      </c>
      <c r="C6" s="138">
        <v>5.9999999999999995E-4</v>
      </c>
      <c r="D6" s="135"/>
      <c r="E6" s="137" t="s">
        <v>8</v>
      </c>
      <c r="F6" s="160">
        <v>60719.550000000105</v>
      </c>
      <c r="G6" s="138">
        <v>4.0000000000000002E-4</v>
      </c>
      <c r="H6" s="156"/>
      <c r="I6" s="133">
        <f t="shared" ref="I6:I31" si="0">G6-C6</f>
        <v>-1.9999999999999993E-4</v>
      </c>
    </row>
    <row r="7" spans="1:9">
      <c r="A7" s="135" t="s">
        <v>9</v>
      </c>
      <c r="B7" s="160">
        <v>3856123.32</v>
      </c>
      <c r="C7" s="138">
        <v>2.81E-2</v>
      </c>
      <c r="D7" s="135"/>
      <c r="E7" s="137" t="s">
        <v>9</v>
      </c>
      <c r="F7" s="160">
        <v>3895127.810000007</v>
      </c>
      <c r="G7" s="138">
        <v>2.8000000000000001E-2</v>
      </c>
      <c r="H7" s="156"/>
      <c r="I7" s="133">
        <f t="shared" si="0"/>
        <v>-9.9999999999999395E-5</v>
      </c>
    </row>
    <row r="8" spans="1:9">
      <c r="A8" s="134" t="s">
        <v>11</v>
      </c>
      <c r="B8" s="160">
        <v>68765.69</v>
      </c>
      <c r="C8" s="138">
        <v>5.0000000000000001E-4</v>
      </c>
      <c r="D8" s="135"/>
      <c r="E8" s="137" t="s">
        <v>11</v>
      </c>
      <c r="F8" s="160">
        <v>54470.88999999981</v>
      </c>
      <c r="G8" s="138">
        <v>4.0000000000000002E-4</v>
      </c>
      <c r="H8" s="156"/>
      <c r="I8" s="133">
        <f t="shared" si="0"/>
        <v>-9.9999999999999991E-5</v>
      </c>
    </row>
    <row r="9" spans="1:9">
      <c r="A9" s="134" t="s">
        <v>12</v>
      </c>
      <c r="B9" s="160">
        <v>73536.360000000088</v>
      </c>
      <c r="C9" s="138">
        <v>5.0000000000000001E-4</v>
      </c>
      <c r="D9" s="135"/>
      <c r="E9" s="137" t="s">
        <v>12</v>
      </c>
      <c r="F9" s="160">
        <v>0</v>
      </c>
      <c r="G9" s="138">
        <v>0</v>
      </c>
      <c r="H9" s="136"/>
      <c r="I9" s="133">
        <f t="shared" si="0"/>
        <v>-5.0000000000000001E-4</v>
      </c>
    </row>
    <row r="10" spans="1:9">
      <c r="A10" s="134" t="s">
        <v>13</v>
      </c>
      <c r="B10" s="160">
        <v>3114899.2699999968</v>
      </c>
      <c r="C10" s="138">
        <v>2.2700000000000001E-2</v>
      </c>
      <c r="D10" s="135"/>
      <c r="E10" s="137" t="s">
        <v>13</v>
      </c>
      <c r="F10" s="160">
        <v>3196796.9500000039</v>
      </c>
      <c r="G10" s="138">
        <v>2.3E-2</v>
      </c>
      <c r="H10" s="136"/>
      <c r="I10" s="133">
        <f t="shared" si="0"/>
        <v>2.9999999999999818E-4</v>
      </c>
    </row>
    <row r="11" spans="1:9">
      <c r="A11" s="134" t="s">
        <v>14</v>
      </c>
      <c r="B11" s="160">
        <v>27562307.150000006</v>
      </c>
      <c r="C11" s="138">
        <v>0.2009</v>
      </c>
      <c r="D11" s="135"/>
      <c r="E11" s="137" t="s">
        <v>14</v>
      </c>
      <c r="F11" s="160">
        <v>26317144.319999926</v>
      </c>
      <c r="G11" s="138">
        <v>0.1893</v>
      </c>
      <c r="H11" s="136"/>
      <c r="I11" s="133">
        <f t="shared" si="0"/>
        <v>-1.1599999999999999E-2</v>
      </c>
    </row>
    <row r="12" spans="1:9">
      <c r="A12" s="134" t="s">
        <v>15</v>
      </c>
      <c r="B12" s="160">
        <v>1111557.9399999997</v>
      </c>
      <c r="C12" s="138">
        <v>8.0999999999999996E-3</v>
      </c>
      <c r="D12" s="135"/>
      <c r="E12" s="137" t="s">
        <v>15</v>
      </c>
      <c r="F12" s="160">
        <v>1175658.0900000038</v>
      </c>
      <c r="G12" s="138">
        <v>8.5000000000000006E-3</v>
      </c>
      <c r="H12" s="136"/>
      <c r="I12" s="133">
        <f t="shared" si="0"/>
        <v>4.0000000000000105E-4</v>
      </c>
    </row>
    <row r="13" spans="1:9">
      <c r="A13" s="134" t="s">
        <v>16</v>
      </c>
      <c r="B13" s="160">
        <v>11028607.370000022</v>
      </c>
      <c r="C13" s="138">
        <v>8.0399999999999999E-2</v>
      </c>
      <c r="D13" s="135"/>
      <c r="E13" s="137" t="s">
        <v>16</v>
      </c>
      <c r="F13" s="160">
        <v>11547005.690000048</v>
      </c>
      <c r="G13" s="138">
        <v>8.3099999999999993E-2</v>
      </c>
      <c r="H13" s="136"/>
      <c r="I13" s="133">
        <f t="shared" si="0"/>
        <v>2.6999999999999941E-3</v>
      </c>
    </row>
    <row r="14" spans="1:9">
      <c r="A14" s="134" t="s">
        <v>17</v>
      </c>
      <c r="B14" s="160">
        <v>5760092.0000000037</v>
      </c>
      <c r="C14" s="138">
        <v>4.2000000000000003E-2</v>
      </c>
      <c r="D14" s="135"/>
      <c r="E14" s="137" t="s">
        <v>17</v>
      </c>
      <c r="F14" s="160">
        <v>6055311.5899999728</v>
      </c>
      <c r="G14" s="138">
        <v>4.36E-2</v>
      </c>
      <c r="H14" s="136"/>
      <c r="I14" s="133">
        <f t="shared" si="0"/>
        <v>1.5999999999999973E-3</v>
      </c>
    </row>
    <row r="15" spans="1:9">
      <c r="A15" s="134" t="s">
        <v>18</v>
      </c>
      <c r="B15" s="160">
        <v>164497.77999999982</v>
      </c>
      <c r="C15" s="138">
        <v>1.1999999999999999E-3</v>
      </c>
      <c r="D15" s="135"/>
      <c r="E15" s="137" t="s">
        <v>18</v>
      </c>
      <c r="F15" s="160">
        <v>162466.86999999988</v>
      </c>
      <c r="G15" s="138">
        <v>1.1999999999999999E-3</v>
      </c>
      <c r="H15" s="136"/>
      <c r="I15" s="133">
        <f t="shared" si="0"/>
        <v>0</v>
      </c>
    </row>
    <row r="16" spans="1:9">
      <c r="A16" s="134" t="s">
        <v>19</v>
      </c>
      <c r="B16" s="160">
        <v>34201850.969999939</v>
      </c>
      <c r="C16" s="138">
        <v>0.24929999999999999</v>
      </c>
      <c r="D16" s="135"/>
      <c r="E16" s="137" t="s">
        <v>19</v>
      </c>
      <c r="F16" s="160">
        <v>34707376.479999922</v>
      </c>
      <c r="G16" s="138">
        <v>0.24970000000000001</v>
      </c>
      <c r="H16" s="136"/>
      <c r="I16" s="133">
        <f t="shared" si="0"/>
        <v>4.0000000000001146E-4</v>
      </c>
    </row>
    <row r="17" spans="1:9">
      <c r="A17" s="134" t="s">
        <v>20</v>
      </c>
      <c r="B17" s="160">
        <v>17090.469999999965</v>
      </c>
      <c r="C17" s="138">
        <v>1E-4</v>
      </c>
      <c r="D17" s="135"/>
      <c r="E17" s="137" t="s">
        <v>20</v>
      </c>
      <c r="F17" s="160">
        <v>13468.730000000081</v>
      </c>
      <c r="G17" s="138">
        <v>1E-4</v>
      </c>
      <c r="H17" s="136"/>
      <c r="I17" s="133">
        <f t="shared" si="0"/>
        <v>0</v>
      </c>
    </row>
    <row r="18" spans="1:9">
      <c r="A18" s="134" t="s">
        <v>21</v>
      </c>
      <c r="B18" s="160">
        <v>513478.56000000023</v>
      </c>
      <c r="C18" s="138">
        <v>3.9000000000000003E-3</v>
      </c>
      <c r="D18" s="135"/>
      <c r="E18" s="137" t="s">
        <v>21</v>
      </c>
      <c r="F18" s="160">
        <v>464084.48000000021</v>
      </c>
      <c r="G18" s="138">
        <v>3.2000000000000002E-3</v>
      </c>
      <c r="H18" s="136"/>
      <c r="I18" s="133">
        <f t="shared" si="0"/>
        <v>-7.000000000000001E-4</v>
      </c>
    </row>
    <row r="19" spans="1:9">
      <c r="A19" s="134" t="s">
        <v>22</v>
      </c>
      <c r="B19" s="160">
        <v>36511215.649999999</v>
      </c>
      <c r="C19" s="138">
        <v>0.2661</v>
      </c>
      <c r="D19" s="135"/>
      <c r="E19" s="137" t="s">
        <v>22</v>
      </c>
      <c r="F19" s="160">
        <v>38246291.339999899</v>
      </c>
      <c r="G19" s="138">
        <v>0.2752</v>
      </c>
      <c r="H19" s="136"/>
      <c r="I19" s="133">
        <f t="shared" si="0"/>
        <v>9.099999999999997E-3</v>
      </c>
    </row>
    <row r="20" spans="1:9">
      <c r="A20" s="134" t="s">
        <v>23</v>
      </c>
      <c r="B20" s="160">
        <v>81603.450000000041</v>
      </c>
      <c r="C20" s="138">
        <v>5.9999999999999995E-4</v>
      </c>
      <c r="D20" s="135"/>
      <c r="E20" s="137" t="s">
        <v>23</v>
      </c>
      <c r="F20" s="160">
        <v>73253.569999999978</v>
      </c>
      <c r="G20" s="138">
        <v>5.0000000000000001E-4</v>
      </c>
      <c r="H20" s="136"/>
      <c r="I20" s="133">
        <f t="shared" si="0"/>
        <v>-9.9999999999999937E-5</v>
      </c>
    </row>
    <row r="21" spans="1:9">
      <c r="A21" s="134" t="s">
        <v>24</v>
      </c>
      <c r="B21" s="160">
        <v>794.81999999999903</v>
      </c>
      <c r="C21" s="138">
        <v>0</v>
      </c>
      <c r="D21" s="135"/>
      <c r="E21" s="137" t="s">
        <v>24</v>
      </c>
      <c r="F21" s="160">
        <v>383.14999999999816</v>
      </c>
      <c r="G21" s="138">
        <v>0</v>
      </c>
      <c r="H21" s="136"/>
      <c r="I21" s="133">
        <f t="shared" si="0"/>
        <v>0</v>
      </c>
    </row>
    <row r="22" spans="1:9">
      <c r="A22" s="134" t="s">
        <v>27</v>
      </c>
      <c r="B22" s="160">
        <v>8346.8200000000106</v>
      </c>
      <c r="C22" s="138">
        <v>1E-4</v>
      </c>
      <c r="D22" s="135"/>
      <c r="E22" s="137" t="s">
        <v>27</v>
      </c>
      <c r="F22" s="160">
        <v>6554.5100000000211</v>
      </c>
      <c r="G22" s="138">
        <v>0</v>
      </c>
      <c r="H22" s="136"/>
      <c r="I22" s="133">
        <f t="shared" si="0"/>
        <v>-1E-4</v>
      </c>
    </row>
    <row r="23" spans="1:9">
      <c r="A23" s="139" t="s">
        <v>55</v>
      </c>
      <c r="B23" s="160">
        <v>6.08</v>
      </c>
      <c r="C23" s="138">
        <v>0</v>
      </c>
      <c r="D23" s="135"/>
      <c r="E23" s="137" t="s">
        <v>55</v>
      </c>
      <c r="F23" s="160">
        <v>0</v>
      </c>
      <c r="G23" s="138">
        <v>0</v>
      </c>
      <c r="H23" s="136"/>
      <c r="I23" s="133">
        <f t="shared" si="0"/>
        <v>0</v>
      </c>
    </row>
    <row r="24" spans="1:9">
      <c r="A24" s="134" t="s">
        <v>30</v>
      </c>
      <c r="B24" s="160">
        <v>13789.890000000001</v>
      </c>
      <c r="C24" s="138">
        <v>1E-4</v>
      </c>
      <c r="D24" s="135"/>
      <c r="E24" s="137" t="s">
        <v>30</v>
      </c>
      <c r="F24" s="160">
        <v>13152.31000000008</v>
      </c>
      <c r="G24" s="138">
        <v>1E-4</v>
      </c>
      <c r="H24" s="136"/>
      <c r="I24" s="133">
        <f t="shared" si="0"/>
        <v>0</v>
      </c>
    </row>
    <row r="25" spans="1:9">
      <c r="A25" s="134" t="s">
        <v>31</v>
      </c>
      <c r="B25" s="160">
        <v>3490.820000000002</v>
      </c>
      <c r="C25" s="138">
        <v>0</v>
      </c>
      <c r="D25" s="135"/>
      <c r="E25" s="137" t="s">
        <v>31</v>
      </c>
      <c r="F25" s="160">
        <v>2226.9399999999996</v>
      </c>
      <c r="G25" s="138">
        <v>0</v>
      </c>
      <c r="H25" s="140"/>
      <c r="I25" s="133">
        <f t="shared" si="0"/>
        <v>0</v>
      </c>
    </row>
    <row r="26" spans="1:9">
      <c r="A26" s="134" t="s">
        <v>32</v>
      </c>
      <c r="B26" s="160">
        <v>10700824.840000007</v>
      </c>
      <c r="C26" s="138">
        <v>7.8E-2</v>
      </c>
      <c r="D26" s="135"/>
      <c r="E26" s="137" t="s">
        <v>32</v>
      </c>
      <c r="F26" s="160">
        <v>10770417.769999964</v>
      </c>
      <c r="G26" s="138">
        <v>7.7499999999999999E-2</v>
      </c>
      <c r="H26" s="140"/>
      <c r="I26" s="133">
        <f t="shared" si="0"/>
        <v>-5.0000000000000044E-4</v>
      </c>
    </row>
    <row r="27" spans="1:9">
      <c r="A27" s="134" t="s">
        <v>33</v>
      </c>
      <c r="B27" s="160">
        <v>1835112.86</v>
      </c>
      <c r="C27" s="138">
        <v>1.34E-2</v>
      </c>
      <c r="D27" s="135"/>
      <c r="E27" s="137" t="s">
        <v>33</v>
      </c>
      <c r="F27" s="160">
        <v>1704737.8400000024</v>
      </c>
      <c r="G27" s="138">
        <v>1.23E-2</v>
      </c>
      <c r="H27" s="140"/>
      <c r="I27" s="133">
        <f t="shared" si="0"/>
        <v>-1.1000000000000003E-3</v>
      </c>
    </row>
    <row r="28" spans="1:9">
      <c r="A28" s="134" t="s">
        <v>35</v>
      </c>
      <c r="B28" s="160">
        <v>53150.719999999936</v>
      </c>
      <c r="C28" s="138">
        <v>4.0000000000000002E-4</v>
      </c>
      <c r="D28" s="135"/>
      <c r="E28" s="137" t="s">
        <v>35</v>
      </c>
      <c r="F28" s="160">
        <v>69860.039999999819</v>
      </c>
      <c r="G28" s="138">
        <v>5.0000000000000001E-4</v>
      </c>
      <c r="H28" s="156"/>
      <c r="I28" s="133">
        <f t="shared" si="0"/>
        <v>9.9999999999999991E-5</v>
      </c>
    </row>
    <row r="29" spans="1:9">
      <c r="A29" s="134" t="s">
        <v>36</v>
      </c>
      <c r="B29" s="160">
        <v>17411.520000000015</v>
      </c>
      <c r="C29" s="138">
        <v>1E-4</v>
      </c>
      <c r="D29" s="135"/>
      <c r="E29" s="137" t="s">
        <v>36</v>
      </c>
      <c r="F29" s="160">
        <v>431.58000000003949</v>
      </c>
      <c r="G29" s="138">
        <v>0</v>
      </c>
      <c r="H29" s="156"/>
      <c r="I29" s="133">
        <f t="shared" si="0"/>
        <v>-1E-4</v>
      </c>
    </row>
    <row r="30" spans="1:9">
      <c r="A30" s="134" t="s">
        <v>37</v>
      </c>
      <c r="B30" s="160">
        <v>18108.270000000011</v>
      </c>
      <c r="C30" s="138">
        <v>1E-4</v>
      </c>
      <c r="D30" s="135"/>
      <c r="E30" s="137" t="s">
        <v>37</v>
      </c>
      <c r="F30" s="160">
        <v>0</v>
      </c>
      <c r="G30" s="138">
        <v>0</v>
      </c>
      <c r="H30" s="156"/>
      <c r="I30" s="133">
        <f t="shared" si="0"/>
        <v>-1E-4</v>
      </c>
    </row>
    <row r="31" spans="1:9">
      <c r="A31" s="135" t="s">
        <v>38</v>
      </c>
      <c r="B31" s="160">
        <v>387706.56999999948</v>
      </c>
      <c r="C31" s="138">
        <v>2.8E-3</v>
      </c>
      <c r="E31" s="137" t="s">
        <v>38</v>
      </c>
      <c r="F31" s="160">
        <v>469298.31000000046</v>
      </c>
      <c r="G31" s="138">
        <v>3.3999999999999998E-3</v>
      </c>
      <c r="H31" s="135"/>
      <c r="I31" s="133">
        <f t="shared" si="0"/>
        <v>5.9999999999999984E-4</v>
      </c>
    </row>
    <row r="32" spans="1:9" ht="15" thickBot="1">
      <c r="A32" s="157" t="s">
        <v>6</v>
      </c>
      <c r="B32" s="161">
        <v>137184928.06999999</v>
      </c>
      <c r="C32" s="157">
        <v>0.99999999999999989</v>
      </c>
      <c r="E32" s="143" t="s">
        <v>6</v>
      </c>
      <c r="F32" s="148">
        <f>SUM(F6:F31)</f>
        <v>139006238.80999976</v>
      </c>
      <c r="G32" s="144">
        <f>SUM(G6:G31)</f>
        <v>0.99999999999999978</v>
      </c>
      <c r="I32" s="181">
        <f>SUM(I6:I31)</f>
        <v>-8.6736173798840355E-19</v>
      </c>
    </row>
  </sheetData>
  <mergeCells count="3">
    <mergeCell ref="A1:I1"/>
    <mergeCell ref="A3:C3"/>
    <mergeCell ref="E3:G3"/>
  </mergeCells>
  <conditionalFormatting sqref="I6:I31">
    <cfRule type="cellIs" dxfId="7" priority="1" operator="notBetween">
      <formula>-0.0099</formula>
      <formula>0.0099</formula>
    </cfRule>
  </conditionalFormatting>
  <pageMargins left="0.7" right="0.7" top="0.75" bottom="0.75" header="0.3" footer="0.3"/>
  <pageSetup orientation="landscape" r:id="rId1"/>
  <headerFooter>
    <oddHeader>&amp;RKY PSC Case No. 2016-00162,
Attachment G to Staff Post Hearing Supp. DR 2</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H30"/>
  <sheetViews>
    <sheetView workbookViewId="0"/>
  </sheetViews>
  <sheetFormatPr defaultRowHeight="14.4"/>
  <cols>
    <col min="1" max="1" width="14.109375" bestFit="1" customWidth="1"/>
    <col min="2" max="2" width="23" bestFit="1" customWidth="1"/>
    <col min="5" max="5" width="12.33203125" bestFit="1" customWidth="1"/>
    <col min="7" max="7" width="11.33203125" customWidth="1"/>
    <col min="8" max="8" width="19.109375" bestFit="1" customWidth="1"/>
  </cols>
  <sheetData>
    <row r="1" spans="1:8">
      <c r="A1" s="163" t="s">
        <v>101</v>
      </c>
      <c r="B1" t="s">
        <v>102</v>
      </c>
    </row>
    <row r="2" spans="1:8">
      <c r="A2" s="163" t="s">
        <v>106</v>
      </c>
      <c r="B2" t="s">
        <v>107</v>
      </c>
    </row>
    <row r="4" spans="1:8">
      <c r="A4" s="163" t="s">
        <v>44</v>
      </c>
      <c r="B4" t="s">
        <v>100</v>
      </c>
      <c r="D4" t="s">
        <v>44</v>
      </c>
      <c r="E4" t="s">
        <v>108</v>
      </c>
      <c r="G4" s="163" t="s">
        <v>44</v>
      </c>
      <c r="H4" t="s">
        <v>100</v>
      </c>
    </row>
    <row r="5" spans="1:8">
      <c r="A5" t="s">
        <v>8</v>
      </c>
      <c r="B5" s="73">
        <v>60719.550000000105</v>
      </c>
      <c r="D5" t="s">
        <v>8</v>
      </c>
      <c r="E5" s="76">
        <v>4.3681168931557402E-4</v>
      </c>
      <c r="G5" t="s">
        <v>8</v>
      </c>
      <c r="H5" s="85">
        <v>4.3681168931557402E-4</v>
      </c>
    </row>
    <row r="6" spans="1:8">
      <c r="A6" t="s">
        <v>9</v>
      </c>
      <c r="B6" s="73">
        <v>3895127.810000007</v>
      </c>
      <c r="D6" t="s">
        <v>9</v>
      </c>
      <c r="E6" s="76">
        <v>2.8021244537981133E-2</v>
      </c>
      <c r="G6" t="s">
        <v>9</v>
      </c>
      <c r="H6" s="85">
        <v>2.8021244537981133E-2</v>
      </c>
    </row>
    <row r="7" spans="1:8">
      <c r="A7" t="s">
        <v>11</v>
      </c>
      <c r="B7" s="73">
        <v>54470.88999999981</v>
      </c>
      <c r="D7" t="s">
        <v>11</v>
      </c>
      <c r="E7" s="76">
        <v>3.9185931844723298E-4</v>
      </c>
      <c r="G7" t="s">
        <v>11</v>
      </c>
      <c r="H7" s="85">
        <v>3.9185931844723298E-4</v>
      </c>
    </row>
    <row r="8" spans="1:8">
      <c r="A8" t="s">
        <v>13</v>
      </c>
      <c r="B8" s="73">
        <v>3196796.9500000039</v>
      </c>
      <c r="D8" t="s">
        <v>13</v>
      </c>
      <c r="E8" s="76">
        <v>2.2997506999448677E-2</v>
      </c>
      <c r="G8" t="s">
        <v>13</v>
      </c>
      <c r="H8" s="85">
        <v>2.2997506999448677E-2</v>
      </c>
    </row>
    <row r="9" spans="1:8">
      <c r="A9" t="s">
        <v>14</v>
      </c>
      <c r="B9" s="73">
        <v>26317144.319999926</v>
      </c>
      <c r="D9" t="s">
        <v>14</v>
      </c>
      <c r="E9" s="76">
        <v>0.18932347602017655</v>
      </c>
      <c r="G9" t="s">
        <v>14</v>
      </c>
      <c r="H9" s="85">
        <v>0.18932347602017655</v>
      </c>
    </row>
    <row r="10" spans="1:8">
      <c r="A10" t="s">
        <v>15</v>
      </c>
      <c r="B10" s="73">
        <v>1175658.0900000038</v>
      </c>
      <c r="D10" t="s">
        <v>15</v>
      </c>
      <c r="E10" s="76">
        <v>8.4575922639482989E-3</v>
      </c>
      <c r="G10" t="s">
        <v>15</v>
      </c>
      <c r="H10" s="85">
        <v>8.4575922639482989E-3</v>
      </c>
    </row>
    <row r="11" spans="1:8">
      <c r="A11" t="s">
        <v>16</v>
      </c>
      <c r="B11" s="73">
        <v>11547005.690000048</v>
      </c>
      <c r="D11" t="s">
        <v>16</v>
      </c>
      <c r="E11" s="76">
        <v>8.3068254985181181E-2</v>
      </c>
      <c r="G11" t="s">
        <v>16</v>
      </c>
      <c r="H11" s="85">
        <v>8.3068254985181181E-2</v>
      </c>
    </row>
    <row r="12" spans="1:8">
      <c r="A12" t="s">
        <v>17</v>
      </c>
      <c r="B12" s="73">
        <v>6055311.5899999728</v>
      </c>
      <c r="D12" t="s">
        <v>17</v>
      </c>
      <c r="E12" s="76">
        <v>4.3561437542933998E-2</v>
      </c>
      <c r="G12" t="s">
        <v>17</v>
      </c>
      <c r="H12" s="85">
        <v>4.3561437542933998E-2</v>
      </c>
    </row>
    <row r="13" spans="1:8">
      <c r="A13" t="s">
        <v>18</v>
      </c>
      <c r="B13" s="73">
        <v>162466.86999999988</v>
      </c>
      <c r="D13" t="s">
        <v>18</v>
      </c>
      <c r="E13" s="76">
        <v>1.1687739441829457E-3</v>
      </c>
      <c r="G13" t="s">
        <v>18</v>
      </c>
      <c r="H13" s="85">
        <v>1.1687739441829457E-3</v>
      </c>
    </row>
    <row r="14" spans="1:8">
      <c r="A14" t="s">
        <v>19</v>
      </c>
      <c r="B14" s="73">
        <v>34707376.479999922</v>
      </c>
      <c r="D14" t="s">
        <v>19</v>
      </c>
      <c r="E14" s="76">
        <v>0.2496821493561853</v>
      </c>
      <c r="G14" t="s">
        <v>19</v>
      </c>
      <c r="H14" s="85">
        <v>0.2496821493561853</v>
      </c>
    </row>
    <row r="15" spans="1:8">
      <c r="A15" t="s">
        <v>20</v>
      </c>
      <c r="B15" s="73">
        <v>13468.730000000081</v>
      </c>
      <c r="D15" t="s">
        <v>20</v>
      </c>
      <c r="E15" s="76">
        <v>9.6892989230575269E-5</v>
      </c>
      <c r="G15" t="s">
        <v>20</v>
      </c>
      <c r="H15" s="85">
        <v>9.6892989230575269E-5</v>
      </c>
    </row>
    <row r="16" spans="1:8">
      <c r="A16" t="s">
        <v>21</v>
      </c>
      <c r="B16" s="73">
        <v>464084.48000000021</v>
      </c>
      <c r="D16" t="s">
        <v>21</v>
      </c>
      <c r="E16" s="76">
        <v>3.3385874186145892E-3</v>
      </c>
      <c r="G16" t="s">
        <v>21</v>
      </c>
      <c r="H16" s="85">
        <v>3.3385874186145892E-3</v>
      </c>
    </row>
    <row r="17" spans="1:8">
      <c r="A17" t="s">
        <v>22</v>
      </c>
      <c r="B17" s="73">
        <v>36881497.389999904</v>
      </c>
      <c r="D17" t="s">
        <v>22</v>
      </c>
      <c r="E17" s="76">
        <v>0.26532260498330051</v>
      </c>
      <c r="G17" t="s">
        <v>22</v>
      </c>
      <c r="H17" s="85">
        <v>0.27514082581772986</v>
      </c>
    </row>
    <row r="18" spans="1:8">
      <c r="A18" t="s">
        <v>23</v>
      </c>
      <c r="B18" s="73">
        <v>73253.569999999978</v>
      </c>
      <c r="D18" t="s">
        <v>23</v>
      </c>
      <c r="E18" s="76">
        <v>5.2698044797921907E-4</v>
      </c>
      <c r="G18" t="s">
        <v>23</v>
      </c>
      <c r="H18" s="85">
        <v>5.2698044797921907E-4</v>
      </c>
    </row>
    <row r="19" spans="1:8">
      <c r="A19" t="s">
        <v>24</v>
      </c>
      <c r="B19" s="73">
        <v>383.14999999999816</v>
      </c>
      <c r="D19" t="s">
        <v>24</v>
      </c>
      <c r="E19" s="76">
        <v>2.756351105389633E-6</v>
      </c>
      <c r="G19" t="s">
        <v>24</v>
      </c>
      <c r="H19" s="85">
        <v>2.756351105389633E-6</v>
      </c>
    </row>
    <row r="20" spans="1:8">
      <c r="A20" t="s">
        <v>27</v>
      </c>
      <c r="B20" s="73">
        <v>6554.5100000000211</v>
      </c>
      <c r="D20" t="s">
        <v>27</v>
      </c>
      <c r="E20" s="76">
        <v>4.7152631825101263E-5</v>
      </c>
      <c r="G20" t="s">
        <v>27</v>
      </c>
      <c r="H20" s="85">
        <v>4.7152631825101263E-5</v>
      </c>
    </row>
    <row r="21" spans="1:8">
      <c r="A21" t="s">
        <v>30</v>
      </c>
      <c r="B21" s="73">
        <v>13152.31000000008</v>
      </c>
      <c r="D21" t="s">
        <v>30</v>
      </c>
      <c r="E21" s="76">
        <v>9.461668852127762E-5</v>
      </c>
      <c r="G21" t="s">
        <v>30</v>
      </c>
      <c r="H21" s="85">
        <v>9.461668852127762E-5</v>
      </c>
    </row>
    <row r="22" spans="1:8">
      <c r="A22" t="s">
        <v>31</v>
      </c>
      <c r="B22" s="73">
        <v>2226.9399999999996</v>
      </c>
      <c r="D22" t="s">
        <v>31</v>
      </c>
      <c r="E22" s="76">
        <v>1.6020432025672499E-5</v>
      </c>
      <c r="G22" t="s">
        <v>31</v>
      </c>
      <c r="H22" s="85">
        <v>1.6020432025672499E-5</v>
      </c>
    </row>
    <row r="23" spans="1:8">
      <c r="A23" t="s">
        <v>32</v>
      </c>
      <c r="B23" s="73">
        <v>10770417.769999964</v>
      </c>
      <c r="D23" t="s">
        <v>32</v>
      </c>
      <c r="E23" s="76">
        <v>7.7481542283303381E-2</v>
      </c>
      <c r="G23" t="s">
        <v>32</v>
      </c>
      <c r="H23" s="85">
        <v>7.7481542283303381E-2</v>
      </c>
    </row>
    <row r="24" spans="1:8">
      <c r="A24" t="s">
        <v>33</v>
      </c>
      <c r="B24" s="73">
        <v>1704737.8400000024</v>
      </c>
      <c r="D24" t="s">
        <v>33</v>
      </c>
      <c r="E24" s="76">
        <v>1.2263750566836916E-2</v>
      </c>
      <c r="G24" t="s">
        <v>33</v>
      </c>
      <c r="H24" s="85">
        <v>1.2263750566836916E-2</v>
      </c>
    </row>
    <row r="25" spans="1:8">
      <c r="A25" t="s">
        <v>47</v>
      </c>
      <c r="B25" s="73">
        <v>991250.49999999977</v>
      </c>
      <c r="D25" t="s">
        <v>22</v>
      </c>
      <c r="E25" s="76">
        <v>7.1309784976981315E-3</v>
      </c>
      <c r="G25" t="s">
        <v>35</v>
      </c>
      <c r="H25" s="85">
        <v>5.0256765881916848E-4</v>
      </c>
    </row>
    <row r="26" spans="1:8">
      <c r="A26" t="s">
        <v>48</v>
      </c>
      <c r="B26" s="73">
        <v>373543.45000000059</v>
      </c>
      <c r="D26" t="s">
        <v>22</v>
      </c>
      <c r="E26" s="76">
        <v>2.6872423367312118E-3</v>
      </c>
      <c r="G26" t="s">
        <v>36</v>
      </c>
      <c r="H26" s="85">
        <v>3.1047527340837069E-6</v>
      </c>
    </row>
    <row r="27" spans="1:8">
      <c r="A27" t="s">
        <v>35</v>
      </c>
      <c r="B27" s="73">
        <v>69860.039999999819</v>
      </c>
      <c r="D27" t="s">
        <v>35</v>
      </c>
      <c r="E27" s="76">
        <v>5.0256765881916848E-4</v>
      </c>
      <c r="G27" t="s">
        <v>38</v>
      </c>
      <c r="H27" s="85">
        <v>3.3760953034738203E-3</v>
      </c>
    </row>
    <row r="28" spans="1:8">
      <c r="A28" t="s">
        <v>36</v>
      </c>
      <c r="B28" s="73">
        <v>431.58000000003949</v>
      </c>
      <c r="D28" t="s">
        <v>36</v>
      </c>
      <c r="E28" s="76">
        <v>3.1047527340837069E-6</v>
      </c>
      <c r="G28" t="s">
        <v>49</v>
      </c>
      <c r="H28" s="85">
        <v>1</v>
      </c>
    </row>
    <row r="29" spans="1:8">
      <c r="A29" t="s">
        <v>38</v>
      </c>
      <c r="B29" s="73">
        <v>469298.31000000046</v>
      </c>
      <c r="D29" t="s">
        <v>38</v>
      </c>
      <c r="E29" s="76">
        <v>3.3760953034738203E-3</v>
      </c>
    </row>
    <row r="30" spans="1:8">
      <c r="A30" t="s">
        <v>49</v>
      </c>
      <c r="B30" s="73">
        <v>139006238.80999976</v>
      </c>
      <c r="E30" s="76"/>
    </row>
  </sheetData>
  <pageMargins left="0.7" right="0.7" top="0.75" bottom="0.75" header="0.3" footer="0.3"/>
  <pageSetup orientation="landscape" r:id="rId1"/>
  <headerFooter>
    <oddHeader>&amp;RKY PSC Case No. 2016-00162,
Attachment G to Staff Post Hearing Supp. DR 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6"/>
  <sheetViews>
    <sheetView workbookViewId="0">
      <selection sqref="A1:J1"/>
    </sheetView>
  </sheetViews>
  <sheetFormatPr defaultColWidth="9.109375" defaultRowHeight="14.4"/>
  <cols>
    <col min="1" max="1" width="12.6640625" style="47" customWidth="1"/>
    <col min="2" max="2" width="14.5546875" style="47" bestFit="1" customWidth="1"/>
    <col min="3" max="3" width="11" style="47" bestFit="1" customWidth="1"/>
    <col min="4" max="4" width="9.109375" style="47"/>
    <col min="5" max="5" width="9.33203125" style="47" bestFit="1" customWidth="1"/>
    <col min="6" max="6" width="14.5546875" style="47" bestFit="1" customWidth="1"/>
    <col min="7" max="7" width="19.6640625" style="47" bestFit="1" customWidth="1"/>
    <col min="8" max="8" width="9.109375" style="47"/>
    <col min="9" max="9" width="9.33203125" style="66" bestFit="1" customWidth="1"/>
    <col min="10" max="10" width="10.44140625" style="66" bestFit="1" customWidth="1"/>
    <col min="11" max="16384" width="9.109375" style="47"/>
  </cols>
  <sheetData>
    <row r="1" spans="1:10">
      <c r="A1" s="242" t="s">
        <v>50</v>
      </c>
      <c r="B1" s="242"/>
      <c r="C1" s="242"/>
      <c r="D1" s="242"/>
      <c r="E1" s="242"/>
      <c r="F1" s="242"/>
      <c r="G1" s="242"/>
      <c r="H1" s="242"/>
      <c r="I1" s="242"/>
      <c r="J1" s="242"/>
    </row>
    <row r="3" spans="1:10">
      <c r="A3" s="243" t="s">
        <v>51</v>
      </c>
      <c r="B3" s="243"/>
      <c r="C3" s="243"/>
      <c r="E3" s="243" t="s">
        <v>52</v>
      </c>
      <c r="F3" s="243"/>
      <c r="G3" s="243"/>
      <c r="I3" s="48"/>
      <c r="J3" s="48"/>
    </row>
    <row r="4" spans="1:10">
      <c r="A4" s="49" t="s">
        <v>2</v>
      </c>
      <c r="B4" s="50" t="s">
        <v>6</v>
      </c>
      <c r="C4" s="51" t="s">
        <v>4</v>
      </c>
      <c r="E4" s="49" t="s">
        <v>2</v>
      </c>
      <c r="F4" s="50" t="s">
        <v>3</v>
      </c>
      <c r="G4" s="51" t="s">
        <v>5</v>
      </c>
      <c r="I4" s="52" t="s">
        <v>2</v>
      </c>
      <c r="J4" s="53" t="s">
        <v>7</v>
      </c>
    </row>
    <row r="5" spans="1:10">
      <c r="A5" s="54" t="s">
        <v>8</v>
      </c>
      <c r="B5" s="55">
        <v>3682254.74</v>
      </c>
      <c r="C5" s="56">
        <v>1.06E-2</v>
      </c>
      <c r="E5" s="54" t="s">
        <v>8</v>
      </c>
      <c r="F5" s="55">
        <v>4336807.3399999989</v>
      </c>
      <c r="G5" s="56">
        <v>1.2800000000000001E-2</v>
      </c>
      <c r="I5" s="57" t="s">
        <v>8</v>
      </c>
      <c r="J5" s="58">
        <f>C5-G5</f>
        <v>-2.2000000000000006E-3</v>
      </c>
    </row>
    <row r="6" spans="1:10">
      <c r="A6" s="54" t="s">
        <v>9</v>
      </c>
      <c r="B6" s="55">
        <v>12857275.029999999</v>
      </c>
      <c r="C6" s="56">
        <v>3.7199999999999997E-2</v>
      </c>
      <c r="E6" s="54" t="s">
        <v>9</v>
      </c>
      <c r="F6" s="55">
        <v>13167096.240000002</v>
      </c>
      <c r="G6" s="56">
        <v>3.8699999999999998E-2</v>
      </c>
      <c r="I6" s="57" t="s">
        <v>9</v>
      </c>
      <c r="J6" s="58">
        <f t="shared" ref="J6:J36" si="0">C6-G6</f>
        <v>-1.5000000000000013E-3</v>
      </c>
    </row>
    <row r="7" spans="1:10">
      <c r="A7" s="54">
        <v>15</v>
      </c>
      <c r="B7" s="55">
        <v>0</v>
      </c>
      <c r="C7" s="56">
        <v>0</v>
      </c>
      <c r="E7" s="54" t="s">
        <v>10</v>
      </c>
      <c r="F7" s="55">
        <v>102724.4</v>
      </c>
      <c r="G7" s="56">
        <v>2.9999999999999997E-4</v>
      </c>
      <c r="I7" s="57">
        <v>15</v>
      </c>
      <c r="J7" s="58">
        <f t="shared" si="0"/>
        <v>-2.9999999999999997E-4</v>
      </c>
    </row>
    <row r="8" spans="1:10">
      <c r="A8" s="54" t="s">
        <v>11</v>
      </c>
      <c r="B8" s="55">
        <v>206689.47</v>
      </c>
      <c r="C8" s="56">
        <v>5.9999999999999995E-4</v>
      </c>
      <c r="E8" s="54" t="s">
        <v>11</v>
      </c>
      <c r="F8" s="55">
        <v>193417.28999999998</v>
      </c>
      <c r="G8" s="56">
        <v>5.9999999999999995E-4</v>
      </c>
      <c r="I8" s="57" t="s">
        <v>11</v>
      </c>
      <c r="J8" s="58">
        <f t="shared" si="0"/>
        <v>0</v>
      </c>
    </row>
    <row r="9" spans="1:10">
      <c r="A9" s="54" t="s">
        <v>12</v>
      </c>
      <c r="B9" s="55">
        <v>485608.89</v>
      </c>
      <c r="C9" s="56">
        <v>1.4E-3</v>
      </c>
      <c r="E9" s="54" t="s">
        <v>12</v>
      </c>
      <c r="F9" s="55">
        <v>625758.10000000009</v>
      </c>
      <c r="G9" s="56">
        <v>1.8E-3</v>
      </c>
      <c r="I9" s="57" t="s">
        <v>12</v>
      </c>
      <c r="J9" s="58">
        <f t="shared" si="0"/>
        <v>-3.9999999999999996E-4</v>
      </c>
    </row>
    <row r="10" spans="1:10">
      <c r="A10" s="54" t="s">
        <v>13</v>
      </c>
      <c r="B10" s="55">
        <v>8011128.1199999992</v>
      </c>
      <c r="C10" s="56">
        <v>2.3199999999999998E-2</v>
      </c>
      <c r="E10" s="54" t="s">
        <v>13</v>
      </c>
      <c r="F10" s="55">
        <v>7841569.6700000009</v>
      </c>
      <c r="G10" s="56">
        <v>2.3099999999999999E-2</v>
      </c>
      <c r="I10" s="57" t="s">
        <v>13</v>
      </c>
      <c r="J10" s="58">
        <f t="shared" si="0"/>
        <v>9.9999999999999395E-5</v>
      </c>
    </row>
    <row r="11" spans="1:10">
      <c r="A11" s="54" t="s">
        <v>14</v>
      </c>
      <c r="B11" s="55">
        <v>60844904.180000007</v>
      </c>
      <c r="C11" s="56">
        <v>0.17580000000000001</v>
      </c>
      <c r="E11" s="54" t="s">
        <v>14</v>
      </c>
      <c r="F11" s="55">
        <v>61060209.890000001</v>
      </c>
      <c r="G11" s="56">
        <v>0.17960000000000001</v>
      </c>
      <c r="I11" s="57" t="s">
        <v>14</v>
      </c>
      <c r="J11" s="58">
        <f t="shared" si="0"/>
        <v>-3.7999999999999978E-3</v>
      </c>
    </row>
    <row r="12" spans="1:10">
      <c r="A12" s="54" t="s">
        <v>15</v>
      </c>
      <c r="B12" s="55">
        <v>2956478.8200000003</v>
      </c>
      <c r="C12" s="56">
        <v>8.5000000000000006E-3</v>
      </c>
      <c r="E12" s="54" t="s">
        <v>15</v>
      </c>
      <c r="F12" s="55">
        <v>2956758.66</v>
      </c>
      <c r="G12" s="56">
        <v>8.6999999999999994E-3</v>
      </c>
      <c r="I12" s="57" t="s">
        <v>15</v>
      </c>
      <c r="J12" s="58">
        <f t="shared" si="0"/>
        <v>-1.9999999999999879E-4</v>
      </c>
    </row>
    <row r="13" spans="1:10">
      <c r="A13" s="54" t="s">
        <v>16</v>
      </c>
      <c r="B13" s="55">
        <v>26073974.940000005</v>
      </c>
      <c r="C13" s="56">
        <v>7.5399999999999995E-2</v>
      </c>
      <c r="E13" s="54" t="s">
        <v>16</v>
      </c>
      <c r="F13" s="55">
        <v>24997039.109999999</v>
      </c>
      <c r="G13" s="56">
        <v>7.3499999999999996E-2</v>
      </c>
      <c r="I13" s="57" t="s">
        <v>16</v>
      </c>
      <c r="J13" s="58">
        <f t="shared" si="0"/>
        <v>1.8999999999999989E-3</v>
      </c>
    </row>
    <row r="14" spans="1:10">
      <c r="A14" s="54" t="s">
        <v>17</v>
      </c>
      <c r="B14" s="55">
        <v>14340697.289999999</v>
      </c>
      <c r="C14" s="56">
        <v>4.1399999999999999E-2</v>
      </c>
      <c r="E14" s="54" t="s">
        <v>17</v>
      </c>
      <c r="F14" s="55">
        <v>13966126.52</v>
      </c>
      <c r="G14" s="56">
        <v>4.1099999999999998E-2</v>
      </c>
      <c r="I14" s="57" t="s">
        <v>17</v>
      </c>
      <c r="J14" s="58">
        <f t="shared" si="0"/>
        <v>3.0000000000000165E-4</v>
      </c>
    </row>
    <row r="15" spans="1:10">
      <c r="A15" s="54" t="s">
        <v>18</v>
      </c>
      <c r="B15" s="55">
        <v>414026.05000000005</v>
      </c>
      <c r="C15" s="56">
        <v>1.1999999999999999E-3</v>
      </c>
      <c r="E15" s="54" t="s">
        <v>18</v>
      </c>
      <c r="F15" s="55">
        <v>342023.75</v>
      </c>
      <c r="G15" s="56">
        <v>1E-3</v>
      </c>
      <c r="I15" s="57" t="s">
        <v>18</v>
      </c>
      <c r="J15" s="58">
        <f t="shared" si="0"/>
        <v>1.9999999999999987E-4</v>
      </c>
    </row>
    <row r="16" spans="1:10">
      <c r="A16" s="54" t="s">
        <v>19</v>
      </c>
      <c r="B16" s="55">
        <v>80942309.810000017</v>
      </c>
      <c r="C16" s="56">
        <v>0.2339</v>
      </c>
      <c r="E16" s="54" t="s">
        <v>19</v>
      </c>
      <c r="F16" s="55">
        <v>78626425.560000002</v>
      </c>
      <c r="G16" s="56">
        <v>0.23130000000000001</v>
      </c>
      <c r="I16" s="57" t="s">
        <v>19</v>
      </c>
      <c r="J16" s="58">
        <f t="shared" si="0"/>
        <v>2.5999999999999912E-3</v>
      </c>
    </row>
    <row r="17" spans="1:10">
      <c r="A17" s="54" t="s">
        <v>20</v>
      </c>
      <c r="B17" s="55">
        <v>114761.34999999999</v>
      </c>
      <c r="C17" s="56">
        <v>2.9999999999999997E-4</v>
      </c>
      <c r="E17" s="54" t="s">
        <v>20</v>
      </c>
      <c r="F17" s="55">
        <v>91981</v>
      </c>
      <c r="G17" s="56">
        <v>2.9999999999999997E-4</v>
      </c>
      <c r="I17" s="57" t="s">
        <v>20</v>
      </c>
      <c r="J17" s="58">
        <f t="shared" si="0"/>
        <v>0</v>
      </c>
    </row>
    <row r="18" spans="1:10">
      <c r="A18" s="59" t="s">
        <v>53</v>
      </c>
      <c r="B18" s="55">
        <v>7414555.5299999993</v>
      </c>
      <c r="C18" s="56">
        <v>2.1599999999999998E-2</v>
      </c>
      <c r="E18" s="54" t="s">
        <v>21</v>
      </c>
      <c r="F18" s="55">
        <v>8018995.6500000004</v>
      </c>
      <c r="G18" s="56">
        <v>2.3699999999999999E-2</v>
      </c>
      <c r="I18" s="57">
        <v>58</v>
      </c>
      <c r="J18" s="58">
        <f t="shared" si="0"/>
        <v>-2.1000000000000012E-3</v>
      </c>
    </row>
    <row r="19" spans="1:10">
      <c r="A19" s="54" t="s">
        <v>22</v>
      </c>
      <c r="B19" s="55">
        <v>90845139.960000008</v>
      </c>
      <c r="C19" s="56">
        <v>0.26250000000000001</v>
      </c>
      <c r="E19" s="54" t="s">
        <v>22</v>
      </c>
      <c r="F19" s="55">
        <v>83366829.859999999</v>
      </c>
      <c r="G19" s="56">
        <v>0.2452</v>
      </c>
      <c r="I19" s="60" t="s">
        <v>54</v>
      </c>
      <c r="J19" s="58">
        <f t="shared" si="0"/>
        <v>1.730000000000001E-2</v>
      </c>
    </row>
    <row r="20" spans="1:10">
      <c r="A20" s="54" t="s">
        <v>23</v>
      </c>
      <c r="B20" s="55">
        <v>1640301.65</v>
      </c>
      <c r="C20" s="56">
        <v>4.7000000000000002E-3</v>
      </c>
      <c r="E20" s="54" t="s">
        <v>23</v>
      </c>
      <c r="F20" s="55">
        <v>2444549.4500000002</v>
      </c>
      <c r="G20" s="56">
        <v>7.1999999999999998E-3</v>
      </c>
      <c r="I20" s="57" t="s">
        <v>23</v>
      </c>
      <c r="J20" s="58">
        <f t="shared" si="0"/>
        <v>-2.4999999999999996E-3</v>
      </c>
    </row>
    <row r="21" spans="1:10">
      <c r="A21" s="54" t="s">
        <v>24</v>
      </c>
      <c r="B21" s="55">
        <v>10342.5</v>
      </c>
      <c r="C21" s="56">
        <v>0</v>
      </c>
      <c r="E21" s="54" t="s">
        <v>24</v>
      </c>
      <c r="F21" s="55">
        <v>8610.09</v>
      </c>
      <c r="G21" s="56">
        <v>0</v>
      </c>
      <c r="I21" s="57" t="s">
        <v>24</v>
      </c>
      <c r="J21" s="58">
        <f t="shared" si="0"/>
        <v>0</v>
      </c>
    </row>
    <row r="22" spans="1:10">
      <c r="A22" s="54">
        <v>64</v>
      </c>
      <c r="B22" s="55">
        <v>0</v>
      </c>
      <c r="C22" s="56">
        <v>0</v>
      </c>
      <c r="E22" s="54" t="s">
        <v>25</v>
      </c>
      <c r="F22" s="55">
        <v>1543721.3299999998</v>
      </c>
      <c r="G22" s="56">
        <v>4.4999999999999997E-3</v>
      </c>
      <c r="I22" s="57">
        <v>64</v>
      </c>
      <c r="J22" s="58">
        <f t="shared" si="0"/>
        <v>-4.4999999999999997E-3</v>
      </c>
    </row>
    <row r="23" spans="1:10">
      <c r="A23" s="54">
        <v>65</v>
      </c>
      <c r="B23" s="55">
        <v>0</v>
      </c>
      <c r="C23" s="56">
        <v>0</v>
      </c>
      <c r="E23" s="54" t="s">
        <v>26</v>
      </c>
      <c r="F23" s="55">
        <v>1774639.06</v>
      </c>
      <c r="G23" s="56">
        <v>5.1999999999999998E-3</v>
      </c>
      <c r="I23" s="57">
        <v>65</v>
      </c>
      <c r="J23" s="58">
        <f t="shared" si="0"/>
        <v>-5.1999999999999998E-3</v>
      </c>
    </row>
    <row r="24" spans="1:10">
      <c r="A24" s="54" t="s">
        <v>27</v>
      </c>
      <c r="B24" s="55">
        <v>261280.34000000003</v>
      </c>
      <c r="C24" s="56">
        <v>8.0000000000000004E-4</v>
      </c>
      <c r="E24" s="54" t="s">
        <v>27</v>
      </c>
      <c r="F24" s="55">
        <v>260254.3</v>
      </c>
      <c r="G24" s="56">
        <v>8.0000000000000004E-4</v>
      </c>
      <c r="I24" s="57" t="s">
        <v>27</v>
      </c>
      <c r="J24" s="58">
        <f t="shared" si="0"/>
        <v>0</v>
      </c>
    </row>
    <row r="25" spans="1:10">
      <c r="A25" s="54">
        <v>69</v>
      </c>
      <c r="B25" s="55">
        <v>0</v>
      </c>
      <c r="C25" s="56">
        <v>0</v>
      </c>
      <c r="E25" s="54" t="s">
        <v>28</v>
      </c>
      <c r="F25" s="55">
        <v>172731.61000000002</v>
      </c>
      <c r="G25" s="56">
        <v>5.0000000000000001E-4</v>
      </c>
      <c r="I25" s="57">
        <v>69</v>
      </c>
      <c r="J25" s="58">
        <f t="shared" si="0"/>
        <v>-5.0000000000000001E-4</v>
      </c>
    </row>
    <row r="26" spans="1:10">
      <c r="A26" s="54" t="s">
        <v>29</v>
      </c>
      <c r="B26" s="55">
        <v>907266.46999999986</v>
      </c>
      <c r="C26" s="56">
        <v>2.5999999999999999E-3</v>
      </c>
      <c r="E26" s="54" t="s">
        <v>29</v>
      </c>
      <c r="F26" s="55">
        <v>766756.26</v>
      </c>
      <c r="G26" s="56">
        <v>2.3E-3</v>
      </c>
      <c r="I26" s="57" t="s">
        <v>29</v>
      </c>
      <c r="J26" s="58">
        <f t="shared" si="0"/>
        <v>2.9999999999999992E-4</v>
      </c>
    </row>
    <row r="27" spans="1:10">
      <c r="A27" s="54" t="s">
        <v>55</v>
      </c>
      <c r="B27" s="55">
        <v>1592.71</v>
      </c>
      <c r="C27" s="56">
        <v>0</v>
      </c>
      <c r="E27" s="54">
        <v>74</v>
      </c>
      <c r="F27" s="55">
        <v>0</v>
      </c>
      <c r="G27" s="56">
        <v>0</v>
      </c>
      <c r="I27" s="57" t="s">
        <v>55</v>
      </c>
      <c r="J27" s="58">
        <f t="shared" si="0"/>
        <v>0</v>
      </c>
    </row>
    <row r="28" spans="1:10">
      <c r="A28" s="54" t="s">
        <v>30</v>
      </c>
      <c r="B28" s="55">
        <v>262037.12</v>
      </c>
      <c r="C28" s="56">
        <v>8.0000000000000004E-4</v>
      </c>
      <c r="E28" s="54" t="s">
        <v>30</v>
      </c>
      <c r="F28" s="55">
        <v>162738.40999999997</v>
      </c>
      <c r="G28" s="56">
        <v>5.0000000000000001E-4</v>
      </c>
      <c r="I28" s="57" t="s">
        <v>30</v>
      </c>
      <c r="J28" s="58">
        <f t="shared" si="0"/>
        <v>3.0000000000000003E-4</v>
      </c>
    </row>
    <row r="29" spans="1:10">
      <c r="A29" s="54" t="s">
        <v>31</v>
      </c>
      <c r="B29" s="55">
        <v>97937.09</v>
      </c>
      <c r="C29" s="56">
        <v>2.9999999999999997E-4</v>
      </c>
      <c r="E29" s="54" t="s">
        <v>31</v>
      </c>
      <c r="F29" s="55">
        <v>145085.02999999997</v>
      </c>
      <c r="G29" s="56">
        <v>4.0000000000000002E-4</v>
      </c>
      <c r="I29" s="57" t="s">
        <v>31</v>
      </c>
      <c r="J29" s="58">
        <f t="shared" si="0"/>
        <v>-1.0000000000000005E-4</v>
      </c>
    </row>
    <row r="30" spans="1:10">
      <c r="A30" s="54" t="s">
        <v>32</v>
      </c>
      <c r="B30" s="55">
        <v>28901532.449999992</v>
      </c>
      <c r="C30" s="56">
        <v>8.3500000000000005E-2</v>
      </c>
      <c r="E30" s="54" t="s">
        <v>32</v>
      </c>
      <c r="F30" s="55">
        <v>28947687.260000002</v>
      </c>
      <c r="G30" s="56">
        <v>8.5099999999999995E-2</v>
      </c>
      <c r="I30" s="57" t="s">
        <v>32</v>
      </c>
      <c r="J30" s="58">
        <f t="shared" si="0"/>
        <v>-1.5999999999999903E-3</v>
      </c>
    </row>
    <row r="31" spans="1:10">
      <c r="A31" s="54" t="s">
        <v>33</v>
      </c>
      <c r="B31" s="55">
        <v>4339248.32</v>
      </c>
      <c r="C31" s="56">
        <v>1.2500000000000001E-2</v>
      </c>
      <c r="E31" s="54" t="s">
        <v>33</v>
      </c>
      <c r="F31" s="55">
        <v>3813014.5100000002</v>
      </c>
      <c r="G31" s="56">
        <v>1.12E-2</v>
      </c>
      <c r="I31" s="57" t="s">
        <v>33</v>
      </c>
      <c r="J31" s="58">
        <f t="shared" si="0"/>
        <v>1.3000000000000008E-3</v>
      </c>
    </row>
    <row r="32" spans="1:10">
      <c r="A32" s="54">
        <v>91</v>
      </c>
      <c r="B32" s="55">
        <v>0</v>
      </c>
      <c r="C32" s="56">
        <v>0</v>
      </c>
      <c r="E32" s="54" t="s">
        <v>34</v>
      </c>
      <c r="F32" s="55">
        <v>13936.6</v>
      </c>
      <c r="G32" s="56">
        <v>0</v>
      </c>
      <c r="I32" s="57">
        <v>91</v>
      </c>
      <c r="J32" s="58">
        <f t="shared" si="0"/>
        <v>0</v>
      </c>
    </row>
    <row r="33" spans="1:10">
      <c r="A33" s="54" t="s">
        <v>35</v>
      </c>
      <c r="B33" s="55">
        <v>100110.77</v>
      </c>
      <c r="C33" s="56">
        <v>2.9999999999999997E-4</v>
      </c>
      <c r="E33" s="54" t="s">
        <v>35</v>
      </c>
      <c r="F33" s="55">
        <v>13871.21</v>
      </c>
      <c r="G33" s="56">
        <v>0</v>
      </c>
      <c r="I33" s="57" t="s">
        <v>35</v>
      </c>
      <c r="J33" s="58">
        <f t="shared" si="0"/>
        <v>2.9999999999999997E-4</v>
      </c>
    </row>
    <row r="34" spans="1:10">
      <c r="A34" s="54" t="s">
        <v>36</v>
      </c>
      <c r="B34" s="55">
        <v>83800.61</v>
      </c>
      <c r="C34" s="56">
        <v>2.0000000000000001E-4</v>
      </c>
      <c r="E34" s="54" t="s">
        <v>36</v>
      </c>
      <c r="F34" s="55">
        <v>76243.099999999991</v>
      </c>
      <c r="G34" s="56">
        <v>2.0000000000000001E-4</v>
      </c>
      <c r="I34" s="57" t="s">
        <v>36</v>
      </c>
      <c r="J34" s="58">
        <f t="shared" si="0"/>
        <v>0</v>
      </c>
    </row>
    <row r="35" spans="1:10">
      <c r="A35" s="54" t="s">
        <v>37</v>
      </c>
      <c r="B35" s="55">
        <v>55550.459999999992</v>
      </c>
      <c r="C35" s="56">
        <v>2.0000000000000001E-4</v>
      </c>
      <c r="E35" s="54" t="s">
        <v>37</v>
      </c>
      <c r="F35" s="55">
        <v>40124.959999999992</v>
      </c>
      <c r="G35" s="56">
        <v>1E-4</v>
      </c>
      <c r="I35" s="57" t="s">
        <v>37</v>
      </c>
      <c r="J35" s="58">
        <f t="shared" si="0"/>
        <v>1E-4</v>
      </c>
    </row>
    <row r="36" spans="1:10">
      <c r="A36" s="54" t="s">
        <v>38</v>
      </c>
      <c r="B36" s="55">
        <v>168080.30000000002</v>
      </c>
      <c r="C36" s="56">
        <v>5.0000000000000001E-4</v>
      </c>
      <c r="E36" s="54" t="s">
        <v>38</v>
      </c>
      <c r="F36" s="55">
        <v>99211.75999999998</v>
      </c>
      <c r="G36" s="56">
        <v>2.9999999999999997E-4</v>
      </c>
      <c r="I36" s="57" t="s">
        <v>38</v>
      </c>
      <c r="J36" s="58">
        <f t="shared" si="0"/>
        <v>2.0000000000000004E-4</v>
      </c>
    </row>
    <row r="37" spans="1:10">
      <c r="A37" s="54" t="s">
        <v>56</v>
      </c>
      <c r="B37" s="55">
        <v>1007.73</v>
      </c>
      <c r="C37" s="56">
        <v>0</v>
      </c>
      <c r="E37" s="54">
        <v>97</v>
      </c>
      <c r="F37" s="55">
        <v>0</v>
      </c>
      <c r="G37" s="56">
        <v>0</v>
      </c>
      <c r="I37" s="57" t="s">
        <v>56</v>
      </c>
      <c r="J37" s="58">
        <f>C37-G37</f>
        <v>0</v>
      </c>
    </row>
    <row r="38" spans="1:10">
      <c r="A38" s="61" t="s">
        <v>49</v>
      </c>
      <c r="B38" s="62">
        <f>SUM(B5:B37)</f>
        <v>346019892.69999993</v>
      </c>
      <c r="C38" s="63">
        <f>SUM(C5:C37)</f>
        <v>0.99999999999999989</v>
      </c>
      <c r="E38" s="61" t="s">
        <v>6</v>
      </c>
      <c r="F38" s="62">
        <f>SUM(F5:F37)</f>
        <v>339976937.97999996</v>
      </c>
      <c r="G38" s="63">
        <f>SUM(G5:G37)</f>
        <v>0.99999999999999967</v>
      </c>
      <c r="I38" s="52" t="s">
        <v>6</v>
      </c>
      <c r="J38" s="64">
        <f>SUM(J5:J37)</f>
        <v>1.3173056395698879E-17</v>
      </c>
    </row>
    <row r="40" spans="1:10">
      <c r="A40" s="65" t="s">
        <v>57</v>
      </c>
    </row>
    <row r="41" spans="1:10">
      <c r="A41" s="65" t="s">
        <v>58</v>
      </c>
    </row>
    <row r="43" spans="1:10">
      <c r="A43" s="65" t="s">
        <v>59</v>
      </c>
      <c r="B43" s="67"/>
      <c r="C43" s="67"/>
      <c r="D43" s="67"/>
      <c r="E43" s="67"/>
      <c r="F43" s="67"/>
      <c r="G43" s="68" t="s">
        <v>60</v>
      </c>
      <c r="H43" s="67"/>
      <c r="I43" s="69"/>
    </row>
    <row r="44" spans="1:10">
      <c r="G44" s="70"/>
    </row>
    <row r="45" spans="1:10">
      <c r="G45" s="70"/>
    </row>
    <row r="46" spans="1:10">
      <c r="A46" s="65" t="s">
        <v>61</v>
      </c>
      <c r="B46" s="67"/>
      <c r="C46" s="67"/>
      <c r="D46" s="67"/>
      <c r="E46" s="67"/>
      <c r="F46" s="67"/>
      <c r="G46" s="68" t="s">
        <v>60</v>
      </c>
      <c r="H46" s="67"/>
      <c r="I46" s="69"/>
    </row>
  </sheetData>
  <mergeCells count="3">
    <mergeCell ref="A1:J1"/>
    <mergeCell ref="A3:C3"/>
    <mergeCell ref="E3:G3"/>
  </mergeCells>
  <pageMargins left="0.7" right="0.7" top="0.75" bottom="0.75" header="0.3" footer="0.3"/>
  <pageSetup scale="75" orientation="landscape" r:id="rId1"/>
  <headerFooter>
    <oddHeader>&amp;RKY PSC Case No. 2016-00162,
Attachment G to Staff Post Hearing Supp. DR 2</oddHeader>
  </headerFooter>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I33"/>
  <sheetViews>
    <sheetView workbookViewId="0">
      <selection sqref="A1:I1"/>
    </sheetView>
  </sheetViews>
  <sheetFormatPr defaultRowHeight="14.4"/>
  <cols>
    <col min="1" max="1" width="10" customWidth="1"/>
    <col min="2" max="2" width="14.109375" bestFit="1" customWidth="1"/>
    <col min="3" max="3" width="11.44140625" bestFit="1" customWidth="1"/>
    <col min="4" max="4" width="2.6640625" customWidth="1"/>
    <col min="6" max="6" width="14.109375" bestFit="1" customWidth="1"/>
    <col min="7" max="7" width="11.44140625" style="77" bestFit="1" customWidth="1"/>
    <col min="8" max="8" width="2.6640625" style="77" customWidth="1"/>
    <col min="9" max="9" width="8.88671875" style="77"/>
  </cols>
  <sheetData>
    <row r="1" spans="1:9" ht="19.2">
      <c r="A1" s="245" t="s">
        <v>94</v>
      </c>
      <c r="B1" s="245"/>
      <c r="C1" s="245"/>
      <c r="D1" s="245"/>
      <c r="E1" s="245"/>
      <c r="F1" s="245"/>
      <c r="G1" s="245"/>
      <c r="H1" s="245"/>
      <c r="I1" s="245"/>
    </row>
    <row r="3" spans="1:9">
      <c r="A3" s="246" t="s">
        <v>116</v>
      </c>
      <c r="B3" s="246"/>
      <c r="C3" s="246"/>
      <c r="D3" s="124"/>
      <c r="E3" s="246" t="s">
        <v>117</v>
      </c>
      <c r="F3" s="246"/>
      <c r="G3" s="246"/>
    </row>
    <row r="4" spans="1:9">
      <c r="A4" s="125"/>
      <c r="B4" s="125"/>
      <c r="C4" s="125"/>
      <c r="E4" s="125"/>
      <c r="F4" s="125"/>
      <c r="G4" s="153" t="s">
        <v>112</v>
      </c>
    </row>
    <row r="5" spans="1:9">
      <c r="A5" s="124" t="s">
        <v>44</v>
      </c>
      <c r="B5" s="124" t="s">
        <v>63</v>
      </c>
      <c r="C5" s="126" t="s">
        <v>4</v>
      </c>
      <c r="D5" s="127"/>
      <c r="E5" s="124" t="s">
        <v>44</v>
      </c>
      <c r="F5" s="124" t="s">
        <v>63</v>
      </c>
      <c r="G5" s="154" t="s">
        <v>4</v>
      </c>
      <c r="H5" s="135"/>
      <c r="I5" s="154" t="s">
        <v>7</v>
      </c>
    </row>
    <row r="6" spans="1:9">
      <c r="A6" s="128" t="s">
        <v>8</v>
      </c>
      <c r="B6" s="147">
        <v>189347.38</v>
      </c>
      <c r="C6" s="130">
        <v>6.0000000000000001E-3</v>
      </c>
      <c r="D6" s="128"/>
      <c r="E6" s="129" t="s">
        <v>8</v>
      </c>
      <c r="F6" s="147">
        <v>181982.82999999984</v>
      </c>
      <c r="G6" s="138">
        <v>5.5999999999999999E-3</v>
      </c>
      <c r="H6" s="156"/>
      <c r="I6" s="133">
        <f t="shared" ref="I6:I31" si="0">G6-C6</f>
        <v>-4.0000000000000018E-4</v>
      </c>
    </row>
    <row r="7" spans="1:9">
      <c r="A7" s="128" t="s">
        <v>9</v>
      </c>
      <c r="B7" s="147">
        <v>1046225.56</v>
      </c>
      <c r="C7" s="130">
        <v>3.3399999999999999E-2</v>
      </c>
      <c r="D7" s="128"/>
      <c r="E7" s="129" t="s">
        <v>9</v>
      </c>
      <c r="F7" s="147">
        <v>1219078.430000003</v>
      </c>
      <c r="G7" s="138">
        <v>3.7400000000000003E-2</v>
      </c>
      <c r="H7" s="156"/>
      <c r="I7" s="133">
        <f t="shared" si="0"/>
        <v>4.0000000000000036E-3</v>
      </c>
    </row>
    <row r="8" spans="1:9">
      <c r="A8" s="122" t="s">
        <v>11</v>
      </c>
      <c r="B8" s="147">
        <v>17796.370000000003</v>
      </c>
      <c r="C8" s="130">
        <v>5.9999999999999995E-4</v>
      </c>
      <c r="D8" s="128"/>
      <c r="E8" s="129" t="s">
        <v>11</v>
      </c>
      <c r="F8" s="147">
        <v>13273.690000000033</v>
      </c>
      <c r="G8" s="138">
        <v>4.0000000000000002E-4</v>
      </c>
      <c r="H8" s="156"/>
      <c r="I8" s="133">
        <f t="shared" si="0"/>
        <v>-1.9999999999999993E-4</v>
      </c>
    </row>
    <row r="9" spans="1:9">
      <c r="A9" s="122" t="s">
        <v>12</v>
      </c>
      <c r="B9" s="147">
        <v>13532.549999999997</v>
      </c>
      <c r="C9" s="130">
        <v>4.0000000000000002E-4</v>
      </c>
      <c r="D9" s="128"/>
      <c r="E9" s="129" t="s">
        <v>12</v>
      </c>
      <c r="F9" s="147">
        <v>0</v>
      </c>
      <c r="G9" s="138">
        <v>0</v>
      </c>
      <c r="H9" s="136"/>
      <c r="I9" s="133">
        <f t="shared" si="0"/>
        <v>-4.0000000000000002E-4</v>
      </c>
    </row>
    <row r="10" spans="1:9">
      <c r="A10" s="122" t="s">
        <v>13</v>
      </c>
      <c r="B10" s="147">
        <v>613886.20000000019</v>
      </c>
      <c r="C10" s="130">
        <v>1.9599999999999999E-2</v>
      </c>
      <c r="D10" s="128"/>
      <c r="E10" s="129" t="s">
        <v>13</v>
      </c>
      <c r="F10" s="147">
        <v>545899.39</v>
      </c>
      <c r="G10" s="138">
        <v>1.6799999999999999E-2</v>
      </c>
      <c r="H10" s="136"/>
      <c r="I10" s="133">
        <f t="shared" si="0"/>
        <v>-2.8000000000000004E-3</v>
      </c>
    </row>
    <row r="11" spans="1:9">
      <c r="A11" s="122" t="s">
        <v>14</v>
      </c>
      <c r="B11" s="147">
        <v>3921231.9299999992</v>
      </c>
      <c r="C11" s="130">
        <v>0.125</v>
      </c>
      <c r="D11" s="128"/>
      <c r="E11" s="129" t="s">
        <v>14</v>
      </c>
      <c r="F11" s="147">
        <v>3919180.7299999967</v>
      </c>
      <c r="G11" s="138">
        <v>0.1203</v>
      </c>
      <c r="H11" s="136"/>
      <c r="I11" s="133">
        <f t="shared" si="0"/>
        <v>-4.6999999999999958E-3</v>
      </c>
    </row>
    <row r="12" spans="1:9">
      <c r="A12" s="122" t="s">
        <v>15</v>
      </c>
      <c r="B12" s="147">
        <v>588829.14999999979</v>
      </c>
      <c r="C12" s="130">
        <v>1.8800000000000001E-2</v>
      </c>
      <c r="D12" s="128"/>
      <c r="E12" s="129" t="s">
        <v>15</v>
      </c>
      <c r="F12" s="147">
        <v>588518.19000000006</v>
      </c>
      <c r="G12" s="138">
        <v>1.8100000000000002E-2</v>
      </c>
      <c r="H12" s="136"/>
      <c r="I12" s="133">
        <f t="shared" si="0"/>
        <v>-6.9999999999999923E-4</v>
      </c>
    </row>
    <row r="13" spans="1:9">
      <c r="A13" s="122" t="s">
        <v>16</v>
      </c>
      <c r="B13" s="147">
        <v>1750995.1899999995</v>
      </c>
      <c r="C13" s="130">
        <v>5.5800000000000002E-2</v>
      </c>
      <c r="D13" s="128"/>
      <c r="E13" s="129" t="s">
        <v>16</v>
      </c>
      <c r="F13" s="147">
        <v>1841685.6800000002</v>
      </c>
      <c r="G13" s="138">
        <v>5.6500000000000002E-2</v>
      </c>
      <c r="H13" s="136"/>
      <c r="I13" s="133">
        <f t="shared" si="0"/>
        <v>6.9999999999999923E-4</v>
      </c>
    </row>
    <row r="14" spans="1:9">
      <c r="A14" s="122" t="s">
        <v>17</v>
      </c>
      <c r="B14" s="147">
        <v>1445837.8600000006</v>
      </c>
      <c r="C14" s="130">
        <v>4.6100000000000002E-2</v>
      </c>
      <c r="D14" s="128"/>
      <c r="E14" s="129" t="s">
        <v>17</v>
      </c>
      <c r="F14" s="147">
        <v>1614316.9400000025</v>
      </c>
      <c r="G14" s="138">
        <v>4.9500000000000002E-2</v>
      </c>
      <c r="H14" s="136"/>
      <c r="I14" s="133">
        <f t="shared" si="0"/>
        <v>3.4000000000000002E-3</v>
      </c>
    </row>
    <row r="15" spans="1:9">
      <c r="A15" s="122" t="s">
        <v>18</v>
      </c>
      <c r="B15" s="147">
        <v>14373.330000000002</v>
      </c>
      <c r="C15" s="130">
        <v>5.0000000000000001E-4</v>
      </c>
      <c r="D15" s="128"/>
      <c r="E15" s="129" t="s">
        <v>18</v>
      </c>
      <c r="F15" s="147">
        <v>14102.880000000039</v>
      </c>
      <c r="G15" s="138">
        <v>4.0000000000000002E-4</v>
      </c>
      <c r="H15" s="136"/>
      <c r="I15" s="133">
        <f t="shared" si="0"/>
        <v>-9.9999999999999991E-5</v>
      </c>
    </row>
    <row r="16" spans="1:9">
      <c r="A16" s="122" t="s">
        <v>19</v>
      </c>
      <c r="B16" s="147">
        <v>8867341.3600000013</v>
      </c>
      <c r="C16" s="130">
        <v>0.2828</v>
      </c>
      <c r="D16" s="128"/>
      <c r="E16" s="129" t="s">
        <v>19</v>
      </c>
      <c r="F16" s="147">
        <v>8943184.2299999744</v>
      </c>
      <c r="G16" s="138">
        <v>0.27450000000000002</v>
      </c>
      <c r="H16" s="136"/>
      <c r="I16" s="133">
        <f t="shared" si="0"/>
        <v>-8.2999999999999741E-3</v>
      </c>
    </row>
    <row r="17" spans="1:9">
      <c r="A17" s="134" t="s">
        <v>20</v>
      </c>
      <c r="B17" s="147">
        <v>4643.0800000000008</v>
      </c>
      <c r="C17" s="130">
        <v>1E-4</v>
      </c>
      <c r="D17" s="135"/>
      <c r="E17" s="129" t="s">
        <v>20</v>
      </c>
      <c r="F17" s="147">
        <v>4321.7400000000425</v>
      </c>
      <c r="G17" s="138">
        <v>1E-4</v>
      </c>
      <c r="H17" s="136"/>
      <c r="I17" s="133">
        <f t="shared" si="0"/>
        <v>0</v>
      </c>
    </row>
    <row r="18" spans="1:9">
      <c r="A18" s="122" t="s">
        <v>21</v>
      </c>
      <c r="B18" s="147">
        <v>1813760.3899999997</v>
      </c>
      <c r="C18" s="138">
        <v>5.79E-2</v>
      </c>
      <c r="D18" s="128"/>
      <c r="E18" s="129" t="s">
        <v>21</v>
      </c>
      <c r="F18" s="147">
        <v>1991379.6500000004</v>
      </c>
      <c r="G18" s="138">
        <v>6.13E-2</v>
      </c>
      <c r="H18" s="136"/>
      <c r="I18" s="133">
        <f t="shared" si="0"/>
        <v>3.4000000000000002E-3</v>
      </c>
    </row>
    <row r="19" spans="1:9">
      <c r="A19" s="134" t="s">
        <v>22</v>
      </c>
      <c r="B19" s="147">
        <v>6959464.6900000004</v>
      </c>
      <c r="C19" s="130">
        <v>0.22189999999999999</v>
      </c>
      <c r="D19" s="135"/>
      <c r="E19" s="129" t="s">
        <v>22</v>
      </c>
      <c r="F19" s="147">
        <v>7797656.1600000104</v>
      </c>
      <c r="G19" s="138">
        <v>0.23930000000000001</v>
      </c>
      <c r="H19" s="136"/>
      <c r="I19" s="133">
        <f t="shared" si="0"/>
        <v>1.7400000000000027E-2</v>
      </c>
    </row>
    <row r="20" spans="1:9">
      <c r="A20" s="134" t="s">
        <v>23</v>
      </c>
      <c r="B20" s="147">
        <v>360114.72000000003</v>
      </c>
      <c r="C20" s="138">
        <v>1.15E-2</v>
      </c>
      <c r="D20" s="135"/>
      <c r="E20" s="137" t="s">
        <v>23</v>
      </c>
      <c r="F20" s="147">
        <v>331417.97000000085</v>
      </c>
      <c r="G20" s="138">
        <v>1.0200000000000001E-2</v>
      </c>
      <c r="H20" s="136"/>
      <c r="I20" s="133">
        <f t="shared" si="0"/>
        <v>-1.2999999999999991E-3</v>
      </c>
    </row>
    <row r="21" spans="1:9">
      <c r="A21" s="134" t="s">
        <v>24</v>
      </c>
      <c r="B21" s="147">
        <v>202.82999999999998</v>
      </c>
      <c r="C21" s="138">
        <v>0</v>
      </c>
      <c r="D21" s="135"/>
      <c r="E21" s="137" t="s">
        <v>24</v>
      </c>
      <c r="F21" s="147">
        <v>34.03</v>
      </c>
      <c r="G21" s="138">
        <v>0</v>
      </c>
      <c r="H21" s="136"/>
      <c r="I21" s="133">
        <f t="shared" si="0"/>
        <v>0</v>
      </c>
    </row>
    <row r="22" spans="1:9">
      <c r="A22" s="134" t="s">
        <v>27</v>
      </c>
      <c r="B22" s="147">
        <v>51748.959999999999</v>
      </c>
      <c r="C22" s="138">
        <v>1.6999999999999999E-3</v>
      </c>
      <c r="D22" s="135"/>
      <c r="E22" s="137" t="s">
        <v>27</v>
      </c>
      <c r="F22" s="147">
        <v>14130.990000000042</v>
      </c>
      <c r="G22" s="138">
        <v>4.0000000000000002E-4</v>
      </c>
      <c r="H22" s="136"/>
      <c r="I22" s="133">
        <f t="shared" si="0"/>
        <v>-1.2999999999999999E-3</v>
      </c>
    </row>
    <row r="23" spans="1:9">
      <c r="A23" s="139" t="s">
        <v>55</v>
      </c>
      <c r="B23" s="147">
        <v>0.3</v>
      </c>
      <c r="C23" s="138">
        <v>0</v>
      </c>
      <c r="D23" s="135"/>
      <c r="E23" s="137" t="s">
        <v>55</v>
      </c>
      <c r="F23" s="147">
        <v>0</v>
      </c>
      <c r="G23" s="138">
        <v>0</v>
      </c>
      <c r="H23" s="136"/>
      <c r="I23" s="133">
        <f t="shared" si="0"/>
        <v>0</v>
      </c>
    </row>
    <row r="24" spans="1:9">
      <c r="A24" s="134" t="s">
        <v>30</v>
      </c>
      <c r="B24" s="147">
        <v>65954.540000000008</v>
      </c>
      <c r="C24" s="138">
        <v>2.0999999999999999E-3</v>
      </c>
      <c r="D24" s="135"/>
      <c r="E24" s="137" t="s">
        <v>30</v>
      </c>
      <c r="F24" s="147">
        <v>5974.2200000000548</v>
      </c>
      <c r="G24" s="138">
        <v>2.0000000000000001E-4</v>
      </c>
      <c r="H24" s="136"/>
      <c r="I24" s="133">
        <f t="shared" si="0"/>
        <v>-1.8999999999999998E-3</v>
      </c>
    </row>
    <row r="25" spans="1:9">
      <c r="A25" s="134" t="s">
        <v>31</v>
      </c>
      <c r="B25" s="147">
        <v>560.78</v>
      </c>
      <c r="C25" s="138">
        <v>0</v>
      </c>
      <c r="D25" s="135"/>
      <c r="E25" s="137" t="s">
        <v>31</v>
      </c>
      <c r="F25" s="147">
        <v>263.90999999999985</v>
      </c>
      <c r="G25" s="138">
        <v>0</v>
      </c>
      <c r="H25" s="140"/>
      <c r="I25" s="133">
        <f t="shared" si="0"/>
        <v>0</v>
      </c>
    </row>
    <row r="26" spans="1:9">
      <c r="A26" s="134" t="s">
        <v>32</v>
      </c>
      <c r="B26" s="147">
        <v>2228366.37</v>
      </c>
      <c r="C26" s="138">
        <v>7.1099999999999997E-2</v>
      </c>
      <c r="D26" s="135"/>
      <c r="E26" s="137" t="s">
        <v>32</v>
      </c>
      <c r="F26" s="147">
        <v>2050941.6499999994</v>
      </c>
      <c r="G26" s="138">
        <v>6.2899999999999998E-2</v>
      </c>
      <c r="H26" s="140"/>
      <c r="I26" s="133">
        <f t="shared" si="0"/>
        <v>-8.199999999999999E-3</v>
      </c>
    </row>
    <row r="27" spans="1:9">
      <c r="A27" s="134" t="s">
        <v>33</v>
      </c>
      <c r="B27" s="147">
        <v>933199.24000000011</v>
      </c>
      <c r="C27" s="138">
        <v>2.98E-2</v>
      </c>
      <c r="D27" s="135"/>
      <c r="E27" s="137" t="s">
        <v>33</v>
      </c>
      <c r="F27" s="147">
        <v>1014325.8299999988</v>
      </c>
      <c r="G27" s="138">
        <v>3.1099999999999999E-2</v>
      </c>
      <c r="H27" s="140"/>
      <c r="I27" s="133">
        <f t="shared" si="0"/>
        <v>1.2999999999999991E-3</v>
      </c>
    </row>
    <row r="28" spans="1:9">
      <c r="A28" s="122" t="s">
        <v>35</v>
      </c>
      <c r="B28" s="147">
        <v>145647.12</v>
      </c>
      <c r="C28" s="138">
        <v>4.5999999999999999E-3</v>
      </c>
      <c r="D28" s="128"/>
      <c r="E28" s="137" t="s">
        <v>35</v>
      </c>
      <c r="F28" s="147">
        <v>48536.160000000033</v>
      </c>
      <c r="G28" s="138">
        <v>1.5E-3</v>
      </c>
      <c r="H28" s="156"/>
      <c r="I28" s="133">
        <f t="shared" si="0"/>
        <v>-3.0999999999999999E-3</v>
      </c>
    </row>
    <row r="29" spans="1:9">
      <c r="A29" s="122" t="s">
        <v>36</v>
      </c>
      <c r="B29" s="147">
        <v>1122.6099999999999</v>
      </c>
      <c r="C29" s="138">
        <v>0</v>
      </c>
      <c r="D29" s="128"/>
      <c r="E29" s="137" t="s">
        <v>36</v>
      </c>
      <c r="F29" s="147">
        <v>1038.6099999999956</v>
      </c>
      <c r="G29" s="138">
        <v>0</v>
      </c>
      <c r="H29" s="156"/>
      <c r="I29" s="133">
        <f t="shared" si="0"/>
        <v>0</v>
      </c>
    </row>
    <row r="30" spans="1:9">
      <c r="A30" s="122" t="s">
        <v>37</v>
      </c>
      <c r="B30" s="147">
        <v>1246.8</v>
      </c>
      <c r="C30" s="138">
        <v>0</v>
      </c>
      <c r="D30" s="128"/>
      <c r="E30" s="137" t="s">
        <v>37</v>
      </c>
      <c r="F30" s="147">
        <v>1281.6899999999946</v>
      </c>
      <c r="G30" s="138">
        <v>0</v>
      </c>
      <c r="H30" s="156"/>
      <c r="I30" s="133">
        <f t="shared" si="0"/>
        <v>0</v>
      </c>
    </row>
    <row r="31" spans="1:9">
      <c r="A31" s="128" t="s">
        <v>38</v>
      </c>
      <c r="B31" s="147">
        <v>324067.53999999986</v>
      </c>
      <c r="C31" s="138">
        <v>1.03E-2</v>
      </c>
      <c r="E31" s="137" t="s">
        <v>38</v>
      </c>
      <c r="F31" s="147">
        <v>439244.83999999991</v>
      </c>
      <c r="G31" s="138">
        <v>1.35E-2</v>
      </c>
      <c r="H31" s="135"/>
      <c r="I31" s="133">
        <f t="shared" si="0"/>
        <v>3.1999999999999997E-3</v>
      </c>
    </row>
    <row r="32" spans="1:9" ht="15" thickBot="1">
      <c r="A32" s="142" t="s">
        <v>6</v>
      </c>
      <c r="B32" s="174">
        <v>31359496.850000001</v>
      </c>
      <c r="C32" s="142">
        <f>SUM(C6:C31)</f>
        <v>0.99999999999999989</v>
      </c>
      <c r="E32" s="143" t="s">
        <v>6</v>
      </c>
      <c r="F32" s="148">
        <f>SUM(F6:F31)</f>
        <v>32581770.43999999</v>
      </c>
      <c r="G32" s="144">
        <f>SUM(G6:G31)</f>
        <v>0.99999999999999989</v>
      </c>
      <c r="I32" s="157">
        <v>-2.7755575615628914E-17</v>
      </c>
    </row>
    <row r="33" ht="15" thickTop="1"/>
  </sheetData>
  <mergeCells count="3">
    <mergeCell ref="A1:I1"/>
    <mergeCell ref="A3:C3"/>
    <mergeCell ref="E3:G3"/>
  </mergeCells>
  <conditionalFormatting sqref="I6:I31">
    <cfRule type="cellIs" dxfId="6" priority="1" operator="notBetween">
      <formula>-0.0099</formula>
      <formula>0.0099</formula>
    </cfRule>
  </conditionalFormatting>
  <pageMargins left="0.7" right="0.7" top="0.75" bottom="0.75" header="0.3" footer="0.3"/>
  <pageSetup orientation="landscape" r:id="rId1"/>
  <headerFooter>
    <oddHeader>&amp;RKY PSC Case No. 2016-00162,
Attachment G to Staff Post Hearing Supp. DR 2</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H31"/>
  <sheetViews>
    <sheetView workbookViewId="0"/>
  </sheetViews>
  <sheetFormatPr defaultRowHeight="14.4"/>
  <cols>
    <col min="1" max="1" width="10.77734375" bestFit="1" customWidth="1"/>
    <col min="2" max="2" width="18.5546875" bestFit="1" customWidth="1"/>
    <col min="5" max="5" width="12.33203125" bestFit="1" customWidth="1"/>
    <col min="7" max="7" width="11.33203125" customWidth="1"/>
    <col min="8" max="8" width="19.109375" bestFit="1" customWidth="1"/>
  </cols>
  <sheetData>
    <row r="1" spans="1:8">
      <c r="A1" s="163" t="s">
        <v>98</v>
      </c>
      <c r="B1" t="s">
        <v>99</v>
      </c>
    </row>
    <row r="2" spans="1:8">
      <c r="A2" s="163" t="s">
        <v>106</v>
      </c>
      <c r="B2" t="s">
        <v>107</v>
      </c>
    </row>
    <row r="4" spans="1:8">
      <c r="A4" s="163" t="s">
        <v>44</v>
      </c>
      <c r="B4" t="s">
        <v>100</v>
      </c>
      <c r="D4" t="s">
        <v>44</v>
      </c>
      <c r="E4" t="s">
        <v>108</v>
      </c>
      <c r="G4" s="163" t="s">
        <v>44</v>
      </c>
      <c r="H4" t="s">
        <v>100</v>
      </c>
    </row>
    <row r="5" spans="1:8">
      <c r="A5" t="s">
        <v>8</v>
      </c>
      <c r="B5" s="73">
        <v>181982.82999999984</v>
      </c>
      <c r="D5" t="s">
        <v>8</v>
      </c>
      <c r="E5" s="85">
        <v>5.5854187032323803E-3</v>
      </c>
      <c r="G5" t="s">
        <v>8</v>
      </c>
      <c r="H5" s="85">
        <v>5.5854187032323803E-3</v>
      </c>
    </row>
    <row r="6" spans="1:8">
      <c r="A6" t="s">
        <v>9</v>
      </c>
      <c r="B6" s="73">
        <v>1219078.430000003</v>
      </c>
      <c r="D6" t="s">
        <v>9</v>
      </c>
      <c r="E6" s="85">
        <v>3.7415966460292924E-2</v>
      </c>
      <c r="G6" t="s">
        <v>9</v>
      </c>
      <c r="H6" s="85">
        <v>3.7415966460292924E-2</v>
      </c>
    </row>
    <row r="7" spans="1:8">
      <c r="A7" t="s">
        <v>11</v>
      </c>
      <c r="B7" s="73">
        <v>13273.690000000033</v>
      </c>
      <c r="D7" t="s">
        <v>11</v>
      </c>
      <c r="E7" s="85">
        <v>4.0739621637331865E-4</v>
      </c>
      <c r="G7" t="s">
        <v>11</v>
      </c>
      <c r="H7" s="85">
        <v>4.0739621637331865E-4</v>
      </c>
    </row>
    <row r="8" spans="1:8">
      <c r="A8" t="s">
        <v>13</v>
      </c>
      <c r="B8" s="73">
        <v>545899.39</v>
      </c>
      <c r="D8" t="s">
        <v>13</v>
      </c>
      <c r="E8" s="85">
        <v>1.6754749132042567E-2</v>
      </c>
      <c r="G8" t="s">
        <v>13</v>
      </c>
      <c r="H8" s="85">
        <v>1.6754749132042567E-2</v>
      </c>
    </row>
    <row r="9" spans="1:8">
      <c r="A9" t="s">
        <v>14</v>
      </c>
      <c r="B9" s="73">
        <v>3919180.7299999967</v>
      </c>
      <c r="D9" t="s">
        <v>14</v>
      </c>
      <c r="E9" s="85">
        <v>0.12028753125055773</v>
      </c>
      <c r="G9" t="s">
        <v>14</v>
      </c>
      <c r="H9" s="85">
        <v>0.12028753125055773</v>
      </c>
    </row>
    <row r="10" spans="1:8">
      <c r="A10" t="s">
        <v>15</v>
      </c>
      <c r="B10" s="73">
        <v>588518.19000000006</v>
      </c>
      <c r="D10" t="s">
        <v>15</v>
      </c>
      <c r="E10" s="85">
        <v>1.8062805736225065E-2</v>
      </c>
      <c r="G10" t="s">
        <v>15</v>
      </c>
      <c r="H10" s="85">
        <v>1.8062805736225065E-2</v>
      </c>
    </row>
    <row r="11" spans="1:8">
      <c r="A11" t="s">
        <v>16</v>
      </c>
      <c r="B11" s="73">
        <v>1841685.6800000002</v>
      </c>
      <c r="D11" t="s">
        <v>16</v>
      </c>
      <c r="E11" s="85">
        <v>5.6525033941648532E-2</v>
      </c>
      <c r="G11" t="s">
        <v>16</v>
      </c>
      <c r="H11" s="85">
        <v>5.6525033941648532E-2</v>
      </c>
    </row>
    <row r="12" spans="1:8">
      <c r="A12" t="s">
        <v>17</v>
      </c>
      <c r="B12" s="73">
        <v>1614316.9400000025</v>
      </c>
      <c r="D12" t="s">
        <v>17</v>
      </c>
      <c r="E12" s="85">
        <v>4.9546630468494668E-2</v>
      </c>
      <c r="G12" t="s">
        <v>17</v>
      </c>
      <c r="H12" s="85">
        <v>4.9546630468494668E-2</v>
      </c>
    </row>
    <row r="13" spans="1:8">
      <c r="A13" t="s">
        <v>18</v>
      </c>
      <c r="B13" s="73">
        <v>14102.880000000039</v>
      </c>
      <c r="D13" t="s">
        <v>18</v>
      </c>
      <c r="E13" s="85">
        <v>4.3284572353030317E-4</v>
      </c>
      <c r="G13" t="s">
        <v>18</v>
      </c>
      <c r="H13" s="85">
        <v>4.3284572353030317E-4</v>
      </c>
    </row>
    <row r="14" spans="1:8">
      <c r="A14" t="s">
        <v>19</v>
      </c>
      <c r="B14" s="73">
        <v>8943184.2299999744</v>
      </c>
      <c r="D14" t="s">
        <v>19</v>
      </c>
      <c r="E14" s="85">
        <v>0.27448429318686152</v>
      </c>
      <c r="G14" t="s">
        <v>19</v>
      </c>
      <c r="H14" s="85">
        <v>0.27448429318686152</v>
      </c>
    </row>
    <row r="15" spans="1:8">
      <c r="A15" t="s">
        <v>20</v>
      </c>
      <c r="B15" s="73">
        <v>4321.7400000000425</v>
      </c>
      <c r="D15" t="s">
        <v>20</v>
      </c>
      <c r="E15" s="85">
        <v>1.3264288409245951E-4</v>
      </c>
      <c r="G15" t="s">
        <v>20</v>
      </c>
      <c r="H15" s="85">
        <v>1.3264288409245951E-4</v>
      </c>
    </row>
    <row r="16" spans="1:8">
      <c r="A16" t="s">
        <v>21</v>
      </c>
      <c r="B16" s="73">
        <v>1991379.6500000004</v>
      </c>
      <c r="D16" t="s">
        <v>21</v>
      </c>
      <c r="E16" s="85">
        <v>6.1119442654817287E-2</v>
      </c>
      <c r="G16" t="s">
        <v>21</v>
      </c>
      <c r="H16" s="85">
        <v>6.1119442654817287E-2</v>
      </c>
    </row>
    <row r="17" spans="1:8">
      <c r="A17" t="s">
        <v>22</v>
      </c>
      <c r="B17" s="73">
        <v>3878523.2300000084</v>
      </c>
      <c r="D17" t="s">
        <v>22</v>
      </c>
      <c r="E17" s="85">
        <v>0.11903967088413411</v>
      </c>
      <c r="G17" t="s">
        <v>22</v>
      </c>
      <c r="H17" s="85">
        <v>0.23932573505664942</v>
      </c>
    </row>
    <row r="18" spans="1:8">
      <c r="A18" t="s">
        <v>23</v>
      </c>
      <c r="B18" s="73">
        <v>331417.97000000085</v>
      </c>
      <c r="D18" t="s">
        <v>23</v>
      </c>
      <c r="E18" s="85">
        <v>1.0171883403644806E-2</v>
      </c>
      <c r="G18" t="s">
        <v>23</v>
      </c>
      <c r="H18" s="85">
        <v>1.0171883403644806E-2</v>
      </c>
    </row>
    <row r="19" spans="1:8">
      <c r="A19" t="s">
        <v>24</v>
      </c>
      <c r="B19" s="73">
        <v>34.03</v>
      </c>
      <c r="D19" t="s">
        <v>24</v>
      </c>
      <c r="E19" s="85">
        <v>1.0444490750638292E-6</v>
      </c>
      <c r="G19" t="s">
        <v>24</v>
      </c>
      <c r="H19" s="85">
        <v>1.0444490750638292E-6</v>
      </c>
    </row>
    <row r="20" spans="1:8">
      <c r="A20" t="s">
        <v>27</v>
      </c>
      <c r="B20" s="73">
        <v>14130.990000000042</v>
      </c>
      <c r="D20" t="s">
        <v>27</v>
      </c>
      <c r="E20" s="85">
        <v>4.3370847591055726E-4</v>
      </c>
      <c r="G20" t="s">
        <v>27</v>
      </c>
      <c r="H20" s="85">
        <v>4.3370847591055726E-4</v>
      </c>
    </row>
    <row r="21" spans="1:8">
      <c r="A21" t="s">
        <v>30</v>
      </c>
      <c r="B21" s="73">
        <v>5974.2200000000548</v>
      </c>
      <c r="D21" t="s">
        <v>30</v>
      </c>
      <c r="E21" s="85">
        <v>1.8336081555180391E-4</v>
      </c>
      <c r="G21" t="s">
        <v>30</v>
      </c>
      <c r="H21" s="85">
        <v>1.8336081555180391E-4</v>
      </c>
    </row>
    <row r="22" spans="1:8">
      <c r="A22" t="s">
        <v>31</v>
      </c>
      <c r="B22" s="73">
        <v>263.90999999999985</v>
      </c>
      <c r="D22" t="s">
        <v>31</v>
      </c>
      <c r="E22" s="85">
        <v>8.0999281633880393E-6</v>
      </c>
      <c r="G22" t="s">
        <v>31</v>
      </c>
      <c r="H22" s="85">
        <v>8.0999281633880393E-6</v>
      </c>
    </row>
    <row r="23" spans="1:8">
      <c r="A23" t="s">
        <v>32</v>
      </c>
      <c r="B23" s="73">
        <v>2050941.6499999994</v>
      </c>
      <c r="D23" t="s">
        <v>32</v>
      </c>
      <c r="E23" s="85">
        <v>6.2947520110266914E-2</v>
      </c>
      <c r="G23" t="s">
        <v>32</v>
      </c>
      <c r="H23" s="85">
        <v>6.2947520110266914E-2</v>
      </c>
    </row>
    <row r="24" spans="1:8">
      <c r="A24" t="s">
        <v>33</v>
      </c>
      <c r="B24" s="73">
        <v>1014325.8299999988</v>
      </c>
      <c r="D24" t="s">
        <v>33</v>
      </c>
      <c r="E24" s="85">
        <v>3.1131697765408452E-2</v>
      </c>
      <c r="G24" t="s">
        <v>33</v>
      </c>
      <c r="H24" s="85">
        <v>3.1131697765408452E-2</v>
      </c>
    </row>
    <row r="25" spans="1:8">
      <c r="A25" t="s">
        <v>47</v>
      </c>
      <c r="B25" s="73">
        <v>3214881.0400000014</v>
      </c>
      <c r="D25" s="74" t="s">
        <v>22</v>
      </c>
      <c r="E25" s="85">
        <v>9.8671158644379739E-2</v>
      </c>
      <c r="G25" t="s">
        <v>35</v>
      </c>
      <c r="H25" s="85">
        <v>1.4896722720878653E-3</v>
      </c>
    </row>
    <row r="26" spans="1:8">
      <c r="A26" t="s">
        <v>48</v>
      </c>
      <c r="B26" s="73">
        <v>704251.89000000025</v>
      </c>
      <c r="D26" s="74" t="s">
        <v>22</v>
      </c>
      <c r="E26" s="85">
        <v>2.1614905528135581E-2</v>
      </c>
      <c r="G26" t="s">
        <v>36</v>
      </c>
      <c r="H26" s="85">
        <v>3.1877027735881252E-5</v>
      </c>
    </row>
    <row r="27" spans="1:8">
      <c r="A27" t="s">
        <v>35</v>
      </c>
      <c r="B27" s="73">
        <v>48536.160000000033</v>
      </c>
      <c r="D27" t="s">
        <v>35</v>
      </c>
      <c r="E27" s="85">
        <v>1.4896722720878653E-3</v>
      </c>
      <c r="G27" t="s">
        <v>37</v>
      </c>
      <c r="H27" s="85">
        <v>3.9337641346416499E-5</v>
      </c>
    </row>
    <row r="28" spans="1:8">
      <c r="A28" t="s">
        <v>36</v>
      </c>
      <c r="B28" s="73">
        <v>1038.6099999999956</v>
      </c>
      <c r="D28" t="s">
        <v>36</v>
      </c>
      <c r="E28" s="85">
        <v>3.1877027735881252E-5</v>
      </c>
      <c r="G28" t="s">
        <v>38</v>
      </c>
      <c r="H28" s="85">
        <v>1.3481306695990583E-2</v>
      </c>
    </row>
    <row r="29" spans="1:8">
      <c r="A29" t="s">
        <v>37</v>
      </c>
      <c r="B29" s="73">
        <v>1281.6899999999946</v>
      </c>
      <c r="D29" t="s">
        <v>37</v>
      </c>
      <c r="E29" s="85">
        <v>3.9337641346416499E-5</v>
      </c>
      <c r="G29" t="s">
        <v>49</v>
      </c>
      <c r="H29" s="85">
        <v>1</v>
      </c>
    </row>
    <row r="30" spans="1:8">
      <c r="A30" t="s">
        <v>38</v>
      </c>
      <c r="B30" s="73">
        <v>439244.83999999991</v>
      </c>
      <c r="D30" t="s">
        <v>38</v>
      </c>
      <c r="E30" s="85">
        <v>1.3481306695990583E-2</v>
      </c>
    </row>
    <row r="31" spans="1:8">
      <c r="A31" t="s">
        <v>49</v>
      </c>
      <c r="B31" s="73">
        <v>32581770.43999999</v>
      </c>
    </row>
  </sheetData>
  <pageMargins left="0.7" right="0.7" top="0.75" bottom="0.75" header="0.3" footer="0.3"/>
  <pageSetup orientation="landscape" r:id="rId1"/>
  <headerFooter>
    <oddHeader>&amp;RKY PSC Case No. 2016-00162,
Attachment G to Staff Post Hearing Supp. DR 2</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workbookViewId="0">
      <selection sqref="A1:G1"/>
    </sheetView>
  </sheetViews>
  <sheetFormatPr defaultRowHeight="14.4"/>
  <cols>
    <col min="1" max="1" width="11.109375" bestFit="1" customWidth="1"/>
    <col min="2" max="2" width="15.33203125" bestFit="1" customWidth="1"/>
    <col min="3" max="3" width="19.6640625" bestFit="1" customWidth="1"/>
    <col min="5" max="5" width="11.109375" bestFit="1" customWidth="1"/>
    <col min="6" max="6" width="15.33203125" bestFit="1" customWidth="1"/>
    <col min="7" max="7" width="19.6640625" bestFit="1" customWidth="1"/>
    <col min="10" max="10" width="10.44140625" bestFit="1" customWidth="1"/>
  </cols>
  <sheetData>
    <row r="1" spans="1:10" ht="15.6">
      <c r="A1" s="247" t="s">
        <v>50</v>
      </c>
      <c r="B1" s="247"/>
      <c r="C1" s="247"/>
      <c r="D1" s="247"/>
      <c r="E1" s="247"/>
      <c r="F1" s="247"/>
      <c r="G1" s="247"/>
      <c r="H1" s="102"/>
      <c r="I1" s="103"/>
      <c r="J1" s="103"/>
    </row>
    <row r="2" spans="1:10">
      <c r="A2" s="165"/>
      <c r="B2" s="165"/>
      <c r="C2" s="165"/>
      <c r="D2" s="165"/>
      <c r="E2" s="165"/>
      <c r="F2" s="165"/>
      <c r="G2" s="165"/>
      <c r="H2" s="166"/>
      <c r="I2" s="165"/>
      <c r="J2" s="165"/>
    </row>
    <row r="3" spans="1:10">
      <c r="A3" s="243" t="s">
        <v>118</v>
      </c>
      <c r="B3" s="243"/>
      <c r="C3" s="243"/>
      <c r="D3" s="105"/>
      <c r="E3" s="243" t="s">
        <v>119</v>
      </c>
      <c r="F3" s="243"/>
      <c r="G3" s="243"/>
      <c r="H3" s="87"/>
      <c r="I3" s="48"/>
      <c r="J3" s="48"/>
    </row>
    <row r="4" spans="1:10">
      <c r="A4" s="49" t="s">
        <v>2</v>
      </c>
      <c r="B4" s="50" t="s">
        <v>3</v>
      </c>
      <c r="C4" s="167" t="s">
        <v>5</v>
      </c>
      <c r="D4" s="105"/>
      <c r="E4" s="49" t="s">
        <v>2</v>
      </c>
      <c r="F4" s="50" t="s">
        <v>3</v>
      </c>
      <c r="G4" s="106" t="s">
        <v>5</v>
      </c>
      <c r="H4" s="88"/>
      <c r="I4" s="52" t="s">
        <v>2</v>
      </c>
      <c r="J4" s="52" t="s">
        <v>7</v>
      </c>
    </row>
    <row r="5" spans="1:10">
      <c r="A5" s="54" t="s">
        <v>8</v>
      </c>
      <c r="B5" s="89">
        <v>434571.24000000261</v>
      </c>
      <c r="C5" s="107">
        <v>1.4E-3</v>
      </c>
      <c r="D5" s="105"/>
      <c r="E5" s="54" t="s">
        <v>8</v>
      </c>
      <c r="F5" s="89">
        <v>403397.35000000434</v>
      </c>
      <c r="G5" s="107">
        <v>1.1999999999999999E-3</v>
      </c>
      <c r="H5" s="182"/>
      <c r="I5" s="57" t="s">
        <v>8</v>
      </c>
      <c r="J5" s="82">
        <f>G5-C5</f>
        <v>-2.0000000000000009E-4</v>
      </c>
    </row>
    <row r="6" spans="1:10">
      <c r="A6" s="183" t="s">
        <v>120</v>
      </c>
      <c r="B6" s="89">
        <v>0</v>
      </c>
      <c r="C6" s="107">
        <v>0</v>
      </c>
      <c r="D6" s="105"/>
      <c r="E6" s="183" t="s">
        <v>120</v>
      </c>
      <c r="F6" s="89">
        <v>0</v>
      </c>
      <c r="G6" s="107">
        <v>0</v>
      </c>
      <c r="H6" s="182"/>
      <c r="I6" s="97" t="s">
        <v>120</v>
      </c>
      <c r="J6" s="82">
        <f>G6-C6</f>
        <v>0</v>
      </c>
    </row>
    <row r="7" spans="1:10">
      <c r="A7" s="54" t="s">
        <v>9</v>
      </c>
      <c r="B7" s="89">
        <v>11082796.359999951</v>
      </c>
      <c r="C7" s="107">
        <v>3.4799999999999998E-2</v>
      </c>
      <c r="D7" s="105"/>
      <c r="E7" s="54" t="s">
        <v>9</v>
      </c>
      <c r="F7" s="89">
        <v>10668436.359999953</v>
      </c>
      <c r="G7" s="107">
        <v>3.2800000000000003E-2</v>
      </c>
      <c r="H7" s="182"/>
      <c r="I7" s="57" t="s">
        <v>9</v>
      </c>
      <c r="J7" s="82">
        <v>1.9999999999999948E-3</v>
      </c>
    </row>
    <row r="8" spans="1:10">
      <c r="A8" s="54" t="s">
        <v>11</v>
      </c>
      <c r="B8" s="89">
        <v>177841.79999999923</v>
      </c>
      <c r="C8" s="107">
        <v>5.9999999999999995E-4</v>
      </c>
      <c r="D8" s="105"/>
      <c r="E8" s="54" t="s">
        <v>11</v>
      </c>
      <c r="F8" s="89">
        <v>147125.71999999878</v>
      </c>
      <c r="G8" s="107">
        <v>5.0000000000000001E-4</v>
      </c>
      <c r="H8" s="182"/>
      <c r="I8" s="57" t="s">
        <v>11</v>
      </c>
      <c r="J8" s="82">
        <v>-1.0000000000000005E-4</v>
      </c>
    </row>
    <row r="9" spans="1:10">
      <c r="A9" s="54" t="s">
        <v>13</v>
      </c>
      <c r="B9" s="89">
        <v>6890172.9599999338</v>
      </c>
      <c r="C9" s="107">
        <v>2.1600000000000001E-2</v>
      </c>
      <c r="D9" s="105"/>
      <c r="E9" s="54" t="s">
        <v>13</v>
      </c>
      <c r="F9" s="89">
        <v>6963445.9699999951</v>
      </c>
      <c r="G9" s="107">
        <v>2.1399999999999999E-2</v>
      </c>
      <c r="H9" s="182"/>
      <c r="I9" s="57" t="s">
        <v>13</v>
      </c>
      <c r="J9" s="82">
        <v>-6.9999999999999923E-4</v>
      </c>
    </row>
    <row r="10" spans="1:10">
      <c r="A10" s="54" t="s">
        <v>14</v>
      </c>
      <c r="B10" s="89">
        <v>53230028.839999631</v>
      </c>
      <c r="C10" s="107">
        <v>0.16719999999999999</v>
      </c>
      <c r="D10" s="105"/>
      <c r="E10" s="54" t="s">
        <v>14</v>
      </c>
      <c r="F10" s="89">
        <v>52992622.549999893</v>
      </c>
      <c r="G10" s="107">
        <v>0.16300000000000001</v>
      </c>
      <c r="H10" s="182"/>
      <c r="I10" s="57" t="s">
        <v>14</v>
      </c>
      <c r="J10" s="82">
        <v>-9.8000000000000032E-3</v>
      </c>
    </row>
    <row r="11" spans="1:10">
      <c r="A11" s="54" t="s">
        <v>15</v>
      </c>
      <c r="B11" s="89">
        <v>3163718.0099999919</v>
      </c>
      <c r="C11" s="107">
        <v>9.9000000000000008E-3</v>
      </c>
      <c r="D11" s="105"/>
      <c r="E11" s="54" t="s">
        <v>15</v>
      </c>
      <c r="F11" s="89">
        <v>3195266.4400000032</v>
      </c>
      <c r="G11" s="107">
        <v>9.7999999999999997E-3</v>
      </c>
      <c r="H11" s="182"/>
      <c r="I11" s="57" t="s">
        <v>15</v>
      </c>
      <c r="J11" s="82">
        <v>-3.9999999999999931E-4</v>
      </c>
    </row>
    <row r="12" spans="1:10">
      <c r="A12" s="54" t="s">
        <v>16</v>
      </c>
      <c r="B12" s="89">
        <v>24233829.869999934</v>
      </c>
      <c r="C12" s="107">
        <v>7.6100000000000001E-2</v>
      </c>
      <c r="D12" s="105"/>
      <c r="E12" s="54" t="s">
        <v>16</v>
      </c>
      <c r="F12" s="89">
        <v>26037520.709999755</v>
      </c>
      <c r="G12" s="107">
        <v>8.0100000000000005E-2</v>
      </c>
      <c r="H12" s="182"/>
      <c r="I12" s="57" t="s">
        <v>16</v>
      </c>
      <c r="J12" s="82">
        <v>1.1000000000000038E-3</v>
      </c>
    </row>
    <row r="13" spans="1:10">
      <c r="A13" s="54" t="s">
        <v>17</v>
      </c>
      <c r="B13" s="89">
        <v>13519516.360000063</v>
      </c>
      <c r="C13" s="107">
        <v>4.2500000000000003E-2</v>
      </c>
      <c r="D13" s="105"/>
      <c r="E13" s="54" t="s">
        <v>17</v>
      </c>
      <c r="F13" s="89">
        <v>14788651.480000006</v>
      </c>
      <c r="G13" s="107">
        <v>4.5499999999999999E-2</v>
      </c>
      <c r="H13" s="182"/>
      <c r="I13" s="57" t="s">
        <v>17</v>
      </c>
      <c r="J13" s="82">
        <v>1.3000000000000025E-3</v>
      </c>
    </row>
    <row r="14" spans="1:10">
      <c r="A14" s="54" t="s">
        <v>18</v>
      </c>
      <c r="B14" s="89">
        <v>329190.71000000066</v>
      </c>
      <c r="C14" s="107">
        <v>1E-3</v>
      </c>
      <c r="D14" s="105"/>
      <c r="E14" s="54" t="s">
        <v>18</v>
      </c>
      <c r="F14" s="89">
        <v>294814.77999999915</v>
      </c>
      <c r="G14" s="107">
        <v>8.9999999999999998E-4</v>
      </c>
      <c r="H14" s="182"/>
      <c r="I14" s="57" t="s">
        <v>18</v>
      </c>
      <c r="J14" s="82">
        <v>0</v>
      </c>
    </row>
    <row r="15" spans="1:10">
      <c r="A15" s="54" t="s">
        <v>19</v>
      </c>
      <c r="B15" s="89">
        <v>80334735.75999999</v>
      </c>
      <c r="C15" s="107">
        <v>0.25240000000000001</v>
      </c>
      <c r="D15" s="105"/>
      <c r="E15" s="54" t="s">
        <v>19</v>
      </c>
      <c r="F15" s="89">
        <v>80567021.640000433</v>
      </c>
      <c r="G15" s="107">
        <v>0.2477</v>
      </c>
      <c r="H15" s="182"/>
      <c r="I15" s="57" t="s">
        <v>19</v>
      </c>
      <c r="J15" s="82">
        <v>6.2000000000000111E-3</v>
      </c>
    </row>
    <row r="16" spans="1:10">
      <c r="A16" s="54" t="s">
        <v>20</v>
      </c>
      <c r="B16" s="89">
        <v>37438.649999999812</v>
      </c>
      <c r="C16" s="107">
        <v>1E-4</v>
      </c>
      <c r="D16" s="105"/>
      <c r="E16" s="54" t="s">
        <v>20</v>
      </c>
      <c r="F16" s="89">
        <v>51546.959999999846</v>
      </c>
      <c r="G16" s="107">
        <v>2.0000000000000001E-4</v>
      </c>
      <c r="H16" s="182"/>
      <c r="I16" s="57" t="s">
        <v>20</v>
      </c>
      <c r="J16" s="82">
        <v>-1E-4</v>
      </c>
    </row>
    <row r="17" spans="1:10">
      <c r="A17" s="59" t="s">
        <v>21</v>
      </c>
      <c r="B17" s="89">
        <v>5894916.1299999673</v>
      </c>
      <c r="C17" s="175">
        <v>1.8599999999999998E-2</v>
      </c>
      <c r="D17" s="105"/>
      <c r="E17" s="59" t="s">
        <v>21</v>
      </c>
      <c r="F17" s="89">
        <v>8135720.8399999822</v>
      </c>
      <c r="G17" s="175">
        <v>1.67E-2</v>
      </c>
      <c r="H17" s="182"/>
      <c r="I17" s="57" t="s">
        <v>21</v>
      </c>
      <c r="J17" s="82">
        <v>1.5999999999999973E-3</v>
      </c>
    </row>
    <row r="18" spans="1:10">
      <c r="A18" s="54" t="s">
        <v>22</v>
      </c>
      <c r="B18" s="89">
        <v>85463579.119999573</v>
      </c>
      <c r="C18" s="107">
        <v>0.26850000000000002</v>
      </c>
      <c r="D18" s="105"/>
      <c r="E18" s="54" t="s">
        <v>22</v>
      </c>
      <c r="F18" s="89">
        <v>89469015.829999387</v>
      </c>
      <c r="G18" s="107">
        <v>0.27510000000000001</v>
      </c>
      <c r="H18" s="182"/>
      <c r="I18" s="60" t="s">
        <v>22</v>
      </c>
      <c r="J18" s="82">
        <v>4.400000000000015E-3</v>
      </c>
    </row>
    <row r="19" spans="1:10">
      <c r="A19" s="54" t="s">
        <v>23</v>
      </c>
      <c r="B19" s="89">
        <v>744675.47000000812</v>
      </c>
      <c r="C19" s="107">
        <v>2.3E-3</v>
      </c>
      <c r="D19" s="105"/>
      <c r="E19" s="54" t="s">
        <v>23</v>
      </c>
      <c r="F19" s="89">
        <v>790002.12000000593</v>
      </c>
      <c r="G19" s="107">
        <v>2.3999999999999998E-3</v>
      </c>
      <c r="H19" s="182"/>
      <c r="I19" s="57" t="s">
        <v>23</v>
      </c>
      <c r="J19" s="82">
        <v>-2.0000000000000009E-4</v>
      </c>
    </row>
    <row r="20" spans="1:10">
      <c r="A20" s="54" t="s">
        <v>24</v>
      </c>
      <c r="B20" s="89">
        <v>1071.2499999999923</v>
      </c>
      <c r="C20" s="107">
        <v>0</v>
      </c>
      <c r="D20" s="105"/>
      <c r="E20" s="54" t="s">
        <v>24</v>
      </c>
      <c r="F20" s="89">
        <v>453.11999999999904</v>
      </c>
      <c r="G20" s="176">
        <v>0</v>
      </c>
      <c r="H20" s="182"/>
      <c r="I20" s="57" t="s">
        <v>24</v>
      </c>
      <c r="J20" s="82">
        <v>0</v>
      </c>
    </row>
    <row r="21" spans="1:10">
      <c r="A21" s="54" t="s">
        <v>27</v>
      </c>
      <c r="B21" s="89">
        <v>37766.929999999295</v>
      </c>
      <c r="C21" s="107">
        <v>1E-4</v>
      </c>
      <c r="D21" s="105"/>
      <c r="E21" s="54" t="s">
        <v>27</v>
      </c>
      <c r="F21" s="89">
        <v>20132.800000000228</v>
      </c>
      <c r="G21" s="107">
        <v>1E-4</v>
      </c>
      <c r="H21" s="182"/>
      <c r="I21" s="57" t="s">
        <v>27</v>
      </c>
      <c r="J21" s="82">
        <v>-1.9999999999999998E-4</v>
      </c>
    </row>
    <row r="22" spans="1:10">
      <c r="A22" s="54" t="s">
        <v>30</v>
      </c>
      <c r="B22" s="89">
        <v>99239.939999998576</v>
      </c>
      <c r="C22" s="107">
        <v>2.9999999999999997E-4</v>
      </c>
      <c r="D22" s="105"/>
      <c r="E22" s="54" t="s">
        <v>30</v>
      </c>
      <c r="F22" s="89">
        <v>106423.19999999863</v>
      </c>
      <c r="G22" s="107">
        <v>2.9999999999999997E-4</v>
      </c>
      <c r="H22" s="182"/>
      <c r="I22" s="57" t="s">
        <v>30</v>
      </c>
      <c r="J22" s="82">
        <v>-2.0000000000000004E-4</v>
      </c>
    </row>
    <row r="23" spans="1:10">
      <c r="A23" s="54" t="s">
        <v>31</v>
      </c>
      <c r="B23" s="89">
        <v>25545.469999999936</v>
      </c>
      <c r="C23" s="107">
        <v>1E-4</v>
      </c>
      <c r="D23" s="105"/>
      <c r="E23" s="54" t="s">
        <v>31</v>
      </c>
      <c r="F23" s="89">
        <v>20885.849999999969</v>
      </c>
      <c r="G23" s="107">
        <v>1E-4</v>
      </c>
      <c r="H23" s="182"/>
      <c r="I23" s="57" t="s">
        <v>31</v>
      </c>
      <c r="J23" s="82">
        <v>0</v>
      </c>
    </row>
    <row r="24" spans="1:10">
      <c r="A24" s="54" t="s">
        <v>32</v>
      </c>
      <c r="B24" s="89">
        <v>24894954.319999829</v>
      </c>
      <c r="C24" s="107">
        <v>7.8200000000000006E-2</v>
      </c>
      <c r="D24" s="105"/>
      <c r="E24" s="54" t="s">
        <v>32</v>
      </c>
      <c r="F24" s="89">
        <v>25314894.500000164</v>
      </c>
      <c r="G24" s="107">
        <v>7.7799999999999994E-2</v>
      </c>
      <c r="H24" s="182"/>
      <c r="I24" s="57" t="s">
        <v>32</v>
      </c>
      <c r="J24" s="82">
        <v>-4.8999999999999877E-3</v>
      </c>
    </row>
    <row r="25" spans="1:10">
      <c r="A25" s="54" t="s">
        <v>33</v>
      </c>
      <c r="B25" s="89">
        <v>4847975.9799999837</v>
      </c>
      <c r="C25" s="107">
        <v>1.52E-2</v>
      </c>
      <c r="D25" s="105"/>
      <c r="E25" s="54" t="s">
        <v>33</v>
      </c>
      <c r="F25" s="89">
        <v>4359739.7099999916</v>
      </c>
      <c r="G25" s="107">
        <v>1.34E-2</v>
      </c>
      <c r="H25" s="182"/>
      <c r="I25" s="57" t="s">
        <v>33</v>
      </c>
      <c r="J25" s="82">
        <v>-4.9999999999999871E-4</v>
      </c>
    </row>
    <row r="26" spans="1:10">
      <c r="A26" s="54" t="s">
        <v>35</v>
      </c>
      <c r="B26" s="89">
        <v>458932.04000000312</v>
      </c>
      <c r="C26" s="107">
        <v>1.4E-3</v>
      </c>
      <c r="D26" s="105"/>
      <c r="E26" s="54" t="s">
        <v>35</v>
      </c>
      <c r="F26" s="89">
        <v>823063.37000001222</v>
      </c>
      <c r="G26" s="107">
        <v>2.5000000000000001E-3</v>
      </c>
      <c r="H26" s="182"/>
      <c r="I26" s="57" t="s">
        <v>35</v>
      </c>
      <c r="J26" s="82">
        <v>0</v>
      </c>
    </row>
    <row r="27" spans="1:10">
      <c r="A27" s="54" t="s">
        <v>36</v>
      </c>
      <c r="B27" s="89">
        <v>24139.519999999749</v>
      </c>
      <c r="C27" s="107">
        <v>1E-4</v>
      </c>
      <c r="D27" s="105"/>
      <c r="E27" s="54" t="s">
        <v>36</v>
      </c>
      <c r="F27" s="89">
        <v>17684.730000000043</v>
      </c>
      <c r="G27" s="107">
        <v>1E-4</v>
      </c>
      <c r="H27" s="182"/>
      <c r="I27" s="57" t="s">
        <v>36</v>
      </c>
      <c r="J27" s="82">
        <v>0</v>
      </c>
    </row>
    <row r="28" spans="1:10">
      <c r="A28" s="54" t="s">
        <v>37</v>
      </c>
      <c r="B28" s="89">
        <v>18274.450000000448</v>
      </c>
      <c r="C28" s="107">
        <v>1E-4</v>
      </c>
      <c r="D28" s="105"/>
      <c r="E28" s="54" t="s">
        <v>37</v>
      </c>
      <c r="F28" s="89">
        <v>13870.880000000441</v>
      </c>
      <c r="G28" s="107">
        <v>0</v>
      </c>
      <c r="H28" s="182"/>
      <c r="I28" s="57" t="s">
        <v>37</v>
      </c>
      <c r="J28" s="82">
        <v>-1E-4</v>
      </c>
    </row>
    <row r="29" spans="1:10">
      <c r="A29" s="109" t="s">
        <v>38</v>
      </c>
      <c r="B29" s="89">
        <v>2397401.120000008</v>
      </c>
      <c r="C29" s="107">
        <v>7.4999999999999997E-3</v>
      </c>
      <c r="D29" s="105"/>
      <c r="E29" s="109" t="s">
        <v>38</v>
      </c>
      <c r="F29" s="89">
        <v>2727459.1800000127</v>
      </c>
      <c r="G29" s="107">
        <v>8.3999999999999995E-3</v>
      </c>
      <c r="H29" s="182"/>
      <c r="I29" s="57" t="s">
        <v>38</v>
      </c>
      <c r="J29" s="82">
        <v>1.2999999999999999E-3</v>
      </c>
    </row>
    <row r="30" spans="1:10">
      <c r="A30" s="110" t="s">
        <v>49</v>
      </c>
      <c r="B30" s="91">
        <f>SUM(B5:B29)</f>
        <v>318342312.29999888</v>
      </c>
      <c r="C30" s="111">
        <v>0.99999999999999978</v>
      </c>
      <c r="D30" s="105"/>
      <c r="E30" s="110" t="s">
        <v>49</v>
      </c>
      <c r="F30" s="91">
        <f>SUM(F5:F29)</f>
        <v>327909196.08999962</v>
      </c>
      <c r="G30" s="177">
        <f>SUM(G5:G29)</f>
        <v>0.99999999999999978</v>
      </c>
      <c r="H30" s="90"/>
      <c r="I30" s="52" t="s">
        <v>6</v>
      </c>
      <c r="J30" s="171">
        <v>3.664603343001005E-17</v>
      </c>
    </row>
  </sheetData>
  <mergeCells count="3">
    <mergeCell ref="A1:G1"/>
    <mergeCell ref="A3:C3"/>
    <mergeCell ref="E3:G3"/>
  </mergeCells>
  <pageMargins left="0.7" right="0.7" top="0.75" bottom="0.75" header="0.3" footer="0.3"/>
  <pageSetup scale="94" orientation="landscape" r:id="rId1"/>
  <headerFooter>
    <oddHeader>&amp;RKY PSC Case No. 2016-00162,
Attachment G to Staff Post Hearing Supp. DR 2</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zoomScaleNormal="100" workbookViewId="0"/>
  </sheetViews>
  <sheetFormatPr defaultRowHeight="14.4"/>
  <cols>
    <col min="1" max="1" width="12.109375" bestFit="1" customWidth="1"/>
    <col min="2" max="2" width="19.109375" bestFit="1" customWidth="1"/>
    <col min="4" max="4" width="6.109375" customWidth="1"/>
    <col min="5" max="5" width="19.109375" bestFit="1" customWidth="1"/>
    <col min="7" max="7" width="11.33203125" customWidth="1"/>
    <col min="8" max="8" width="19.109375" bestFit="1" customWidth="1"/>
  </cols>
  <sheetData>
    <row r="1" spans="1:10">
      <c r="A1" s="163" t="s">
        <v>106</v>
      </c>
      <c r="B1" t="s">
        <v>107</v>
      </c>
    </row>
    <row r="2" spans="1:10">
      <c r="A2" s="163" t="s">
        <v>39</v>
      </c>
      <c r="B2" t="s">
        <v>40</v>
      </c>
    </row>
    <row r="3" spans="1:10">
      <c r="A3" s="163" t="s">
        <v>115</v>
      </c>
      <c r="B3" t="s">
        <v>107</v>
      </c>
    </row>
    <row r="4" spans="1:10">
      <c r="A4" s="163" t="s">
        <v>121</v>
      </c>
      <c r="B4" t="s">
        <v>107</v>
      </c>
    </row>
    <row r="6" spans="1:10">
      <c r="A6" s="163" t="s">
        <v>44</v>
      </c>
      <c r="B6" t="s">
        <v>100</v>
      </c>
      <c r="D6" s="46" t="s">
        <v>44</v>
      </c>
      <c r="E6" s="46" t="s">
        <v>108</v>
      </c>
      <c r="G6" s="163" t="s">
        <v>44</v>
      </c>
      <c r="H6" t="s">
        <v>100</v>
      </c>
    </row>
    <row r="7" spans="1:10">
      <c r="A7" t="s">
        <v>8</v>
      </c>
      <c r="B7" s="73">
        <v>403397.35000000434</v>
      </c>
      <c r="D7" t="s">
        <v>8</v>
      </c>
      <c r="E7" s="73">
        <v>403397.35000000434</v>
      </c>
      <c r="G7" t="s">
        <v>8</v>
      </c>
      <c r="H7" s="73">
        <v>403397.35000000434</v>
      </c>
      <c r="J7" s="76">
        <f>ROUND(H7/SUM($H$7:$H$30),4)</f>
        <v>1.1999999999999999E-3</v>
      </c>
    </row>
    <row r="8" spans="1:10">
      <c r="A8" t="s">
        <v>9</v>
      </c>
      <c r="B8" s="73">
        <v>10668436.359999955</v>
      </c>
      <c r="D8" t="s">
        <v>9</v>
      </c>
      <c r="E8" s="73">
        <v>10668436.359999955</v>
      </c>
      <c r="G8" t="s">
        <v>9</v>
      </c>
      <c r="H8" s="73">
        <v>10668436.359999955</v>
      </c>
      <c r="J8" s="76">
        <f t="shared" ref="J8:J30" si="0">ROUND(H8/SUM($H$7:$H$30),4)</f>
        <v>3.2800000000000003E-2</v>
      </c>
    </row>
    <row r="9" spans="1:10">
      <c r="A9" t="s">
        <v>11</v>
      </c>
      <c r="B9" s="73">
        <v>147125.71999999881</v>
      </c>
      <c r="D9" t="s">
        <v>11</v>
      </c>
      <c r="E9" s="73">
        <v>147125.71999999881</v>
      </c>
      <c r="G9" t="s">
        <v>11</v>
      </c>
      <c r="H9" s="73">
        <v>147125.71999999881</v>
      </c>
      <c r="J9" s="76">
        <f t="shared" si="0"/>
        <v>5.0000000000000001E-4</v>
      </c>
    </row>
    <row r="10" spans="1:10">
      <c r="A10" t="s">
        <v>13</v>
      </c>
      <c r="B10" s="73">
        <v>6963445.969999996</v>
      </c>
      <c r="D10" t="s">
        <v>13</v>
      </c>
      <c r="E10" s="73">
        <v>6963445.969999996</v>
      </c>
      <c r="G10" t="s">
        <v>13</v>
      </c>
      <c r="H10" s="73">
        <v>6963445.969999996</v>
      </c>
      <c r="J10" s="76">
        <f t="shared" si="0"/>
        <v>2.1399999999999999E-2</v>
      </c>
    </row>
    <row r="11" spans="1:10">
      <c r="A11" t="s">
        <v>14</v>
      </c>
      <c r="B11" s="73">
        <v>52992622.549999885</v>
      </c>
      <c r="D11" t="s">
        <v>14</v>
      </c>
      <c r="E11" s="73">
        <v>52992622.549999885</v>
      </c>
      <c r="G11" t="s">
        <v>14</v>
      </c>
      <c r="H11" s="73">
        <v>52992622.549999885</v>
      </c>
      <c r="J11" s="76">
        <f t="shared" si="0"/>
        <v>0.16300000000000001</v>
      </c>
    </row>
    <row r="12" spans="1:10">
      <c r="A12" t="s">
        <v>15</v>
      </c>
      <c r="B12" s="73">
        <v>3195266.4400000023</v>
      </c>
      <c r="D12" t="s">
        <v>15</v>
      </c>
      <c r="E12" s="73">
        <v>3195266.4400000023</v>
      </c>
      <c r="G12" t="s">
        <v>15</v>
      </c>
      <c r="H12" s="73">
        <v>3195266.4400000023</v>
      </c>
      <c r="J12" s="76">
        <f t="shared" si="0"/>
        <v>9.7999999999999997E-3</v>
      </c>
    </row>
    <row r="13" spans="1:10">
      <c r="A13" t="s">
        <v>16</v>
      </c>
      <c r="B13" s="73">
        <v>26037520.709999744</v>
      </c>
      <c r="D13" t="s">
        <v>16</v>
      </c>
      <c r="E13" s="73">
        <v>26037520.709999744</v>
      </c>
      <c r="G13" t="s">
        <v>16</v>
      </c>
      <c r="H13" s="73">
        <v>26037520.709999744</v>
      </c>
      <c r="J13" s="76">
        <f t="shared" si="0"/>
        <v>8.0100000000000005E-2</v>
      </c>
    </row>
    <row r="14" spans="1:10">
      <c r="A14" t="s">
        <v>17</v>
      </c>
      <c r="B14" s="73">
        <v>14788651.480000006</v>
      </c>
      <c r="D14" t="s">
        <v>17</v>
      </c>
      <c r="E14" s="73">
        <v>14788651.480000006</v>
      </c>
      <c r="G14" t="s">
        <v>17</v>
      </c>
      <c r="H14" s="73">
        <v>14788651.480000006</v>
      </c>
      <c r="J14" s="76">
        <f t="shared" si="0"/>
        <v>4.5499999999999999E-2</v>
      </c>
    </row>
    <row r="15" spans="1:10">
      <c r="A15" t="s">
        <v>18</v>
      </c>
      <c r="B15" s="73">
        <v>294814.77999999904</v>
      </c>
      <c r="D15" t="s">
        <v>18</v>
      </c>
      <c r="E15" s="73">
        <v>294814.77999999904</v>
      </c>
      <c r="G15" t="s">
        <v>18</v>
      </c>
      <c r="H15" s="73">
        <v>294814.77999999904</v>
      </c>
      <c r="J15" s="76">
        <f t="shared" si="0"/>
        <v>8.9999999999999998E-4</v>
      </c>
    </row>
    <row r="16" spans="1:10">
      <c r="A16" t="s">
        <v>19</v>
      </c>
      <c r="B16" s="73">
        <v>80567021.640000373</v>
      </c>
      <c r="D16" t="s">
        <v>19</v>
      </c>
      <c r="E16" s="73">
        <v>80567021.640000373</v>
      </c>
      <c r="G16" t="s">
        <v>19</v>
      </c>
      <c r="H16" s="73">
        <v>80567021.640000373</v>
      </c>
      <c r="J16" s="76">
        <f t="shared" si="0"/>
        <v>0.2477</v>
      </c>
    </row>
    <row r="17" spans="1:10">
      <c r="A17" t="s">
        <v>20</v>
      </c>
      <c r="B17" s="73">
        <v>51546.959999999846</v>
      </c>
      <c r="D17" t="s">
        <v>20</v>
      </c>
      <c r="E17" s="73">
        <v>51546.959999999846</v>
      </c>
      <c r="G17" t="s">
        <v>20</v>
      </c>
      <c r="H17" s="73">
        <v>51546.959999999846</v>
      </c>
      <c r="J17" s="76">
        <f t="shared" si="0"/>
        <v>2.0000000000000001E-4</v>
      </c>
    </row>
    <row r="18" spans="1:10">
      <c r="A18" t="s">
        <v>21</v>
      </c>
      <c r="B18" s="73">
        <v>5427950.2999999803</v>
      </c>
      <c r="D18" t="s">
        <v>21</v>
      </c>
      <c r="E18" s="73">
        <v>5427950.2999999803</v>
      </c>
      <c r="G18" t="s">
        <v>21</v>
      </c>
      <c r="H18" s="73">
        <v>5427950.2999999803</v>
      </c>
      <c r="J18" s="180">
        <f>ROUND(H18/SUM($H$7:$H$30),4)</f>
        <v>1.67E-2</v>
      </c>
    </row>
    <row r="19" spans="1:10">
      <c r="A19" t="s">
        <v>22</v>
      </c>
      <c r="B19" s="73">
        <v>81259095.369999468</v>
      </c>
      <c r="D19" t="s">
        <v>22</v>
      </c>
      <c r="E19" s="73">
        <v>81259095.369999468</v>
      </c>
      <c r="G19" t="s">
        <v>22</v>
      </c>
      <c r="H19" s="73">
        <v>89469015.829999417</v>
      </c>
      <c r="J19" s="76">
        <f t="shared" si="0"/>
        <v>0.27510000000000001</v>
      </c>
    </row>
    <row r="20" spans="1:10">
      <c r="A20" t="s">
        <v>23</v>
      </c>
      <c r="B20" s="73">
        <v>790002.12000000582</v>
      </c>
      <c r="D20" t="s">
        <v>23</v>
      </c>
      <c r="E20" s="73">
        <v>790002.12000000582</v>
      </c>
      <c r="G20" t="s">
        <v>23</v>
      </c>
      <c r="H20" s="73">
        <v>790002.12000000582</v>
      </c>
      <c r="J20" s="76">
        <f t="shared" si="0"/>
        <v>2.3999999999999998E-3</v>
      </c>
    </row>
    <row r="21" spans="1:10">
      <c r="A21" t="s">
        <v>24</v>
      </c>
      <c r="B21" s="73">
        <v>453.11999999999904</v>
      </c>
      <c r="D21" t="s">
        <v>24</v>
      </c>
      <c r="E21" s="73">
        <v>453.11999999999904</v>
      </c>
      <c r="G21" t="s">
        <v>24</v>
      </c>
      <c r="H21" s="73">
        <v>453.11999999999904</v>
      </c>
      <c r="J21" s="76">
        <f t="shared" si="0"/>
        <v>0</v>
      </c>
    </row>
    <row r="22" spans="1:10">
      <c r="A22" t="s">
        <v>27</v>
      </c>
      <c r="B22" s="73">
        <v>20132.800000000225</v>
      </c>
      <c r="D22" t="s">
        <v>27</v>
      </c>
      <c r="E22" s="73">
        <v>20132.800000000225</v>
      </c>
      <c r="G22" t="s">
        <v>27</v>
      </c>
      <c r="H22" s="73">
        <v>20132.800000000225</v>
      </c>
      <c r="J22" s="76">
        <f t="shared" si="0"/>
        <v>1E-4</v>
      </c>
    </row>
    <row r="23" spans="1:10">
      <c r="A23" t="s">
        <v>30</v>
      </c>
      <c r="B23" s="73">
        <v>106423.19999999863</v>
      </c>
      <c r="D23" t="s">
        <v>30</v>
      </c>
      <c r="E23" s="73">
        <v>106423.19999999863</v>
      </c>
      <c r="G23" t="s">
        <v>30</v>
      </c>
      <c r="H23" s="73">
        <v>106423.19999999863</v>
      </c>
      <c r="J23" s="76">
        <f t="shared" si="0"/>
        <v>2.9999999999999997E-4</v>
      </c>
    </row>
    <row r="24" spans="1:10">
      <c r="A24" t="s">
        <v>31</v>
      </c>
      <c r="B24" s="73">
        <v>20885.849999999977</v>
      </c>
      <c r="D24" t="s">
        <v>31</v>
      </c>
      <c r="E24" s="73">
        <v>20885.849999999977</v>
      </c>
      <c r="G24" t="s">
        <v>31</v>
      </c>
      <c r="H24" s="73">
        <v>20885.849999999977</v>
      </c>
      <c r="J24" s="76">
        <f t="shared" si="0"/>
        <v>1E-4</v>
      </c>
    </row>
    <row r="25" spans="1:10">
      <c r="A25" t="s">
        <v>32</v>
      </c>
      <c r="B25" s="73">
        <v>25314894.500000164</v>
      </c>
      <c r="D25" t="s">
        <v>32</v>
      </c>
      <c r="E25" s="73">
        <v>25314894.500000164</v>
      </c>
      <c r="G25" t="s">
        <v>32</v>
      </c>
      <c r="H25" s="73">
        <v>25314894.500000164</v>
      </c>
      <c r="J25" s="76">
        <f t="shared" si="0"/>
        <v>7.7799999999999994E-2</v>
      </c>
    </row>
    <row r="26" spans="1:10">
      <c r="A26" t="s">
        <v>33</v>
      </c>
      <c r="B26" s="73">
        <v>4359739.7099999916</v>
      </c>
      <c r="D26" t="s">
        <v>33</v>
      </c>
      <c r="E26" s="73">
        <v>4359739.7099999916</v>
      </c>
      <c r="G26" t="s">
        <v>33</v>
      </c>
      <c r="H26" s="73">
        <v>4359739.7099999916</v>
      </c>
      <c r="J26" s="76">
        <f t="shared" si="0"/>
        <v>1.34E-2</v>
      </c>
    </row>
    <row r="27" spans="1:10">
      <c r="A27" t="s">
        <v>47</v>
      </c>
      <c r="B27" s="73">
        <v>6387549.8599999398</v>
      </c>
      <c r="D27" s="74" t="s">
        <v>22</v>
      </c>
      <c r="E27" s="73">
        <v>6387549.8599999398</v>
      </c>
      <c r="G27" t="s">
        <v>35</v>
      </c>
      <c r="H27" s="73">
        <v>823063.37000001222</v>
      </c>
      <c r="J27" s="76">
        <f t="shared" si="0"/>
        <v>2.5000000000000001E-3</v>
      </c>
    </row>
    <row r="28" spans="1:10">
      <c r="A28" t="s">
        <v>48</v>
      </c>
      <c r="B28" s="73">
        <v>1822370.6000000124</v>
      </c>
      <c r="D28" s="74" t="s">
        <v>22</v>
      </c>
      <c r="E28" s="73">
        <v>1822370.6000000124</v>
      </c>
      <c r="G28" t="s">
        <v>36</v>
      </c>
      <c r="H28" s="73">
        <v>17684.73</v>
      </c>
      <c r="J28" s="76">
        <f t="shared" si="0"/>
        <v>1E-4</v>
      </c>
    </row>
    <row r="29" spans="1:10">
      <c r="A29" t="s">
        <v>35</v>
      </c>
      <c r="B29" s="73">
        <v>823063.37000001222</v>
      </c>
      <c r="D29" t="s">
        <v>35</v>
      </c>
      <c r="E29" s="73">
        <v>823063.37000001222</v>
      </c>
      <c r="G29" t="s">
        <v>37</v>
      </c>
      <c r="H29" s="73">
        <v>13870.880000000445</v>
      </c>
      <c r="J29" s="76">
        <f t="shared" si="0"/>
        <v>0</v>
      </c>
    </row>
    <row r="30" spans="1:10">
      <c r="A30" t="s">
        <v>36</v>
      </c>
      <c r="B30" s="73">
        <v>17684.73</v>
      </c>
      <c r="D30" t="s">
        <v>36</v>
      </c>
      <c r="E30" s="73">
        <v>17684.73</v>
      </c>
      <c r="G30" t="s">
        <v>38</v>
      </c>
      <c r="H30" s="73">
        <v>2727459.1800000109</v>
      </c>
      <c r="J30" s="76">
        <f t="shared" si="0"/>
        <v>8.3999999999999995E-3</v>
      </c>
    </row>
    <row r="31" spans="1:10" ht="15" thickBot="1">
      <c r="A31" t="s">
        <v>37</v>
      </c>
      <c r="B31" s="73">
        <v>13870.880000000445</v>
      </c>
      <c r="D31" t="s">
        <v>37</v>
      </c>
      <c r="E31" s="73">
        <v>13870.880000000445</v>
      </c>
      <c r="G31" t="s">
        <v>49</v>
      </c>
      <c r="H31" s="73">
        <v>325201425.54999954</v>
      </c>
      <c r="J31" s="184">
        <f>SUM(J7:J30)</f>
        <v>0.99999999999999978</v>
      </c>
    </row>
    <row r="32" spans="1:10" ht="15" thickTop="1">
      <c r="A32" t="s">
        <v>38</v>
      </c>
      <c r="B32" s="73">
        <v>2727459.1800000109</v>
      </c>
      <c r="D32" t="s">
        <v>38</v>
      </c>
      <c r="E32" s="73">
        <v>2727459.1800000109</v>
      </c>
    </row>
    <row r="33" spans="1:2">
      <c r="A33" t="s">
        <v>49</v>
      </c>
      <c r="B33" s="73">
        <v>325201425.54999959</v>
      </c>
    </row>
  </sheetData>
  <pageMargins left="0.7" right="0.7" top="0.75" bottom="0.75" header="0.3" footer="0.3"/>
  <pageSetup scale="99" orientation="landscape" r:id="rId1"/>
  <headerFooter>
    <oddHeader>&amp;RKY PSC Case No. 2016-00162,
Attachment G to Staff Post Hearing Supp. DR 2</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workbookViewId="0">
      <selection sqref="A1:I1"/>
    </sheetView>
  </sheetViews>
  <sheetFormatPr defaultRowHeight="14.4"/>
  <cols>
    <col min="1" max="1" width="8.88671875" style="77"/>
    <col min="2" max="2" width="15.109375" style="77" bestFit="1" customWidth="1"/>
    <col min="3" max="3" width="11.44140625" style="77" bestFit="1" customWidth="1"/>
    <col min="4" max="4" width="3.44140625" style="77" customWidth="1"/>
    <col min="5" max="5" width="8.88671875" style="77"/>
    <col min="6" max="6" width="15.109375" style="192" bestFit="1" customWidth="1"/>
    <col min="7" max="7" width="11.44140625" style="77" bestFit="1" customWidth="1"/>
    <col min="8" max="8" width="3.5546875" style="77" customWidth="1"/>
    <col min="9" max="9" width="10.33203125" style="77" bestFit="1" customWidth="1"/>
    <col min="10" max="16384" width="8.88671875" style="77"/>
  </cols>
  <sheetData>
    <row r="1" spans="1:9" ht="19.2">
      <c r="A1" s="252" t="s">
        <v>97</v>
      </c>
      <c r="B1" s="252"/>
      <c r="C1" s="252"/>
      <c r="D1" s="252"/>
      <c r="E1" s="252"/>
      <c r="F1" s="252"/>
      <c r="G1" s="252"/>
      <c r="H1" s="252"/>
      <c r="I1" s="252"/>
    </row>
    <row r="3" spans="1:9">
      <c r="A3" s="250" t="s">
        <v>95</v>
      </c>
      <c r="B3" s="250"/>
      <c r="C3" s="250"/>
      <c r="D3" s="152"/>
      <c r="E3" s="250" t="s">
        <v>96</v>
      </c>
      <c r="F3" s="250"/>
      <c r="G3" s="250"/>
    </row>
    <row r="4" spans="1:9">
      <c r="A4" s="153"/>
      <c r="B4" s="153"/>
      <c r="C4" s="153"/>
      <c r="E4" s="153"/>
      <c r="F4" s="193"/>
      <c r="G4" s="153"/>
    </row>
    <row r="5" spans="1:9">
      <c r="A5" s="152" t="s">
        <v>44</v>
      </c>
      <c r="B5" s="152" t="s">
        <v>63</v>
      </c>
      <c r="C5" s="154" t="s">
        <v>4</v>
      </c>
      <c r="D5" s="155"/>
      <c r="E5" s="152" t="s">
        <v>44</v>
      </c>
      <c r="F5" s="194" t="s">
        <v>63</v>
      </c>
      <c r="G5" s="154" t="s">
        <v>4</v>
      </c>
      <c r="H5" s="135"/>
      <c r="I5" s="154" t="s">
        <v>7</v>
      </c>
    </row>
    <row r="6" spans="1:9">
      <c r="A6" s="135" t="s">
        <v>8</v>
      </c>
      <c r="B6" s="160">
        <v>60719.550000000105</v>
      </c>
      <c r="C6" s="138">
        <v>4.0000000000000002E-4</v>
      </c>
      <c r="D6" s="135"/>
      <c r="E6" s="187" t="s">
        <v>8</v>
      </c>
      <c r="F6" s="160">
        <v>70399.959999999861</v>
      </c>
      <c r="G6" s="138">
        <v>5.0000000000000001E-4</v>
      </c>
      <c r="H6" s="156"/>
      <c r="I6" s="133">
        <f t="shared" ref="I6:I30" si="0">G6-C6</f>
        <v>9.9999999999999991E-5</v>
      </c>
    </row>
    <row r="7" spans="1:9">
      <c r="A7" s="189" t="s">
        <v>120</v>
      </c>
      <c r="B7" s="160">
        <v>0</v>
      </c>
      <c r="C7" s="160">
        <v>0</v>
      </c>
      <c r="D7" s="135"/>
      <c r="E7" s="189" t="s">
        <v>120</v>
      </c>
      <c r="F7" s="160">
        <v>0</v>
      </c>
      <c r="G7" s="160">
        <v>0</v>
      </c>
      <c r="H7" s="156"/>
      <c r="I7" s="190">
        <f t="shared" si="0"/>
        <v>0</v>
      </c>
    </row>
    <row r="8" spans="1:9">
      <c r="A8" s="135" t="s">
        <v>9</v>
      </c>
      <c r="B8" s="160">
        <v>3895127.810000007</v>
      </c>
      <c r="C8" s="138">
        <v>2.8000000000000001E-2</v>
      </c>
      <c r="D8" s="135"/>
      <c r="E8" s="187" t="s">
        <v>9</v>
      </c>
      <c r="F8" s="160">
        <v>3717687.8600000008</v>
      </c>
      <c r="G8" s="138">
        <v>2.7799999999999998E-2</v>
      </c>
      <c r="H8" s="156"/>
      <c r="I8" s="133">
        <f t="shared" si="0"/>
        <v>-2.0000000000000226E-4</v>
      </c>
    </row>
    <row r="9" spans="1:9">
      <c r="A9" s="134" t="s">
        <v>11</v>
      </c>
      <c r="B9" s="160">
        <v>54470.88999999981</v>
      </c>
      <c r="C9" s="138">
        <v>4.0000000000000002E-4</v>
      </c>
      <c r="D9" s="135"/>
      <c r="E9" s="187" t="s">
        <v>11</v>
      </c>
      <c r="F9" s="160">
        <v>23503.430000000037</v>
      </c>
      <c r="G9" s="138">
        <v>2.0000000000000001E-4</v>
      </c>
      <c r="H9" s="156"/>
      <c r="I9" s="133">
        <f t="shared" si="0"/>
        <v>-2.0000000000000001E-4</v>
      </c>
    </row>
    <row r="10" spans="1:9">
      <c r="A10" s="134" t="s">
        <v>13</v>
      </c>
      <c r="B10" s="160">
        <v>3196796.9500000039</v>
      </c>
      <c r="C10" s="138">
        <v>2.3E-2</v>
      </c>
      <c r="D10" s="135"/>
      <c r="E10" s="187" t="s">
        <v>13</v>
      </c>
      <c r="F10" s="160">
        <v>2998963.9600000042</v>
      </c>
      <c r="G10" s="138">
        <v>2.24E-2</v>
      </c>
      <c r="H10" s="136"/>
      <c r="I10" s="133">
        <f t="shared" si="0"/>
        <v>-5.9999999999999984E-4</v>
      </c>
    </row>
    <row r="11" spans="1:9">
      <c r="A11" s="134" t="s">
        <v>14</v>
      </c>
      <c r="B11" s="160">
        <v>26317144.319999926</v>
      </c>
      <c r="C11" s="138">
        <v>0.1893</v>
      </c>
      <c r="D11" s="135"/>
      <c r="E11" s="187" t="s">
        <v>14</v>
      </c>
      <c r="F11" s="160">
        <v>23712414.330000021</v>
      </c>
      <c r="G11" s="138">
        <v>0.17710000000000001</v>
      </c>
      <c r="H11" s="136"/>
      <c r="I11" s="133">
        <f t="shared" si="0"/>
        <v>-1.2199999999999989E-2</v>
      </c>
    </row>
    <row r="12" spans="1:9">
      <c r="A12" s="134" t="s">
        <v>15</v>
      </c>
      <c r="B12" s="160">
        <v>1175658.0900000038</v>
      </c>
      <c r="C12" s="138">
        <v>8.5000000000000006E-3</v>
      </c>
      <c r="D12" s="135"/>
      <c r="E12" s="187" t="s">
        <v>15</v>
      </c>
      <c r="F12" s="160">
        <v>1124046.1300000036</v>
      </c>
      <c r="G12" s="138">
        <v>8.3999999999999995E-3</v>
      </c>
      <c r="H12" s="136"/>
      <c r="I12" s="133">
        <f t="shared" si="0"/>
        <v>-1.0000000000000113E-4</v>
      </c>
    </row>
    <row r="13" spans="1:9">
      <c r="A13" s="134" t="s">
        <v>16</v>
      </c>
      <c r="B13" s="160">
        <v>11547005.690000048</v>
      </c>
      <c r="C13" s="138">
        <v>8.3099999999999993E-2</v>
      </c>
      <c r="D13" s="135"/>
      <c r="E13" s="187" t="s">
        <v>16</v>
      </c>
      <c r="F13" s="160">
        <v>11136976.399999972</v>
      </c>
      <c r="G13" s="138">
        <v>8.3199999999999996E-2</v>
      </c>
      <c r="H13" s="136"/>
      <c r="I13" s="133">
        <f t="shared" si="0"/>
        <v>1.0000000000000286E-4</v>
      </c>
    </row>
    <row r="14" spans="1:9">
      <c r="A14" s="134" t="s">
        <v>17</v>
      </c>
      <c r="B14" s="160">
        <v>6055311.5899999728</v>
      </c>
      <c r="C14" s="138">
        <v>4.36E-2</v>
      </c>
      <c r="D14" s="135"/>
      <c r="E14" s="187" t="s">
        <v>17</v>
      </c>
      <c r="F14" s="160">
        <v>6087241.1199999815</v>
      </c>
      <c r="G14" s="138">
        <v>4.5499999999999999E-2</v>
      </c>
      <c r="H14" s="136"/>
      <c r="I14" s="133">
        <f t="shared" si="0"/>
        <v>1.8999999999999989E-3</v>
      </c>
    </row>
    <row r="15" spans="1:9">
      <c r="A15" s="134" t="s">
        <v>18</v>
      </c>
      <c r="B15" s="160">
        <v>162466.86999999988</v>
      </c>
      <c r="C15" s="138">
        <v>1.1999999999999999E-3</v>
      </c>
      <c r="D15" s="135"/>
      <c r="E15" s="187" t="s">
        <v>18</v>
      </c>
      <c r="F15" s="160">
        <v>128528.51000000014</v>
      </c>
      <c r="G15" s="138">
        <v>1E-3</v>
      </c>
      <c r="H15" s="136"/>
      <c r="I15" s="133">
        <f t="shared" si="0"/>
        <v>-1.9999999999999987E-4</v>
      </c>
    </row>
    <row r="16" spans="1:9">
      <c r="A16" s="134" t="s">
        <v>19</v>
      </c>
      <c r="B16" s="160">
        <v>34707376.479999922</v>
      </c>
      <c r="C16" s="138">
        <v>0.24970000000000001</v>
      </c>
      <c r="D16" s="135"/>
      <c r="E16" s="187" t="s">
        <v>19</v>
      </c>
      <c r="F16" s="160">
        <v>34724928.44000005</v>
      </c>
      <c r="G16" s="138">
        <v>0.25940000000000002</v>
      </c>
      <c r="H16" s="136"/>
      <c r="I16" s="133">
        <f t="shared" si="0"/>
        <v>9.7000000000000142E-3</v>
      </c>
    </row>
    <row r="17" spans="1:9">
      <c r="A17" s="134" t="s">
        <v>20</v>
      </c>
      <c r="B17" s="160">
        <v>13468.730000000081</v>
      </c>
      <c r="C17" s="138">
        <v>1E-4</v>
      </c>
      <c r="D17" s="135"/>
      <c r="E17" s="187" t="s">
        <v>20</v>
      </c>
      <c r="F17" s="160">
        <v>17154.080000000049</v>
      </c>
      <c r="G17" s="138">
        <v>1E-4</v>
      </c>
      <c r="H17" s="136"/>
      <c r="I17" s="133">
        <f t="shared" si="0"/>
        <v>0</v>
      </c>
    </row>
    <row r="18" spans="1:9">
      <c r="A18" s="134" t="s">
        <v>21</v>
      </c>
      <c r="B18" s="160">
        <v>464084.48000000021</v>
      </c>
      <c r="C18" s="138">
        <v>3.2000000000000002E-3</v>
      </c>
      <c r="D18" s="135"/>
      <c r="E18" s="187" t="s">
        <v>21</v>
      </c>
      <c r="F18" s="160">
        <v>432937.47000000061</v>
      </c>
      <c r="G18" s="138">
        <v>3.1000000000000003E-3</v>
      </c>
      <c r="H18" s="136"/>
      <c r="I18" s="133">
        <f t="shared" si="0"/>
        <v>-9.9999999999999829E-5</v>
      </c>
    </row>
    <row r="19" spans="1:9">
      <c r="A19" s="134" t="s">
        <v>22</v>
      </c>
      <c r="B19" s="160">
        <v>38246291.339999899</v>
      </c>
      <c r="C19" s="138">
        <v>0.2752</v>
      </c>
      <c r="D19" s="135"/>
      <c r="E19" s="187" t="s">
        <v>22</v>
      </c>
      <c r="F19" s="160">
        <v>36894699.289999902</v>
      </c>
      <c r="G19" s="138">
        <v>0.27560000000000001</v>
      </c>
      <c r="H19" s="136"/>
      <c r="I19" s="133">
        <f t="shared" si="0"/>
        <v>4.0000000000001146E-4</v>
      </c>
    </row>
    <row r="20" spans="1:9">
      <c r="A20" s="134" t="s">
        <v>23</v>
      </c>
      <c r="B20" s="160">
        <v>73253.569999999978</v>
      </c>
      <c r="C20" s="138">
        <v>5.0000000000000001E-4</v>
      </c>
      <c r="D20" s="135"/>
      <c r="E20" s="187" t="s">
        <v>23</v>
      </c>
      <c r="F20" s="160">
        <v>56500.349999999984</v>
      </c>
      <c r="G20" s="138">
        <v>4.0000000000000002E-4</v>
      </c>
      <c r="H20" s="136"/>
      <c r="I20" s="190">
        <f t="shared" si="0"/>
        <v>-9.9999999999999991E-5</v>
      </c>
    </row>
    <row r="21" spans="1:9">
      <c r="A21" s="134" t="s">
        <v>24</v>
      </c>
      <c r="B21" s="160">
        <v>383.14999999999816</v>
      </c>
      <c r="C21" s="138">
        <v>0</v>
      </c>
      <c r="D21" s="135"/>
      <c r="E21" s="187" t="s">
        <v>24</v>
      </c>
      <c r="F21" s="160">
        <v>-1.0500000000006366</v>
      </c>
      <c r="G21" s="160">
        <v>0</v>
      </c>
      <c r="H21" s="136"/>
      <c r="I21" s="190">
        <f t="shared" si="0"/>
        <v>0</v>
      </c>
    </row>
    <row r="22" spans="1:9">
      <c r="A22" s="134" t="s">
        <v>27</v>
      </c>
      <c r="B22" s="160">
        <v>6554.5100000000211</v>
      </c>
      <c r="C22" s="138">
        <v>0</v>
      </c>
      <c r="D22" s="135"/>
      <c r="E22" s="187" t="s">
        <v>27</v>
      </c>
      <c r="F22" s="160">
        <v>3418.1400000000231</v>
      </c>
      <c r="G22" s="160">
        <v>0</v>
      </c>
      <c r="H22" s="136"/>
      <c r="I22" s="190">
        <f t="shared" si="0"/>
        <v>0</v>
      </c>
    </row>
    <row r="23" spans="1:9">
      <c r="A23" s="134" t="s">
        <v>30</v>
      </c>
      <c r="B23" s="160">
        <v>13152.31000000008</v>
      </c>
      <c r="C23" s="138">
        <v>1E-4</v>
      </c>
      <c r="D23" s="135"/>
      <c r="E23" s="187" t="s">
        <v>30</v>
      </c>
      <c r="F23" s="160">
        <v>8931.9900000000653</v>
      </c>
      <c r="G23" s="138">
        <v>1E-4</v>
      </c>
      <c r="H23" s="136"/>
      <c r="I23" s="190">
        <f t="shared" si="0"/>
        <v>0</v>
      </c>
    </row>
    <row r="24" spans="1:9">
      <c r="A24" s="134" t="s">
        <v>31</v>
      </c>
      <c r="B24" s="160">
        <v>2226.9399999999996</v>
      </c>
      <c r="C24" s="138">
        <v>0</v>
      </c>
      <c r="D24" s="135"/>
      <c r="E24" s="187" t="s">
        <v>31</v>
      </c>
      <c r="F24" s="160">
        <v>1771.8799999999878</v>
      </c>
      <c r="G24" s="160">
        <v>0</v>
      </c>
      <c r="H24" s="140"/>
      <c r="I24" s="190">
        <f t="shared" si="0"/>
        <v>0</v>
      </c>
    </row>
    <row r="25" spans="1:9">
      <c r="A25" s="134" t="s">
        <v>32</v>
      </c>
      <c r="B25" s="160">
        <v>10770417.769999964</v>
      </c>
      <c r="C25" s="138">
        <v>7.7499999999999999E-2</v>
      </c>
      <c r="D25" s="135"/>
      <c r="E25" s="187" t="s">
        <v>32</v>
      </c>
      <c r="F25" s="160">
        <v>10421163.740000011</v>
      </c>
      <c r="G25" s="138">
        <v>7.7899999999999997E-2</v>
      </c>
      <c r="H25" s="140"/>
      <c r="I25" s="133">
        <f t="shared" si="0"/>
        <v>3.9999999999999758E-4</v>
      </c>
    </row>
    <row r="26" spans="1:9">
      <c r="A26" s="134" t="s">
        <v>33</v>
      </c>
      <c r="B26" s="160">
        <v>1704737.8400000024</v>
      </c>
      <c r="C26" s="138">
        <v>1.23E-2</v>
      </c>
      <c r="D26" s="135"/>
      <c r="E26" s="187" t="s">
        <v>33</v>
      </c>
      <c r="F26" s="160">
        <v>1642924.2600000026</v>
      </c>
      <c r="G26" s="138">
        <v>1.23E-2</v>
      </c>
      <c r="H26" s="140"/>
      <c r="I26" s="133">
        <f t="shared" si="0"/>
        <v>0</v>
      </c>
    </row>
    <row r="27" spans="1:9">
      <c r="A27" s="134" t="s">
        <v>35</v>
      </c>
      <c r="B27" s="160">
        <v>69860.039999999819</v>
      </c>
      <c r="C27" s="138">
        <v>5.0000000000000001E-4</v>
      </c>
      <c r="D27" s="135"/>
      <c r="E27" s="187" t="s">
        <v>35</v>
      </c>
      <c r="F27" s="160">
        <v>71966.70999999973</v>
      </c>
      <c r="G27" s="138">
        <v>5.0000000000000001E-4</v>
      </c>
      <c r="H27" s="156"/>
      <c r="I27" s="190">
        <f t="shared" si="0"/>
        <v>0</v>
      </c>
    </row>
    <row r="28" spans="1:9">
      <c r="A28" s="134" t="s">
        <v>36</v>
      </c>
      <c r="B28" s="160">
        <v>431.58000000003949</v>
      </c>
      <c r="C28" s="138">
        <v>0</v>
      </c>
      <c r="D28" s="135"/>
      <c r="E28" s="187" t="s">
        <v>36</v>
      </c>
      <c r="F28" s="160">
        <v>-10531.599999999991</v>
      </c>
      <c r="G28" s="160">
        <v>0</v>
      </c>
      <c r="H28" s="156"/>
      <c r="I28" s="190">
        <f t="shared" si="0"/>
        <v>0</v>
      </c>
    </row>
    <row r="29" spans="1:9">
      <c r="A29" s="134" t="s">
        <v>37</v>
      </c>
      <c r="B29" s="160">
        <v>0</v>
      </c>
      <c r="C29" s="138">
        <v>0</v>
      </c>
      <c r="D29" s="135"/>
      <c r="E29" s="187" t="s">
        <v>37</v>
      </c>
      <c r="F29" s="160">
        <v>-10695.529999999964</v>
      </c>
      <c r="G29" s="160">
        <v>0</v>
      </c>
      <c r="H29" s="156"/>
      <c r="I29" s="190">
        <f t="shared" si="0"/>
        <v>0</v>
      </c>
    </row>
    <row r="30" spans="1:9">
      <c r="A30" s="135" t="s">
        <v>38</v>
      </c>
      <c r="B30" s="160">
        <v>469298.31000000046</v>
      </c>
      <c r="C30" s="138">
        <v>3.3999999999999998E-3</v>
      </c>
      <c r="E30" s="187" t="s">
        <v>38</v>
      </c>
      <c r="F30" s="160">
        <v>606455.5699999996</v>
      </c>
      <c r="G30" s="138">
        <v>4.4999999999999997E-3</v>
      </c>
      <c r="H30" s="135"/>
      <c r="I30" s="133">
        <f t="shared" si="0"/>
        <v>1.0999999999999998E-3</v>
      </c>
    </row>
    <row r="31" spans="1:9" ht="15" thickBot="1">
      <c r="A31" s="157" t="s">
        <v>6</v>
      </c>
      <c r="B31" s="161">
        <f>SUM(B6:B30)</f>
        <v>139006238.80999976</v>
      </c>
      <c r="C31" s="157">
        <f>SUM(C6:C30)</f>
        <v>0.99999999999999978</v>
      </c>
      <c r="E31" s="188" t="s">
        <v>6</v>
      </c>
      <c r="F31" s="181">
        <f>SUM(F6:F30)</f>
        <v>133861385.43999992</v>
      </c>
      <c r="G31" s="144">
        <f>SUM(G6:G30)</f>
        <v>0.99999999999999967</v>
      </c>
      <c r="I31" s="191">
        <f>SUM(I6:I30)</f>
        <v>3.3176586478056436E-17</v>
      </c>
    </row>
  </sheetData>
  <mergeCells count="3">
    <mergeCell ref="A1:I1"/>
    <mergeCell ref="A3:C3"/>
    <mergeCell ref="E3:G3"/>
  </mergeCells>
  <pageMargins left="0.7" right="0.7" top="0.75" bottom="0.75" header="0.3" footer="0.3"/>
  <pageSetup orientation="landscape" r:id="rId1"/>
  <headerFooter>
    <oddHeader>&amp;RKY PSC Case No. 2016-00162,
Attachment G to Staff Post Hearing Supp. DR 2</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workbookViewId="0"/>
  </sheetViews>
  <sheetFormatPr defaultRowHeight="14.4"/>
  <cols>
    <col min="1" max="1" width="14.109375" bestFit="1" customWidth="1"/>
    <col min="2" max="2" width="23" bestFit="1" customWidth="1"/>
    <col min="4" max="4" width="6.109375" customWidth="1"/>
    <col min="5" max="5" width="12.33203125" bestFit="1" customWidth="1"/>
    <col min="7" max="7" width="11.33203125" customWidth="1"/>
    <col min="8" max="8" width="19.109375" bestFit="1" customWidth="1"/>
  </cols>
  <sheetData>
    <row r="1" spans="1:10">
      <c r="A1" s="163" t="s">
        <v>101</v>
      </c>
      <c r="B1" t="s">
        <v>102</v>
      </c>
    </row>
    <row r="2" spans="1:10">
      <c r="A2" s="163" t="s">
        <v>106</v>
      </c>
      <c r="B2" t="s">
        <v>107</v>
      </c>
    </row>
    <row r="3" spans="1:10">
      <c r="A3" s="163" t="s">
        <v>121</v>
      </c>
      <c r="B3" t="s">
        <v>107</v>
      </c>
    </row>
    <row r="5" spans="1:10">
      <c r="A5" s="163" t="s">
        <v>44</v>
      </c>
      <c r="B5" t="s">
        <v>100</v>
      </c>
      <c r="D5" s="46" t="s">
        <v>44</v>
      </c>
      <c r="E5" s="46" t="s">
        <v>108</v>
      </c>
      <c r="G5" s="163" t="s">
        <v>44</v>
      </c>
      <c r="H5" t="s">
        <v>100</v>
      </c>
    </row>
    <row r="6" spans="1:10">
      <c r="A6" t="s">
        <v>8</v>
      </c>
      <c r="B6" s="73">
        <v>70399.959999999861</v>
      </c>
      <c r="D6" t="s">
        <v>8</v>
      </c>
      <c r="E6" s="76">
        <v>5.2591686369147064E-4</v>
      </c>
      <c r="G6" t="s">
        <v>8</v>
      </c>
      <c r="H6" s="85">
        <v>5.2591686369147064E-4</v>
      </c>
      <c r="J6" s="76">
        <f>ROUND(H6,4)</f>
        <v>5.0000000000000001E-4</v>
      </c>
    </row>
    <row r="7" spans="1:10">
      <c r="A7" t="s">
        <v>9</v>
      </c>
      <c r="B7" s="73">
        <v>3717687.8600000008</v>
      </c>
      <c r="D7" t="s">
        <v>9</v>
      </c>
      <c r="E7" s="76">
        <v>2.7772668329855008E-2</v>
      </c>
      <c r="G7" t="s">
        <v>9</v>
      </c>
      <c r="H7" s="85">
        <v>2.7772668329855008E-2</v>
      </c>
      <c r="J7" s="76">
        <f t="shared" ref="J7:J29" si="0">ROUND(H7,4)</f>
        <v>2.7799999999999998E-2</v>
      </c>
    </row>
    <row r="8" spans="1:10">
      <c r="A8" t="s">
        <v>11</v>
      </c>
      <c r="B8" s="73">
        <v>23503.430000000037</v>
      </c>
      <c r="D8" t="s">
        <v>11</v>
      </c>
      <c r="E8" s="76">
        <v>1.7558035816486351E-4</v>
      </c>
      <c r="G8" t="s">
        <v>11</v>
      </c>
      <c r="H8" s="85">
        <v>1.7558035816486351E-4</v>
      </c>
      <c r="J8" s="76">
        <f t="shared" si="0"/>
        <v>2.0000000000000001E-4</v>
      </c>
    </row>
    <row r="9" spans="1:10">
      <c r="A9" t="s">
        <v>13</v>
      </c>
      <c r="B9" s="73">
        <v>2998963.9600000042</v>
      </c>
      <c r="D9" t="s">
        <v>13</v>
      </c>
      <c r="E9" s="76">
        <v>2.2403503072543764E-2</v>
      </c>
      <c r="G9" t="s">
        <v>13</v>
      </c>
      <c r="H9" s="85">
        <v>2.2403503072543764E-2</v>
      </c>
      <c r="J9" s="76">
        <f t="shared" si="0"/>
        <v>2.24E-2</v>
      </c>
    </row>
    <row r="10" spans="1:10">
      <c r="A10" t="s">
        <v>14</v>
      </c>
      <c r="B10" s="73">
        <v>23712414.330000021</v>
      </c>
      <c r="D10" t="s">
        <v>14</v>
      </c>
      <c r="E10" s="76">
        <v>0.17714155767966799</v>
      </c>
      <c r="G10" t="s">
        <v>14</v>
      </c>
      <c r="H10" s="85">
        <v>0.17714155767966799</v>
      </c>
      <c r="J10" s="76">
        <f t="shared" si="0"/>
        <v>0.17710000000000001</v>
      </c>
    </row>
    <row r="11" spans="1:10">
      <c r="A11" t="s">
        <v>15</v>
      </c>
      <c r="B11" s="73">
        <v>1124046.1300000036</v>
      </c>
      <c r="D11" t="s">
        <v>15</v>
      </c>
      <c r="E11" s="76">
        <v>8.3970902161611752E-3</v>
      </c>
      <c r="G11" t="s">
        <v>15</v>
      </c>
      <c r="H11" s="85">
        <v>8.3970902161611752E-3</v>
      </c>
      <c r="J11" s="76">
        <f t="shared" si="0"/>
        <v>8.3999999999999995E-3</v>
      </c>
    </row>
    <row r="12" spans="1:10">
      <c r="A12" t="s">
        <v>16</v>
      </c>
      <c r="B12" s="73">
        <v>11136976.399999972</v>
      </c>
      <c r="D12" t="s">
        <v>16</v>
      </c>
      <c r="E12" s="76">
        <v>8.3197827091008605E-2</v>
      </c>
      <c r="G12" t="s">
        <v>16</v>
      </c>
      <c r="H12" s="85">
        <v>8.3197827091008605E-2</v>
      </c>
      <c r="J12" s="76">
        <f t="shared" si="0"/>
        <v>8.3199999999999996E-2</v>
      </c>
    </row>
    <row r="13" spans="1:10">
      <c r="A13" t="s">
        <v>17</v>
      </c>
      <c r="B13" s="73">
        <v>6087241.1199999815</v>
      </c>
      <c r="D13" t="s">
        <v>17</v>
      </c>
      <c r="E13" s="76">
        <v>4.5474212746202572E-2</v>
      </c>
      <c r="G13" t="s">
        <v>17</v>
      </c>
      <c r="H13" s="85">
        <v>4.5474212746202572E-2</v>
      </c>
      <c r="J13" s="76">
        <f t="shared" si="0"/>
        <v>4.5499999999999999E-2</v>
      </c>
    </row>
    <row r="14" spans="1:10">
      <c r="A14" t="s">
        <v>18</v>
      </c>
      <c r="B14" s="73">
        <v>128528.51000000014</v>
      </c>
      <c r="D14" t="s">
        <v>18</v>
      </c>
      <c r="E14" s="76">
        <v>9.6016121137196698E-4</v>
      </c>
      <c r="G14" t="s">
        <v>18</v>
      </c>
      <c r="H14" s="85">
        <v>9.6016121137196698E-4</v>
      </c>
      <c r="J14" s="76">
        <f t="shared" si="0"/>
        <v>1E-3</v>
      </c>
    </row>
    <row r="15" spans="1:10">
      <c r="A15" t="s">
        <v>19</v>
      </c>
      <c r="B15" s="73">
        <v>34724928.44000005</v>
      </c>
      <c r="D15" t="s">
        <v>19</v>
      </c>
      <c r="E15" s="76">
        <v>0.25940959990709672</v>
      </c>
      <c r="G15" t="s">
        <v>19</v>
      </c>
      <c r="H15" s="85">
        <v>0.25940959990709672</v>
      </c>
      <c r="J15" s="76">
        <f t="shared" si="0"/>
        <v>0.25940000000000002</v>
      </c>
    </row>
    <row r="16" spans="1:10">
      <c r="A16" t="s">
        <v>20</v>
      </c>
      <c r="B16" s="73">
        <v>17154.080000000049</v>
      </c>
      <c r="D16" t="s">
        <v>20</v>
      </c>
      <c r="E16" s="76">
        <v>1.2814808350903361E-4</v>
      </c>
      <c r="G16" t="s">
        <v>20</v>
      </c>
      <c r="H16" s="85">
        <v>1.2814808350903361E-4</v>
      </c>
      <c r="J16" s="76">
        <f t="shared" si="0"/>
        <v>1E-4</v>
      </c>
    </row>
    <row r="17" spans="1:10">
      <c r="A17" t="s">
        <v>21</v>
      </c>
      <c r="B17" s="73">
        <v>432937.47000000061</v>
      </c>
      <c r="D17" t="s">
        <v>21</v>
      </c>
      <c r="E17" s="76">
        <v>3.234222240991627E-3</v>
      </c>
      <c r="G17" t="s">
        <v>21</v>
      </c>
      <c r="H17" s="85">
        <v>3.234222240991627E-3</v>
      </c>
      <c r="J17" s="79">
        <f>ROUND(H17,4)-0.0001</f>
        <v>3.1000000000000003E-3</v>
      </c>
    </row>
    <row r="18" spans="1:10">
      <c r="A18" t="s">
        <v>22</v>
      </c>
      <c r="B18" s="73">
        <v>35846471.099999934</v>
      </c>
      <c r="D18" t="s">
        <v>22</v>
      </c>
      <c r="E18" s="76">
        <v>0.26778798816531918</v>
      </c>
      <c r="G18" t="s">
        <v>22</v>
      </c>
      <c r="H18" s="85">
        <v>0.27561868696284386</v>
      </c>
      <c r="J18" s="76">
        <f t="shared" si="0"/>
        <v>0.27560000000000001</v>
      </c>
    </row>
    <row r="19" spans="1:10">
      <c r="A19" t="s">
        <v>23</v>
      </c>
      <c r="B19" s="73">
        <v>56500.349999999984</v>
      </c>
      <c r="D19" t="s">
        <v>23</v>
      </c>
      <c r="E19" s="76">
        <v>4.2208101921464771E-4</v>
      </c>
      <c r="G19" t="s">
        <v>23</v>
      </c>
      <c r="H19" s="85">
        <v>4.2208101921464771E-4</v>
      </c>
      <c r="J19" s="76">
        <f t="shared" si="0"/>
        <v>4.0000000000000002E-4</v>
      </c>
    </row>
    <row r="20" spans="1:10">
      <c r="A20" t="s">
        <v>24</v>
      </c>
      <c r="B20" s="73">
        <v>-1.0500000000006366</v>
      </c>
      <c r="D20" t="s">
        <v>24</v>
      </c>
      <c r="E20" s="76">
        <v>-7.843934952184348E-9</v>
      </c>
      <c r="G20" t="s">
        <v>24</v>
      </c>
      <c r="H20" s="85">
        <v>-7.843934952184348E-9</v>
      </c>
      <c r="J20" s="76">
        <f t="shared" si="0"/>
        <v>0</v>
      </c>
    </row>
    <row r="21" spans="1:10">
      <c r="A21" t="s">
        <v>27</v>
      </c>
      <c r="B21" s="73">
        <v>3418.1400000000231</v>
      </c>
      <c r="D21" t="s">
        <v>27</v>
      </c>
      <c r="E21" s="76">
        <v>2.5534921730898411E-5</v>
      </c>
      <c r="G21" t="s">
        <v>27</v>
      </c>
      <c r="H21" s="85">
        <v>2.5534921730898411E-5</v>
      </c>
      <c r="J21" s="76">
        <f t="shared" si="0"/>
        <v>0</v>
      </c>
    </row>
    <row r="22" spans="1:10">
      <c r="A22" t="s">
        <v>30</v>
      </c>
      <c r="B22" s="73">
        <v>8931.9900000000653</v>
      </c>
      <c r="D22" t="s">
        <v>30</v>
      </c>
      <c r="E22" s="76">
        <v>6.6725665289065817E-5</v>
      </c>
      <c r="G22" t="s">
        <v>30</v>
      </c>
      <c r="H22" s="85">
        <v>6.6725665289065817E-5</v>
      </c>
      <c r="J22" s="76">
        <f t="shared" si="0"/>
        <v>1E-4</v>
      </c>
    </row>
    <row r="23" spans="1:10">
      <c r="A23" t="s">
        <v>31</v>
      </c>
      <c r="B23" s="73">
        <v>1771.8799999999878</v>
      </c>
      <c r="D23" t="s">
        <v>31</v>
      </c>
      <c r="E23" s="76">
        <v>1.3236677583874171E-5</v>
      </c>
      <c r="G23" t="s">
        <v>31</v>
      </c>
      <c r="H23" s="85">
        <v>1.3236677583874171E-5</v>
      </c>
      <c r="J23" s="76">
        <f t="shared" si="0"/>
        <v>0</v>
      </c>
    </row>
    <row r="24" spans="1:10">
      <c r="A24" t="s">
        <v>32</v>
      </c>
      <c r="B24" s="73">
        <v>10421163.740000011</v>
      </c>
      <c r="D24" t="s">
        <v>32</v>
      </c>
      <c r="E24" s="76">
        <v>7.7850410002450188E-2</v>
      </c>
      <c r="G24" t="s">
        <v>32</v>
      </c>
      <c r="H24" s="85">
        <v>7.7850410002450188E-2</v>
      </c>
      <c r="J24" s="76">
        <f t="shared" si="0"/>
        <v>7.7899999999999997E-2</v>
      </c>
    </row>
    <row r="25" spans="1:10">
      <c r="A25" t="s">
        <v>33</v>
      </c>
      <c r="B25" s="73">
        <v>1642924.2600000026</v>
      </c>
      <c r="D25" t="s">
        <v>33</v>
      </c>
      <c r="E25" s="76">
        <v>1.2273324787426487E-2</v>
      </c>
      <c r="G25" t="s">
        <v>33</v>
      </c>
      <c r="H25" s="85">
        <v>1.2273324787426487E-2</v>
      </c>
      <c r="J25" s="76">
        <f t="shared" si="0"/>
        <v>1.23E-2</v>
      </c>
    </row>
    <row r="26" spans="1:10">
      <c r="A26" t="s">
        <v>47</v>
      </c>
      <c r="B26" s="73">
        <v>744551.80999999889</v>
      </c>
      <c r="D26" s="74" t="s">
        <v>22</v>
      </c>
      <c r="E26" s="76">
        <v>5.5621104439691144E-3</v>
      </c>
      <c r="G26" t="s">
        <v>35</v>
      </c>
      <c r="H26" s="85">
        <v>5.3762113520225755E-4</v>
      </c>
      <c r="J26" s="76">
        <f t="shared" si="0"/>
        <v>5.0000000000000001E-4</v>
      </c>
    </row>
    <row r="27" spans="1:10">
      <c r="A27" t="s">
        <v>48</v>
      </c>
      <c r="B27" s="73">
        <v>303676.38000000082</v>
      </c>
      <c r="D27" s="74" t="s">
        <v>22</v>
      </c>
      <c r="E27" s="76">
        <v>2.2685883535555982E-3</v>
      </c>
      <c r="G27" t="s">
        <v>36</v>
      </c>
      <c r="H27" s="85">
        <v>0</v>
      </c>
      <c r="J27" s="76">
        <f t="shared" si="0"/>
        <v>0</v>
      </c>
    </row>
    <row r="28" spans="1:10">
      <c r="A28" t="s">
        <v>35</v>
      </c>
      <c r="B28" s="73">
        <v>71966.70999999973</v>
      </c>
      <c r="D28" t="s">
        <v>35</v>
      </c>
      <c r="E28" s="76">
        <v>5.3762113520225755E-4</v>
      </c>
      <c r="G28" t="s">
        <v>37</v>
      </c>
      <c r="H28" s="85">
        <v>0</v>
      </c>
      <c r="J28" s="76">
        <f t="shared" si="0"/>
        <v>0</v>
      </c>
    </row>
    <row r="29" spans="1:10">
      <c r="A29" t="s">
        <v>36</v>
      </c>
      <c r="B29" s="73">
        <v>-10531.599999999991</v>
      </c>
      <c r="D29" t="s">
        <v>36</v>
      </c>
      <c r="E29" s="76">
        <v>0</v>
      </c>
      <c r="G29" t="s">
        <v>38</v>
      </c>
      <c r="H29" s="85">
        <v>4.5304743261590421E-3</v>
      </c>
      <c r="J29" s="76">
        <f t="shared" si="0"/>
        <v>4.4999999999999997E-3</v>
      </c>
    </row>
    <row r="30" spans="1:10" ht="15" thickBot="1">
      <c r="A30" t="s">
        <v>37</v>
      </c>
      <c r="B30" s="73">
        <v>-10695.529999999964</v>
      </c>
      <c r="D30" t="s">
        <v>37</v>
      </c>
      <c r="E30" s="76">
        <v>0</v>
      </c>
      <c r="G30" t="s">
        <v>49</v>
      </c>
      <c r="H30" s="85">
        <v>1.0001585754542301</v>
      </c>
      <c r="J30" s="184">
        <f>SUM(J6:J29)</f>
        <v>0.99999999999999967</v>
      </c>
    </row>
    <row r="31" spans="1:10" ht="15" thickTop="1">
      <c r="A31" t="s">
        <v>38</v>
      </c>
      <c r="B31" s="73">
        <v>606455.5699999996</v>
      </c>
      <c r="D31" t="s">
        <v>38</v>
      </c>
      <c r="E31" s="76">
        <v>4.5304743261590421E-3</v>
      </c>
    </row>
    <row r="32" spans="1:10">
      <c r="A32" t="s">
        <v>49</v>
      </c>
      <c r="B32" s="73">
        <v>133861385.43999995</v>
      </c>
    </row>
  </sheetData>
  <pageMargins left="0.7" right="0.7" top="0.75" bottom="0.75" header="0.3" footer="0.3"/>
  <pageSetup orientation="landscape" r:id="rId1"/>
  <headerFooter>
    <oddHeader>&amp;RKY PSC Case No. 2016-00162,
Attachment G to Staff Post Hearing Supp. DR 2</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workbookViewId="0">
      <selection sqref="A1:I1"/>
    </sheetView>
  </sheetViews>
  <sheetFormatPr defaultRowHeight="14.4"/>
  <cols>
    <col min="1" max="1" width="8.88671875" style="77"/>
    <col min="2" max="2" width="14.109375" style="77" bestFit="1" customWidth="1"/>
    <col min="3" max="3" width="11.44140625" style="77" bestFit="1" customWidth="1"/>
    <col min="4" max="4" width="2.44140625" style="77" customWidth="1"/>
    <col min="5" max="5" width="8.6640625" style="77" customWidth="1"/>
    <col min="6" max="6" width="14.109375" style="77" bestFit="1" customWidth="1"/>
    <col min="7" max="7" width="11.44140625" style="77" bestFit="1" customWidth="1"/>
    <col min="8" max="8" width="2.5546875" style="77" customWidth="1"/>
    <col min="9" max="9" width="10.33203125" style="77" bestFit="1" customWidth="1"/>
    <col min="10" max="16384" width="8.88671875" style="77"/>
  </cols>
  <sheetData>
    <row r="1" spans="1:9" ht="19.2">
      <c r="A1" s="252" t="s">
        <v>94</v>
      </c>
      <c r="B1" s="252"/>
      <c r="C1" s="252"/>
      <c r="D1" s="252"/>
      <c r="E1" s="252"/>
      <c r="F1" s="252"/>
      <c r="G1" s="252"/>
      <c r="H1" s="252"/>
      <c r="I1" s="252"/>
    </row>
    <row r="3" spans="1:9">
      <c r="A3" s="250" t="s">
        <v>117</v>
      </c>
      <c r="B3" s="250"/>
      <c r="C3" s="250"/>
      <c r="D3" s="152"/>
      <c r="E3" s="250" t="s">
        <v>122</v>
      </c>
      <c r="F3" s="250"/>
      <c r="G3" s="250"/>
    </row>
    <row r="4" spans="1:9">
      <c r="A4" s="153"/>
      <c r="B4" s="153"/>
      <c r="C4" s="153"/>
      <c r="E4" s="153"/>
      <c r="F4" s="153"/>
      <c r="G4" s="153"/>
    </row>
    <row r="5" spans="1:9">
      <c r="A5" s="152" t="s">
        <v>44</v>
      </c>
      <c r="B5" s="152" t="s">
        <v>63</v>
      </c>
      <c r="C5" s="154" t="s">
        <v>4</v>
      </c>
      <c r="D5" s="155"/>
      <c r="E5" s="152" t="s">
        <v>44</v>
      </c>
      <c r="F5" s="152" t="s">
        <v>63</v>
      </c>
      <c r="G5" s="154" t="s">
        <v>4</v>
      </c>
      <c r="H5" s="135"/>
      <c r="I5" s="154" t="s">
        <v>7</v>
      </c>
    </row>
    <row r="6" spans="1:9">
      <c r="A6" s="135" t="s">
        <v>8</v>
      </c>
      <c r="B6" s="160">
        <v>181982.82999999984</v>
      </c>
      <c r="C6" s="138">
        <v>5.5999999999999999E-3</v>
      </c>
      <c r="D6" s="135"/>
      <c r="E6" s="187" t="s">
        <v>8</v>
      </c>
      <c r="F6" s="160">
        <v>107253.37999999993</v>
      </c>
      <c r="G6" s="138">
        <v>3.5000000000000001E-3</v>
      </c>
      <c r="H6" s="156"/>
      <c r="I6" s="133">
        <f t="shared" ref="I6:I30" si="0">G6-C6</f>
        <v>-2.0999999999999999E-3</v>
      </c>
    </row>
    <row r="7" spans="1:9">
      <c r="A7" s="189" t="s">
        <v>120</v>
      </c>
      <c r="B7" s="160">
        <v>0</v>
      </c>
      <c r="C7" s="160">
        <v>0</v>
      </c>
      <c r="D7" s="135"/>
      <c r="E7" s="189" t="s">
        <v>120</v>
      </c>
      <c r="F7" s="160">
        <v>0</v>
      </c>
      <c r="G7" s="160">
        <v>0</v>
      </c>
      <c r="H7" s="156"/>
      <c r="I7" s="190">
        <f t="shared" si="0"/>
        <v>0</v>
      </c>
    </row>
    <row r="8" spans="1:9">
      <c r="A8" s="135" t="s">
        <v>9</v>
      </c>
      <c r="B8" s="160">
        <v>1219078.430000003</v>
      </c>
      <c r="C8" s="138">
        <v>3.7400000000000003E-2</v>
      </c>
      <c r="D8" s="135"/>
      <c r="E8" s="187" t="s">
        <v>9</v>
      </c>
      <c r="F8" s="160">
        <v>973062.96000000043</v>
      </c>
      <c r="G8" s="138">
        <v>3.1399999999999997E-2</v>
      </c>
      <c r="H8" s="156"/>
      <c r="I8" s="133">
        <f t="shared" si="0"/>
        <v>-6.0000000000000053E-3</v>
      </c>
    </row>
    <row r="9" spans="1:9">
      <c r="A9" s="134" t="s">
        <v>11</v>
      </c>
      <c r="B9" s="160">
        <v>13273.690000000033</v>
      </c>
      <c r="C9" s="138">
        <v>4.0000000000000002E-4</v>
      </c>
      <c r="D9" s="135"/>
      <c r="E9" s="187" t="s">
        <v>11</v>
      </c>
      <c r="F9" s="160">
        <v>9819.1100000000715</v>
      </c>
      <c r="G9" s="138">
        <v>2.9999999999999997E-4</v>
      </c>
      <c r="H9" s="156"/>
      <c r="I9" s="133">
        <f t="shared" si="0"/>
        <v>-1.0000000000000005E-4</v>
      </c>
    </row>
    <row r="10" spans="1:9">
      <c r="A10" s="134" t="s">
        <v>13</v>
      </c>
      <c r="B10" s="160">
        <v>545899.39</v>
      </c>
      <c r="C10" s="138">
        <v>1.6799999999999999E-2</v>
      </c>
      <c r="D10" s="135"/>
      <c r="E10" s="187" t="s">
        <v>13</v>
      </c>
      <c r="F10" s="160">
        <v>489963.63000000146</v>
      </c>
      <c r="G10" s="138">
        <v>1.5800000000000002E-2</v>
      </c>
      <c r="H10" s="136"/>
      <c r="I10" s="133">
        <f t="shared" si="0"/>
        <v>-9.9999999999999742E-4</v>
      </c>
    </row>
    <row r="11" spans="1:9">
      <c r="A11" s="134" t="s">
        <v>14</v>
      </c>
      <c r="B11" s="160">
        <v>3919180.7299999967</v>
      </c>
      <c r="C11" s="138">
        <v>0.1203</v>
      </c>
      <c r="D11" s="135"/>
      <c r="E11" s="187" t="s">
        <v>14</v>
      </c>
      <c r="F11" s="160">
        <v>4026848.8899999917</v>
      </c>
      <c r="G11" s="138">
        <v>0.12989999999999999</v>
      </c>
      <c r="H11" s="136"/>
      <c r="I11" s="133">
        <f t="shared" si="0"/>
        <v>9.5999999999999835E-3</v>
      </c>
    </row>
    <row r="12" spans="1:9">
      <c r="A12" s="134" t="s">
        <v>15</v>
      </c>
      <c r="B12" s="160">
        <v>588518.19000000006</v>
      </c>
      <c r="C12" s="138">
        <v>1.8100000000000002E-2</v>
      </c>
      <c r="D12" s="135"/>
      <c r="E12" s="187" t="s">
        <v>15</v>
      </c>
      <c r="F12" s="160">
        <v>518018.4600000006</v>
      </c>
      <c r="G12" s="138">
        <v>1.67E-2</v>
      </c>
      <c r="H12" s="136"/>
      <c r="I12" s="133">
        <f t="shared" si="0"/>
        <v>-1.4000000000000019E-3</v>
      </c>
    </row>
    <row r="13" spans="1:9">
      <c r="A13" s="134" t="s">
        <v>16</v>
      </c>
      <c r="B13" s="160">
        <v>1841685.6800000002</v>
      </c>
      <c r="C13" s="138">
        <v>5.6500000000000002E-2</v>
      </c>
      <c r="D13" s="135"/>
      <c r="E13" s="187" t="s">
        <v>16</v>
      </c>
      <c r="F13" s="160">
        <v>2107581.9699999997</v>
      </c>
      <c r="G13" s="138">
        <v>6.8000000000000005E-2</v>
      </c>
      <c r="H13" s="136"/>
      <c r="I13" s="133">
        <f t="shared" si="0"/>
        <v>1.1500000000000003E-2</v>
      </c>
    </row>
    <row r="14" spans="1:9">
      <c r="A14" s="134" t="s">
        <v>17</v>
      </c>
      <c r="B14" s="160">
        <v>1614316.9400000025</v>
      </c>
      <c r="C14" s="138">
        <v>4.9500000000000002E-2</v>
      </c>
      <c r="D14" s="135"/>
      <c r="E14" s="187" t="s">
        <v>17</v>
      </c>
      <c r="F14" s="160">
        <v>1794159.4300000002</v>
      </c>
      <c r="G14" s="138">
        <v>5.79E-2</v>
      </c>
      <c r="H14" s="136"/>
      <c r="I14" s="133">
        <f t="shared" si="0"/>
        <v>8.3999999999999977E-3</v>
      </c>
    </row>
    <row r="15" spans="1:9">
      <c r="A15" s="134" t="s">
        <v>18</v>
      </c>
      <c r="B15" s="160">
        <v>14102.880000000039</v>
      </c>
      <c r="C15" s="138">
        <v>4.0000000000000002E-4</v>
      </c>
      <c r="D15" s="135"/>
      <c r="E15" s="187" t="s">
        <v>18</v>
      </c>
      <c r="F15" s="160">
        <v>14730.340000000069</v>
      </c>
      <c r="G15" s="138">
        <v>5.0000000000000001E-4</v>
      </c>
      <c r="H15" s="136"/>
      <c r="I15" s="133">
        <f t="shared" si="0"/>
        <v>9.9999999999999991E-5</v>
      </c>
    </row>
    <row r="16" spans="1:9">
      <c r="A16" s="134" t="s">
        <v>19</v>
      </c>
      <c r="B16" s="160">
        <v>8943184.2299999744</v>
      </c>
      <c r="C16" s="138">
        <v>0.27450000000000002</v>
      </c>
      <c r="D16" s="135"/>
      <c r="E16" s="187" t="s">
        <v>19</v>
      </c>
      <c r="F16" s="160">
        <v>7879219.0299999937</v>
      </c>
      <c r="G16" s="138">
        <v>0.25409999999999999</v>
      </c>
      <c r="H16" s="136"/>
      <c r="I16" s="133">
        <f t="shared" si="0"/>
        <v>-2.0400000000000029E-2</v>
      </c>
    </row>
    <row r="17" spans="1:9">
      <c r="A17" s="134" t="s">
        <v>20</v>
      </c>
      <c r="B17" s="160">
        <v>4321.7400000000425</v>
      </c>
      <c r="C17" s="138">
        <v>1E-4</v>
      </c>
      <c r="D17" s="135"/>
      <c r="E17" s="187" t="s">
        <v>20</v>
      </c>
      <c r="F17" s="160">
        <v>13397.220000000087</v>
      </c>
      <c r="G17" s="138">
        <v>4.0000000000000002E-4</v>
      </c>
      <c r="H17" s="136"/>
      <c r="I17" s="133">
        <f t="shared" si="0"/>
        <v>3.0000000000000003E-4</v>
      </c>
    </row>
    <row r="18" spans="1:9">
      <c r="A18" s="134" t="s">
        <v>21</v>
      </c>
      <c r="B18" s="160">
        <v>1991379.6500000004</v>
      </c>
      <c r="C18" s="138">
        <v>6.13E-2</v>
      </c>
      <c r="D18" s="135"/>
      <c r="E18" s="187" t="s">
        <v>21</v>
      </c>
      <c r="F18" s="160">
        <v>1549589.4299999955</v>
      </c>
      <c r="G18" s="138">
        <v>0.05</v>
      </c>
      <c r="H18" s="136"/>
      <c r="I18" s="133">
        <f t="shared" si="0"/>
        <v>-1.1299999999999998E-2</v>
      </c>
    </row>
    <row r="19" spans="1:9">
      <c r="A19" s="134" t="s">
        <v>22</v>
      </c>
      <c r="B19" s="160">
        <v>7797656.1600000123</v>
      </c>
      <c r="C19" s="138">
        <v>0.23930000000000001</v>
      </c>
      <c r="D19" s="135"/>
      <c r="E19" s="187" t="s">
        <v>22</v>
      </c>
      <c r="F19" s="160">
        <v>7565523.7899999982</v>
      </c>
      <c r="G19" s="138">
        <v>0.24399999999999999</v>
      </c>
      <c r="H19" s="136"/>
      <c r="I19" s="133">
        <f t="shared" si="0"/>
        <v>4.699999999999982E-3</v>
      </c>
    </row>
    <row r="20" spans="1:9">
      <c r="A20" s="134" t="s">
        <v>23</v>
      </c>
      <c r="B20" s="160">
        <v>331417.97000000085</v>
      </c>
      <c r="C20" s="138">
        <v>1.0200000000000001E-2</v>
      </c>
      <c r="D20" s="135"/>
      <c r="E20" s="187" t="s">
        <v>23</v>
      </c>
      <c r="F20" s="160">
        <v>356340.66000000038</v>
      </c>
      <c r="G20" s="138">
        <v>1.15E-2</v>
      </c>
      <c r="H20" s="136"/>
      <c r="I20" s="133">
        <f t="shared" si="0"/>
        <v>1.2999999999999991E-3</v>
      </c>
    </row>
    <row r="21" spans="1:9">
      <c r="A21" s="134" t="s">
        <v>24</v>
      </c>
      <c r="B21" s="160">
        <v>34.03</v>
      </c>
      <c r="C21" s="160">
        <v>0</v>
      </c>
      <c r="D21" s="135"/>
      <c r="E21" s="187" t="s">
        <v>24</v>
      </c>
      <c r="F21" s="160">
        <v>-2.5500000000000003</v>
      </c>
      <c r="G21" s="160">
        <v>0</v>
      </c>
      <c r="H21" s="136"/>
      <c r="I21" s="190">
        <f t="shared" si="0"/>
        <v>0</v>
      </c>
    </row>
    <row r="22" spans="1:9">
      <c r="A22" s="134" t="s">
        <v>27</v>
      </c>
      <c r="B22" s="160">
        <v>14130.990000000042</v>
      </c>
      <c r="C22" s="138">
        <v>4.0000000000000002E-4</v>
      </c>
      <c r="D22" s="135"/>
      <c r="E22" s="187" t="s">
        <v>27</v>
      </c>
      <c r="F22" s="160">
        <v>2658.6000000000072</v>
      </c>
      <c r="G22" s="138">
        <v>1E-4</v>
      </c>
      <c r="H22" s="136"/>
      <c r="I22" s="133">
        <f t="shared" si="0"/>
        <v>-3.0000000000000003E-4</v>
      </c>
    </row>
    <row r="23" spans="1:9">
      <c r="A23" s="134" t="s">
        <v>30</v>
      </c>
      <c r="B23" s="160">
        <v>5974.2200000000548</v>
      </c>
      <c r="C23" s="138">
        <v>2.0000000000000001E-4</v>
      </c>
      <c r="D23" s="135"/>
      <c r="E23" s="187" t="s">
        <v>30</v>
      </c>
      <c r="F23" s="160">
        <v>16908.490000000013</v>
      </c>
      <c r="G23" s="138">
        <v>5.0000000000000001E-4</v>
      </c>
      <c r="H23" s="136"/>
      <c r="I23" s="133">
        <f t="shared" si="0"/>
        <v>3.0000000000000003E-4</v>
      </c>
    </row>
    <row r="24" spans="1:9">
      <c r="A24" s="134" t="s">
        <v>31</v>
      </c>
      <c r="B24" s="160">
        <v>263.90999999999985</v>
      </c>
      <c r="C24" s="160">
        <v>0</v>
      </c>
      <c r="D24" s="135"/>
      <c r="E24" s="187" t="s">
        <v>31</v>
      </c>
      <c r="F24" s="160">
        <v>997.35999999999217</v>
      </c>
      <c r="G24" s="160">
        <v>0</v>
      </c>
      <c r="H24" s="140"/>
      <c r="I24" s="190">
        <f t="shared" si="0"/>
        <v>0</v>
      </c>
    </row>
    <row r="25" spans="1:9">
      <c r="A25" s="134" t="s">
        <v>32</v>
      </c>
      <c r="B25" s="160">
        <v>2050941.6499999994</v>
      </c>
      <c r="C25" s="138">
        <v>6.2899999999999998E-2</v>
      </c>
      <c r="D25" s="135"/>
      <c r="E25" s="187" t="s">
        <v>32</v>
      </c>
      <c r="F25" s="160">
        <v>1998216.829999995</v>
      </c>
      <c r="G25" s="138">
        <v>6.4399999999999999E-2</v>
      </c>
      <c r="H25" s="140"/>
      <c r="I25" s="133">
        <f t="shared" si="0"/>
        <v>1.5000000000000013E-3</v>
      </c>
    </row>
    <row r="26" spans="1:9">
      <c r="A26" s="134" t="s">
        <v>33</v>
      </c>
      <c r="B26" s="160">
        <v>1014325.8299999988</v>
      </c>
      <c r="C26" s="138">
        <v>3.1099999999999999E-2</v>
      </c>
      <c r="D26" s="135"/>
      <c r="E26" s="187" t="s">
        <v>33</v>
      </c>
      <c r="F26" s="160">
        <v>648727.1899999982</v>
      </c>
      <c r="G26" s="138">
        <v>2.0899999999999998E-2</v>
      </c>
      <c r="H26" s="140"/>
      <c r="I26" s="133">
        <f t="shared" si="0"/>
        <v>-1.0200000000000001E-2</v>
      </c>
    </row>
    <row r="27" spans="1:9">
      <c r="A27" s="134" t="s">
        <v>35</v>
      </c>
      <c r="B27" s="160">
        <v>48536.160000000033</v>
      </c>
      <c r="C27" s="138">
        <v>1.5E-3</v>
      </c>
      <c r="D27" s="135"/>
      <c r="E27" s="187" t="s">
        <v>35</v>
      </c>
      <c r="F27" s="160">
        <v>332681.29999999987</v>
      </c>
      <c r="G27" s="138">
        <v>1.0699999999999999E-2</v>
      </c>
      <c r="H27" s="156"/>
      <c r="I27" s="133">
        <f t="shared" si="0"/>
        <v>9.1999999999999998E-3</v>
      </c>
    </row>
    <row r="28" spans="1:9">
      <c r="A28" s="134" t="s">
        <v>36</v>
      </c>
      <c r="B28" s="160">
        <v>1038.6099999999956</v>
      </c>
      <c r="C28" s="160">
        <v>0</v>
      </c>
      <c r="D28" s="135"/>
      <c r="E28" s="187" t="s">
        <v>36</v>
      </c>
      <c r="F28" s="160">
        <v>652.15999999999485</v>
      </c>
      <c r="G28" s="160">
        <v>0</v>
      </c>
      <c r="H28" s="156"/>
      <c r="I28" s="190">
        <f t="shared" si="0"/>
        <v>0</v>
      </c>
    </row>
    <row r="29" spans="1:9">
      <c r="A29" s="134" t="s">
        <v>37</v>
      </c>
      <c r="B29" s="160">
        <v>1281.6899999999946</v>
      </c>
      <c r="C29" s="160">
        <v>0</v>
      </c>
      <c r="D29" s="135"/>
      <c r="E29" s="187" t="s">
        <v>37</v>
      </c>
      <c r="F29" s="160">
        <v>832.06999999999493</v>
      </c>
      <c r="G29" s="160">
        <v>0</v>
      </c>
      <c r="H29" s="156"/>
      <c r="I29" s="190">
        <f t="shared" si="0"/>
        <v>0</v>
      </c>
    </row>
    <row r="30" spans="1:9">
      <c r="A30" s="135" t="s">
        <v>38</v>
      </c>
      <c r="B30" s="160">
        <v>439244.83999999991</v>
      </c>
      <c r="C30" s="138">
        <v>1.35E-2</v>
      </c>
      <c r="E30" s="187" t="s">
        <v>38</v>
      </c>
      <c r="F30" s="160">
        <v>603034.73000000219</v>
      </c>
      <c r="G30" s="138">
        <v>1.9400000000000001E-2</v>
      </c>
      <c r="H30" s="135"/>
      <c r="I30" s="133">
        <f t="shared" si="0"/>
        <v>5.9000000000000007E-3</v>
      </c>
    </row>
    <row r="31" spans="1:9" ht="15" thickBot="1">
      <c r="A31" s="157" t="s">
        <v>6</v>
      </c>
      <c r="B31" s="161">
        <f>SUM(B6:B30)</f>
        <v>32581770.43999999</v>
      </c>
      <c r="C31" s="157">
        <f>SUM(C6:C30)</f>
        <v>0.99999999999999989</v>
      </c>
      <c r="E31" s="188" t="s">
        <v>6</v>
      </c>
      <c r="F31" s="196">
        <f>SUM(F6:F30)</f>
        <v>31010214.479999974</v>
      </c>
      <c r="G31" s="144">
        <f>SUM(G6:G30)</f>
        <v>1</v>
      </c>
      <c r="I31" s="157">
        <f>SUM(I6:I30)</f>
        <v>-6.591949208711867E-17</v>
      </c>
    </row>
  </sheetData>
  <mergeCells count="3">
    <mergeCell ref="A1:I1"/>
    <mergeCell ref="A3:C3"/>
    <mergeCell ref="E3:G3"/>
  </mergeCells>
  <pageMargins left="0.7" right="0.7" top="0.75" bottom="0.75" header="0.3" footer="0.3"/>
  <pageSetup orientation="landscape" r:id="rId1"/>
  <headerFooter>
    <oddHeader>&amp;RKY PSC Case No. 2016-00162,
Attachment G to Staff Post Hearing Supp. DR 2</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workbookViewId="0"/>
  </sheetViews>
  <sheetFormatPr defaultColWidth="9.109375" defaultRowHeight="14.4"/>
  <cols>
    <col min="1" max="1" width="11.33203125" bestFit="1" customWidth="1"/>
    <col min="2" max="2" width="18.5546875" bestFit="1" customWidth="1"/>
    <col min="4" max="4" width="6.109375" customWidth="1"/>
    <col min="5" max="5" width="12.33203125" bestFit="1" customWidth="1"/>
    <col min="7" max="7" width="11.33203125" customWidth="1"/>
    <col min="8" max="8" width="19.109375" bestFit="1" customWidth="1"/>
  </cols>
  <sheetData>
    <row r="1" spans="1:10">
      <c r="A1" s="163" t="s">
        <v>98</v>
      </c>
      <c r="B1" t="s">
        <v>99</v>
      </c>
    </row>
    <row r="2" spans="1:10">
      <c r="A2" s="163" t="s">
        <v>106</v>
      </c>
      <c r="B2" t="s">
        <v>107</v>
      </c>
    </row>
    <row r="3" spans="1:10">
      <c r="A3" s="163" t="s">
        <v>121</v>
      </c>
      <c r="B3" t="s">
        <v>107</v>
      </c>
    </row>
    <row r="5" spans="1:10">
      <c r="A5" s="163" t="s">
        <v>44</v>
      </c>
      <c r="B5" t="s">
        <v>100</v>
      </c>
      <c r="D5" s="46" t="s">
        <v>44</v>
      </c>
      <c r="E5" s="46" t="s">
        <v>108</v>
      </c>
      <c r="G5" s="163" t="s">
        <v>44</v>
      </c>
      <c r="H5" t="s">
        <v>100</v>
      </c>
    </row>
    <row r="6" spans="1:10">
      <c r="A6" t="s">
        <v>8</v>
      </c>
      <c r="B6" s="73">
        <v>107253.37999999993</v>
      </c>
      <c r="D6" t="s">
        <v>8</v>
      </c>
      <c r="E6" s="76">
        <v>3.4586468297138984E-3</v>
      </c>
      <c r="G6" t="s">
        <v>8</v>
      </c>
      <c r="H6" s="85">
        <v>3.4586468297138984E-3</v>
      </c>
      <c r="J6" s="76">
        <f>ROUND(H6,4)</f>
        <v>3.5000000000000001E-3</v>
      </c>
    </row>
    <row r="7" spans="1:10">
      <c r="A7" t="s">
        <v>9</v>
      </c>
      <c r="B7" s="73">
        <v>973062.96000000043</v>
      </c>
      <c r="D7" t="s">
        <v>9</v>
      </c>
      <c r="E7" s="76">
        <v>3.137878845138517E-2</v>
      </c>
      <c r="G7" t="s">
        <v>9</v>
      </c>
      <c r="H7" s="85">
        <v>3.137878845138517E-2</v>
      </c>
      <c r="J7" s="76">
        <f t="shared" ref="J7:J29" si="0">ROUND(H7,4)</f>
        <v>3.1399999999999997E-2</v>
      </c>
    </row>
    <row r="8" spans="1:10">
      <c r="A8" t="s">
        <v>11</v>
      </c>
      <c r="B8" s="73">
        <v>9819.1100000000715</v>
      </c>
      <c r="D8" t="s">
        <v>11</v>
      </c>
      <c r="E8" s="76">
        <v>3.1664115081606102E-4</v>
      </c>
      <c r="G8" t="s">
        <v>11</v>
      </c>
      <c r="H8" s="85">
        <v>3.1664115081606102E-4</v>
      </c>
      <c r="J8" s="76">
        <f t="shared" si="0"/>
        <v>2.9999999999999997E-4</v>
      </c>
    </row>
    <row r="9" spans="1:10">
      <c r="A9" t="s">
        <v>13</v>
      </c>
      <c r="B9" s="73">
        <v>489963.63000000146</v>
      </c>
      <c r="D9" t="s">
        <v>13</v>
      </c>
      <c r="E9" s="76">
        <v>1.580007227347632E-2</v>
      </c>
      <c r="G9" t="s">
        <v>13</v>
      </c>
      <c r="H9" s="85">
        <v>1.580007227347632E-2</v>
      </c>
      <c r="J9" s="76">
        <f t="shared" si="0"/>
        <v>1.5800000000000002E-2</v>
      </c>
    </row>
    <row r="10" spans="1:10">
      <c r="A10" t="s">
        <v>14</v>
      </c>
      <c r="B10" s="73">
        <v>4026848.8899999917</v>
      </c>
      <c r="D10" t="s">
        <v>14</v>
      </c>
      <c r="E10" s="76">
        <v>0.1298555639657735</v>
      </c>
      <c r="G10" t="s">
        <v>14</v>
      </c>
      <c r="H10" s="85">
        <v>0.1298555639657735</v>
      </c>
      <c r="J10" s="76">
        <f t="shared" si="0"/>
        <v>0.12989999999999999</v>
      </c>
    </row>
    <row r="11" spans="1:10">
      <c r="A11" t="s">
        <v>15</v>
      </c>
      <c r="B11" s="73">
        <v>518018.4600000006</v>
      </c>
      <c r="D11" t="s">
        <v>15</v>
      </c>
      <c r="E11" s="76">
        <v>1.670476869271886E-2</v>
      </c>
      <c r="G11" t="s">
        <v>15</v>
      </c>
      <c r="H11" s="85">
        <v>1.670476869271886E-2</v>
      </c>
      <c r="J11" s="76">
        <f t="shared" si="0"/>
        <v>1.67E-2</v>
      </c>
    </row>
    <row r="12" spans="1:10">
      <c r="A12" t="s">
        <v>16</v>
      </c>
      <c r="B12" s="73">
        <v>2107581.9699999997</v>
      </c>
      <c r="D12" t="s">
        <v>16</v>
      </c>
      <c r="E12" s="76">
        <v>6.7964121027259711E-2</v>
      </c>
      <c r="G12" t="s">
        <v>16</v>
      </c>
      <c r="H12" s="85">
        <v>6.7964121027259711E-2</v>
      </c>
      <c r="J12" s="76">
        <f t="shared" si="0"/>
        <v>6.8000000000000005E-2</v>
      </c>
    </row>
    <row r="13" spans="1:10">
      <c r="A13" t="s">
        <v>17</v>
      </c>
      <c r="B13" s="73">
        <v>1794159.4300000002</v>
      </c>
      <c r="D13" t="s">
        <v>17</v>
      </c>
      <c r="E13" s="76">
        <v>5.7857046785572623E-2</v>
      </c>
      <c r="G13" t="s">
        <v>17</v>
      </c>
      <c r="H13" s="85">
        <v>5.7857046785572623E-2</v>
      </c>
      <c r="J13" s="76">
        <f t="shared" si="0"/>
        <v>5.79E-2</v>
      </c>
    </row>
    <row r="14" spans="1:10">
      <c r="A14" t="s">
        <v>18</v>
      </c>
      <c r="B14" s="73">
        <v>14730.340000000069</v>
      </c>
      <c r="D14" t="s">
        <v>18</v>
      </c>
      <c r="E14" s="76">
        <v>4.75015740684425E-4</v>
      </c>
      <c r="G14" t="s">
        <v>18</v>
      </c>
      <c r="H14" s="85">
        <v>4.75015740684425E-4</v>
      </c>
      <c r="J14" s="76">
        <f t="shared" si="0"/>
        <v>5.0000000000000001E-4</v>
      </c>
    </row>
    <row r="15" spans="1:10">
      <c r="A15" t="s">
        <v>19</v>
      </c>
      <c r="B15" s="73">
        <v>7879219.0299999937</v>
      </c>
      <c r="D15" t="s">
        <v>19</v>
      </c>
      <c r="E15" s="76">
        <v>0.25408463508311729</v>
      </c>
      <c r="G15" t="s">
        <v>19</v>
      </c>
      <c r="H15" s="85">
        <v>0.25408463508311729</v>
      </c>
      <c r="J15" s="76">
        <f t="shared" si="0"/>
        <v>0.25409999999999999</v>
      </c>
    </row>
    <row r="16" spans="1:10">
      <c r="A16" t="s">
        <v>20</v>
      </c>
      <c r="B16" s="73">
        <v>13397.220000000087</v>
      </c>
      <c r="D16" t="s">
        <v>20</v>
      </c>
      <c r="E16" s="76">
        <v>4.320260347970382E-4</v>
      </c>
      <c r="G16" t="s">
        <v>20</v>
      </c>
      <c r="H16" s="85">
        <v>4.320260347970382E-4</v>
      </c>
      <c r="J16" s="76">
        <f t="shared" si="0"/>
        <v>4.0000000000000002E-4</v>
      </c>
    </row>
    <row r="17" spans="1:10">
      <c r="A17" t="s">
        <v>21</v>
      </c>
      <c r="B17" s="73">
        <v>1549589.4299999955</v>
      </c>
      <c r="D17" t="s">
        <v>21</v>
      </c>
      <c r="E17" s="76">
        <v>4.9970290627928501E-2</v>
      </c>
      <c r="G17" t="s">
        <v>21</v>
      </c>
      <c r="H17" s="85">
        <v>4.9970290627928501E-2</v>
      </c>
      <c r="J17" s="180">
        <f>ROUND(H17,4)</f>
        <v>0.05</v>
      </c>
    </row>
    <row r="18" spans="1:10">
      <c r="A18" t="s">
        <v>22</v>
      </c>
      <c r="B18" s="73">
        <v>3594118.5600000028</v>
      </c>
      <c r="D18" t="s">
        <v>22</v>
      </c>
      <c r="E18" s="76">
        <v>0.11590111904314716</v>
      </c>
      <c r="G18" t="s">
        <v>22</v>
      </c>
      <c r="H18" s="85">
        <v>0.24396876696481359</v>
      </c>
      <c r="J18" s="76">
        <f t="shared" si="0"/>
        <v>0.24399999999999999</v>
      </c>
    </row>
    <row r="19" spans="1:10">
      <c r="A19" t="s">
        <v>23</v>
      </c>
      <c r="B19" s="73">
        <v>356340.66000000038</v>
      </c>
      <c r="D19" t="s">
        <v>23</v>
      </c>
      <c r="E19" s="76">
        <v>1.1491073698629919E-2</v>
      </c>
      <c r="G19" t="s">
        <v>23</v>
      </c>
      <c r="H19" s="85">
        <v>1.1491073698629919E-2</v>
      </c>
      <c r="J19" s="76">
        <f t="shared" si="0"/>
        <v>1.15E-2</v>
      </c>
    </row>
    <row r="20" spans="1:10">
      <c r="A20" t="s">
        <v>24</v>
      </c>
      <c r="B20" s="73">
        <v>-2.5500000000000003</v>
      </c>
      <c r="D20" t="s">
        <v>24</v>
      </c>
      <c r="E20" s="76">
        <v>-8.2230969464742716E-8</v>
      </c>
      <c r="G20" t="s">
        <v>24</v>
      </c>
      <c r="H20" s="85">
        <v>-8.2230969464742716E-8</v>
      </c>
      <c r="J20" s="76">
        <f t="shared" si="0"/>
        <v>0</v>
      </c>
    </row>
    <row r="21" spans="1:10">
      <c r="A21" t="s">
        <v>27</v>
      </c>
      <c r="B21" s="73">
        <v>2658.6000000000072</v>
      </c>
      <c r="D21" t="s">
        <v>27</v>
      </c>
      <c r="E21" s="76">
        <v>8.57330413407708E-5</v>
      </c>
      <c r="G21" t="s">
        <v>27</v>
      </c>
      <c r="H21" s="85">
        <v>8.57330413407708E-5</v>
      </c>
      <c r="J21" s="76">
        <f t="shared" si="0"/>
        <v>1E-4</v>
      </c>
    </row>
    <row r="22" spans="1:10">
      <c r="A22" t="s">
        <v>30</v>
      </c>
      <c r="B22" s="73">
        <v>16908.490000000013</v>
      </c>
      <c r="D22" t="s">
        <v>30</v>
      </c>
      <c r="E22" s="76">
        <v>5.4525549995486605E-4</v>
      </c>
      <c r="G22" t="s">
        <v>30</v>
      </c>
      <c r="H22" s="85">
        <v>5.4525549995486605E-4</v>
      </c>
      <c r="J22" s="76">
        <f t="shared" si="0"/>
        <v>5.0000000000000001E-4</v>
      </c>
    </row>
    <row r="23" spans="1:10">
      <c r="A23" t="s">
        <v>31</v>
      </c>
      <c r="B23" s="73">
        <v>997.35999999999217</v>
      </c>
      <c r="D23" t="s">
        <v>31</v>
      </c>
      <c r="E23" s="76">
        <v>3.2162305766805939E-5</v>
      </c>
      <c r="G23" t="s">
        <v>31</v>
      </c>
      <c r="H23" s="85">
        <v>3.2162305766805939E-5</v>
      </c>
      <c r="J23" s="76">
        <f t="shared" si="0"/>
        <v>0</v>
      </c>
    </row>
    <row r="24" spans="1:10">
      <c r="A24" t="s">
        <v>32</v>
      </c>
      <c r="B24" s="73">
        <v>1998216.829999995</v>
      </c>
      <c r="D24" t="s">
        <v>32</v>
      </c>
      <c r="E24" s="76">
        <v>6.4437375345750808E-2</v>
      </c>
      <c r="G24" t="s">
        <v>32</v>
      </c>
      <c r="H24" s="85">
        <v>6.4437375345750808E-2</v>
      </c>
      <c r="J24" s="76">
        <f t="shared" si="0"/>
        <v>6.4399999999999999E-2</v>
      </c>
    </row>
    <row r="25" spans="1:10">
      <c r="A25" t="s">
        <v>33</v>
      </c>
      <c r="B25" s="73">
        <v>648727.1899999982</v>
      </c>
      <c r="D25" t="s">
        <v>33</v>
      </c>
      <c r="E25" s="76">
        <v>2.0919790490916936E-2</v>
      </c>
      <c r="G25" t="s">
        <v>33</v>
      </c>
      <c r="H25" s="85">
        <v>2.0919790490916936E-2</v>
      </c>
      <c r="J25" s="76">
        <f t="shared" si="0"/>
        <v>2.0899999999999998E-2</v>
      </c>
    </row>
    <row r="26" spans="1:10">
      <c r="A26" t="s">
        <v>47</v>
      </c>
      <c r="B26" s="73">
        <v>3248004.2599999988</v>
      </c>
      <c r="D26" s="74" t="s">
        <v>22</v>
      </c>
      <c r="E26" s="76">
        <v>0.10473981926486829</v>
      </c>
      <c r="G26" t="s">
        <v>35</v>
      </c>
      <c r="H26" s="85">
        <v>1.0728119930114077E-2</v>
      </c>
      <c r="J26" s="76">
        <f t="shared" si="0"/>
        <v>1.0699999999999999E-2</v>
      </c>
    </row>
    <row r="27" spans="1:10">
      <c r="A27" t="s">
        <v>48</v>
      </c>
      <c r="B27" s="73">
        <v>723400.96999999974</v>
      </c>
      <c r="D27" s="74" t="s">
        <v>22</v>
      </c>
      <c r="E27" s="76">
        <v>2.3327828656798132E-2</v>
      </c>
      <c r="G27" t="s">
        <v>36</v>
      </c>
      <c r="H27" s="85">
        <v>2.1030489822010267E-5</v>
      </c>
      <c r="J27" s="76">
        <f t="shared" si="0"/>
        <v>0</v>
      </c>
    </row>
    <row r="28" spans="1:10">
      <c r="A28" t="s">
        <v>35</v>
      </c>
      <c r="B28" s="73">
        <v>332681.29999999987</v>
      </c>
      <c r="D28" t="s">
        <v>35</v>
      </c>
      <c r="E28" s="76">
        <v>1.0728119930114077E-2</v>
      </c>
      <c r="G28" t="s">
        <v>37</v>
      </c>
      <c r="H28" s="85">
        <v>2.6832126573540409E-5</v>
      </c>
      <c r="J28" s="76">
        <f t="shared" si="0"/>
        <v>0</v>
      </c>
    </row>
    <row r="29" spans="1:10">
      <c r="A29" t="s">
        <v>36</v>
      </c>
      <c r="B29" s="73">
        <v>652.15999999999485</v>
      </c>
      <c r="D29" t="s">
        <v>36</v>
      </c>
      <c r="E29" s="76">
        <v>2.1030489822010267E-5</v>
      </c>
      <c r="G29" t="s">
        <v>38</v>
      </c>
      <c r="H29" s="85">
        <v>1.9446325674042957E-2</v>
      </c>
      <c r="J29" s="76">
        <f t="shared" si="0"/>
        <v>1.9400000000000001E-2</v>
      </c>
    </row>
    <row r="30" spans="1:10" ht="15" thickBot="1">
      <c r="A30" t="s">
        <v>37</v>
      </c>
      <c r="B30" s="73">
        <v>832.06999999999493</v>
      </c>
      <c r="D30" t="s">
        <v>37</v>
      </c>
      <c r="E30" s="76">
        <v>2.6832126573540409E-5</v>
      </c>
      <c r="G30" t="s">
        <v>49</v>
      </c>
      <c r="H30" s="85">
        <v>1.0000000000000002</v>
      </c>
      <c r="J30" s="184">
        <f>SUM(J6:J29)</f>
        <v>1</v>
      </c>
    </row>
    <row r="31" spans="1:10" ht="15" thickTop="1">
      <c r="A31" t="s">
        <v>38</v>
      </c>
      <c r="B31" s="73">
        <v>603034.73000000219</v>
      </c>
      <c r="D31" t="s">
        <v>38</v>
      </c>
      <c r="E31" s="76">
        <v>1.9446325674042957E-2</v>
      </c>
    </row>
    <row r="32" spans="1:10">
      <c r="A32" t="s">
        <v>49</v>
      </c>
      <c r="B32" s="73">
        <v>31010214.479999974</v>
      </c>
    </row>
  </sheetData>
  <pageMargins left="0.7" right="0.7" top="0.75" bottom="0.75" header="0.3" footer="0.3"/>
  <pageSetup orientation="landscape" r:id="rId1"/>
  <headerFooter>
    <oddHeader>&amp;RKY PSC Case No. 2016-00162,
Attachment G to Staff Post Hearing Supp. DR 2</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J22"/>
  <sheetViews>
    <sheetView workbookViewId="0">
      <selection sqref="A1:G1"/>
    </sheetView>
  </sheetViews>
  <sheetFormatPr defaultRowHeight="14.4"/>
  <cols>
    <col min="1" max="1" width="11.109375" style="77" bestFit="1" customWidth="1"/>
    <col min="2" max="2" width="15.33203125" style="77" bestFit="1" customWidth="1"/>
    <col min="3" max="3" width="19.6640625" style="77" bestFit="1" customWidth="1"/>
    <col min="4" max="4" width="8.88671875" style="77"/>
    <col min="5" max="5" width="11.109375" style="77" bestFit="1" customWidth="1"/>
    <col min="6" max="6" width="15.33203125" style="77" bestFit="1" customWidth="1"/>
    <col min="7" max="7" width="19.6640625" style="77" bestFit="1" customWidth="1"/>
    <col min="8" max="9" width="8.88671875" style="77"/>
    <col min="10" max="10" width="10.44140625" style="77" bestFit="1" customWidth="1"/>
    <col min="11" max="16384" width="8.88671875" style="77"/>
  </cols>
  <sheetData>
    <row r="1" spans="1:10" ht="15.6">
      <c r="A1" s="253" t="s">
        <v>50</v>
      </c>
      <c r="B1" s="253"/>
      <c r="C1" s="253"/>
      <c r="D1" s="253"/>
      <c r="E1" s="253"/>
      <c r="F1" s="253"/>
      <c r="G1" s="253"/>
      <c r="H1" s="197"/>
      <c r="I1" s="198"/>
      <c r="J1" s="198"/>
    </row>
    <row r="2" spans="1:10">
      <c r="A2" s="199"/>
      <c r="B2" s="199"/>
      <c r="C2" s="199"/>
      <c r="D2" s="199"/>
      <c r="E2" s="199"/>
      <c r="F2" s="199"/>
      <c r="G2" s="199"/>
      <c r="H2" s="200"/>
      <c r="I2" s="199"/>
      <c r="J2" s="199"/>
    </row>
    <row r="3" spans="1:10">
      <c r="A3" s="254" t="s">
        <v>169</v>
      </c>
      <c r="B3" s="254"/>
      <c r="C3" s="254"/>
      <c r="D3" s="201"/>
      <c r="E3" s="254" t="s">
        <v>170</v>
      </c>
      <c r="F3" s="254"/>
      <c r="G3" s="254"/>
      <c r="H3" s="88"/>
      <c r="I3" s="202"/>
      <c r="J3" s="202"/>
    </row>
    <row r="4" spans="1:10">
      <c r="A4" s="203" t="s">
        <v>2</v>
      </c>
      <c r="B4" s="106" t="s">
        <v>3</v>
      </c>
      <c r="C4" s="51" t="s">
        <v>5</v>
      </c>
      <c r="D4" s="201"/>
      <c r="E4" s="203" t="s">
        <v>2</v>
      </c>
      <c r="F4" s="106" t="s">
        <v>3</v>
      </c>
      <c r="G4" s="106" t="s">
        <v>5</v>
      </c>
      <c r="H4" s="88"/>
      <c r="I4" s="204" t="s">
        <v>2</v>
      </c>
      <c r="J4" s="204" t="s">
        <v>7</v>
      </c>
    </row>
    <row r="5" spans="1:10">
      <c r="A5" s="205" t="s">
        <v>120</v>
      </c>
      <c r="B5" s="89">
        <v>0</v>
      </c>
      <c r="C5" s="178">
        <v>0</v>
      </c>
      <c r="D5" s="201"/>
      <c r="E5" s="205" t="s">
        <v>120</v>
      </c>
      <c r="F5" s="89">
        <v>0</v>
      </c>
      <c r="G5" s="178">
        <v>0</v>
      </c>
      <c r="H5" s="182"/>
      <c r="I5" s="98" t="s">
        <v>120</v>
      </c>
      <c r="J5" s="82">
        <f>G5-C5</f>
        <v>0</v>
      </c>
    </row>
    <row r="6" spans="1:10">
      <c r="A6" s="206" t="s">
        <v>11</v>
      </c>
      <c r="B6" s="89">
        <v>177841.79999999923</v>
      </c>
      <c r="C6" s="178">
        <v>5.9999999999999995E-4</v>
      </c>
      <c r="D6" s="201"/>
      <c r="E6" s="206" t="s">
        <v>11</v>
      </c>
      <c r="F6" s="89">
        <v>147125.71999999878</v>
      </c>
      <c r="G6" s="178">
        <v>6.9999999999999999E-4</v>
      </c>
      <c r="H6" s="182"/>
      <c r="I6" s="60" t="s">
        <v>11</v>
      </c>
      <c r="J6" s="82">
        <v>-1.0000000000000005E-4</v>
      </c>
    </row>
    <row r="7" spans="1:10">
      <c r="A7" s="206" t="s">
        <v>13</v>
      </c>
      <c r="B7" s="89">
        <v>6890172.9599999338</v>
      </c>
      <c r="C7" s="178">
        <v>2.1600000000000001E-2</v>
      </c>
      <c r="D7" s="201"/>
      <c r="E7" s="206" t="s">
        <v>13</v>
      </c>
      <c r="F7" s="89">
        <v>6963445.9699999951</v>
      </c>
      <c r="G7" s="178">
        <v>3.09E-2</v>
      </c>
      <c r="H7" s="182"/>
      <c r="I7" s="60" t="s">
        <v>13</v>
      </c>
      <c r="J7" s="82">
        <v>-6.9999999999999923E-4</v>
      </c>
    </row>
    <row r="8" spans="1:10">
      <c r="A8" s="206" t="s">
        <v>14</v>
      </c>
      <c r="B8" s="89">
        <v>53230028.839999631</v>
      </c>
      <c r="C8" s="178">
        <v>0.16719999999999999</v>
      </c>
      <c r="D8" s="201"/>
      <c r="E8" s="206" t="s">
        <v>14</v>
      </c>
      <c r="F8" s="89">
        <v>52992622.549999893</v>
      </c>
      <c r="G8" s="178">
        <v>0.23519999999999999</v>
      </c>
      <c r="H8" s="182"/>
      <c r="I8" s="60" t="s">
        <v>14</v>
      </c>
      <c r="J8" s="82">
        <v>-9.8000000000000032E-3</v>
      </c>
    </row>
    <row r="9" spans="1:10">
      <c r="A9" s="206" t="s">
        <v>15</v>
      </c>
      <c r="B9" s="89">
        <v>3163718.0099999919</v>
      </c>
      <c r="C9" s="178">
        <v>9.9000000000000008E-3</v>
      </c>
      <c r="D9" s="201"/>
      <c r="E9" s="206" t="s">
        <v>15</v>
      </c>
      <c r="F9" s="89">
        <v>3195266.4400000032</v>
      </c>
      <c r="G9" s="178">
        <v>1.4200000000000001E-2</v>
      </c>
      <c r="H9" s="182"/>
      <c r="I9" s="60" t="s">
        <v>15</v>
      </c>
      <c r="J9" s="82">
        <v>-3.9999999999999931E-4</v>
      </c>
    </row>
    <row r="10" spans="1:10">
      <c r="A10" s="206" t="s">
        <v>16</v>
      </c>
      <c r="B10" s="89">
        <v>24233829.869999934</v>
      </c>
      <c r="C10" s="178">
        <v>7.6100000000000001E-2</v>
      </c>
      <c r="D10" s="201"/>
      <c r="E10" s="206" t="s">
        <v>16</v>
      </c>
      <c r="F10" s="89">
        <v>26037520.709999755</v>
      </c>
      <c r="G10" s="178">
        <v>0.11559999999999999</v>
      </c>
      <c r="H10" s="182"/>
      <c r="I10" s="60" t="s">
        <v>16</v>
      </c>
      <c r="J10" s="82">
        <v>1.1000000000000038E-3</v>
      </c>
    </row>
    <row r="11" spans="1:10">
      <c r="A11" s="206" t="s">
        <v>17</v>
      </c>
      <c r="B11" s="89">
        <v>13519516.360000063</v>
      </c>
      <c r="C11" s="178">
        <v>4.2500000000000003E-2</v>
      </c>
      <c r="D11" s="201"/>
      <c r="E11" s="206" t="s">
        <v>17</v>
      </c>
      <c r="F11" s="89">
        <v>14788651.480000006</v>
      </c>
      <c r="G11" s="178">
        <v>6.5600000000000006E-2</v>
      </c>
      <c r="H11" s="182"/>
      <c r="I11" s="60" t="s">
        <v>17</v>
      </c>
      <c r="J11" s="82">
        <v>1.3000000000000025E-3</v>
      </c>
    </row>
    <row r="12" spans="1:10">
      <c r="A12" s="207" t="s">
        <v>21</v>
      </c>
      <c r="B12" s="89">
        <v>5894916.1299999673</v>
      </c>
      <c r="C12" s="178">
        <v>1.8599999999999998E-2</v>
      </c>
      <c r="D12" s="201"/>
      <c r="E12" s="207" t="s">
        <v>21</v>
      </c>
      <c r="F12" s="89">
        <v>5427950.2999999775</v>
      </c>
      <c r="G12" s="178">
        <v>2.3900000000000001E-2</v>
      </c>
      <c r="H12" s="182"/>
      <c r="I12" s="60" t="s">
        <v>21</v>
      </c>
      <c r="J12" s="82">
        <v>1.5999999999999973E-3</v>
      </c>
    </row>
    <row r="13" spans="1:10">
      <c r="A13" s="206" t="s">
        <v>22</v>
      </c>
      <c r="B13" s="89">
        <v>85463579.119999573</v>
      </c>
      <c r="C13" s="178">
        <v>0.26850000000000002</v>
      </c>
      <c r="D13" s="201"/>
      <c r="E13" s="206" t="s">
        <v>22</v>
      </c>
      <c r="F13" s="89">
        <v>89469015.829999387</v>
      </c>
      <c r="G13" s="178">
        <v>0.39710000000000001</v>
      </c>
      <c r="H13" s="182"/>
      <c r="I13" s="60" t="s">
        <v>22</v>
      </c>
      <c r="J13" s="82">
        <v>4.400000000000015E-3</v>
      </c>
    </row>
    <row r="14" spans="1:10">
      <c r="A14" s="206" t="s">
        <v>23</v>
      </c>
      <c r="B14" s="89">
        <v>744675.47000000812</v>
      </c>
      <c r="C14" s="178">
        <v>2.3E-3</v>
      </c>
      <c r="D14" s="201"/>
      <c r="E14" s="206" t="s">
        <v>23</v>
      </c>
      <c r="F14" s="89">
        <v>790002.12000000593</v>
      </c>
      <c r="G14" s="178">
        <v>3.5000000000000001E-3</v>
      </c>
      <c r="H14" s="182"/>
      <c r="I14" s="60" t="s">
        <v>23</v>
      </c>
      <c r="J14" s="82">
        <v>-2.0000000000000009E-4</v>
      </c>
    </row>
    <row r="15" spans="1:10">
      <c r="A15" s="206" t="s">
        <v>24</v>
      </c>
      <c r="B15" s="89">
        <v>1071.2499999999923</v>
      </c>
      <c r="C15" s="178">
        <v>0</v>
      </c>
      <c r="D15" s="201"/>
      <c r="E15" s="206" t="s">
        <v>24</v>
      </c>
      <c r="F15" s="89">
        <v>453.11999999999904</v>
      </c>
      <c r="G15" s="208">
        <v>0</v>
      </c>
      <c r="H15" s="182"/>
      <c r="I15" s="60" t="s">
        <v>24</v>
      </c>
      <c r="J15" s="82">
        <v>0</v>
      </c>
    </row>
    <row r="16" spans="1:10">
      <c r="A16" s="206" t="s">
        <v>27</v>
      </c>
      <c r="B16" s="89">
        <v>37766.929999999295</v>
      </c>
      <c r="C16" s="178">
        <v>1E-4</v>
      </c>
      <c r="D16" s="201"/>
      <c r="E16" s="206" t="s">
        <v>27</v>
      </c>
      <c r="F16" s="89">
        <v>20132.800000000228</v>
      </c>
      <c r="G16" s="178">
        <v>1E-4</v>
      </c>
      <c r="H16" s="182"/>
      <c r="I16" s="60" t="s">
        <v>27</v>
      </c>
      <c r="J16" s="82">
        <v>-1.9999999999999998E-4</v>
      </c>
    </row>
    <row r="17" spans="1:10">
      <c r="A17" s="206" t="s">
        <v>30</v>
      </c>
      <c r="B17" s="89">
        <v>99239.939999998576</v>
      </c>
      <c r="C17" s="178">
        <v>2.9999999999999997E-4</v>
      </c>
      <c r="D17" s="201"/>
      <c r="E17" s="206" t="s">
        <v>30</v>
      </c>
      <c r="F17" s="89">
        <v>106423.19999999863</v>
      </c>
      <c r="G17" s="178">
        <v>5.0000000000000001E-4</v>
      </c>
      <c r="H17" s="182"/>
      <c r="I17" s="60" t="s">
        <v>30</v>
      </c>
      <c r="J17" s="82">
        <v>-2.0000000000000004E-4</v>
      </c>
    </row>
    <row r="18" spans="1:10">
      <c r="A18" s="206" t="s">
        <v>31</v>
      </c>
      <c r="B18" s="89">
        <v>25545.469999999936</v>
      </c>
      <c r="C18" s="178">
        <v>1E-4</v>
      </c>
      <c r="D18" s="201"/>
      <c r="E18" s="206" t="s">
        <v>31</v>
      </c>
      <c r="F18" s="89">
        <v>20885.849999999969</v>
      </c>
      <c r="G18" s="178">
        <v>1E-4</v>
      </c>
      <c r="H18" s="182"/>
      <c r="I18" s="60" t="s">
        <v>31</v>
      </c>
      <c r="J18" s="82">
        <v>0</v>
      </c>
    </row>
    <row r="19" spans="1:10">
      <c r="A19" s="206" t="s">
        <v>32</v>
      </c>
      <c r="B19" s="89">
        <v>24894954.319999829</v>
      </c>
      <c r="C19" s="178">
        <v>7.8200000000000006E-2</v>
      </c>
      <c r="D19" s="201"/>
      <c r="E19" s="206" t="s">
        <v>32</v>
      </c>
      <c r="F19" s="89">
        <v>25314894.500000164</v>
      </c>
      <c r="G19" s="178">
        <v>0.1124</v>
      </c>
      <c r="H19" s="182"/>
      <c r="I19" s="60" t="s">
        <v>32</v>
      </c>
      <c r="J19" s="82">
        <v>-4.8999999999999877E-3</v>
      </c>
    </row>
    <row r="20" spans="1:10">
      <c r="A20" s="206" t="s">
        <v>36</v>
      </c>
      <c r="B20" s="89">
        <v>24139.519999999749</v>
      </c>
      <c r="C20" s="178">
        <v>1E-4</v>
      </c>
      <c r="D20" s="201"/>
      <c r="E20" s="206" t="s">
        <v>36</v>
      </c>
      <c r="F20" s="89">
        <v>17684.730000000043</v>
      </c>
      <c r="G20" s="178">
        <v>1E-4</v>
      </c>
      <c r="H20" s="182"/>
      <c r="I20" s="60" t="s">
        <v>36</v>
      </c>
      <c r="J20" s="82">
        <v>0</v>
      </c>
    </row>
    <row r="21" spans="1:10">
      <c r="A21" s="206" t="s">
        <v>37</v>
      </c>
      <c r="B21" s="89">
        <v>18274.450000000448</v>
      </c>
      <c r="C21" s="178">
        <v>1E-4</v>
      </c>
      <c r="D21" s="201"/>
      <c r="E21" s="206" t="s">
        <v>37</v>
      </c>
      <c r="F21" s="89">
        <v>13870.880000000441</v>
      </c>
      <c r="G21" s="178">
        <v>1E-4</v>
      </c>
      <c r="H21" s="182"/>
      <c r="I21" s="60" t="s">
        <v>37</v>
      </c>
      <c r="J21" s="82">
        <v>-1E-4</v>
      </c>
    </row>
    <row r="22" spans="1:10">
      <c r="A22" s="209" t="s">
        <v>49</v>
      </c>
      <c r="B22" s="91">
        <f>SUM(B5:B21)</f>
        <v>218419270.43999889</v>
      </c>
      <c r="C22" s="210">
        <v>0.99999999999999978</v>
      </c>
      <c r="D22" s="201"/>
      <c r="E22" s="209" t="s">
        <v>49</v>
      </c>
      <c r="F22" s="91">
        <f>SUM(F5:F21)</f>
        <v>225305946.19999918</v>
      </c>
      <c r="G22" s="177">
        <f>SUM(G5:G21)</f>
        <v>0.99999999999999978</v>
      </c>
      <c r="H22" s="211"/>
      <c r="I22" s="204" t="s">
        <v>6</v>
      </c>
      <c r="J22" s="84">
        <v>3.664603343001005E-17</v>
      </c>
    </row>
  </sheetData>
  <mergeCells count="3">
    <mergeCell ref="A1:G1"/>
    <mergeCell ref="A3:C3"/>
    <mergeCell ref="E3:G3"/>
  </mergeCells>
  <pageMargins left="0.7" right="0.7" top="0.75" bottom="0.75" header="0.3" footer="0.3"/>
  <pageSetup scale="94" orientation="landscape" r:id="rId1"/>
  <headerFooter>
    <oddHeader>&amp;RKY PSC Case No. 2016-00162,
Attachment G to Staff Post Hearing Supp. DR 2</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J32"/>
  <sheetViews>
    <sheetView workbookViewId="0"/>
  </sheetViews>
  <sheetFormatPr defaultRowHeight="14.4"/>
  <cols>
    <col min="1" max="1" width="12.109375" bestFit="1" customWidth="1"/>
    <col min="2" max="2" width="19.109375" bestFit="1" customWidth="1"/>
    <col min="4" max="4" width="6.109375" customWidth="1"/>
    <col min="5" max="5" width="19.109375" bestFit="1" customWidth="1"/>
    <col min="7" max="7" width="11.33203125" customWidth="1"/>
    <col min="8" max="8" width="19.109375" bestFit="1" customWidth="1"/>
  </cols>
  <sheetData>
    <row r="1" spans="1:10">
      <c r="A1" s="163" t="s">
        <v>106</v>
      </c>
      <c r="B1" t="s">
        <v>107</v>
      </c>
    </row>
    <row r="2" spans="1:10">
      <c r="A2" s="163" t="s">
        <v>39</v>
      </c>
      <c r="B2" t="s">
        <v>40</v>
      </c>
    </row>
    <row r="3" spans="1:10">
      <c r="A3" s="163" t="s">
        <v>115</v>
      </c>
      <c r="B3" t="s">
        <v>107</v>
      </c>
    </row>
    <row r="4" spans="1:10">
      <c r="A4" s="163" t="s">
        <v>121</v>
      </c>
      <c r="B4" t="s">
        <v>107</v>
      </c>
    </row>
    <row r="6" spans="1:10">
      <c r="A6" s="163" t="s">
        <v>44</v>
      </c>
      <c r="B6" t="s">
        <v>100</v>
      </c>
      <c r="D6" s="46" t="s">
        <v>44</v>
      </c>
      <c r="E6" s="46" t="s">
        <v>108</v>
      </c>
      <c r="G6" s="163" t="s">
        <v>44</v>
      </c>
      <c r="H6" t="s">
        <v>100</v>
      </c>
    </row>
    <row r="7" spans="1:10">
      <c r="A7" t="s">
        <v>11</v>
      </c>
      <c r="B7" s="73">
        <v>147125.71999999927</v>
      </c>
      <c r="D7" t="s">
        <v>11</v>
      </c>
      <c r="E7" s="73">
        <v>147125.71999999927</v>
      </c>
      <c r="G7" t="s">
        <v>11</v>
      </c>
      <c r="H7" s="73">
        <v>147125.71999999927</v>
      </c>
      <c r="J7" s="76">
        <f>ROUND(H7/SUM($H$7:$H$22),4)</f>
        <v>6.9999999999999999E-4</v>
      </c>
    </row>
    <row r="8" spans="1:10">
      <c r="A8" t="s">
        <v>13</v>
      </c>
      <c r="B8" s="73">
        <v>6963445.9699999653</v>
      </c>
      <c r="D8" t="s">
        <v>13</v>
      </c>
      <c r="E8" s="73">
        <v>6963445.9699999653</v>
      </c>
      <c r="G8" t="s">
        <v>13</v>
      </c>
      <c r="H8" s="73">
        <v>6963445.9699999653</v>
      </c>
      <c r="J8" s="76">
        <f t="shared" ref="J8:J22" si="0">ROUND(H8/SUM($H$7:$H$22),4)</f>
        <v>3.09E-2</v>
      </c>
    </row>
    <row r="9" spans="1:10">
      <c r="A9" t="s">
        <v>14</v>
      </c>
      <c r="B9" s="73">
        <v>52992622.54999993</v>
      </c>
      <c r="D9" t="s">
        <v>14</v>
      </c>
      <c r="E9" s="73">
        <v>52992622.54999993</v>
      </c>
      <c r="G9" t="s">
        <v>14</v>
      </c>
      <c r="H9" s="73">
        <v>52992622.54999993</v>
      </c>
      <c r="J9" s="76">
        <f t="shared" si="0"/>
        <v>0.23519999999999999</v>
      </c>
    </row>
    <row r="10" spans="1:10">
      <c r="A10" t="s">
        <v>15</v>
      </c>
      <c r="B10" s="73">
        <v>3195266.4400000009</v>
      </c>
      <c r="D10" t="s">
        <v>15</v>
      </c>
      <c r="E10" s="73">
        <v>3195266.4400000009</v>
      </c>
      <c r="G10" t="s">
        <v>15</v>
      </c>
      <c r="H10" s="73">
        <v>3195266.4400000009</v>
      </c>
      <c r="J10" s="76">
        <f t="shared" si="0"/>
        <v>1.4200000000000001E-2</v>
      </c>
    </row>
    <row r="11" spans="1:10">
      <c r="A11" t="s">
        <v>16</v>
      </c>
      <c r="B11" s="73">
        <v>26037520.709999751</v>
      </c>
      <c r="D11" t="s">
        <v>16</v>
      </c>
      <c r="E11" s="73">
        <v>26037520.709999751</v>
      </c>
      <c r="G11" t="s">
        <v>16</v>
      </c>
      <c r="H11" s="73">
        <v>26037520.709999751</v>
      </c>
      <c r="J11" s="76">
        <f t="shared" si="0"/>
        <v>0.11559999999999999</v>
      </c>
    </row>
    <row r="12" spans="1:10">
      <c r="A12" t="s">
        <v>17</v>
      </c>
      <c r="B12" s="73">
        <v>14788651.480000053</v>
      </c>
      <c r="D12" t="s">
        <v>17</v>
      </c>
      <c r="E12" s="73">
        <v>14788651.480000053</v>
      </c>
      <c r="G12" t="s">
        <v>17</v>
      </c>
      <c r="H12" s="73">
        <v>14788651.480000053</v>
      </c>
      <c r="J12" s="76">
        <f t="shared" si="0"/>
        <v>6.5600000000000006E-2</v>
      </c>
    </row>
    <row r="13" spans="1:10">
      <c r="A13" t="s">
        <v>21</v>
      </c>
      <c r="B13" s="73">
        <v>5427950.2999999775</v>
      </c>
      <c r="D13" t="s">
        <v>21</v>
      </c>
      <c r="E13" s="73">
        <v>5427950.2999999775</v>
      </c>
      <c r="G13" t="s">
        <v>21</v>
      </c>
      <c r="H13" s="73">
        <v>5427950.2999999775</v>
      </c>
      <c r="J13" s="79">
        <f>ROUND(H13/SUM($H$7:$H$22),4)-0.0002</f>
        <v>2.3900000000000001E-2</v>
      </c>
    </row>
    <row r="14" spans="1:10">
      <c r="A14" t="s">
        <v>22</v>
      </c>
      <c r="B14" s="73">
        <v>81259095.369999483</v>
      </c>
      <c r="D14" t="s">
        <v>22</v>
      </c>
      <c r="E14" s="73">
        <v>81259095.369999483</v>
      </c>
      <c r="G14" t="s">
        <v>22</v>
      </c>
      <c r="H14" s="73">
        <v>89469015.829999462</v>
      </c>
      <c r="J14" s="76">
        <f t="shared" si="0"/>
        <v>0.39710000000000001</v>
      </c>
    </row>
    <row r="15" spans="1:10">
      <c r="A15" t="s">
        <v>23</v>
      </c>
      <c r="B15" s="73">
        <v>790002.12000001001</v>
      </c>
      <c r="D15" t="s">
        <v>23</v>
      </c>
      <c r="E15" s="73">
        <v>790002.12000001001</v>
      </c>
      <c r="G15" t="s">
        <v>23</v>
      </c>
      <c r="H15" s="73">
        <v>790002.12000001001</v>
      </c>
      <c r="J15" s="76">
        <f t="shared" si="0"/>
        <v>3.5000000000000001E-3</v>
      </c>
    </row>
    <row r="16" spans="1:10">
      <c r="A16" t="s">
        <v>24</v>
      </c>
      <c r="B16" s="73">
        <v>453.1199999999991</v>
      </c>
      <c r="D16" t="s">
        <v>24</v>
      </c>
      <c r="E16" s="73">
        <v>453.1199999999991</v>
      </c>
      <c r="G16" t="s">
        <v>24</v>
      </c>
      <c r="H16" s="73">
        <v>453.1199999999991</v>
      </c>
      <c r="J16" s="76">
        <f t="shared" si="0"/>
        <v>0</v>
      </c>
    </row>
    <row r="17" spans="1:10">
      <c r="A17" t="s">
        <v>27</v>
      </c>
      <c r="B17" s="73">
        <v>20132.80000000009</v>
      </c>
      <c r="D17" t="s">
        <v>27</v>
      </c>
      <c r="E17" s="73">
        <v>20132.80000000009</v>
      </c>
      <c r="G17" t="s">
        <v>27</v>
      </c>
      <c r="H17" s="73">
        <v>20132.80000000009</v>
      </c>
      <c r="J17" s="76">
        <f t="shared" si="0"/>
        <v>1E-4</v>
      </c>
    </row>
    <row r="18" spans="1:10">
      <c r="A18" t="s">
        <v>30</v>
      </c>
      <c r="B18" s="73">
        <v>106423.19999999847</v>
      </c>
      <c r="D18" t="s">
        <v>30</v>
      </c>
      <c r="E18" s="73">
        <v>106423.19999999847</v>
      </c>
      <c r="G18" t="s">
        <v>30</v>
      </c>
      <c r="H18" s="73">
        <v>106423.19999999847</v>
      </c>
      <c r="J18" s="76">
        <f t="shared" si="0"/>
        <v>5.0000000000000001E-4</v>
      </c>
    </row>
    <row r="19" spans="1:10">
      <c r="A19" t="s">
        <v>31</v>
      </c>
      <c r="B19" s="73">
        <v>20885.850000000202</v>
      </c>
      <c r="D19" t="s">
        <v>31</v>
      </c>
      <c r="E19" s="73">
        <v>20885.850000000202</v>
      </c>
      <c r="G19" t="s">
        <v>31</v>
      </c>
      <c r="H19" s="73">
        <v>20885.850000000202</v>
      </c>
      <c r="J19" s="76">
        <f t="shared" si="0"/>
        <v>1E-4</v>
      </c>
    </row>
    <row r="20" spans="1:10">
      <c r="A20" t="s">
        <v>32</v>
      </c>
      <c r="B20" s="73">
        <v>25314894.500000235</v>
      </c>
      <c r="D20" t="s">
        <v>32</v>
      </c>
      <c r="E20" s="73">
        <v>25314894.500000235</v>
      </c>
      <c r="G20" t="s">
        <v>32</v>
      </c>
      <c r="H20" s="73">
        <v>25314894.500000235</v>
      </c>
      <c r="J20" s="76">
        <f t="shared" si="0"/>
        <v>0.1124</v>
      </c>
    </row>
    <row r="21" spans="1:10">
      <c r="A21" t="s">
        <v>47</v>
      </c>
      <c r="B21" s="73">
        <v>6387549.8599999687</v>
      </c>
      <c r="D21" s="74" t="s">
        <v>22</v>
      </c>
      <c r="E21" s="73">
        <v>6387549.8599999687</v>
      </c>
      <c r="G21" t="s">
        <v>36</v>
      </c>
      <c r="H21" s="73">
        <v>17684.729999999785</v>
      </c>
      <c r="J21" s="76">
        <f t="shared" si="0"/>
        <v>1E-4</v>
      </c>
    </row>
    <row r="22" spans="1:10">
      <c r="A22" t="s">
        <v>48</v>
      </c>
      <c r="B22" s="73">
        <v>1822370.6000000131</v>
      </c>
      <c r="D22" s="74" t="s">
        <v>22</v>
      </c>
      <c r="E22" s="73">
        <v>1822370.6000000131</v>
      </c>
      <c r="G22" t="s">
        <v>37</v>
      </c>
      <c r="H22" s="73">
        <v>13870.879999999752</v>
      </c>
      <c r="J22" s="76">
        <f t="shared" si="0"/>
        <v>1E-4</v>
      </c>
    </row>
    <row r="23" spans="1:10" ht="15" thickBot="1">
      <c r="A23" t="s">
        <v>36</v>
      </c>
      <c r="B23" s="73">
        <v>17684.729999999785</v>
      </c>
      <c r="D23" t="s">
        <v>36</v>
      </c>
      <c r="E23" s="73">
        <v>17684.729999999785</v>
      </c>
      <c r="G23" t="s">
        <v>49</v>
      </c>
      <c r="H23" s="73">
        <v>225305946.19999936</v>
      </c>
      <c r="J23" s="184">
        <f>SUM(J7:J22)</f>
        <v>0.99999999999999978</v>
      </c>
    </row>
    <row r="24" spans="1:10" ht="15" thickTop="1">
      <c r="A24" t="s">
        <v>37</v>
      </c>
      <c r="B24" s="73">
        <v>13870.879999999752</v>
      </c>
      <c r="D24" t="s">
        <v>37</v>
      </c>
      <c r="E24" s="73">
        <v>13870.879999999752</v>
      </c>
    </row>
    <row r="25" spans="1:10">
      <c r="A25" t="s">
        <v>49</v>
      </c>
      <c r="B25" s="73">
        <v>225305946.19999936</v>
      </c>
      <c r="E25" s="73"/>
    </row>
    <row r="26" spans="1:10">
      <c r="E26" s="73"/>
    </row>
    <row r="27" spans="1:10">
      <c r="D27" s="74"/>
      <c r="E27" s="73"/>
    </row>
    <row r="28" spans="1:10">
      <c r="D28" s="74"/>
      <c r="E28" s="73"/>
    </row>
    <row r="29" spans="1:10">
      <c r="E29" s="73"/>
    </row>
    <row r="30" spans="1:10">
      <c r="E30" s="73"/>
    </row>
    <row r="31" spans="1:10">
      <c r="E31" s="73"/>
    </row>
    <row r="32" spans="1:10">
      <c r="E32" s="73"/>
    </row>
  </sheetData>
  <pageMargins left="0.7" right="0.7" top="0.75" bottom="0.75" header="0.3" footer="0.3"/>
  <pageSetup scale="99" orientation="landscape" r:id="rId1"/>
  <headerFooter>
    <oddHeader>&amp;RKY PSC Case No. 2016-00162,
Attachment G to Staff Post Hearing Supp. DR 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workbookViewId="0"/>
  </sheetViews>
  <sheetFormatPr defaultRowHeight="14.4"/>
  <cols>
    <col min="1" max="1" width="18.33203125" bestFit="1" customWidth="1"/>
    <col min="2" max="2" width="14.33203125" customWidth="1"/>
    <col min="3" max="3" width="16.109375" bestFit="1" customWidth="1"/>
    <col min="4" max="4" width="16" bestFit="1" customWidth="1"/>
    <col min="5" max="5" width="10.5546875" bestFit="1" customWidth="1"/>
    <col min="6" max="6" width="14.88671875" bestFit="1" customWidth="1"/>
    <col min="7" max="7" width="15.33203125" bestFit="1" customWidth="1"/>
    <col min="8" max="8" width="11" bestFit="1" customWidth="1"/>
  </cols>
  <sheetData>
    <row r="1" spans="1:8" ht="15" customHeight="1">
      <c r="A1" t="s">
        <v>41</v>
      </c>
      <c r="B1" t="s">
        <v>42</v>
      </c>
      <c r="D1" s="244" t="s">
        <v>62</v>
      </c>
      <c r="E1" s="244"/>
      <c r="F1" s="244"/>
      <c r="G1" s="244"/>
    </row>
    <row r="2" spans="1:8">
      <c r="A2" t="s">
        <v>39</v>
      </c>
      <c r="B2" t="s">
        <v>40</v>
      </c>
      <c r="C2" s="71"/>
      <c r="D2" s="244"/>
      <c r="E2" s="244"/>
      <c r="F2" s="244"/>
      <c r="G2" s="244"/>
    </row>
    <row r="3" spans="1:8">
      <c r="C3" s="71"/>
      <c r="D3" s="71"/>
      <c r="E3" s="71"/>
      <c r="F3" s="71"/>
      <c r="G3" s="71"/>
    </row>
    <row r="4" spans="1:8">
      <c r="A4" t="s">
        <v>43</v>
      </c>
      <c r="D4" s="72"/>
      <c r="E4" s="72"/>
    </row>
    <row r="5" spans="1:8">
      <c r="A5" t="s">
        <v>44</v>
      </c>
      <c r="B5" t="s">
        <v>6</v>
      </c>
      <c r="C5" t="s">
        <v>2</v>
      </c>
      <c r="D5" s="72" t="s">
        <v>63</v>
      </c>
      <c r="E5" s="72"/>
    </row>
    <row r="6" spans="1:8">
      <c r="A6" t="s">
        <v>8</v>
      </c>
      <c r="B6" s="73">
        <v>3682254.74</v>
      </c>
      <c r="C6" s="74" t="s">
        <v>8</v>
      </c>
      <c r="D6" s="72">
        <v>3682254.74</v>
      </c>
      <c r="E6" s="72"/>
    </row>
    <row r="7" spans="1:8">
      <c r="A7" t="s">
        <v>9</v>
      </c>
      <c r="B7" s="73">
        <v>12857275.029999999</v>
      </c>
      <c r="C7" t="s">
        <v>9</v>
      </c>
      <c r="D7" s="72">
        <v>12857275.029999999</v>
      </c>
      <c r="E7" s="72"/>
      <c r="F7" t="s">
        <v>64</v>
      </c>
    </row>
    <row r="8" spans="1:8">
      <c r="A8" t="s">
        <v>11</v>
      </c>
      <c r="B8" s="73">
        <v>206689.47</v>
      </c>
      <c r="C8" t="s">
        <v>11</v>
      </c>
      <c r="D8" s="72">
        <v>206689.47</v>
      </c>
      <c r="E8" s="72"/>
      <c r="F8" t="s">
        <v>2</v>
      </c>
      <c r="G8" t="s">
        <v>6</v>
      </c>
      <c r="H8" s="75" t="s">
        <v>4</v>
      </c>
    </row>
    <row r="9" spans="1:8">
      <c r="A9" t="s">
        <v>12</v>
      </c>
      <c r="B9" s="73">
        <v>485608.89</v>
      </c>
      <c r="C9" t="s">
        <v>12</v>
      </c>
      <c r="D9" s="72">
        <v>485608.89</v>
      </c>
      <c r="E9" s="72"/>
      <c r="F9" t="s">
        <v>8</v>
      </c>
      <c r="G9" s="73">
        <v>3682254.74</v>
      </c>
      <c r="H9" s="76">
        <f>ROUND(G9/$G$37,4)</f>
        <v>1.06E-2</v>
      </c>
    </row>
    <row r="10" spans="1:8">
      <c r="A10" t="s">
        <v>13</v>
      </c>
      <c r="B10" s="73">
        <v>8011128.1199999992</v>
      </c>
      <c r="C10" t="s">
        <v>13</v>
      </c>
      <c r="D10" s="72">
        <v>8011128.1199999992</v>
      </c>
      <c r="E10" s="72"/>
      <c r="F10" t="s">
        <v>9</v>
      </c>
      <c r="G10" s="73">
        <v>12857275.029999999</v>
      </c>
      <c r="H10" s="76">
        <f t="shared" ref="H10:H36" si="0">ROUND(G10/$G$37,4)</f>
        <v>3.7199999999999997E-2</v>
      </c>
    </row>
    <row r="11" spans="1:8">
      <c r="A11" t="s">
        <v>14</v>
      </c>
      <c r="B11" s="73">
        <v>60844904.18</v>
      </c>
      <c r="C11" t="s">
        <v>14</v>
      </c>
      <c r="D11" s="72">
        <v>60844904.180000007</v>
      </c>
      <c r="E11" s="72"/>
      <c r="F11" t="s">
        <v>11</v>
      </c>
      <c r="G11" s="73">
        <v>206689.47</v>
      </c>
      <c r="H11" s="76">
        <f t="shared" si="0"/>
        <v>5.9999999999999995E-4</v>
      </c>
    </row>
    <row r="12" spans="1:8">
      <c r="A12" t="s">
        <v>15</v>
      </c>
      <c r="B12" s="73">
        <v>2956478.8200000003</v>
      </c>
      <c r="C12" t="s">
        <v>15</v>
      </c>
      <c r="D12" s="72">
        <v>2956478.8200000003</v>
      </c>
      <c r="E12" s="72"/>
      <c r="F12" t="s">
        <v>12</v>
      </c>
      <c r="G12" s="73">
        <v>485608.89</v>
      </c>
      <c r="H12" s="76">
        <f t="shared" si="0"/>
        <v>1.4E-3</v>
      </c>
    </row>
    <row r="13" spans="1:8">
      <c r="A13" t="s">
        <v>16</v>
      </c>
      <c r="B13" s="73">
        <v>26073974.940000005</v>
      </c>
      <c r="C13" t="s">
        <v>16</v>
      </c>
      <c r="D13" s="72">
        <v>26073974.940000005</v>
      </c>
      <c r="E13" s="72"/>
      <c r="F13" t="s">
        <v>13</v>
      </c>
      <c r="G13" s="73">
        <v>8011128.1199999992</v>
      </c>
      <c r="H13" s="76">
        <f t="shared" si="0"/>
        <v>2.3199999999999998E-2</v>
      </c>
    </row>
    <row r="14" spans="1:8">
      <c r="A14" t="s">
        <v>17</v>
      </c>
      <c r="B14" s="73">
        <v>14340697.289999999</v>
      </c>
      <c r="C14" t="s">
        <v>17</v>
      </c>
      <c r="D14" s="72">
        <v>14340697.289999999</v>
      </c>
      <c r="E14" s="72"/>
      <c r="F14" t="s">
        <v>14</v>
      </c>
      <c r="G14" s="73">
        <v>60844904.180000007</v>
      </c>
      <c r="H14" s="76">
        <f t="shared" si="0"/>
        <v>0.17580000000000001</v>
      </c>
    </row>
    <row r="15" spans="1:8">
      <c r="A15" t="s">
        <v>18</v>
      </c>
      <c r="B15" s="73">
        <v>414026.05</v>
      </c>
      <c r="C15" t="s">
        <v>18</v>
      </c>
      <c r="D15" s="72">
        <v>414026.05000000005</v>
      </c>
      <c r="E15" s="72"/>
      <c r="F15" t="s">
        <v>15</v>
      </c>
      <c r="G15" s="73">
        <v>2956478.8200000003</v>
      </c>
      <c r="H15" s="76">
        <f t="shared" si="0"/>
        <v>8.5000000000000006E-3</v>
      </c>
    </row>
    <row r="16" spans="1:8">
      <c r="A16" t="s">
        <v>19</v>
      </c>
      <c r="B16" s="73">
        <v>80942309.810000017</v>
      </c>
      <c r="C16" t="s">
        <v>19</v>
      </c>
      <c r="D16" s="72">
        <v>80942309.810000017</v>
      </c>
      <c r="E16" s="72"/>
      <c r="F16" t="s">
        <v>16</v>
      </c>
      <c r="G16" s="73">
        <v>26073974.940000005</v>
      </c>
      <c r="H16" s="76">
        <f t="shared" si="0"/>
        <v>7.5399999999999995E-2</v>
      </c>
    </row>
    <row r="17" spans="1:8">
      <c r="A17" t="s">
        <v>20</v>
      </c>
      <c r="B17" s="73">
        <v>114761.34999999999</v>
      </c>
      <c r="C17" t="s">
        <v>20</v>
      </c>
      <c r="D17" s="72">
        <v>114761.34999999999</v>
      </c>
      <c r="E17" s="72"/>
      <c r="F17" t="s">
        <v>17</v>
      </c>
      <c r="G17" s="73">
        <v>14340697.289999999</v>
      </c>
      <c r="H17" s="76">
        <f t="shared" si="0"/>
        <v>4.1399999999999999E-2</v>
      </c>
    </row>
    <row r="18" spans="1:8">
      <c r="A18" t="s">
        <v>21</v>
      </c>
      <c r="B18" s="73">
        <v>7414555.5299999993</v>
      </c>
      <c r="C18" t="s">
        <v>21</v>
      </c>
      <c r="D18" s="72">
        <v>7414555.5299999993</v>
      </c>
      <c r="F18" t="s">
        <v>18</v>
      </c>
      <c r="G18" s="73">
        <v>414026.05000000005</v>
      </c>
      <c r="H18" s="76">
        <f t="shared" si="0"/>
        <v>1.1999999999999999E-3</v>
      </c>
    </row>
    <row r="19" spans="1:8">
      <c r="A19" t="s">
        <v>22</v>
      </c>
      <c r="B19" s="73">
        <v>79318937.170000002</v>
      </c>
      <c r="C19" t="s">
        <v>22</v>
      </c>
      <c r="D19" s="72">
        <v>79318937.170000002</v>
      </c>
      <c r="E19" s="72"/>
      <c r="F19" t="s">
        <v>19</v>
      </c>
      <c r="G19" s="73">
        <v>80942309.810000017</v>
      </c>
      <c r="H19" s="76">
        <f t="shared" si="0"/>
        <v>0.2339</v>
      </c>
    </row>
    <row r="20" spans="1:8">
      <c r="A20" t="s">
        <v>23</v>
      </c>
      <c r="B20" s="73">
        <v>1640301.65</v>
      </c>
      <c r="C20" t="s">
        <v>23</v>
      </c>
      <c r="D20" s="72">
        <v>1640301.65</v>
      </c>
      <c r="E20" s="72"/>
      <c r="F20" t="s">
        <v>20</v>
      </c>
      <c r="G20" s="73">
        <v>114761.34999999999</v>
      </c>
      <c r="H20" s="76">
        <f t="shared" si="0"/>
        <v>2.9999999999999997E-4</v>
      </c>
    </row>
    <row r="21" spans="1:8">
      <c r="A21" t="s">
        <v>24</v>
      </c>
      <c r="B21" s="73">
        <v>10342.5</v>
      </c>
      <c r="C21" t="s">
        <v>24</v>
      </c>
      <c r="D21" s="72">
        <v>10342.5</v>
      </c>
      <c r="E21" s="72"/>
      <c r="F21" s="77" t="s">
        <v>21</v>
      </c>
      <c r="G21" s="78">
        <v>7414555.5299999993</v>
      </c>
      <c r="H21" s="79">
        <f>ROUND(G21/$G$37,4)+0.0002</f>
        <v>2.1599999999999998E-2</v>
      </c>
    </row>
    <row r="22" spans="1:8">
      <c r="A22" t="s">
        <v>25</v>
      </c>
      <c r="B22" s="73">
        <v>791164.35</v>
      </c>
      <c r="C22" s="74" t="s">
        <v>22</v>
      </c>
      <c r="D22" s="72">
        <v>791164.35</v>
      </c>
      <c r="E22" s="72"/>
      <c r="F22" t="s">
        <v>22</v>
      </c>
      <c r="G22" s="73">
        <v>90845139.960000008</v>
      </c>
      <c r="H22" s="76">
        <f t="shared" si="0"/>
        <v>0.26250000000000001</v>
      </c>
    </row>
    <row r="23" spans="1:8">
      <c r="A23" t="s">
        <v>26</v>
      </c>
      <c r="B23" s="73">
        <v>934600.09000000008</v>
      </c>
      <c r="C23" s="74" t="s">
        <v>22</v>
      </c>
      <c r="D23" s="72">
        <v>934600.09000000008</v>
      </c>
      <c r="E23" s="72"/>
      <c r="F23" t="s">
        <v>23</v>
      </c>
      <c r="G23" s="73">
        <v>1640301.65</v>
      </c>
      <c r="H23" s="76">
        <f t="shared" si="0"/>
        <v>4.7000000000000002E-3</v>
      </c>
    </row>
    <row r="24" spans="1:8">
      <c r="A24" t="s">
        <v>27</v>
      </c>
      <c r="B24" s="73">
        <v>261280.34000000003</v>
      </c>
      <c r="C24" t="s">
        <v>27</v>
      </c>
      <c r="D24" s="72">
        <v>261280.34000000003</v>
      </c>
      <c r="E24" s="72"/>
      <c r="F24" t="s">
        <v>24</v>
      </c>
      <c r="G24" s="73">
        <v>10342.5</v>
      </c>
      <c r="H24" s="76">
        <f t="shared" si="0"/>
        <v>0</v>
      </c>
    </row>
    <row r="25" spans="1:8">
      <c r="A25" t="s">
        <v>29</v>
      </c>
      <c r="B25" s="73">
        <v>907266.47</v>
      </c>
      <c r="C25" t="s">
        <v>29</v>
      </c>
      <c r="D25" s="72">
        <v>907266.46999999986</v>
      </c>
      <c r="E25" s="72"/>
      <c r="F25" t="s">
        <v>27</v>
      </c>
      <c r="G25" s="73">
        <v>261280.34000000003</v>
      </c>
      <c r="H25" s="76">
        <f t="shared" si="0"/>
        <v>8.0000000000000004E-4</v>
      </c>
    </row>
    <row r="26" spans="1:8">
      <c r="A26" t="s">
        <v>55</v>
      </c>
      <c r="B26" s="73">
        <v>1592.71</v>
      </c>
      <c r="C26" t="s">
        <v>55</v>
      </c>
      <c r="D26" s="72">
        <v>1592.71</v>
      </c>
      <c r="E26" s="72"/>
      <c r="F26" t="s">
        <v>29</v>
      </c>
      <c r="G26" s="73">
        <v>907266.46999999986</v>
      </c>
      <c r="H26" s="76">
        <f t="shared" si="0"/>
        <v>2.5999999999999999E-3</v>
      </c>
    </row>
    <row r="27" spans="1:8">
      <c r="A27" t="s">
        <v>30</v>
      </c>
      <c r="B27" s="73">
        <v>262037.12</v>
      </c>
      <c r="C27" t="s">
        <v>30</v>
      </c>
      <c r="D27" s="72">
        <v>262037.12</v>
      </c>
      <c r="E27" s="72"/>
      <c r="F27" t="s">
        <v>55</v>
      </c>
      <c r="G27" s="73">
        <v>1592.71</v>
      </c>
      <c r="H27" s="76">
        <f t="shared" si="0"/>
        <v>0</v>
      </c>
    </row>
    <row r="28" spans="1:8">
      <c r="A28" t="s">
        <v>31</v>
      </c>
      <c r="B28" s="73">
        <v>97937.09</v>
      </c>
      <c r="C28" t="s">
        <v>31</v>
      </c>
      <c r="D28" s="72">
        <v>97937.09</v>
      </c>
      <c r="E28" s="72"/>
      <c r="F28" t="s">
        <v>30</v>
      </c>
      <c r="G28" s="73">
        <v>262037.12</v>
      </c>
      <c r="H28" s="76">
        <f t="shared" si="0"/>
        <v>8.0000000000000004E-4</v>
      </c>
    </row>
    <row r="29" spans="1:8">
      <c r="A29" t="s">
        <v>32</v>
      </c>
      <c r="B29" s="73">
        <v>28901532.449999992</v>
      </c>
      <c r="C29" t="s">
        <v>32</v>
      </c>
      <c r="D29" s="72">
        <v>28901532.449999992</v>
      </c>
      <c r="E29" s="72"/>
      <c r="F29" t="s">
        <v>31</v>
      </c>
      <c r="G29" s="73">
        <v>97937.09</v>
      </c>
      <c r="H29" s="76">
        <f t="shared" si="0"/>
        <v>2.9999999999999997E-4</v>
      </c>
    </row>
    <row r="30" spans="1:8">
      <c r="A30" t="s">
        <v>33</v>
      </c>
      <c r="B30" s="73">
        <v>4339248.32</v>
      </c>
      <c r="C30" t="s">
        <v>33</v>
      </c>
      <c r="D30" s="72">
        <v>4339248.32</v>
      </c>
      <c r="E30" s="72"/>
      <c r="F30" t="s">
        <v>32</v>
      </c>
      <c r="G30" s="73">
        <v>28901532.449999992</v>
      </c>
      <c r="H30" s="76">
        <f t="shared" si="0"/>
        <v>8.3500000000000005E-2</v>
      </c>
    </row>
    <row r="31" spans="1:8">
      <c r="A31" t="s">
        <v>47</v>
      </c>
      <c r="B31" s="73">
        <v>6849241.4500000002</v>
      </c>
      <c r="C31" s="74" t="s">
        <v>22</v>
      </c>
      <c r="D31" s="72">
        <v>6849241.4500000002</v>
      </c>
      <c r="E31" s="72"/>
      <c r="F31" t="s">
        <v>33</v>
      </c>
      <c r="G31" s="73">
        <v>4339248.32</v>
      </c>
      <c r="H31" s="76">
        <f t="shared" si="0"/>
        <v>1.2500000000000001E-2</v>
      </c>
    </row>
    <row r="32" spans="1:8">
      <c r="A32" t="s">
        <v>48</v>
      </c>
      <c r="B32" s="73">
        <v>2951196.9000000004</v>
      </c>
      <c r="C32" s="74" t="s">
        <v>22</v>
      </c>
      <c r="D32" s="72">
        <v>2951196.9000000004</v>
      </c>
      <c r="E32" s="72"/>
      <c r="F32" t="s">
        <v>35</v>
      </c>
      <c r="G32" s="73">
        <v>100110.77</v>
      </c>
      <c r="H32" s="76">
        <f t="shared" si="0"/>
        <v>2.9999999999999997E-4</v>
      </c>
    </row>
    <row r="33" spans="1:8">
      <c r="A33" t="s">
        <v>35</v>
      </c>
      <c r="B33" s="73">
        <v>100110.77</v>
      </c>
      <c r="C33" t="s">
        <v>35</v>
      </c>
      <c r="D33" s="72">
        <v>100110.77</v>
      </c>
      <c r="E33" s="72"/>
      <c r="F33" t="s">
        <v>36</v>
      </c>
      <c r="G33" s="73">
        <v>83800.61</v>
      </c>
      <c r="H33" s="76">
        <f t="shared" si="0"/>
        <v>2.0000000000000001E-4</v>
      </c>
    </row>
    <row r="34" spans="1:8">
      <c r="A34" t="s">
        <v>36</v>
      </c>
      <c r="B34" s="73">
        <v>83800.61</v>
      </c>
      <c r="C34" t="s">
        <v>36</v>
      </c>
      <c r="D34" s="72">
        <v>83800.61</v>
      </c>
      <c r="E34" s="72"/>
      <c r="F34" t="s">
        <v>37</v>
      </c>
      <c r="G34" s="73">
        <v>55550.459999999992</v>
      </c>
      <c r="H34" s="76">
        <f t="shared" si="0"/>
        <v>2.0000000000000001E-4</v>
      </c>
    </row>
    <row r="35" spans="1:8">
      <c r="A35" t="s">
        <v>37</v>
      </c>
      <c r="B35" s="73">
        <v>55550.459999999992</v>
      </c>
      <c r="C35" t="s">
        <v>37</v>
      </c>
      <c r="D35" s="72">
        <v>55550.459999999992</v>
      </c>
      <c r="E35" s="72"/>
      <c r="F35" t="s">
        <v>38</v>
      </c>
      <c r="G35" s="73">
        <v>168080.30000000002</v>
      </c>
      <c r="H35" s="76">
        <f t="shared" si="0"/>
        <v>5.0000000000000001E-4</v>
      </c>
    </row>
    <row r="36" spans="1:8">
      <c r="A36" t="s">
        <v>38</v>
      </c>
      <c r="B36" s="73">
        <v>168080.30000000002</v>
      </c>
      <c r="C36" t="s">
        <v>38</v>
      </c>
      <c r="D36" s="72">
        <v>168080.30000000002</v>
      </c>
      <c r="E36" s="72"/>
      <c r="F36" t="s">
        <v>56</v>
      </c>
      <c r="G36" s="73">
        <v>1007.73</v>
      </c>
      <c r="H36" s="76">
        <f t="shared" si="0"/>
        <v>0</v>
      </c>
    </row>
    <row r="37" spans="1:8">
      <c r="A37" t="s">
        <v>56</v>
      </c>
      <c r="B37" s="73">
        <v>1007.73</v>
      </c>
      <c r="C37" t="s">
        <v>56</v>
      </c>
      <c r="D37" s="72">
        <v>1007.73</v>
      </c>
      <c r="E37" s="72"/>
      <c r="F37" t="s">
        <v>49</v>
      </c>
      <c r="G37" s="73">
        <v>346019892.69999993</v>
      </c>
      <c r="H37" s="76">
        <f>SUM(H9:H36)</f>
        <v>0.99999999999999989</v>
      </c>
    </row>
    <row r="38" spans="1:8">
      <c r="A38" t="s">
        <v>49</v>
      </c>
      <c r="B38" s="80">
        <v>346019892.69999987</v>
      </c>
      <c r="E38" s="72"/>
    </row>
    <row r="39" spans="1:8">
      <c r="E39" s="72"/>
    </row>
    <row r="40" spans="1:8">
      <c r="C40" s="72"/>
      <c r="D40" s="72"/>
      <c r="E40" s="72"/>
    </row>
    <row r="41" spans="1:8">
      <c r="C41" s="72"/>
    </row>
    <row r="43" spans="1:8">
      <c r="D43" s="76"/>
    </row>
  </sheetData>
  <mergeCells count="1">
    <mergeCell ref="D1:G2"/>
  </mergeCells>
  <pageMargins left="0.7" right="0.7" top="0.75" bottom="0.75" header="0.3" footer="0.3"/>
  <pageSetup scale="91" orientation="landscape" r:id="rId1"/>
  <headerFooter>
    <oddHeader>&amp;RKY PSC Case No. 2016-00162,
Attachment G to Staff Post Hearing Supp. DR 2</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H23"/>
  <sheetViews>
    <sheetView workbookViewId="0">
      <selection sqref="A1:H1"/>
    </sheetView>
  </sheetViews>
  <sheetFormatPr defaultRowHeight="14.4"/>
  <cols>
    <col min="1" max="1" width="8.88671875" style="77"/>
    <col min="2" max="2" width="11.44140625" style="77" bestFit="1" customWidth="1"/>
    <col min="3" max="3" width="3.44140625" style="77" customWidth="1"/>
    <col min="4" max="4" width="8.88671875" style="77"/>
    <col min="5" max="5" width="15.33203125" style="77" bestFit="1" customWidth="1"/>
    <col min="6" max="6" width="11.44140625" style="77" bestFit="1" customWidth="1"/>
    <col min="7" max="7" width="3.5546875" style="77" customWidth="1"/>
    <col min="8" max="8" width="10.33203125" style="77" bestFit="1" customWidth="1"/>
    <col min="9" max="16384" width="8.88671875" style="77"/>
  </cols>
  <sheetData>
    <row r="1" spans="1:8" ht="19.2">
      <c r="A1" s="252" t="s">
        <v>97</v>
      </c>
      <c r="B1" s="252"/>
      <c r="C1" s="252"/>
      <c r="D1" s="252"/>
      <c r="E1" s="252"/>
      <c r="F1" s="252"/>
      <c r="G1" s="252"/>
      <c r="H1" s="252"/>
    </row>
    <row r="3" spans="1:8">
      <c r="A3" s="250" t="s">
        <v>95</v>
      </c>
      <c r="B3" s="250"/>
      <c r="C3" s="152"/>
      <c r="D3" s="250" t="s">
        <v>96</v>
      </c>
      <c r="E3" s="250"/>
      <c r="F3" s="250"/>
    </row>
    <row r="4" spans="1:8">
      <c r="A4" s="153"/>
      <c r="B4" s="153"/>
      <c r="D4" s="153"/>
      <c r="E4" s="153"/>
      <c r="F4" s="153"/>
    </row>
    <row r="5" spans="1:8">
      <c r="A5" s="152" t="s">
        <v>44</v>
      </c>
      <c r="B5" s="154" t="s">
        <v>4</v>
      </c>
      <c r="C5" s="155"/>
      <c r="D5" s="152" t="s">
        <v>44</v>
      </c>
      <c r="E5" s="152" t="s">
        <v>63</v>
      </c>
      <c r="F5" s="154" t="s">
        <v>4</v>
      </c>
      <c r="G5" s="135"/>
      <c r="H5" s="154" t="s">
        <v>7</v>
      </c>
    </row>
    <row r="6" spans="1:8">
      <c r="A6" s="189" t="s">
        <v>120</v>
      </c>
      <c r="B6" s="160">
        <v>0</v>
      </c>
      <c r="C6" s="135"/>
      <c r="D6" s="189" t="s">
        <v>120</v>
      </c>
      <c r="E6" s="195">
        <v>0</v>
      </c>
      <c r="F6" s="160">
        <v>0</v>
      </c>
      <c r="G6" s="156"/>
      <c r="H6" s="190">
        <f t="shared" ref="H6:H22" si="0">F6-B6</f>
        <v>0</v>
      </c>
    </row>
    <row r="7" spans="1:8">
      <c r="A7" s="134" t="s">
        <v>11</v>
      </c>
      <c r="B7" s="138">
        <v>4.0000000000000002E-4</v>
      </c>
      <c r="C7" s="135"/>
      <c r="D7" s="187" t="s">
        <v>11</v>
      </c>
      <c r="E7" s="195">
        <v>23503.430000000055</v>
      </c>
      <c r="F7" s="138">
        <v>2.9999999999999997E-4</v>
      </c>
      <c r="G7" s="156"/>
      <c r="H7" s="133">
        <f t="shared" si="0"/>
        <v>-1.0000000000000005E-4</v>
      </c>
    </row>
    <row r="8" spans="1:8">
      <c r="A8" s="134" t="s">
        <v>13</v>
      </c>
      <c r="B8" s="138">
        <v>2.3E-2</v>
      </c>
      <c r="C8" s="135"/>
      <c r="D8" s="187" t="s">
        <v>13</v>
      </c>
      <c r="E8" s="195">
        <v>2998963.9599999953</v>
      </c>
      <c r="F8" s="138">
        <v>3.2300000000000002E-2</v>
      </c>
      <c r="G8" s="136"/>
      <c r="H8" s="133">
        <f t="shared" si="0"/>
        <v>9.3000000000000027E-3</v>
      </c>
    </row>
    <row r="9" spans="1:8">
      <c r="A9" s="134" t="s">
        <v>14</v>
      </c>
      <c r="B9" s="138">
        <v>0.1893</v>
      </c>
      <c r="C9" s="135"/>
      <c r="D9" s="187" t="s">
        <v>14</v>
      </c>
      <c r="E9" s="195">
        <v>23712414.33000008</v>
      </c>
      <c r="F9" s="138">
        <v>0.25530000000000003</v>
      </c>
      <c r="G9" s="136"/>
      <c r="H9" s="133">
        <f t="shared" si="0"/>
        <v>6.6000000000000031E-2</v>
      </c>
    </row>
    <row r="10" spans="1:8">
      <c r="A10" s="134" t="s">
        <v>15</v>
      </c>
      <c r="B10" s="138">
        <v>8.5000000000000006E-3</v>
      </c>
      <c r="C10" s="135"/>
      <c r="D10" s="187" t="s">
        <v>15</v>
      </c>
      <c r="E10" s="195">
        <v>1124046.1300000013</v>
      </c>
      <c r="F10" s="138">
        <v>1.21E-2</v>
      </c>
      <c r="G10" s="136"/>
      <c r="H10" s="133">
        <f t="shared" si="0"/>
        <v>3.599999999999999E-3</v>
      </c>
    </row>
    <row r="11" spans="1:8">
      <c r="A11" s="134" t="s">
        <v>16</v>
      </c>
      <c r="B11" s="138">
        <v>8.3099999999999993E-2</v>
      </c>
      <c r="C11" s="135"/>
      <c r="D11" s="187" t="s">
        <v>16</v>
      </c>
      <c r="E11" s="195">
        <v>11136976.399999985</v>
      </c>
      <c r="F11" s="138">
        <v>0.11990000000000001</v>
      </c>
      <c r="G11" s="136"/>
      <c r="H11" s="133">
        <f t="shared" si="0"/>
        <v>3.6800000000000013E-2</v>
      </c>
    </row>
    <row r="12" spans="1:8">
      <c r="A12" s="134" t="s">
        <v>17</v>
      </c>
      <c r="B12" s="138">
        <v>4.36E-2</v>
      </c>
      <c r="C12" s="135"/>
      <c r="D12" s="187" t="s">
        <v>17</v>
      </c>
      <c r="E12" s="195">
        <v>6087241.1199999936</v>
      </c>
      <c r="F12" s="138">
        <v>6.5500000000000003E-2</v>
      </c>
      <c r="G12" s="136"/>
      <c r="H12" s="133">
        <f t="shared" si="0"/>
        <v>2.1900000000000003E-2</v>
      </c>
    </row>
    <row r="13" spans="1:8">
      <c r="A13" s="134" t="s">
        <v>21</v>
      </c>
      <c r="B13" s="138">
        <v>3.2000000000000002E-3</v>
      </c>
      <c r="C13" s="135"/>
      <c r="D13" s="187" t="s">
        <v>21</v>
      </c>
      <c r="E13" s="195">
        <v>432937.47000000044</v>
      </c>
      <c r="F13" s="138">
        <v>4.5000000000000005E-3</v>
      </c>
      <c r="G13" s="136"/>
      <c r="H13" s="133">
        <f t="shared" si="0"/>
        <v>1.3000000000000004E-3</v>
      </c>
    </row>
    <row r="14" spans="1:8">
      <c r="A14" s="134" t="s">
        <v>22</v>
      </c>
      <c r="B14" s="138">
        <v>0.2752</v>
      </c>
      <c r="C14" s="135"/>
      <c r="D14" s="187" t="s">
        <v>22</v>
      </c>
      <c r="E14" s="195">
        <v>36894699.28999991</v>
      </c>
      <c r="F14" s="138">
        <v>0.3972</v>
      </c>
      <c r="G14" s="136"/>
      <c r="H14" s="133">
        <f t="shared" si="0"/>
        <v>0.122</v>
      </c>
    </row>
    <row r="15" spans="1:8">
      <c r="A15" s="134" t="s">
        <v>23</v>
      </c>
      <c r="B15" s="138">
        <v>5.0000000000000001E-4</v>
      </c>
      <c r="C15" s="135"/>
      <c r="D15" s="187" t="s">
        <v>23</v>
      </c>
      <c r="E15" s="195">
        <v>56500.350000000013</v>
      </c>
      <c r="F15" s="138">
        <v>5.9999999999999995E-4</v>
      </c>
      <c r="G15" s="136"/>
      <c r="H15" s="190">
        <f t="shared" si="0"/>
        <v>9.9999999999999937E-5</v>
      </c>
    </row>
    <row r="16" spans="1:8">
      <c r="A16" s="134" t="s">
        <v>24</v>
      </c>
      <c r="B16" s="138">
        <v>0</v>
      </c>
      <c r="C16" s="135"/>
      <c r="D16" s="187" t="s">
        <v>24</v>
      </c>
      <c r="E16" s="195">
        <v>-1.0499999999999605</v>
      </c>
      <c r="F16" s="160">
        <v>0</v>
      </c>
      <c r="G16" s="136"/>
      <c r="H16" s="190">
        <f t="shared" si="0"/>
        <v>0</v>
      </c>
    </row>
    <row r="17" spans="1:8">
      <c r="A17" s="134" t="s">
        <v>27</v>
      </c>
      <c r="B17" s="138">
        <v>0</v>
      </c>
      <c r="C17" s="135"/>
      <c r="D17" s="187" t="s">
        <v>27</v>
      </c>
      <c r="E17" s="195">
        <v>3418.1400000000258</v>
      </c>
      <c r="F17" s="160">
        <v>0</v>
      </c>
      <c r="G17" s="136"/>
      <c r="H17" s="190">
        <f t="shared" si="0"/>
        <v>0</v>
      </c>
    </row>
    <row r="18" spans="1:8">
      <c r="A18" s="134" t="s">
        <v>30</v>
      </c>
      <c r="B18" s="138">
        <v>1E-4</v>
      </c>
      <c r="C18" s="135"/>
      <c r="D18" s="187" t="s">
        <v>30</v>
      </c>
      <c r="E18" s="195">
        <v>8931.9900000000507</v>
      </c>
      <c r="F18" s="138">
        <v>1E-4</v>
      </c>
      <c r="G18" s="136"/>
      <c r="H18" s="190">
        <f t="shared" si="0"/>
        <v>0</v>
      </c>
    </row>
    <row r="19" spans="1:8">
      <c r="A19" s="134" t="s">
        <v>31</v>
      </c>
      <c r="B19" s="138">
        <v>0</v>
      </c>
      <c r="C19" s="135"/>
      <c r="D19" s="187" t="s">
        <v>31</v>
      </c>
      <c r="E19" s="195">
        <v>1771.8799999999881</v>
      </c>
      <c r="F19" s="160">
        <v>0</v>
      </c>
      <c r="G19" s="140"/>
      <c r="H19" s="190">
        <f t="shared" si="0"/>
        <v>0</v>
      </c>
    </row>
    <row r="20" spans="1:8">
      <c r="A20" s="134" t="s">
        <v>32</v>
      </c>
      <c r="B20" s="138">
        <v>7.7499999999999999E-2</v>
      </c>
      <c r="C20" s="135"/>
      <c r="D20" s="187" t="s">
        <v>32</v>
      </c>
      <c r="E20" s="195">
        <v>10421163.740000023</v>
      </c>
      <c r="F20" s="138">
        <v>0.11219999999999999</v>
      </c>
      <c r="G20" s="140"/>
      <c r="H20" s="133">
        <f t="shared" si="0"/>
        <v>3.4699999999999995E-2</v>
      </c>
    </row>
    <row r="21" spans="1:8">
      <c r="A21" s="134" t="s">
        <v>36</v>
      </c>
      <c r="B21" s="138">
        <v>0</v>
      </c>
      <c r="C21" s="135"/>
      <c r="D21" s="187" t="s">
        <v>36</v>
      </c>
      <c r="E21" s="195">
        <v>-10531.599999999944</v>
      </c>
      <c r="F21" s="160">
        <v>0</v>
      </c>
      <c r="G21" s="156"/>
      <c r="H21" s="190">
        <f t="shared" si="0"/>
        <v>0</v>
      </c>
    </row>
    <row r="22" spans="1:8">
      <c r="A22" s="134" t="s">
        <v>37</v>
      </c>
      <c r="B22" s="138">
        <v>0</v>
      </c>
      <c r="C22" s="135"/>
      <c r="D22" s="187" t="s">
        <v>37</v>
      </c>
      <c r="E22" s="195">
        <v>-10695.529999999953</v>
      </c>
      <c r="F22" s="160">
        <v>0</v>
      </c>
      <c r="G22" s="156"/>
      <c r="H22" s="190">
        <f t="shared" si="0"/>
        <v>0</v>
      </c>
    </row>
    <row r="23" spans="1:8" ht="15" thickBot="1">
      <c r="A23" s="157" t="s">
        <v>6</v>
      </c>
      <c r="B23" s="157">
        <f>SUM(B6:B22)</f>
        <v>0.70439999999999992</v>
      </c>
      <c r="D23" s="188" t="s">
        <v>6</v>
      </c>
      <c r="E23" s="196">
        <f>SUM(E6:E22)</f>
        <v>92881340.049999982</v>
      </c>
      <c r="F23" s="144">
        <f>SUM(F6:F22)</f>
        <v>1</v>
      </c>
      <c r="H23" s="191">
        <f>SUM(H6:H22)</f>
        <v>0.29560000000000003</v>
      </c>
    </row>
  </sheetData>
  <mergeCells count="3">
    <mergeCell ref="A1:H1"/>
    <mergeCell ref="A3:B3"/>
    <mergeCell ref="D3:F3"/>
  </mergeCells>
  <pageMargins left="0.7" right="0.7" top="0.75" bottom="0.75" header="0.3" footer="0.3"/>
  <pageSetup orientation="landscape" r:id="rId1"/>
  <headerFooter>
    <oddHeader>&amp;RKY PSC Case No. 2016-00162,
Attachment G to Staff Post Hearing Supp. DR 2</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J31"/>
  <sheetViews>
    <sheetView workbookViewId="0"/>
  </sheetViews>
  <sheetFormatPr defaultRowHeight="14.4"/>
  <cols>
    <col min="1" max="1" width="14.109375" customWidth="1"/>
    <col min="2" max="2" width="23" customWidth="1"/>
    <col min="4" max="4" width="6.109375" customWidth="1"/>
    <col min="5" max="5" width="12.33203125" bestFit="1" customWidth="1"/>
    <col min="7" max="7" width="11.33203125" customWidth="1"/>
    <col min="8" max="8" width="19.109375" bestFit="1" customWidth="1"/>
  </cols>
  <sheetData>
    <row r="1" spans="1:10">
      <c r="A1" s="163" t="s">
        <v>101</v>
      </c>
      <c r="B1" t="s">
        <v>102</v>
      </c>
    </row>
    <row r="2" spans="1:10">
      <c r="A2" s="163" t="s">
        <v>106</v>
      </c>
      <c r="B2" t="s">
        <v>107</v>
      </c>
    </row>
    <row r="3" spans="1:10">
      <c r="A3" s="163" t="s">
        <v>121</v>
      </c>
      <c r="B3" t="s">
        <v>107</v>
      </c>
    </row>
    <row r="5" spans="1:10">
      <c r="A5" s="163" t="s">
        <v>44</v>
      </c>
      <c r="B5" t="s">
        <v>100</v>
      </c>
      <c r="D5" s="46" t="s">
        <v>44</v>
      </c>
      <c r="E5" s="46" t="s">
        <v>108</v>
      </c>
      <c r="G5" s="163" t="s">
        <v>44</v>
      </c>
      <c r="H5" t="s">
        <v>100</v>
      </c>
    </row>
    <row r="6" spans="1:10">
      <c r="A6" t="s">
        <v>11</v>
      </c>
      <c r="B6" s="73">
        <v>23503.430000000055</v>
      </c>
      <c r="D6" t="s">
        <v>11</v>
      </c>
      <c r="E6" s="76">
        <v>2.530479210070361E-4</v>
      </c>
      <c r="G6" t="s">
        <v>11</v>
      </c>
      <c r="H6" s="85">
        <v>2.530479210070361E-4</v>
      </c>
      <c r="J6" s="76">
        <f>ROUND(H6,4)</f>
        <v>2.9999999999999997E-4</v>
      </c>
    </row>
    <row r="7" spans="1:10">
      <c r="A7" t="s">
        <v>13</v>
      </c>
      <c r="B7" s="73">
        <v>2998963.9599999953</v>
      </c>
      <c r="D7" t="s">
        <v>13</v>
      </c>
      <c r="E7" s="76">
        <v>3.2288121148829139E-2</v>
      </c>
      <c r="G7" t="s">
        <v>13</v>
      </c>
      <c r="H7" s="85">
        <v>3.2288121148829139E-2</v>
      </c>
      <c r="J7" s="76">
        <f t="shared" ref="J7:J21" si="0">ROUND(H7,4)</f>
        <v>3.2300000000000002E-2</v>
      </c>
    </row>
    <row r="8" spans="1:10">
      <c r="A8" t="s">
        <v>14</v>
      </c>
      <c r="B8" s="73">
        <v>23712414.33000008</v>
      </c>
      <c r="D8" t="s">
        <v>14</v>
      </c>
      <c r="E8" s="76">
        <v>0.25529793516367427</v>
      </c>
      <c r="G8" t="s">
        <v>14</v>
      </c>
      <c r="H8" s="85">
        <v>0.25529793516367427</v>
      </c>
      <c r="J8" s="76">
        <f t="shared" si="0"/>
        <v>0.25530000000000003</v>
      </c>
    </row>
    <row r="9" spans="1:10">
      <c r="A9" t="s">
        <v>15</v>
      </c>
      <c r="B9" s="73">
        <v>1124046.1300000013</v>
      </c>
      <c r="D9" t="s">
        <v>15</v>
      </c>
      <c r="E9" s="76">
        <v>1.2101958578492769E-2</v>
      </c>
      <c r="G9" t="s">
        <v>15</v>
      </c>
      <c r="H9" s="85">
        <v>1.2101958578492769E-2</v>
      </c>
      <c r="J9" s="76">
        <f t="shared" si="0"/>
        <v>1.21E-2</v>
      </c>
    </row>
    <row r="10" spans="1:10">
      <c r="A10" t="s">
        <v>16</v>
      </c>
      <c r="B10" s="73">
        <v>11136976.399999985</v>
      </c>
      <c r="D10" t="s">
        <v>16</v>
      </c>
      <c r="E10" s="76">
        <v>0.11990542334988617</v>
      </c>
      <c r="G10" t="s">
        <v>16</v>
      </c>
      <c r="H10" s="85">
        <v>0.11990542334988617</v>
      </c>
      <c r="J10" s="76">
        <f t="shared" si="0"/>
        <v>0.11990000000000001</v>
      </c>
    </row>
    <row r="11" spans="1:10">
      <c r="A11" t="s">
        <v>17</v>
      </c>
      <c r="B11" s="73">
        <v>6087241.1199999936</v>
      </c>
      <c r="D11" t="s">
        <v>17</v>
      </c>
      <c r="E11" s="76">
        <v>6.5537826184711628E-2</v>
      </c>
      <c r="G11" t="s">
        <v>17</v>
      </c>
      <c r="H11" s="85">
        <v>6.5537826184711628E-2</v>
      </c>
      <c r="J11" s="76">
        <f t="shared" si="0"/>
        <v>6.5500000000000003E-2</v>
      </c>
    </row>
    <row r="12" spans="1:10">
      <c r="A12" t="s">
        <v>21</v>
      </c>
      <c r="B12" s="73">
        <v>432937.47000000044</v>
      </c>
      <c r="D12" t="s">
        <v>21</v>
      </c>
      <c r="E12" s="76">
        <v>4.6611888864538462E-3</v>
      </c>
      <c r="G12" t="s">
        <v>21</v>
      </c>
      <c r="H12" s="85">
        <v>4.6611888864538462E-3</v>
      </c>
      <c r="J12" s="79">
        <f>ROUND(H12,4)-0.0002</f>
        <v>4.5000000000000005E-3</v>
      </c>
    </row>
    <row r="13" spans="1:10">
      <c r="A13" t="s">
        <v>22</v>
      </c>
      <c r="B13" s="73">
        <v>35846471.099999912</v>
      </c>
      <c r="D13" t="s">
        <v>22</v>
      </c>
      <c r="E13" s="76">
        <v>0.38593834973422003</v>
      </c>
      <c r="G13" t="s">
        <v>22</v>
      </c>
      <c r="H13" s="85">
        <v>0.39722402013298597</v>
      </c>
      <c r="J13" s="76">
        <f t="shared" si="0"/>
        <v>0.3972</v>
      </c>
    </row>
    <row r="14" spans="1:10">
      <c r="A14" t="s">
        <v>23</v>
      </c>
      <c r="B14" s="73">
        <v>56500.350000000013</v>
      </c>
      <c r="D14" t="s">
        <v>23</v>
      </c>
      <c r="E14" s="76">
        <v>6.0830679197333595E-4</v>
      </c>
      <c r="G14" t="s">
        <v>23</v>
      </c>
      <c r="H14" s="85">
        <v>6.0830679197333595E-4</v>
      </c>
      <c r="J14" s="76">
        <f t="shared" si="0"/>
        <v>5.9999999999999995E-4</v>
      </c>
    </row>
    <row r="15" spans="1:10">
      <c r="A15" t="s">
        <v>24</v>
      </c>
      <c r="B15" s="73">
        <v>-1.0499999999999605</v>
      </c>
      <c r="D15" t="s">
        <v>24</v>
      </c>
      <c r="E15" s="76">
        <v>-1.1304746458596779E-8</v>
      </c>
      <c r="G15" t="s">
        <v>24</v>
      </c>
      <c r="H15" s="85">
        <v>-1.1304746458596779E-8</v>
      </c>
      <c r="J15" s="76">
        <f t="shared" si="0"/>
        <v>0</v>
      </c>
    </row>
    <row r="16" spans="1:10">
      <c r="A16" t="s">
        <v>27</v>
      </c>
      <c r="B16" s="73">
        <v>3418.1400000000258</v>
      </c>
      <c r="D16" t="s">
        <v>27</v>
      </c>
      <c r="E16" s="76">
        <v>3.6801148628561656E-5</v>
      </c>
      <c r="G16" t="s">
        <v>27</v>
      </c>
      <c r="H16" s="85">
        <v>3.6801148628561656E-5</v>
      </c>
      <c r="J16" s="76">
        <f t="shared" si="0"/>
        <v>0</v>
      </c>
    </row>
    <row r="17" spans="1:10">
      <c r="A17" t="s">
        <v>30</v>
      </c>
      <c r="B17" s="73">
        <v>8931.9900000000507</v>
      </c>
      <c r="D17" t="s">
        <v>30</v>
      </c>
      <c r="E17" s="76">
        <v>9.6165602210215449E-5</v>
      </c>
      <c r="G17" t="s">
        <v>30</v>
      </c>
      <c r="H17" s="85">
        <v>9.6165602210215449E-5</v>
      </c>
      <c r="J17" s="76">
        <f t="shared" si="0"/>
        <v>1E-4</v>
      </c>
    </row>
    <row r="18" spans="1:10">
      <c r="A18" t="s">
        <v>31</v>
      </c>
      <c r="B18" s="73">
        <v>1771.8799999999881</v>
      </c>
      <c r="D18" t="s">
        <v>31</v>
      </c>
      <c r="E18" s="76">
        <v>1.9076813481008647E-5</v>
      </c>
      <c r="G18" t="s">
        <v>31</v>
      </c>
      <c r="H18" s="85">
        <v>1.9076813481008647E-5</v>
      </c>
      <c r="J18" s="76">
        <f t="shared" si="0"/>
        <v>0</v>
      </c>
    </row>
    <row r="19" spans="1:10">
      <c r="A19" t="s">
        <v>32</v>
      </c>
      <c r="B19" s="73">
        <v>10421163.740000023</v>
      </c>
      <c r="D19" t="s">
        <v>32</v>
      </c>
      <c r="E19" s="76">
        <v>0.11219867988973986</v>
      </c>
      <c r="G19" t="s">
        <v>32</v>
      </c>
      <c r="H19" s="85">
        <v>0.11219867988973986</v>
      </c>
      <c r="J19" s="76">
        <f t="shared" si="0"/>
        <v>0.11219999999999999</v>
      </c>
    </row>
    <row r="20" spans="1:10">
      <c r="A20" t="s">
        <v>47</v>
      </c>
      <c r="B20" s="73">
        <v>744551.80999999843</v>
      </c>
      <c r="D20" s="74" t="s">
        <v>22</v>
      </c>
      <c r="E20" s="76">
        <v>8.0161613688948773E-3</v>
      </c>
      <c r="G20" t="s">
        <v>36</v>
      </c>
      <c r="H20" s="85">
        <v>0</v>
      </c>
      <c r="J20" s="76">
        <f t="shared" si="0"/>
        <v>0</v>
      </c>
    </row>
    <row r="21" spans="1:10">
      <c r="A21" t="s">
        <v>48</v>
      </c>
      <c r="B21" s="73">
        <v>303676.38000000082</v>
      </c>
      <c r="D21" s="74" t="s">
        <v>22</v>
      </c>
      <c r="E21" s="76">
        <v>3.2695090298710747E-3</v>
      </c>
      <c r="G21" t="s">
        <v>37</v>
      </c>
      <c r="H21" s="85">
        <v>0</v>
      </c>
      <c r="J21" s="76">
        <f t="shared" si="0"/>
        <v>0</v>
      </c>
    </row>
    <row r="22" spans="1:10" ht="15" thickBot="1">
      <c r="A22" t="s">
        <v>36</v>
      </c>
      <c r="B22" s="73">
        <v>-10531.599999999944</v>
      </c>
      <c r="D22" t="s">
        <v>36</v>
      </c>
      <c r="E22" s="76">
        <v>0</v>
      </c>
      <c r="G22" t="s">
        <v>49</v>
      </c>
      <c r="H22" s="85">
        <v>1.0002285403073274</v>
      </c>
      <c r="J22" s="184">
        <f>SUM(J6:J21)</f>
        <v>1</v>
      </c>
    </row>
    <row r="23" spans="1:10" ht="15" thickTop="1">
      <c r="A23" t="s">
        <v>37</v>
      </c>
      <c r="B23" s="73">
        <v>-10695.529999999953</v>
      </c>
      <c r="D23" t="s">
        <v>37</v>
      </c>
      <c r="E23" s="76">
        <v>0</v>
      </c>
    </row>
    <row r="24" spans="1:10">
      <c r="A24" t="s">
        <v>49</v>
      </c>
      <c r="B24" s="73">
        <v>92881340.049999982</v>
      </c>
      <c r="E24" s="76"/>
    </row>
    <row r="25" spans="1:10">
      <c r="E25" s="76"/>
    </row>
    <row r="26" spans="1:10">
      <c r="D26" s="74"/>
      <c r="E26" s="76"/>
    </row>
    <row r="27" spans="1:10">
      <c r="D27" s="74"/>
      <c r="E27" s="76"/>
    </row>
    <row r="28" spans="1:10">
      <c r="E28" s="76"/>
    </row>
    <row r="29" spans="1:10">
      <c r="E29" s="76"/>
    </row>
    <row r="30" spans="1:10">
      <c r="E30" s="76"/>
    </row>
    <row r="31" spans="1:10">
      <c r="E31" s="76"/>
    </row>
  </sheetData>
  <pageMargins left="0.7" right="0.7" top="0.75" bottom="0.75" header="0.3" footer="0.3"/>
  <pageSetup orientation="landscape" r:id="rId1"/>
  <headerFooter>
    <oddHeader>&amp;RKY PSC Case No. 2016-00162,
Attachment G to Staff Post Hearing Supp. DR 2</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H23"/>
  <sheetViews>
    <sheetView workbookViewId="0">
      <selection sqref="A1:H1"/>
    </sheetView>
  </sheetViews>
  <sheetFormatPr defaultRowHeight="14.4"/>
  <cols>
    <col min="1" max="1" width="8.88671875" style="77"/>
    <col min="2" max="2" width="11.44140625" style="77" bestFit="1" customWidth="1"/>
    <col min="3" max="3" width="2.44140625" style="77" customWidth="1"/>
    <col min="4" max="4" width="8.6640625" style="77" customWidth="1"/>
    <col min="5" max="5" width="14.109375" style="77" bestFit="1" customWidth="1"/>
    <col min="6" max="6" width="11.44140625" style="77" bestFit="1" customWidth="1"/>
    <col min="7" max="7" width="2.5546875" style="77" customWidth="1"/>
    <col min="8" max="8" width="10.33203125" style="77" bestFit="1" customWidth="1"/>
    <col min="9" max="16384" width="8.88671875" style="77"/>
  </cols>
  <sheetData>
    <row r="1" spans="1:8" ht="19.2">
      <c r="A1" s="252" t="s">
        <v>94</v>
      </c>
      <c r="B1" s="252"/>
      <c r="C1" s="252"/>
      <c r="D1" s="252"/>
      <c r="E1" s="252"/>
      <c r="F1" s="252"/>
      <c r="G1" s="252"/>
      <c r="H1" s="252"/>
    </row>
    <row r="3" spans="1:8">
      <c r="A3" s="250" t="s">
        <v>117</v>
      </c>
      <c r="B3" s="250"/>
      <c r="C3" s="152"/>
      <c r="D3" s="250" t="s">
        <v>122</v>
      </c>
      <c r="E3" s="250"/>
      <c r="F3" s="250"/>
    </row>
    <row r="4" spans="1:8">
      <c r="A4" s="153"/>
      <c r="B4" s="153"/>
      <c r="D4" s="153"/>
      <c r="E4" s="153"/>
      <c r="F4" s="153"/>
    </row>
    <row r="5" spans="1:8">
      <c r="A5" s="152" t="s">
        <v>44</v>
      </c>
      <c r="B5" s="154" t="s">
        <v>4</v>
      </c>
      <c r="C5" s="155"/>
      <c r="D5" s="152" t="s">
        <v>44</v>
      </c>
      <c r="E5" s="152" t="s">
        <v>63</v>
      </c>
      <c r="F5" s="154" t="s">
        <v>4</v>
      </c>
      <c r="G5" s="135"/>
      <c r="H5" s="154" t="s">
        <v>7</v>
      </c>
    </row>
    <row r="6" spans="1:8">
      <c r="A6" s="189" t="s">
        <v>120</v>
      </c>
      <c r="B6" s="160">
        <v>0</v>
      </c>
      <c r="C6" s="135"/>
      <c r="D6" s="189" t="s">
        <v>120</v>
      </c>
      <c r="E6" s="195">
        <v>0</v>
      </c>
      <c r="F6" s="160">
        <v>0</v>
      </c>
      <c r="G6" s="156"/>
      <c r="H6" s="190">
        <f t="shared" ref="H6:H22" si="0">F6-B6</f>
        <v>0</v>
      </c>
    </row>
    <row r="7" spans="1:8">
      <c r="A7" s="134" t="s">
        <v>11</v>
      </c>
      <c r="B7" s="138">
        <v>4.0000000000000002E-4</v>
      </c>
      <c r="C7" s="135"/>
      <c r="D7" s="187" t="s">
        <v>11</v>
      </c>
      <c r="E7" s="195">
        <v>9819.1100000000697</v>
      </c>
      <c r="F7" s="138">
        <v>5.0000000000000001E-4</v>
      </c>
      <c r="G7" s="156"/>
      <c r="H7" s="133">
        <f t="shared" si="0"/>
        <v>9.9999999999999991E-5</v>
      </c>
    </row>
    <row r="8" spans="1:8">
      <c r="A8" s="134" t="s">
        <v>13</v>
      </c>
      <c r="B8" s="138">
        <v>1.6799999999999999E-2</v>
      </c>
      <c r="C8" s="135"/>
      <c r="D8" s="187" t="s">
        <v>13</v>
      </c>
      <c r="E8" s="195">
        <v>489963.63000000146</v>
      </c>
      <c r="F8" s="138">
        <v>2.4E-2</v>
      </c>
      <c r="G8" s="136"/>
      <c r="H8" s="133">
        <f t="shared" si="0"/>
        <v>7.2000000000000015E-3</v>
      </c>
    </row>
    <row r="9" spans="1:8">
      <c r="A9" s="134" t="s">
        <v>14</v>
      </c>
      <c r="B9" s="138">
        <v>0.1203</v>
      </c>
      <c r="C9" s="135"/>
      <c r="D9" s="187" t="s">
        <v>14</v>
      </c>
      <c r="E9" s="195">
        <v>4026848.8899999927</v>
      </c>
      <c r="F9" s="138">
        <v>0.19700000000000001</v>
      </c>
      <c r="G9" s="136"/>
      <c r="H9" s="133">
        <f t="shared" si="0"/>
        <v>7.6700000000000004E-2</v>
      </c>
    </row>
    <row r="10" spans="1:8">
      <c r="A10" s="134" t="s">
        <v>15</v>
      </c>
      <c r="B10" s="138">
        <v>1.8100000000000002E-2</v>
      </c>
      <c r="C10" s="135"/>
      <c r="D10" s="187" t="s">
        <v>15</v>
      </c>
      <c r="E10" s="195">
        <v>518018.46000000078</v>
      </c>
      <c r="F10" s="138">
        <v>2.53E-2</v>
      </c>
      <c r="G10" s="136"/>
      <c r="H10" s="133">
        <f t="shared" si="0"/>
        <v>7.1999999999999981E-3</v>
      </c>
    </row>
    <row r="11" spans="1:8">
      <c r="A11" s="134" t="s">
        <v>16</v>
      </c>
      <c r="B11" s="138">
        <v>5.6500000000000002E-2</v>
      </c>
      <c r="C11" s="135"/>
      <c r="D11" s="187" t="s">
        <v>16</v>
      </c>
      <c r="E11" s="195">
        <v>2107581.9700000002</v>
      </c>
      <c r="F11" s="138">
        <v>0.1031</v>
      </c>
      <c r="G11" s="136"/>
      <c r="H11" s="133">
        <f t="shared" si="0"/>
        <v>4.6599999999999996E-2</v>
      </c>
    </row>
    <row r="12" spans="1:8">
      <c r="A12" s="134" t="s">
        <v>17</v>
      </c>
      <c r="B12" s="138">
        <v>4.9500000000000002E-2</v>
      </c>
      <c r="C12" s="135"/>
      <c r="D12" s="187" t="s">
        <v>17</v>
      </c>
      <c r="E12" s="195">
        <v>1794159.4300000002</v>
      </c>
      <c r="F12" s="138">
        <v>8.7800000000000003E-2</v>
      </c>
      <c r="G12" s="136"/>
      <c r="H12" s="133">
        <f t="shared" si="0"/>
        <v>3.8300000000000001E-2</v>
      </c>
    </row>
    <row r="13" spans="1:8">
      <c r="A13" s="134" t="s">
        <v>21</v>
      </c>
      <c r="B13" s="138">
        <v>6.13E-2</v>
      </c>
      <c r="C13" s="135"/>
      <c r="D13" s="187" t="s">
        <v>21</v>
      </c>
      <c r="E13" s="195">
        <v>1549589.429999995</v>
      </c>
      <c r="F13" s="138">
        <v>7.6000000000000012E-2</v>
      </c>
      <c r="G13" s="136"/>
      <c r="H13" s="133">
        <f t="shared" si="0"/>
        <v>1.4700000000000012E-2</v>
      </c>
    </row>
    <row r="14" spans="1:8">
      <c r="A14" s="134" t="s">
        <v>22</v>
      </c>
      <c r="B14" s="138">
        <v>0.23930000000000001</v>
      </c>
      <c r="C14" s="135"/>
      <c r="D14" s="187" t="s">
        <v>22</v>
      </c>
      <c r="E14" s="195">
        <v>7565523.7900000019</v>
      </c>
      <c r="F14" s="138">
        <v>0.37019999999999997</v>
      </c>
      <c r="G14" s="136"/>
      <c r="H14" s="133">
        <f t="shared" si="0"/>
        <v>0.13089999999999996</v>
      </c>
    </row>
    <row r="15" spans="1:8">
      <c r="A15" s="134" t="s">
        <v>23</v>
      </c>
      <c r="B15" s="138">
        <v>1.0200000000000001E-2</v>
      </c>
      <c r="C15" s="135"/>
      <c r="D15" s="187" t="s">
        <v>23</v>
      </c>
      <c r="E15" s="195">
        <v>356340.66000000038</v>
      </c>
      <c r="F15" s="138">
        <v>1.7399999999999999E-2</v>
      </c>
      <c r="G15" s="136"/>
      <c r="H15" s="133">
        <f t="shared" si="0"/>
        <v>7.1999999999999981E-3</v>
      </c>
    </row>
    <row r="16" spans="1:8">
      <c r="A16" s="134" t="s">
        <v>24</v>
      </c>
      <c r="B16" s="160">
        <v>0</v>
      </c>
      <c r="C16" s="135"/>
      <c r="D16" s="187" t="s">
        <v>24</v>
      </c>
      <c r="E16" s="195">
        <v>-2.5500000000000003</v>
      </c>
      <c r="F16" s="160">
        <v>0</v>
      </c>
      <c r="G16" s="136"/>
      <c r="H16" s="190">
        <f t="shared" si="0"/>
        <v>0</v>
      </c>
    </row>
    <row r="17" spans="1:8">
      <c r="A17" s="134" t="s">
        <v>27</v>
      </c>
      <c r="B17" s="138">
        <v>4.0000000000000002E-4</v>
      </c>
      <c r="C17" s="135"/>
      <c r="D17" s="187" t="s">
        <v>27</v>
      </c>
      <c r="E17" s="195">
        <v>2658.6000000000095</v>
      </c>
      <c r="F17" s="138">
        <v>1E-4</v>
      </c>
      <c r="G17" s="136"/>
      <c r="H17" s="133">
        <f t="shared" si="0"/>
        <v>-3.0000000000000003E-4</v>
      </c>
    </row>
    <row r="18" spans="1:8">
      <c r="A18" s="134" t="s">
        <v>30</v>
      </c>
      <c r="B18" s="138">
        <v>2.0000000000000001E-4</v>
      </c>
      <c r="C18" s="135"/>
      <c r="D18" s="187" t="s">
        <v>30</v>
      </c>
      <c r="E18" s="195">
        <v>16908.490000000023</v>
      </c>
      <c r="F18" s="138">
        <v>8.0000000000000004E-4</v>
      </c>
      <c r="G18" s="136"/>
      <c r="H18" s="133">
        <f t="shared" si="0"/>
        <v>6.0000000000000006E-4</v>
      </c>
    </row>
    <row r="19" spans="1:8">
      <c r="A19" s="134" t="s">
        <v>31</v>
      </c>
      <c r="B19" s="160">
        <v>0</v>
      </c>
      <c r="C19" s="135"/>
      <c r="D19" s="187" t="s">
        <v>31</v>
      </c>
      <c r="E19" s="195">
        <v>997.35999999999217</v>
      </c>
      <c r="F19" s="160">
        <v>0</v>
      </c>
      <c r="G19" s="140"/>
      <c r="H19" s="190">
        <f t="shared" si="0"/>
        <v>0</v>
      </c>
    </row>
    <row r="20" spans="1:8">
      <c r="A20" s="134" t="s">
        <v>32</v>
      </c>
      <c r="B20" s="138">
        <v>6.2899999999999998E-2</v>
      </c>
      <c r="C20" s="135"/>
      <c r="D20" s="187" t="s">
        <v>32</v>
      </c>
      <c r="E20" s="195">
        <v>1998216.829999995</v>
      </c>
      <c r="F20" s="138">
        <v>9.7799999999999998E-2</v>
      </c>
      <c r="G20" s="140"/>
      <c r="H20" s="133">
        <f t="shared" si="0"/>
        <v>3.49E-2</v>
      </c>
    </row>
    <row r="21" spans="1:8">
      <c r="A21" s="134" t="s">
        <v>36</v>
      </c>
      <c r="B21" s="160">
        <v>0</v>
      </c>
      <c r="C21" s="135"/>
      <c r="D21" s="187" t="s">
        <v>36</v>
      </c>
      <c r="E21" s="195">
        <v>652.15999999999542</v>
      </c>
      <c r="F21" s="160">
        <v>0</v>
      </c>
      <c r="G21" s="156"/>
      <c r="H21" s="190">
        <f t="shared" si="0"/>
        <v>0</v>
      </c>
    </row>
    <row r="22" spans="1:8">
      <c r="A22" s="134" t="s">
        <v>37</v>
      </c>
      <c r="B22" s="160">
        <v>0</v>
      </c>
      <c r="C22" s="135"/>
      <c r="D22" s="187" t="s">
        <v>37</v>
      </c>
      <c r="E22" s="195">
        <v>832.06999999999505</v>
      </c>
      <c r="F22" s="160">
        <v>0</v>
      </c>
      <c r="G22" s="156"/>
      <c r="H22" s="190">
        <f t="shared" si="0"/>
        <v>0</v>
      </c>
    </row>
    <row r="23" spans="1:8" ht="15" thickBot="1">
      <c r="A23" s="157" t="s">
        <v>6</v>
      </c>
      <c r="B23" s="157">
        <f>SUM(B6:B22)</f>
        <v>0.63589999999999991</v>
      </c>
      <c r="D23" s="188" t="s">
        <v>6</v>
      </c>
      <c r="E23" s="196">
        <f>SUM(E7:E22)</f>
        <v>20438108.329999987</v>
      </c>
      <c r="F23" s="144">
        <f>SUM(F6:F22)</f>
        <v>1</v>
      </c>
      <c r="H23" s="157">
        <f>SUM(H6:H22)</f>
        <v>0.36409999999999992</v>
      </c>
    </row>
  </sheetData>
  <mergeCells count="3">
    <mergeCell ref="A1:H1"/>
    <mergeCell ref="A3:B3"/>
    <mergeCell ref="D3:F3"/>
  </mergeCells>
  <pageMargins left="0.7" right="0.7" top="0.75" bottom="0.75" header="0.3" footer="0.3"/>
  <pageSetup orientation="landscape" r:id="rId1"/>
  <headerFooter>
    <oddHeader>&amp;RKY PSC Case No. 2016-00162,
Attachment G to Staff Post Hearing Supp. DR 2</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J31"/>
  <sheetViews>
    <sheetView workbookViewId="0"/>
  </sheetViews>
  <sheetFormatPr defaultColWidth="9.109375" defaultRowHeight="14.4"/>
  <cols>
    <col min="1" max="1" width="11.33203125" customWidth="1"/>
    <col min="2" max="2" width="18.5546875" customWidth="1"/>
    <col min="4" max="4" width="6.109375" customWidth="1"/>
    <col min="5" max="5" width="12.33203125" bestFit="1" customWidth="1"/>
    <col min="7" max="7" width="11.33203125" customWidth="1"/>
    <col min="8" max="8" width="19.109375" bestFit="1" customWidth="1"/>
  </cols>
  <sheetData>
    <row r="1" spans="1:10">
      <c r="A1" s="163" t="s">
        <v>98</v>
      </c>
      <c r="B1" t="s">
        <v>99</v>
      </c>
    </row>
    <row r="2" spans="1:10">
      <c r="A2" s="163" t="s">
        <v>106</v>
      </c>
      <c r="B2" t="s">
        <v>107</v>
      </c>
    </row>
    <row r="3" spans="1:10">
      <c r="A3" s="163" t="s">
        <v>121</v>
      </c>
      <c r="B3" t="s">
        <v>107</v>
      </c>
    </row>
    <row r="5" spans="1:10">
      <c r="A5" s="163" t="s">
        <v>44</v>
      </c>
      <c r="B5" t="s">
        <v>100</v>
      </c>
      <c r="D5" s="46" t="s">
        <v>44</v>
      </c>
      <c r="E5" s="46" t="s">
        <v>108</v>
      </c>
      <c r="G5" s="163" t="s">
        <v>44</v>
      </c>
      <c r="H5" t="s">
        <v>100</v>
      </c>
    </row>
    <row r="6" spans="1:10">
      <c r="A6" t="s">
        <v>11</v>
      </c>
      <c r="B6" s="73">
        <v>9819.1100000000697</v>
      </c>
      <c r="D6" t="s">
        <v>11</v>
      </c>
      <c r="E6" s="76">
        <v>4.8043144900974689E-4</v>
      </c>
      <c r="G6" t="s">
        <v>11</v>
      </c>
      <c r="H6" s="85">
        <v>4.8043144900974689E-4</v>
      </c>
      <c r="J6" s="76">
        <f>ROUND(H6,4)</f>
        <v>5.0000000000000001E-4</v>
      </c>
    </row>
    <row r="7" spans="1:10">
      <c r="A7" t="s">
        <v>13</v>
      </c>
      <c r="B7" s="73">
        <v>489963.63000000146</v>
      </c>
      <c r="D7" t="s">
        <v>13</v>
      </c>
      <c r="E7" s="76">
        <v>2.397304202957035E-2</v>
      </c>
      <c r="G7" t="s">
        <v>13</v>
      </c>
      <c r="H7" s="85">
        <v>2.397304202957035E-2</v>
      </c>
      <c r="J7" s="76">
        <f t="shared" ref="J7:J21" si="0">ROUND(H7,4)</f>
        <v>2.4E-2</v>
      </c>
    </row>
    <row r="8" spans="1:10">
      <c r="A8" t="s">
        <v>14</v>
      </c>
      <c r="B8" s="73">
        <v>4026848.8899999927</v>
      </c>
      <c r="D8" t="s">
        <v>14</v>
      </c>
      <c r="E8" s="76">
        <v>0.19702649702121408</v>
      </c>
      <c r="G8" t="s">
        <v>14</v>
      </c>
      <c r="H8" s="85">
        <v>0.19702649702121408</v>
      </c>
      <c r="J8" s="76">
        <f t="shared" si="0"/>
        <v>0.19700000000000001</v>
      </c>
    </row>
    <row r="9" spans="1:10">
      <c r="A9" t="s">
        <v>15</v>
      </c>
      <c r="B9" s="73">
        <v>518018.46000000078</v>
      </c>
      <c r="D9" t="s">
        <v>15</v>
      </c>
      <c r="E9" s="76">
        <v>2.5345714565942961E-2</v>
      </c>
      <c r="G9" t="s">
        <v>15</v>
      </c>
      <c r="H9" s="85">
        <v>2.5345714565942961E-2</v>
      </c>
      <c r="J9" s="76">
        <f t="shared" si="0"/>
        <v>2.53E-2</v>
      </c>
    </row>
    <row r="10" spans="1:10">
      <c r="A10" t="s">
        <v>16</v>
      </c>
      <c r="B10" s="73">
        <v>2107581.9700000002</v>
      </c>
      <c r="D10" t="s">
        <v>16</v>
      </c>
      <c r="E10" s="76">
        <v>0.10312020740717945</v>
      </c>
      <c r="G10" t="s">
        <v>16</v>
      </c>
      <c r="H10" s="85">
        <v>0.10312020740717945</v>
      </c>
      <c r="J10" s="76">
        <f t="shared" si="0"/>
        <v>0.1031</v>
      </c>
    </row>
    <row r="11" spans="1:10">
      <c r="A11" t="s">
        <v>17</v>
      </c>
      <c r="B11" s="73">
        <v>1794159.4300000002</v>
      </c>
      <c r="D11" t="s">
        <v>17</v>
      </c>
      <c r="E11" s="76">
        <v>8.7785004415817269E-2</v>
      </c>
      <c r="G11" t="s">
        <v>17</v>
      </c>
      <c r="H11" s="85">
        <v>8.7785004415817269E-2</v>
      </c>
      <c r="J11" s="76">
        <f t="shared" si="0"/>
        <v>8.7800000000000003E-2</v>
      </c>
    </row>
    <row r="12" spans="1:10">
      <c r="A12" t="s">
        <v>21</v>
      </c>
      <c r="B12" s="73">
        <v>1549589.429999995</v>
      </c>
      <c r="D12" t="s">
        <v>21</v>
      </c>
      <c r="E12" s="76">
        <v>7.5818632770697142E-2</v>
      </c>
      <c r="G12" t="s">
        <v>21</v>
      </c>
      <c r="H12" s="85">
        <v>7.5818632770697142E-2</v>
      </c>
      <c r="J12" s="79">
        <f>ROUND(H12,4)+0.0002</f>
        <v>7.6000000000000012E-2</v>
      </c>
    </row>
    <row r="13" spans="1:10">
      <c r="A13" t="s">
        <v>22</v>
      </c>
      <c r="B13" s="73">
        <v>3594118.5600000028</v>
      </c>
      <c r="D13" t="s">
        <v>22</v>
      </c>
      <c r="E13" s="76">
        <v>0.17585377775517474</v>
      </c>
      <c r="G13" t="s">
        <v>22</v>
      </c>
      <c r="H13" s="85">
        <v>0.37016751588966684</v>
      </c>
      <c r="J13" s="76">
        <f t="shared" si="0"/>
        <v>0.37019999999999997</v>
      </c>
    </row>
    <row r="14" spans="1:10">
      <c r="A14" t="s">
        <v>23</v>
      </c>
      <c r="B14" s="73">
        <v>356340.66000000038</v>
      </c>
      <c r="D14" t="s">
        <v>23</v>
      </c>
      <c r="E14" s="76">
        <v>1.7435109661149382E-2</v>
      </c>
      <c r="G14" t="s">
        <v>23</v>
      </c>
      <c r="H14" s="85">
        <v>1.7435109661149382E-2</v>
      </c>
      <c r="J14" s="76">
        <f t="shared" si="0"/>
        <v>1.7399999999999999E-2</v>
      </c>
    </row>
    <row r="15" spans="1:10">
      <c r="A15" t="s">
        <v>24</v>
      </c>
      <c r="B15" s="73">
        <v>-2.5500000000000003</v>
      </c>
      <c r="D15" t="s">
        <v>24</v>
      </c>
      <c r="E15" s="76">
        <v>-1.2476692846651538E-7</v>
      </c>
      <c r="G15" t="s">
        <v>24</v>
      </c>
      <c r="H15" s="85">
        <v>-1.2476692846651538E-7</v>
      </c>
      <c r="J15" s="76">
        <f t="shared" si="0"/>
        <v>0</v>
      </c>
    </row>
    <row r="16" spans="1:10">
      <c r="A16" t="s">
        <v>27</v>
      </c>
      <c r="B16" s="73">
        <v>2658.6000000000095</v>
      </c>
      <c r="D16" t="s">
        <v>27</v>
      </c>
      <c r="E16" s="76">
        <v>1.3008053177297215E-4</v>
      </c>
      <c r="G16" t="s">
        <v>27</v>
      </c>
      <c r="H16" s="85">
        <v>1.3008053177297215E-4</v>
      </c>
      <c r="J16" s="76">
        <f t="shared" si="0"/>
        <v>1E-4</v>
      </c>
    </row>
    <row r="17" spans="1:10">
      <c r="A17" t="s">
        <v>30</v>
      </c>
      <c r="B17" s="73">
        <v>16908.490000000023</v>
      </c>
      <c r="D17" t="s">
        <v>30</v>
      </c>
      <c r="E17" s="76">
        <v>8.2730210286540925E-4</v>
      </c>
      <c r="G17" t="s">
        <v>30</v>
      </c>
      <c r="H17" s="85">
        <v>8.2730210286540925E-4</v>
      </c>
      <c r="J17" s="76">
        <f t="shared" si="0"/>
        <v>8.0000000000000004E-4</v>
      </c>
    </row>
    <row r="18" spans="1:10">
      <c r="A18" t="s">
        <v>31</v>
      </c>
      <c r="B18" s="73">
        <v>997.35999999999217</v>
      </c>
      <c r="D18" t="s">
        <v>31</v>
      </c>
      <c r="E18" s="76">
        <v>4.8799036774652081E-5</v>
      </c>
      <c r="G18" t="s">
        <v>31</v>
      </c>
      <c r="H18" s="85">
        <v>4.8799036774652081E-5</v>
      </c>
      <c r="J18" s="76">
        <f t="shared" si="0"/>
        <v>0</v>
      </c>
    </row>
    <row r="19" spans="1:10">
      <c r="A19" t="s">
        <v>32</v>
      </c>
      <c r="B19" s="73">
        <v>1998216.829999995</v>
      </c>
      <c r="D19" t="s">
        <v>32</v>
      </c>
      <c r="E19" s="76">
        <v>9.7769167172233912E-2</v>
      </c>
      <c r="G19" t="s">
        <v>32</v>
      </c>
      <c r="H19" s="85">
        <v>9.7769167172233912E-2</v>
      </c>
      <c r="J19" s="76">
        <f t="shared" si="0"/>
        <v>9.7799999999999998E-2</v>
      </c>
    </row>
    <row r="20" spans="1:10">
      <c r="A20" t="s">
        <v>47</v>
      </c>
      <c r="B20" s="73">
        <v>3248004.2599999988</v>
      </c>
      <c r="D20" s="74" t="s">
        <v>22</v>
      </c>
      <c r="E20" s="76">
        <v>0.15891902555543413</v>
      </c>
      <c r="G20" t="s">
        <v>36</v>
      </c>
      <c r="H20" s="85">
        <v>3.190901963479298E-5</v>
      </c>
      <c r="J20" s="76">
        <f t="shared" si="0"/>
        <v>0</v>
      </c>
    </row>
    <row r="21" spans="1:10">
      <c r="A21" t="s">
        <v>48</v>
      </c>
      <c r="B21" s="73">
        <v>723400.96999999974</v>
      </c>
      <c r="D21" s="74" t="s">
        <v>22</v>
      </c>
      <c r="E21" s="76">
        <v>3.5394712579057963E-2</v>
      </c>
      <c r="G21" t="s">
        <v>37</v>
      </c>
      <c r="H21" s="85">
        <v>4.0711693399659932E-5</v>
      </c>
      <c r="J21" s="76">
        <f t="shared" si="0"/>
        <v>0</v>
      </c>
    </row>
    <row r="22" spans="1:10" ht="15" thickBot="1">
      <c r="A22" t="s">
        <v>36</v>
      </c>
      <c r="B22" s="73">
        <v>652.15999999999542</v>
      </c>
      <c r="D22" t="s">
        <v>36</v>
      </c>
      <c r="E22" s="76">
        <v>3.190901963479298E-5</v>
      </c>
      <c r="G22" t="s">
        <v>49</v>
      </c>
      <c r="H22" s="85">
        <v>1.0000000000000002</v>
      </c>
      <c r="J22" s="184">
        <f>SUM(J6:J21)</f>
        <v>1</v>
      </c>
    </row>
    <row r="23" spans="1:10" ht="15" thickTop="1">
      <c r="A23" t="s">
        <v>37</v>
      </c>
      <c r="B23" s="73">
        <v>832.06999999999505</v>
      </c>
      <c r="D23" t="s">
        <v>37</v>
      </c>
      <c r="E23" s="76">
        <v>4.0711693399659932E-5</v>
      </c>
    </row>
    <row r="24" spans="1:10">
      <c r="A24" t="s">
        <v>49</v>
      </c>
      <c r="B24" s="73">
        <v>20438108.329999983</v>
      </c>
      <c r="E24" s="76"/>
    </row>
    <row r="25" spans="1:10">
      <c r="E25" s="76"/>
    </row>
    <row r="26" spans="1:10">
      <c r="D26" s="74"/>
      <c r="E26" s="76"/>
    </row>
    <row r="27" spans="1:10">
      <c r="D27" s="74"/>
      <c r="E27" s="76"/>
    </row>
    <row r="28" spans="1:10">
      <c r="E28" s="76"/>
    </row>
    <row r="29" spans="1:10">
      <c r="E29" s="76"/>
    </row>
    <row r="30" spans="1:10">
      <c r="E30" s="76"/>
    </row>
    <row r="31" spans="1:10">
      <c r="E31" s="76"/>
    </row>
  </sheetData>
  <pageMargins left="0.7" right="0.7" top="0.75" bottom="0.75" header="0.3" footer="0.3"/>
  <pageSetup orientation="landscape" r:id="rId1"/>
  <headerFooter>
    <oddHeader>&amp;RKY PSC Case No. 2016-00162,
Attachment G to Staff Post Hearing Supp. DR 2</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workbookViewId="0">
      <selection sqref="A1:G1"/>
    </sheetView>
  </sheetViews>
  <sheetFormatPr defaultRowHeight="14.4"/>
  <cols>
    <col min="1" max="1" width="11.109375" style="77" bestFit="1" customWidth="1"/>
    <col min="2" max="2" width="15.33203125" style="77" bestFit="1" customWidth="1"/>
    <col min="3" max="3" width="19.6640625" style="77" bestFit="1" customWidth="1"/>
    <col min="4" max="4" width="8.88671875" style="77"/>
    <col min="5" max="5" width="11.109375" style="77" bestFit="1" customWidth="1"/>
    <col min="6" max="6" width="15.33203125" style="77" bestFit="1" customWidth="1"/>
    <col min="7" max="7" width="19.6640625" style="77" bestFit="1" customWidth="1"/>
    <col min="8" max="8" width="8.88671875" style="77"/>
    <col min="9" max="9" width="9.33203125" style="77" bestFit="1" customWidth="1"/>
    <col min="10" max="10" width="10.44140625" style="77" bestFit="1" customWidth="1"/>
    <col min="11" max="16384" width="8.88671875" style="77"/>
  </cols>
  <sheetData>
    <row r="1" spans="1:10" ht="15.6">
      <c r="A1" s="253" t="s">
        <v>50</v>
      </c>
      <c r="B1" s="253"/>
      <c r="C1" s="253"/>
      <c r="D1" s="253"/>
      <c r="E1" s="253"/>
      <c r="F1" s="253"/>
      <c r="G1" s="253"/>
      <c r="H1" s="197"/>
      <c r="I1" s="198"/>
      <c r="J1" s="198"/>
    </row>
    <row r="2" spans="1:10">
      <c r="A2" s="199"/>
      <c r="B2" s="199"/>
      <c r="C2" s="199"/>
      <c r="D2" s="199"/>
      <c r="E2" s="199"/>
      <c r="F2" s="199"/>
      <c r="G2" s="199"/>
      <c r="H2" s="200"/>
      <c r="I2" s="199"/>
      <c r="J2" s="199"/>
    </row>
    <row r="3" spans="1:10">
      <c r="A3" s="254" t="s">
        <v>123</v>
      </c>
      <c r="B3" s="254"/>
      <c r="C3" s="254"/>
      <c r="D3" s="201"/>
      <c r="E3" s="254" t="s">
        <v>124</v>
      </c>
      <c r="F3" s="254"/>
      <c r="G3" s="254"/>
      <c r="H3" s="88"/>
      <c r="I3" s="202"/>
      <c r="J3" s="202"/>
    </row>
    <row r="4" spans="1:10">
      <c r="A4" s="203" t="s">
        <v>2</v>
      </c>
      <c r="B4" s="106" t="s">
        <v>3</v>
      </c>
      <c r="C4" s="167" t="s">
        <v>5</v>
      </c>
      <c r="D4" s="201"/>
      <c r="E4" s="203" t="s">
        <v>2</v>
      </c>
      <c r="F4" s="106" t="s">
        <v>3</v>
      </c>
      <c r="G4" s="106" t="s">
        <v>5</v>
      </c>
      <c r="H4" s="88"/>
      <c r="I4" s="204" t="s">
        <v>2</v>
      </c>
      <c r="J4" s="204" t="s">
        <v>7</v>
      </c>
    </row>
    <row r="5" spans="1:10">
      <c r="A5" s="205" t="s">
        <v>120</v>
      </c>
      <c r="B5" s="89">
        <v>0</v>
      </c>
      <c r="C5" s="178">
        <v>0</v>
      </c>
      <c r="D5" s="201"/>
      <c r="E5" s="205" t="s">
        <v>125</v>
      </c>
      <c r="F5" s="89">
        <v>0</v>
      </c>
      <c r="G5" s="178">
        <v>0</v>
      </c>
      <c r="H5" s="182"/>
      <c r="I5" s="98" t="s">
        <v>120</v>
      </c>
      <c r="J5" s="82">
        <f>G5-C5</f>
        <v>0</v>
      </c>
    </row>
    <row r="6" spans="1:10">
      <c r="A6" s="206" t="s">
        <v>11</v>
      </c>
      <c r="B6" s="89">
        <v>147125.71999999878</v>
      </c>
      <c r="C6" s="178">
        <v>6.9999999999999999E-4</v>
      </c>
      <c r="D6" s="201"/>
      <c r="E6" s="206" t="s">
        <v>126</v>
      </c>
      <c r="F6" s="89">
        <v>151595.04309999855</v>
      </c>
      <c r="G6" s="178">
        <v>5.9999999999999995E-4</v>
      </c>
      <c r="H6" s="182"/>
      <c r="I6" s="60" t="s">
        <v>11</v>
      </c>
      <c r="J6" s="82">
        <f>+G6-C6</f>
        <v>-1.0000000000000005E-4</v>
      </c>
    </row>
    <row r="7" spans="1:10">
      <c r="A7" s="206" t="s">
        <v>13</v>
      </c>
      <c r="B7" s="89">
        <v>6963445.9699999951</v>
      </c>
      <c r="C7" s="178">
        <v>3.09E-2</v>
      </c>
      <c r="D7" s="201"/>
      <c r="E7" s="206" t="s">
        <v>127</v>
      </c>
      <c r="F7" s="89">
        <v>7765359.806730004</v>
      </c>
      <c r="G7" s="178">
        <v>3.0300000000000001E-2</v>
      </c>
      <c r="H7" s="182"/>
      <c r="I7" s="60" t="s">
        <v>13</v>
      </c>
      <c r="J7" s="82">
        <f t="shared" ref="J7:J21" si="0">+G7-C7</f>
        <v>-5.9999999999999984E-4</v>
      </c>
    </row>
    <row r="8" spans="1:10">
      <c r="A8" s="206" t="s">
        <v>14</v>
      </c>
      <c r="B8" s="89">
        <v>52992622.549999893</v>
      </c>
      <c r="C8" s="178">
        <v>0.23519999999999999</v>
      </c>
      <c r="D8" s="201"/>
      <c r="E8" s="206" t="s">
        <v>128</v>
      </c>
      <c r="F8" s="89">
        <v>57380475.022349976</v>
      </c>
      <c r="G8" s="178">
        <v>0.224</v>
      </c>
      <c r="H8" s="182"/>
      <c r="I8" s="60" t="s">
        <v>14</v>
      </c>
      <c r="J8" s="82">
        <f t="shared" si="0"/>
        <v>-1.1199999999999988E-2</v>
      </c>
    </row>
    <row r="9" spans="1:10">
      <c r="A9" s="206" t="s">
        <v>15</v>
      </c>
      <c r="B9" s="89">
        <v>3195266.4400000032</v>
      </c>
      <c r="C9" s="178">
        <v>1.4200000000000001E-2</v>
      </c>
      <c r="D9" s="201"/>
      <c r="E9" s="206" t="s">
        <v>129</v>
      </c>
      <c r="F9" s="89">
        <v>3475118.7379300143</v>
      </c>
      <c r="G9" s="178">
        <v>1.3599999999999999E-2</v>
      </c>
      <c r="H9" s="182"/>
      <c r="I9" s="60" t="s">
        <v>15</v>
      </c>
      <c r="J9" s="82">
        <f t="shared" si="0"/>
        <v>-6.0000000000000157E-4</v>
      </c>
    </row>
    <row r="10" spans="1:10">
      <c r="A10" s="206" t="s">
        <v>16</v>
      </c>
      <c r="B10" s="89">
        <v>26037520.709999755</v>
      </c>
      <c r="C10" s="178">
        <v>0.11559999999999999</v>
      </c>
      <c r="D10" s="201"/>
      <c r="E10" s="206" t="s">
        <v>130</v>
      </c>
      <c r="F10" s="89">
        <v>29251507.338589877</v>
      </c>
      <c r="G10" s="178">
        <v>0.1142</v>
      </c>
      <c r="H10" s="182"/>
      <c r="I10" s="60" t="s">
        <v>16</v>
      </c>
      <c r="J10" s="82">
        <f t="shared" si="0"/>
        <v>-1.3999999999999985E-3</v>
      </c>
    </row>
    <row r="11" spans="1:10">
      <c r="A11" s="206" t="s">
        <v>17</v>
      </c>
      <c r="B11" s="89">
        <v>14788651.480000006</v>
      </c>
      <c r="C11" s="178">
        <v>6.5600000000000006E-2</v>
      </c>
      <c r="D11" s="201"/>
      <c r="E11" s="206" t="s">
        <v>131</v>
      </c>
      <c r="F11" s="89">
        <v>17207002.903610006</v>
      </c>
      <c r="G11" s="178">
        <v>6.7199999999999996E-2</v>
      </c>
      <c r="H11" s="182"/>
      <c r="I11" s="60" t="s">
        <v>17</v>
      </c>
      <c r="J11" s="82">
        <f t="shared" si="0"/>
        <v>1.5999999999999903E-3</v>
      </c>
    </row>
    <row r="12" spans="1:10">
      <c r="A12" s="207" t="s">
        <v>21</v>
      </c>
      <c r="B12" s="89">
        <v>5427950.2999999775</v>
      </c>
      <c r="C12" s="178">
        <v>2.3900000000000001E-2</v>
      </c>
      <c r="D12" s="201"/>
      <c r="E12" s="207" t="s">
        <v>132</v>
      </c>
      <c r="F12" s="89">
        <v>9299250.0378100034</v>
      </c>
      <c r="G12" s="178">
        <v>3.6400000000000002E-2</v>
      </c>
      <c r="H12" s="182"/>
      <c r="I12" s="60" t="s">
        <v>21</v>
      </c>
      <c r="J12" s="82">
        <f t="shared" si="0"/>
        <v>1.2500000000000001E-2</v>
      </c>
    </row>
    <row r="13" spans="1:10">
      <c r="A13" s="206" t="s">
        <v>22</v>
      </c>
      <c r="B13" s="89">
        <v>89469015.829999387</v>
      </c>
      <c r="C13" s="178">
        <v>0.39710000000000001</v>
      </c>
      <c r="D13" s="201"/>
      <c r="E13" s="206" t="s">
        <v>133</v>
      </c>
      <c r="F13" s="89">
        <v>102418868.09875052</v>
      </c>
      <c r="G13" s="178">
        <v>0.39989999999999998</v>
      </c>
      <c r="H13" s="182"/>
      <c r="I13" s="60" t="s">
        <v>22</v>
      </c>
      <c r="J13" s="82">
        <f t="shared" si="0"/>
        <v>2.7999999999999692E-3</v>
      </c>
    </row>
    <row r="14" spans="1:10">
      <c r="A14" s="206" t="s">
        <v>23</v>
      </c>
      <c r="B14" s="89">
        <v>790002.12000000593</v>
      </c>
      <c r="C14" s="178">
        <v>3.5000000000000001E-3</v>
      </c>
      <c r="D14" s="201"/>
      <c r="E14" s="206" t="s">
        <v>134</v>
      </c>
      <c r="F14" s="89">
        <v>777839.27415000484</v>
      </c>
      <c r="G14" s="178">
        <v>3.0000000000000001E-3</v>
      </c>
      <c r="H14" s="182"/>
      <c r="I14" s="60" t="s">
        <v>23</v>
      </c>
      <c r="J14" s="82">
        <f t="shared" si="0"/>
        <v>-5.0000000000000001E-4</v>
      </c>
    </row>
    <row r="15" spans="1:10">
      <c r="A15" s="206" t="s">
        <v>24</v>
      </c>
      <c r="B15" s="89">
        <v>453.11999999999904</v>
      </c>
      <c r="C15" s="178">
        <v>0</v>
      </c>
      <c r="D15" s="201"/>
      <c r="E15" s="206" t="s">
        <v>135</v>
      </c>
      <c r="F15" s="89">
        <v>-59.295940000000257</v>
      </c>
      <c r="G15" s="208">
        <v>0</v>
      </c>
      <c r="H15" s="182"/>
      <c r="I15" s="60" t="s">
        <v>24</v>
      </c>
      <c r="J15" s="82">
        <f t="shared" si="0"/>
        <v>0</v>
      </c>
    </row>
    <row r="16" spans="1:10">
      <c r="A16" s="206" t="s">
        <v>27</v>
      </c>
      <c r="B16" s="89">
        <v>20132.800000000228</v>
      </c>
      <c r="C16" s="178">
        <v>1E-4</v>
      </c>
      <c r="D16" s="201"/>
      <c r="E16" s="206" t="s">
        <v>136</v>
      </c>
      <c r="F16" s="89">
        <v>20751.794990000577</v>
      </c>
      <c r="G16" s="178">
        <v>1E-4</v>
      </c>
      <c r="H16" s="182"/>
      <c r="I16" s="60" t="s">
        <v>27</v>
      </c>
      <c r="J16" s="82">
        <f t="shared" si="0"/>
        <v>0</v>
      </c>
    </row>
    <row r="17" spans="1:10">
      <c r="A17" s="206" t="s">
        <v>30</v>
      </c>
      <c r="B17" s="89">
        <v>106423.19999999863</v>
      </c>
      <c r="C17" s="178">
        <v>5.0000000000000001E-4</v>
      </c>
      <c r="D17" s="201"/>
      <c r="E17" s="206" t="s">
        <v>137</v>
      </c>
      <c r="F17" s="89">
        <v>106802.6349599993</v>
      </c>
      <c r="G17" s="178">
        <v>4.0000000000000002E-4</v>
      </c>
      <c r="H17" s="182"/>
      <c r="I17" s="60" t="s">
        <v>30</v>
      </c>
      <c r="J17" s="82">
        <f t="shared" si="0"/>
        <v>-9.9999999999999991E-5</v>
      </c>
    </row>
    <row r="18" spans="1:10">
      <c r="A18" s="206" t="s">
        <v>31</v>
      </c>
      <c r="B18" s="89">
        <v>20885.849999999969</v>
      </c>
      <c r="C18" s="178">
        <v>1E-4</v>
      </c>
      <c r="D18" s="201"/>
      <c r="E18" s="206" t="s">
        <v>138</v>
      </c>
      <c r="F18" s="89">
        <v>11352.177620000139</v>
      </c>
      <c r="G18" s="178">
        <v>0</v>
      </c>
      <c r="H18" s="182"/>
      <c r="I18" s="60" t="s">
        <v>31</v>
      </c>
      <c r="J18" s="82">
        <f t="shared" si="0"/>
        <v>-1E-4</v>
      </c>
    </row>
    <row r="19" spans="1:10">
      <c r="A19" s="206" t="s">
        <v>32</v>
      </c>
      <c r="B19" s="89">
        <v>25314894.500000164</v>
      </c>
      <c r="C19" s="178">
        <v>0.1124</v>
      </c>
      <c r="D19" s="201"/>
      <c r="E19" s="206" t="s">
        <v>139</v>
      </c>
      <c r="F19" s="89">
        <v>28211935.92629011</v>
      </c>
      <c r="G19" s="178">
        <v>0.1101</v>
      </c>
      <c r="H19" s="182"/>
      <c r="I19" s="60" t="s">
        <v>32</v>
      </c>
      <c r="J19" s="82">
        <f t="shared" si="0"/>
        <v>-2.2999999999999965E-3</v>
      </c>
    </row>
    <row r="20" spans="1:10">
      <c r="A20" s="206" t="s">
        <v>36</v>
      </c>
      <c r="B20" s="89">
        <v>17684.730000000043</v>
      </c>
      <c r="C20" s="178">
        <v>1E-4</v>
      </c>
      <c r="D20" s="201"/>
      <c r="E20" s="206" t="s">
        <v>140</v>
      </c>
      <c r="F20" s="89">
        <v>24751.590430000357</v>
      </c>
      <c r="G20" s="178">
        <v>1E-4</v>
      </c>
      <c r="H20" s="182"/>
      <c r="I20" s="60" t="s">
        <v>36</v>
      </c>
      <c r="J20" s="82">
        <f t="shared" si="0"/>
        <v>0</v>
      </c>
    </row>
    <row r="21" spans="1:10">
      <c r="A21" s="206" t="s">
        <v>37</v>
      </c>
      <c r="B21" s="89">
        <v>13870.880000000441</v>
      </c>
      <c r="C21" s="178">
        <v>1E-4</v>
      </c>
      <c r="D21" s="201"/>
      <c r="E21" s="206" t="s">
        <v>141</v>
      </c>
      <c r="F21" s="89">
        <v>31086.94649000045</v>
      </c>
      <c r="G21" s="178">
        <v>1E-4</v>
      </c>
      <c r="H21" s="182"/>
      <c r="I21" s="60" t="s">
        <v>37</v>
      </c>
      <c r="J21" s="82">
        <f t="shared" si="0"/>
        <v>0</v>
      </c>
    </row>
    <row r="22" spans="1:10">
      <c r="A22" s="209" t="s">
        <v>49</v>
      </c>
      <c r="B22" s="91">
        <f>SUM(B5:B21)</f>
        <v>225305946.19999918</v>
      </c>
      <c r="C22" s="210">
        <v>0.99999999999999978</v>
      </c>
      <c r="D22" s="201"/>
      <c r="E22" s="209" t="s">
        <v>49</v>
      </c>
      <c r="F22" s="91">
        <f>SUM(F5:F21)</f>
        <v>256133638.03786048</v>
      </c>
      <c r="G22" s="177">
        <f>SUM(G5:G21)</f>
        <v>0.99999999999999989</v>
      </c>
      <c r="H22" s="211"/>
      <c r="I22" s="204" t="s">
        <v>6</v>
      </c>
      <c r="J22" s="171">
        <v>3.664603343001005E-17</v>
      </c>
    </row>
  </sheetData>
  <mergeCells count="3">
    <mergeCell ref="A1:G1"/>
    <mergeCell ref="A3:C3"/>
    <mergeCell ref="E3:G3"/>
  </mergeCells>
  <conditionalFormatting sqref="J5:J21">
    <cfRule type="cellIs" dxfId="5" priority="1" operator="notBetween">
      <formula>-0.0099</formula>
      <formula>0.0099</formula>
    </cfRule>
  </conditionalFormatting>
  <pageMargins left="0.7" right="0.7" top="0.75" bottom="0.75" header="0.3" footer="0.3"/>
  <pageSetup scale="94" orientation="landscape" r:id="rId1"/>
  <headerFooter>
    <oddHeader>&amp;RKY PSC Case No. 2016-00162,
Attachment G to Staff Post Hearing Supp. DR 2</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5"/>
  <sheetViews>
    <sheetView workbookViewId="0"/>
  </sheetViews>
  <sheetFormatPr defaultRowHeight="14.4"/>
  <cols>
    <col min="1" max="1" width="12.109375" bestFit="1" customWidth="1"/>
    <col min="2" max="2" width="19.109375" bestFit="1" customWidth="1"/>
    <col min="5" max="5" width="19.109375" bestFit="1" customWidth="1"/>
    <col min="6" max="6" width="7.33203125" customWidth="1"/>
    <col min="7" max="7" width="11.33203125" customWidth="1"/>
    <col min="8" max="8" width="26" customWidth="1"/>
    <col min="10" max="10" width="13.33203125" bestFit="1" customWidth="1"/>
    <col min="11" max="11" width="32.44140625" bestFit="1" customWidth="1"/>
    <col min="13" max="13" width="13.33203125" bestFit="1" customWidth="1"/>
    <col min="14" max="14" width="32.44140625" bestFit="1" customWidth="1"/>
    <col min="16" max="16" width="13.33203125" bestFit="1" customWidth="1"/>
  </cols>
  <sheetData>
    <row r="1" spans="1:16">
      <c r="A1" s="163" t="s">
        <v>106</v>
      </c>
      <c r="B1" t="s">
        <v>107</v>
      </c>
    </row>
    <row r="2" spans="1:16">
      <c r="A2" s="163" t="s">
        <v>39</v>
      </c>
      <c r="B2" t="s">
        <v>40</v>
      </c>
    </row>
    <row r="3" spans="1:16">
      <c r="A3" s="163" t="s">
        <v>115</v>
      </c>
      <c r="B3" t="s">
        <v>107</v>
      </c>
    </row>
    <row r="4" spans="1:16">
      <c r="A4" s="163" t="s">
        <v>121</v>
      </c>
      <c r="B4" t="s">
        <v>107</v>
      </c>
      <c r="G4" s="75" t="s">
        <v>142</v>
      </c>
      <c r="J4" s="75" t="s">
        <v>143</v>
      </c>
      <c r="M4" s="75" t="s">
        <v>144</v>
      </c>
    </row>
    <row r="6" spans="1:16">
      <c r="A6" s="163" t="s">
        <v>44</v>
      </c>
      <c r="B6" t="s">
        <v>100</v>
      </c>
      <c r="D6" s="46" t="s">
        <v>44</v>
      </c>
      <c r="E6" s="46" t="s">
        <v>100</v>
      </c>
      <c r="F6" s="73"/>
      <c r="G6" s="163" t="s">
        <v>44</v>
      </c>
      <c r="H6" t="s">
        <v>145</v>
      </c>
      <c r="J6" s="212" t="s">
        <v>146</v>
      </c>
      <c r="K6" s="212" t="s">
        <v>147</v>
      </c>
      <c r="M6" s="212" t="s">
        <v>146</v>
      </c>
      <c r="N6" s="212" t="s">
        <v>147</v>
      </c>
      <c r="P6" s="213" t="s">
        <v>148</v>
      </c>
    </row>
    <row r="7" spans="1:16">
      <c r="A7" t="s">
        <v>11</v>
      </c>
      <c r="B7" s="73">
        <v>104460.79999999869</v>
      </c>
      <c r="D7" t="s">
        <v>11</v>
      </c>
      <c r="E7" s="73">
        <v>104460.79999999869</v>
      </c>
      <c r="F7" s="73"/>
      <c r="G7" t="s">
        <v>11</v>
      </c>
      <c r="H7" s="73">
        <v>104460.79999999869</v>
      </c>
      <c r="I7" t="b">
        <f>G7=RIGHT(J7,2)</f>
        <v>1</v>
      </c>
      <c r="J7" t="s">
        <v>126</v>
      </c>
      <c r="K7" s="73">
        <v>47134.243099999861</v>
      </c>
      <c r="M7" t="s">
        <v>126</v>
      </c>
      <c r="N7" s="73">
        <f>H7+K7</f>
        <v>151595.04309999855</v>
      </c>
      <c r="P7" s="76">
        <f>ROUND(N7/SUM($N$7:$N$22),4)</f>
        <v>5.9999999999999995E-4</v>
      </c>
    </row>
    <row r="8" spans="1:16">
      <c r="A8" t="s">
        <v>13</v>
      </c>
      <c r="B8" s="73">
        <v>5088684.5600000126</v>
      </c>
      <c r="D8" t="s">
        <v>13</v>
      </c>
      <c r="E8" s="73">
        <v>5088684.5600000126</v>
      </c>
      <c r="F8" s="73"/>
      <c r="G8" t="s">
        <v>13</v>
      </c>
      <c r="H8" s="73">
        <v>5088684.5600000126</v>
      </c>
      <c r="I8" t="b">
        <f t="shared" ref="I8:I22" si="0">G8=RIGHT(J8,2)</f>
        <v>1</v>
      </c>
      <c r="J8" t="s">
        <v>127</v>
      </c>
      <c r="K8" s="73">
        <v>2676675.2467299909</v>
      </c>
      <c r="M8" t="s">
        <v>127</v>
      </c>
      <c r="N8" s="73">
        <f t="shared" ref="N8:N22" si="1">H8+K8</f>
        <v>7765359.806730004</v>
      </c>
      <c r="P8" s="76">
        <f t="shared" ref="P8:P22" si="2">ROUND(N8/SUM($N$7:$N$22),4)</f>
        <v>3.0300000000000001E-2</v>
      </c>
    </row>
    <row r="9" spans="1:16">
      <c r="A9" t="s">
        <v>14</v>
      </c>
      <c r="B9" s="73">
        <v>38801430.379999943</v>
      </c>
      <c r="D9" t="s">
        <v>14</v>
      </c>
      <c r="E9" s="73">
        <v>38801430.379999943</v>
      </c>
      <c r="F9" s="73"/>
      <c r="G9" t="s">
        <v>14</v>
      </c>
      <c r="H9" s="73">
        <v>38801430.379999943</v>
      </c>
      <c r="I9" t="b">
        <f t="shared" si="0"/>
        <v>1</v>
      </c>
      <c r="J9" t="s">
        <v>128</v>
      </c>
      <c r="K9" s="73">
        <v>18579044.642350033</v>
      </c>
      <c r="M9" t="s">
        <v>128</v>
      </c>
      <c r="N9" s="73">
        <f t="shared" si="1"/>
        <v>57380475.022349976</v>
      </c>
      <c r="P9" s="76">
        <f t="shared" si="2"/>
        <v>0.224</v>
      </c>
    </row>
    <row r="10" spans="1:16">
      <c r="A10" t="s">
        <v>15</v>
      </c>
      <c r="B10" s="73">
        <v>2353255.860000012</v>
      </c>
      <c r="D10" t="s">
        <v>15</v>
      </c>
      <c r="E10" s="73">
        <v>2353255.860000012</v>
      </c>
      <c r="F10" s="73"/>
      <c r="G10" t="s">
        <v>15</v>
      </c>
      <c r="H10" s="73">
        <v>2353255.860000012</v>
      </c>
      <c r="I10" t="b">
        <f t="shared" si="0"/>
        <v>1</v>
      </c>
      <c r="J10" t="s">
        <v>129</v>
      </c>
      <c r="K10" s="73">
        <v>1121862.8779300023</v>
      </c>
      <c r="M10" t="s">
        <v>129</v>
      </c>
      <c r="N10" s="73">
        <f t="shared" si="1"/>
        <v>3475118.7379300143</v>
      </c>
      <c r="P10" s="76">
        <f t="shared" si="2"/>
        <v>1.3599999999999999E-2</v>
      </c>
    </row>
    <row r="11" spans="1:16">
      <c r="A11" t="s">
        <v>16</v>
      </c>
      <c r="B11" s="73">
        <v>19430832.479999948</v>
      </c>
      <c r="D11" t="s">
        <v>16</v>
      </c>
      <c r="E11" s="73">
        <v>19430832.479999948</v>
      </c>
      <c r="F11" s="73"/>
      <c r="G11" t="s">
        <v>16</v>
      </c>
      <c r="H11" s="73">
        <v>19430832.479999948</v>
      </c>
      <c r="I11" t="b">
        <f t="shared" si="0"/>
        <v>1</v>
      </c>
      <c r="J11" t="s">
        <v>130</v>
      </c>
      <c r="K11" s="73">
        <v>9820674.8585899267</v>
      </c>
      <c r="M11" t="s">
        <v>130</v>
      </c>
      <c r="N11" s="73">
        <f t="shared" si="1"/>
        <v>29251507.338589877</v>
      </c>
      <c r="P11" s="76">
        <f t="shared" si="2"/>
        <v>0.1142</v>
      </c>
    </row>
    <row r="12" spans="1:16">
      <c r="A12" t="s">
        <v>17</v>
      </c>
      <c r="B12" s="73">
        <v>11207119.099999972</v>
      </c>
      <c r="D12" t="s">
        <v>17</v>
      </c>
      <c r="E12" s="73">
        <v>11207119.099999972</v>
      </c>
      <c r="F12" s="73"/>
      <c r="G12" t="s">
        <v>17</v>
      </c>
      <c r="H12" s="73">
        <v>11207119.099999972</v>
      </c>
      <c r="I12" t="b">
        <f t="shared" si="0"/>
        <v>1</v>
      </c>
      <c r="J12" t="s">
        <v>131</v>
      </c>
      <c r="K12" s="73">
        <v>5999883.8036100343</v>
      </c>
      <c r="M12" t="s">
        <v>131</v>
      </c>
      <c r="N12" s="73">
        <f t="shared" si="1"/>
        <v>17207002.903610006</v>
      </c>
      <c r="P12" s="76">
        <f t="shared" si="2"/>
        <v>6.7199999999999996E-2</v>
      </c>
    </row>
    <row r="13" spans="1:16">
      <c r="A13" t="s">
        <v>21</v>
      </c>
      <c r="B13" s="73">
        <v>6889803.059999994</v>
      </c>
      <c r="D13" t="s">
        <v>21</v>
      </c>
      <c r="E13" s="73">
        <v>6889803.059999994</v>
      </c>
      <c r="F13" s="73"/>
      <c r="G13" t="s">
        <v>21</v>
      </c>
      <c r="H13" s="73">
        <v>6889803.059999994</v>
      </c>
      <c r="I13" t="b">
        <f t="shared" si="0"/>
        <v>1</v>
      </c>
      <c r="J13" t="s">
        <v>132</v>
      </c>
      <c r="K13" s="73">
        <v>2409446.9778100098</v>
      </c>
      <c r="M13" t="s">
        <v>132</v>
      </c>
      <c r="N13" s="73">
        <f t="shared" si="1"/>
        <v>9299250.0378100034</v>
      </c>
      <c r="P13" s="214">
        <f>ROUND(N13/SUM($N$7:$N$22),4)+0.0001</f>
        <v>3.6400000000000002E-2</v>
      </c>
    </row>
    <row r="14" spans="1:16">
      <c r="A14" t="s">
        <v>22</v>
      </c>
      <c r="B14" s="73">
        <v>59637505.540000334</v>
      </c>
      <c r="D14" t="s">
        <v>22</v>
      </c>
      <c r="E14" s="73">
        <v>59637505.540000334</v>
      </c>
      <c r="F14" s="73"/>
      <c r="G14" t="s">
        <v>22</v>
      </c>
      <c r="H14" s="73">
        <v>65952270.650000326</v>
      </c>
      <c r="I14" t="b">
        <f t="shared" si="0"/>
        <v>1</v>
      </c>
      <c r="J14" t="s">
        <v>133</v>
      </c>
      <c r="K14" s="73">
        <v>36466597.44875019</v>
      </c>
      <c r="M14" t="s">
        <v>133</v>
      </c>
      <c r="N14" s="73">
        <f t="shared" si="1"/>
        <v>102418868.09875052</v>
      </c>
      <c r="P14" s="76">
        <f>ROUND(N14/SUM($N$7:$N$22),4)</f>
        <v>0.39989999999999998</v>
      </c>
    </row>
    <row r="15" spans="1:16">
      <c r="A15" t="s">
        <v>23</v>
      </c>
      <c r="B15" s="73">
        <v>597175.81000000483</v>
      </c>
      <c r="D15" t="s">
        <v>23</v>
      </c>
      <c r="E15" s="73">
        <v>597175.81000000483</v>
      </c>
      <c r="F15" s="73"/>
      <c r="G15" t="s">
        <v>23</v>
      </c>
      <c r="H15" s="73">
        <v>597175.81000000483</v>
      </c>
      <c r="I15" t="b">
        <f t="shared" si="0"/>
        <v>1</v>
      </c>
      <c r="J15" t="s">
        <v>134</v>
      </c>
      <c r="K15" s="73">
        <v>180663.46414999996</v>
      </c>
      <c r="M15" t="s">
        <v>134</v>
      </c>
      <c r="N15" s="73">
        <f t="shared" si="1"/>
        <v>777839.27415000484</v>
      </c>
      <c r="P15" s="76">
        <f t="shared" si="2"/>
        <v>3.0000000000000001E-3</v>
      </c>
    </row>
    <row r="16" spans="1:16">
      <c r="A16" t="s">
        <v>24</v>
      </c>
      <c r="B16" s="73">
        <v>-201.89</v>
      </c>
      <c r="D16" t="s">
        <v>24</v>
      </c>
      <c r="E16" s="73">
        <v>-201.89</v>
      </c>
      <c r="F16" s="73"/>
      <c r="G16" t="s">
        <v>24</v>
      </c>
      <c r="H16" s="73">
        <v>-201.89</v>
      </c>
      <c r="I16" t="b">
        <f t="shared" si="0"/>
        <v>1</v>
      </c>
      <c r="J16" s="74" t="s">
        <v>135</v>
      </c>
      <c r="K16" s="73">
        <v>142.59405999999973</v>
      </c>
      <c r="M16" s="74" t="s">
        <v>135</v>
      </c>
      <c r="N16" s="73">
        <f t="shared" si="1"/>
        <v>-59.295940000000257</v>
      </c>
      <c r="P16" s="76">
        <f t="shared" si="2"/>
        <v>0</v>
      </c>
    </row>
    <row r="17" spans="1:16">
      <c r="A17" t="s">
        <v>27</v>
      </c>
      <c r="B17" s="73">
        <v>7763.7900000001955</v>
      </c>
      <c r="D17" t="s">
        <v>27</v>
      </c>
      <c r="E17" s="73">
        <v>7763.7900000001955</v>
      </c>
      <c r="F17" s="73"/>
      <c r="G17" t="s">
        <v>27</v>
      </c>
      <c r="H17" s="73">
        <v>7763.7900000001955</v>
      </c>
      <c r="I17" t="b">
        <f t="shared" si="0"/>
        <v>1</v>
      </c>
      <c r="J17" t="s">
        <v>136</v>
      </c>
      <c r="K17" s="73">
        <v>12988.004990000381</v>
      </c>
      <c r="M17" t="s">
        <v>136</v>
      </c>
      <c r="N17" s="73">
        <f t="shared" si="1"/>
        <v>20751.794990000577</v>
      </c>
      <c r="P17" s="76">
        <f t="shared" si="2"/>
        <v>1E-4</v>
      </c>
    </row>
    <row r="18" spans="1:16">
      <c r="A18" t="s">
        <v>30</v>
      </c>
      <c r="B18" s="73">
        <v>76960.699999999561</v>
      </c>
      <c r="D18" t="s">
        <v>30</v>
      </c>
      <c r="E18" s="73">
        <v>76960.699999999561</v>
      </c>
      <c r="F18" s="73"/>
      <c r="G18" t="s">
        <v>30</v>
      </c>
      <c r="H18" s="73">
        <v>76960.699999999561</v>
      </c>
      <c r="I18" t="b">
        <f t="shared" si="0"/>
        <v>1</v>
      </c>
      <c r="J18" t="s">
        <v>137</v>
      </c>
      <c r="K18" s="73">
        <v>29841.934959999737</v>
      </c>
      <c r="M18" t="s">
        <v>137</v>
      </c>
      <c r="N18" s="73">
        <f t="shared" si="1"/>
        <v>106802.6349599993</v>
      </c>
      <c r="P18" s="76">
        <f t="shared" si="2"/>
        <v>4.0000000000000002E-4</v>
      </c>
    </row>
    <row r="19" spans="1:16">
      <c r="A19" t="s">
        <v>31</v>
      </c>
      <c r="B19" s="73">
        <v>10267.330000000142</v>
      </c>
      <c r="D19" t="s">
        <v>31</v>
      </c>
      <c r="E19" s="73">
        <v>10267.330000000142</v>
      </c>
      <c r="F19" s="73"/>
      <c r="G19" t="s">
        <v>31</v>
      </c>
      <c r="H19" s="73">
        <v>10267.330000000142</v>
      </c>
      <c r="I19" t="b">
        <f t="shared" si="0"/>
        <v>1</v>
      </c>
      <c r="J19" t="s">
        <v>138</v>
      </c>
      <c r="K19" s="73">
        <v>1084.8476199999968</v>
      </c>
      <c r="M19" t="s">
        <v>138</v>
      </c>
      <c r="N19" s="73">
        <f t="shared" si="1"/>
        <v>11352.177620000139</v>
      </c>
      <c r="P19" s="76">
        <f t="shared" si="2"/>
        <v>0</v>
      </c>
    </row>
    <row r="20" spans="1:16">
      <c r="A20" t="s">
        <v>32</v>
      </c>
      <c r="B20" s="73">
        <v>18910117.610000078</v>
      </c>
      <c r="D20" t="s">
        <v>32</v>
      </c>
      <c r="E20" s="73">
        <v>18910117.610000078</v>
      </c>
      <c r="F20" s="73"/>
      <c r="G20" t="s">
        <v>32</v>
      </c>
      <c r="H20" s="73">
        <v>18910117.610000078</v>
      </c>
      <c r="I20" t="b">
        <f t="shared" si="0"/>
        <v>1</v>
      </c>
      <c r="J20" t="s">
        <v>139</v>
      </c>
      <c r="K20" s="73">
        <v>9301818.3162900303</v>
      </c>
      <c r="M20" t="s">
        <v>139</v>
      </c>
      <c r="N20" s="73">
        <f t="shared" si="1"/>
        <v>28211935.92629011</v>
      </c>
      <c r="P20" s="76">
        <f t="shared" si="2"/>
        <v>0.1101</v>
      </c>
    </row>
    <row r="21" spans="1:16">
      <c r="A21" t="s">
        <v>47</v>
      </c>
      <c r="B21" s="73">
        <v>4942896.7599999821</v>
      </c>
      <c r="D21" t="s">
        <v>22</v>
      </c>
      <c r="E21" s="73">
        <v>4942896.7599999821</v>
      </c>
      <c r="F21" s="73"/>
      <c r="G21" t="s">
        <v>36</v>
      </c>
      <c r="H21" s="73">
        <v>16353.600000000279</v>
      </c>
      <c r="I21" t="b">
        <f t="shared" si="0"/>
        <v>1</v>
      </c>
      <c r="J21" t="s">
        <v>140</v>
      </c>
      <c r="K21" s="73">
        <v>8397.990430000078</v>
      </c>
      <c r="M21" t="s">
        <v>140</v>
      </c>
      <c r="N21" s="73">
        <f t="shared" si="1"/>
        <v>24751.590430000357</v>
      </c>
      <c r="P21" s="76">
        <f t="shared" si="2"/>
        <v>1E-4</v>
      </c>
    </row>
    <row r="22" spans="1:16">
      <c r="A22" t="s">
        <v>48</v>
      </c>
      <c r="B22" s="73">
        <v>1371868.3500000066</v>
      </c>
      <c r="D22" t="s">
        <v>22</v>
      </c>
      <c r="E22" s="73">
        <v>1371868.3500000066</v>
      </c>
      <c r="F22" s="73"/>
      <c r="G22" t="s">
        <v>37</v>
      </c>
      <c r="H22" s="73">
        <v>20903.1400000004</v>
      </c>
      <c r="I22" t="b">
        <f t="shared" si="0"/>
        <v>1</v>
      </c>
      <c r="J22" t="s">
        <v>141</v>
      </c>
      <c r="K22" s="73">
        <v>10183.80649000005</v>
      </c>
      <c r="M22" t="s">
        <v>141</v>
      </c>
      <c r="N22" s="73">
        <f t="shared" si="1"/>
        <v>31086.94649000045</v>
      </c>
      <c r="P22" s="76">
        <f t="shared" si="2"/>
        <v>1E-4</v>
      </c>
    </row>
    <row r="23" spans="1:16" ht="15" thickBot="1">
      <c r="A23" t="s">
        <v>36</v>
      </c>
      <c r="B23" s="73">
        <v>16353.600000000279</v>
      </c>
      <c r="D23" t="s">
        <v>36</v>
      </c>
      <c r="E23" s="73">
        <v>16353.600000000279</v>
      </c>
      <c r="F23" s="73"/>
      <c r="G23" t="s">
        <v>49</v>
      </c>
      <c r="H23" s="73">
        <v>169467196.98000026</v>
      </c>
      <c r="K23" s="73"/>
      <c r="M23" s="120" t="s">
        <v>49</v>
      </c>
      <c r="N23" s="86">
        <f>SUM(N7:N22)</f>
        <v>256133638.03786048</v>
      </c>
      <c r="P23" s="184">
        <f>SUM(P7:P22)</f>
        <v>0.99999999999999989</v>
      </c>
    </row>
    <row r="24" spans="1:16" ht="15" thickTop="1">
      <c r="A24" t="s">
        <v>37</v>
      </c>
      <c r="B24" s="73">
        <v>20903.1400000004</v>
      </c>
      <c r="D24" t="s">
        <v>37</v>
      </c>
      <c r="E24" s="73">
        <v>20903.1400000004</v>
      </c>
      <c r="F24" s="73"/>
      <c r="G24" s="73"/>
      <c r="H24" s="73"/>
    </row>
    <row r="25" spans="1:16">
      <c r="A25" t="s">
        <v>49</v>
      </c>
      <c r="B25" s="73">
        <v>169467196.98000026</v>
      </c>
    </row>
  </sheetData>
  <pageMargins left="0.7" right="0.7" top="0.75" bottom="0.75" header="0.3" footer="0.3"/>
  <pageSetup scale="50" orientation="landscape" r:id="rId1"/>
  <headerFooter>
    <oddHeader>&amp;RKY PSC Case No. 2016-00162,
Attachment G to Staff Post Hearing Supp. DR 2</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workbookViewId="0">
      <selection sqref="A1:H1"/>
    </sheetView>
  </sheetViews>
  <sheetFormatPr defaultColWidth="9.109375" defaultRowHeight="14.4"/>
  <cols>
    <col min="1" max="1" width="15.44140625" style="77" customWidth="1"/>
    <col min="2" max="2" width="16.88671875" style="77" customWidth="1"/>
    <col min="3" max="4" width="9.109375" style="77"/>
    <col min="5" max="5" width="15.33203125" style="77" bestFit="1" customWidth="1"/>
    <col min="6" max="6" width="11.44140625" style="77" bestFit="1" customWidth="1"/>
    <col min="7" max="16384" width="9.109375" style="77"/>
  </cols>
  <sheetData>
    <row r="1" spans="1:8" ht="19.2">
      <c r="A1" s="252" t="s">
        <v>149</v>
      </c>
      <c r="B1" s="252"/>
      <c r="C1" s="252"/>
      <c r="D1" s="252"/>
      <c r="E1" s="252"/>
      <c r="F1" s="252"/>
      <c r="G1" s="252"/>
      <c r="H1" s="252"/>
    </row>
    <row r="3" spans="1:8">
      <c r="A3" s="250" t="s">
        <v>150</v>
      </c>
      <c r="B3" s="250"/>
      <c r="C3" s="152"/>
      <c r="D3" s="250" t="s">
        <v>151</v>
      </c>
      <c r="E3" s="250"/>
      <c r="F3" s="250"/>
    </row>
    <row r="4" spans="1:8">
      <c r="A4" s="153"/>
      <c r="B4" s="153"/>
      <c r="D4" s="153"/>
      <c r="E4" s="153"/>
      <c r="F4" s="153"/>
    </row>
    <row r="5" spans="1:8">
      <c r="A5" s="152" t="s">
        <v>44</v>
      </c>
      <c r="B5" s="154" t="s">
        <v>4</v>
      </c>
      <c r="C5" s="155"/>
      <c r="D5" s="152" t="s">
        <v>44</v>
      </c>
      <c r="E5" s="152" t="s">
        <v>63</v>
      </c>
      <c r="F5" s="154" t="s">
        <v>4</v>
      </c>
      <c r="G5" s="135"/>
      <c r="H5" s="154" t="s">
        <v>7</v>
      </c>
    </row>
    <row r="6" spans="1:8">
      <c r="A6" s="189" t="s">
        <v>120</v>
      </c>
      <c r="B6" s="160">
        <v>0</v>
      </c>
      <c r="C6" s="135"/>
      <c r="D6" s="189" t="s">
        <v>125</v>
      </c>
      <c r="E6" s="195">
        <v>0</v>
      </c>
      <c r="F6" s="160">
        <v>0</v>
      </c>
      <c r="G6" s="156"/>
      <c r="H6" s="215">
        <f t="shared" ref="H6:H22" si="0">F6-B6</f>
        <v>0</v>
      </c>
    </row>
    <row r="7" spans="1:8">
      <c r="A7" s="134" t="s">
        <v>11</v>
      </c>
      <c r="B7" s="138">
        <v>2.9999999999999997E-4</v>
      </c>
      <c r="C7" s="135"/>
      <c r="D7" s="187" t="s">
        <v>126</v>
      </c>
      <c r="E7" s="195">
        <v>29705.740000000093</v>
      </c>
      <c r="F7" s="138">
        <v>2.9999999999999997E-4</v>
      </c>
      <c r="G7" s="156"/>
      <c r="H7" s="215">
        <f t="shared" si="0"/>
        <v>0</v>
      </c>
    </row>
    <row r="8" spans="1:8">
      <c r="A8" s="134" t="s">
        <v>13</v>
      </c>
      <c r="B8" s="138">
        <v>3.2300000000000002E-2</v>
      </c>
      <c r="C8" s="135"/>
      <c r="D8" s="187" t="s">
        <v>127</v>
      </c>
      <c r="E8" s="195">
        <v>3249130.129960001</v>
      </c>
      <c r="F8" s="138">
        <v>3.2500000000000001E-2</v>
      </c>
      <c r="G8" s="136"/>
      <c r="H8" s="215">
        <f t="shared" si="0"/>
        <v>1.9999999999999879E-4</v>
      </c>
    </row>
    <row r="9" spans="1:8">
      <c r="A9" s="134" t="s">
        <v>14</v>
      </c>
      <c r="B9" s="138">
        <v>0.25530000000000003</v>
      </c>
      <c r="C9" s="135"/>
      <c r="D9" s="187" t="s">
        <v>128</v>
      </c>
      <c r="E9" s="195">
        <v>24289526.799959991</v>
      </c>
      <c r="F9" s="138">
        <v>0.2429</v>
      </c>
      <c r="G9" s="136"/>
      <c r="H9" s="215">
        <f t="shared" si="0"/>
        <v>-1.2400000000000022E-2</v>
      </c>
    </row>
    <row r="10" spans="1:8">
      <c r="A10" s="134" t="s">
        <v>15</v>
      </c>
      <c r="B10" s="138">
        <v>1.21E-2</v>
      </c>
      <c r="C10" s="135"/>
      <c r="D10" s="187" t="s">
        <v>129</v>
      </c>
      <c r="E10" s="195">
        <v>1213735.7699999996</v>
      </c>
      <c r="F10" s="138">
        <v>1.21E-2</v>
      </c>
      <c r="G10" s="136"/>
      <c r="H10" s="215">
        <f t="shared" si="0"/>
        <v>0</v>
      </c>
    </row>
    <row r="11" spans="1:8">
      <c r="A11" s="134" t="s">
        <v>16</v>
      </c>
      <c r="B11" s="138">
        <v>0.11990000000000001</v>
      </c>
      <c r="C11" s="135"/>
      <c r="D11" s="187" t="s">
        <v>130</v>
      </c>
      <c r="E11" s="195">
        <v>11863093.940000009</v>
      </c>
      <c r="F11" s="138">
        <v>0.1186</v>
      </c>
      <c r="G11" s="136"/>
      <c r="H11" s="215">
        <f t="shared" si="0"/>
        <v>-1.3000000000000095E-3</v>
      </c>
    </row>
    <row r="12" spans="1:8">
      <c r="A12" s="134" t="s">
        <v>17</v>
      </c>
      <c r="B12" s="138">
        <v>6.5500000000000003E-2</v>
      </c>
      <c r="C12" s="135"/>
      <c r="D12" s="187" t="s">
        <v>131</v>
      </c>
      <c r="E12" s="195">
        <v>7289944.6099300003</v>
      </c>
      <c r="F12" s="138">
        <v>7.2900000000000006E-2</v>
      </c>
      <c r="G12" s="136"/>
      <c r="H12" s="215">
        <f t="shared" si="0"/>
        <v>7.4000000000000038E-3</v>
      </c>
    </row>
    <row r="13" spans="1:8">
      <c r="A13" s="134" t="s">
        <v>21</v>
      </c>
      <c r="B13" s="138">
        <v>4.5000000000000005E-3</v>
      </c>
      <c r="C13" s="135"/>
      <c r="D13" s="187" t="s">
        <v>132</v>
      </c>
      <c r="E13" s="195">
        <v>917284.72999999882</v>
      </c>
      <c r="F13" s="138">
        <v>9.1000000000000004E-3</v>
      </c>
      <c r="G13" s="136"/>
      <c r="H13" s="215">
        <f t="shared" si="0"/>
        <v>4.5999999999999999E-3</v>
      </c>
    </row>
    <row r="14" spans="1:8">
      <c r="A14" s="134" t="s">
        <v>22</v>
      </c>
      <c r="B14" s="138">
        <v>0.3972</v>
      </c>
      <c r="C14" s="135"/>
      <c r="D14" s="187" t="s">
        <v>133</v>
      </c>
      <c r="E14" s="195">
        <v>40157720.019999936</v>
      </c>
      <c r="F14" s="138">
        <v>0.40150000000000002</v>
      </c>
      <c r="G14" s="136"/>
      <c r="H14" s="215">
        <f t="shared" si="0"/>
        <v>4.300000000000026E-3</v>
      </c>
    </row>
    <row r="15" spans="1:8">
      <c r="A15" s="134" t="s">
        <v>23</v>
      </c>
      <c r="B15" s="138">
        <v>5.9999999999999995E-4</v>
      </c>
      <c r="C15" s="135"/>
      <c r="D15" s="187" t="s">
        <v>134</v>
      </c>
      <c r="E15" s="195">
        <v>50434.309999999925</v>
      </c>
      <c r="F15" s="138">
        <v>5.0000000000000001E-4</v>
      </c>
      <c r="G15" s="136"/>
      <c r="H15" s="215">
        <f t="shared" si="0"/>
        <v>-9.9999999999999937E-5</v>
      </c>
    </row>
    <row r="16" spans="1:8">
      <c r="A16" s="134" t="s">
        <v>24</v>
      </c>
      <c r="B16" s="160">
        <v>0</v>
      </c>
      <c r="C16" s="135"/>
      <c r="D16" s="187" t="s">
        <v>135</v>
      </c>
      <c r="E16" s="195">
        <v>-170.28</v>
      </c>
      <c r="F16" s="160">
        <v>0</v>
      </c>
      <c r="G16" s="136"/>
      <c r="H16" s="215">
        <f t="shared" si="0"/>
        <v>0</v>
      </c>
    </row>
    <row r="17" spans="1:8">
      <c r="A17" s="134" t="s">
        <v>27</v>
      </c>
      <c r="B17" s="138">
        <v>0</v>
      </c>
      <c r="C17" s="135"/>
      <c r="D17" s="187" t="s">
        <v>136</v>
      </c>
      <c r="E17" s="195">
        <v>2375.0699999999933</v>
      </c>
      <c r="F17" s="138">
        <v>0</v>
      </c>
      <c r="G17" s="136"/>
      <c r="H17" s="215">
        <f t="shared" si="0"/>
        <v>0</v>
      </c>
    </row>
    <row r="18" spans="1:8">
      <c r="A18" s="134" t="s">
        <v>30</v>
      </c>
      <c r="B18" s="138">
        <v>1E-4</v>
      </c>
      <c r="C18" s="135"/>
      <c r="D18" s="187" t="s">
        <v>137</v>
      </c>
      <c r="E18" s="195">
        <v>7135.7900000000027</v>
      </c>
      <c r="F18" s="138">
        <v>1E-4</v>
      </c>
      <c r="G18" s="136"/>
      <c r="H18" s="215">
        <f t="shared" si="0"/>
        <v>0</v>
      </c>
    </row>
    <row r="19" spans="1:8">
      <c r="A19" s="134" t="s">
        <v>31</v>
      </c>
      <c r="B19" s="160">
        <v>0</v>
      </c>
      <c r="C19" s="135"/>
      <c r="D19" s="187" t="s">
        <v>138</v>
      </c>
      <c r="E19" s="195">
        <v>1115.1099999999956</v>
      </c>
      <c r="F19" s="160">
        <v>0</v>
      </c>
      <c r="G19" s="140"/>
      <c r="H19" s="215">
        <f t="shared" si="0"/>
        <v>0</v>
      </c>
    </row>
    <row r="20" spans="1:8">
      <c r="A20" s="134" t="s">
        <v>32</v>
      </c>
      <c r="B20" s="138">
        <v>0.11219999999999999</v>
      </c>
      <c r="C20" s="135"/>
      <c r="D20" s="187" t="s">
        <v>139</v>
      </c>
      <c r="E20" s="195">
        <v>10946881.690029997</v>
      </c>
      <c r="F20" s="138">
        <v>0.1095</v>
      </c>
      <c r="G20" s="140"/>
      <c r="H20" s="215">
        <f t="shared" si="0"/>
        <v>-2.6999999999999941E-3</v>
      </c>
    </row>
    <row r="21" spans="1:8">
      <c r="A21" s="134" t="s">
        <v>36</v>
      </c>
      <c r="B21" s="160">
        <v>0</v>
      </c>
      <c r="C21" s="135"/>
      <c r="D21" s="187" t="s">
        <v>140</v>
      </c>
      <c r="E21" s="195">
        <v>-7401.7200000000066</v>
      </c>
      <c r="F21" s="160">
        <v>0</v>
      </c>
      <c r="G21" s="156"/>
      <c r="H21" s="215">
        <f t="shared" si="0"/>
        <v>0</v>
      </c>
    </row>
    <row r="22" spans="1:8">
      <c r="A22" s="134" t="s">
        <v>37</v>
      </c>
      <c r="B22" s="160">
        <v>0</v>
      </c>
      <c r="C22" s="135"/>
      <c r="D22" s="187" t="s">
        <v>141</v>
      </c>
      <c r="E22" s="195">
        <v>1844.1499999999944</v>
      </c>
      <c r="F22" s="160">
        <v>0</v>
      </c>
      <c r="G22" s="156"/>
      <c r="H22" s="215">
        <f t="shared" si="0"/>
        <v>0</v>
      </c>
    </row>
    <row r="23" spans="1:8" ht="15" thickBot="1">
      <c r="A23" s="157" t="s">
        <v>6</v>
      </c>
      <c r="B23" s="216">
        <f>SUM(B6:B22)</f>
        <v>1</v>
      </c>
      <c r="D23" s="188" t="s">
        <v>6</v>
      </c>
      <c r="E23" s="196">
        <f>SUM(E6:E22)</f>
        <v>100012355.85987994</v>
      </c>
      <c r="F23" s="144">
        <v>1</v>
      </c>
      <c r="H23" s="161">
        <f>SUM(H6:H22)</f>
        <v>3.0357660829594124E-18</v>
      </c>
    </row>
  </sheetData>
  <mergeCells count="3">
    <mergeCell ref="A1:H1"/>
    <mergeCell ref="A3:B3"/>
    <mergeCell ref="D3:F3"/>
  </mergeCells>
  <conditionalFormatting sqref="H6:H22">
    <cfRule type="cellIs" dxfId="4" priority="1" operator="notBetween">
      <formula>-0.0099</formula>
      <formula>0.0099</formula>
    </cfRule>
  </conditionalFormatting>
  <pageMargins left="0.7" right="0.7" top="0.75" bottom="0.75" header="0.3" footer="0.3"/>
  <pageSetup orientation="landscape" r:id="rId1"/>
  <headerFooter>
    <oddHeader>&amp;RKY PSC Case No. 2016-00162,
Attachment G to Staff Post Hearing Supp. DR 2</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
  <sheetViews>
    <sheetView workbookViewId="0"/>
  </sheetViews>
  <sheetFormatPr defaultRowHeight="14.4"/>
  <cols>
    <col min="1" max="1" width="15.44140625" bestFit="1" customWidth="1"/>
    <col min="2" max="2" width="24.88671875" bestFit="1" customWidth="1"/>
    <col min="4" max="4" width="5.88671875" customWidth="1"/>
    <col min="5" max="5" width="14.33203125" bestFit="1" customWidth="1"/>
    <col min="7" max="7" width="11.33203125" customWidth="1"/>
    <col min="8" max="8" width="19.109375" bestFit="1" customWidth="1"/>
    <col min="11" max="11" width="32.44140625" bestFit="1" customWidth="1"/>
    <col min="14" max="14" width="14.33203125" bestFit="1" customWidth="1"/>
    <col min="16" max="16" width="12.33203125" bestFit="1" customWidth="1"/>
  </cols>
  <sheetData>
    <row r="1" spans="1:16">
      <c r="A1" s="163" t="s">
        <v>101</v>
      </c>
      <c r="B1" t="s">
        <v>102</v>
      </c>
    </row>
    <row r="2" spans="1:16">
      <c r="A2" s="163" t="s">
        <v>106</v>
      </c>
      <c r="B2" t="s">
        <v>107</v>
      </c>
    </row>
    <row r="3" spans="1:16">
      <c r="A3" s="163" t="s">
        <v>121</v>
      </c>
      <c r="B3" t="s">
        <v>107</v>
      </c>
      <c r="D3" s="75"/>
      <c r="G3" s="75" t="s">
        <v>152</v>
      </c>
      <c r="J3" s="75" t="s">
        <v>143</v>
      </c>
    </row>
    <row r="5" spans="1:16">
      <c r="A5" s="163" t="s">
        <v>44</v>
      </c>
      <c r="B5" t="s">
        <v>100</v>
      </c>
      <c r="D5" s="46" t="s">
        <v>44</v>
      </c>
      <c r="E5" s="46" t="s">
        <v>108</v>
      </c>
      <c r="G5" s="163" t="s">
        <v>44</v>
      </c>
      <c r="H5" t="s">
        <v>100</v>
      </c>
      <c r="J5" s="212" t="s">
        <v>146</v>
      </c>
      <c r="K5" s="212" t="s">
        <v>147</v>
      </c>
      <c r="M5" s="46" t="s">
        <v>44</v>
      </c>
      <c r="N5" s="46" t="s">
        <v>108</v>
      </c>
      <c r="P5" s="46" t="s">
        <v>153</v>
      </c>
    </row>
    <row r="6" spans="1:16">
      <c r="A6" t="s">
        <v>11</v>
      </c>
      <c r="B6" s="73">
        <v>14020.390000000081</v>
      </c>
      <c r="D6" t="s">
        <v>11</v>
      </c>
      <c r="E6" s="72">
        <v>14020.390000000081</v>
      </c>
      <c r="G6" t="s">
        <v>11</v>
      </c>
      <c r="H6" s="73">
        <v>14020.390000000081</v>
      </c>
      <c r="I6" t="b">
        <f>G6=RIGHT(J6,2)</f>
        <v>1</v>
      </c>
      <c r="J6" t="s">
        <v>126</v>
      </c>
      <c r="K6" s="73">
        <v>15685.350000000011</v>
      </c>
      <c r="M6" t="s">
        <v>126</v>
      </c>
      <c r="N6" s="73">
        <f>H6+K6</f>
        <v>29705.740000000093</v>
      </c>
      <c r="P6" s="76">
        <f>ROUND(N6/SUM($N$6:$N$21),4)</f>
        <v>2.9999999999999997E-4</v>
      </c>
    </row>
    <row r="7" spans="1:16">
      <c r="A7" t="s">
        <v>13</v>
      </c>
      <c r="B7" s="73">
        <v>2068638.7000000004</v>
      </c>
      <c r="D7" t="s">
        <v>13</v>
      </c>
      <c r="E7" s="72">
        <v>2068638.7000000004</v>
      </c>
      <c r="G7" t="s">
        <v>13</v>
      </c>
      <c r="H7" s="73">
        <v>2068638.7000000004</v>
      </c>
      <c r="I7" t="b">
        <f t="shared" ref="I7:I21" si="0">G7=RIGHT(J7,2)</f>
        <v>1</v>
      </c>
      <c r="J7" t="s">
        <v>127</v>
      </c>
      <c r="K7" s="73">
        <v>1180491.4299600006</v>
      </c>
      <c r="M7" t="s">
        <v>127</v>
      </c>
      <c r="N7" s="73">
        <f t="shared" ref="N7:N21" si="1">H7+K7</f>
        <v>3249130.129960001</v>
      </c>
      <c r="P7" s="76">
        <f t="shared" ref="P7:P21" si="2">ROUND(N7/SUM($N$6:$N$21),4)</f>
        <v>3.2500000000000001E-2</v>
      </c>
    </row>
    <row r="8" spans="1:16">
      <c r="A8" t="s">
        <v>14</v>
      </c>
      <c r="B8" s="73">
        <v>16839769.18</v>
      </c>
      <c r="D8" t="s">
        <v>14</v>
      </c>
      <c r="E8" s="72">
        <v>16839769.18</v>
      </c>
      <c r="G8" t="s">
        <v>14</v>
      </c>
      <c r="H8" s="73">
        <v>16839769.18</v>
      </c>
      <c r="I8" t="b">
        <f t="shared" si="0"/>
        <v>1</v>
      </c>
      <c r="J8" t="s">
        <v>128</v>
      </c>
      <c r="K8" s="73">
        <v>7449757.6199599924</v>
      </c>
      <c r="M8" t="s">
        <v>128</v>
      </c>
      <c r="N8" s="73">
        <f t="shared" si="1"/>
        <v>24289526.799959991</v>
      </c>
      <c r="P8" s="76">
        <f t="shared" si="2"/>
        <v>0.2429</v>
      </c>
    </row>
    <row r="9" spans="1:16">
      <c r="A9" t="s">
        <v>15</v>
      </c>
      <c r="B9" s="73">
        <v>822012.70000000042</v>
      </c>
      <c r="D9" t="s">
        <v>15</v>
      </c>
      <c r="E9" s="72">
        <v>822012.70000000042</v>
      </c>
      <c r="G9" t="s">
        <v>15</v>
      </c>
      <c r="H9" s="73">
        <v>822012.70000000042</v>
      </c>
      <c r="I9" t="b">
        <f t="shared" si="0"/>
        <v>1</v>
      </c>
      <c r="J9" t="s">
        <v>129</v>
      </c>
      <c r="K9" s="73">
        <v>391723.06999999908</v>
      </c>
      <c r="M9" t="s">
        <v>129</v>
      </c>
      <c r="N9" s="73">
        <f t="shared" si="1"/>
        <v>1213735.7699999996</v>
      </c>
      <c r="P9" s="76">
        <f t="shared" si="2"/>
        <v>1.21E-2</v>
      </c>
    </row>
    <row r="10" spans="1:16">
      <c r="A10" t="s">
        <v>16</v>
      </c>
      <c r="B10" s="73">
        <v>7887172.6300000045</v>
      </c>
      <c r="D10" t="s">
        <v>16</v>
      </c>
      <c r="E10" s="72">
        <v>7887172.6300000045</v>
      </c>
      <c r="G10" t="s">
        <v>16</v>
      </c>
      <c r="H10" s="73">
        <v>7887172.6300000045</v>
      </c>
      <c r="I10" t="b">
        <f t="shared" si="0"/>
        <v>1</v>
      </c>
      <c r="J10" t="s">
        <v>130</v>
      </c>
      <c r="K10" s="73">
        <v>3975921.3100000047</v>
      </c>
      <c r="M10" t="s">
        <v>130</v>
      </c>
      <c r="N10" s="73">
        <f t="shared" si="1"/>
        <v>11863093.940000009</v>
      </c>
      <c r="P10" s="76">
        <f t="shared" si="2"/>
        <v>0.1186</v>
      </c>
    </row>
    <row r="11" spans="1:16">
      <c r="A11" t="s">
        <v>17</v>
      </c>
      <c r="B11" s="73">
        <v>4612981.2299999977</v>
      </c>
      <c r="D11" t="s">
        <v>17</v>
      </c>
      <c r="E11" s="72">
        <v>4612981.2299999977</v>
      </c>
      <c r="G11" t="s">
        <v>17</v>
      </c>
      <c r="H11" s="73">
        <v>4612981.2299999977</v>
      </c>
      <c r="I11" t="b">
        <f t="shared" si="0"/>
        <v>1</v>
      </c>
      <c r="J11" t="s">
        <v>131</v>
      </c>
      <c r="K11" s="73">
        <v>2676963.3799300026</v>
      </c>
      <c r="M11" t="s">
        <v>131</v>
      </c>
      <c r="N11" s="73">
        <f t="shared" si="1"/>
        <v>7289944.6099300003</v>
      </c>
      <c r="P11" s="76">
        <f t="shared" si="2"/>
        <v>7.2900000000000006E-2</v>
      </c>
    </row>
    <row r="12" spans="1:16">
      <c r="A12" t="s">
        <v>21</v>
      </c>
      <c r="B12" s="73">
        <v>516082.59000000026</v>
      </c>
      <c r="D12" t="s">
        <v>21</v>
      </c>
      <c r="E12" s="72">
        <v>516082.59000000026</v>
      </c>
      <c r="G12" t="s">
        <v>21</v>
      </c>
      <c r="H12" s="73">
        <v>516082.59000000026</v>
      </c>
      <c r="I12" t="b">
        <f t="shared" si="0"/>
        <v>1</v>
      </c>
      <c r="J12" t="s">
        <v>132</v>
      </c>
      <c r="K12" s="73">
        <v>401202.1399999985</v>
      </c>
      <c r="M12" t="s">
        <v>132</v>
      </c>
      <c r="N12" s="73">
        <f t="shared" si="1"/>
        <v>917284.72999999882</v>
      </c>
      <c r="P12" s="79">
        <f>ROUND(N12/SUM($N$6:$N$21),4)-0.0001</f>
        <v>9.1000000000000004E-3</v>
      </c>
    </row>
    <row r="13" spans="1:16">
      <c r="A13" t="s">
        <v>22</v>
      </c>
      <c r="B13" s="73">
        <v>25692239.639999967</v>
      </c>
      <c r="D13" t="s">
        <v>22</v>
      </c>
      <c r="E13" s="72">
        <v>25692239.639999967</v>
      </c>
      <c r="G13" t="s">
        <v>22</v>
      </c>
      <c r="H13" s="73">
        <v>26356476.439999968</v>
      </c>
      <c r="I13" t="b">
        <f t="shared" si="0"/>
        <v>1</v>
      </c>
      <c r="J13" t="s">
        <v>133</v>
      </c>
      <c r="K13" s="73">
        <v>13801243.57999997</v>
      </c>
      <c r="M13" t="s">
        <v>133</v>
      </c>
      <c r="N13" s="73">
        <f t="shared" si="1"/>
        <v>40157720.019999936</v>
      </c>
      <c r="P13" s="76">
        <f t="shared" si="2"/>
        <v>0.40150000000000002</v>
      </c>
    </row>
    <row r="14" spans="1:16">
      <c r="A14" t="s">
        <v>23</v>
      </c>
      <c r="B14" s="73">
        <v>37073.499999999905</v>
      </c>
      <c r="D14" t="s">
        <v>23</v>
      </c>
      <c r="E14" s="72">
        <v>37073.499999999905</v>
      </c>
      <c r="G14" t="s">
        <v>23</v>
      </c>
      <c r="H14" s="73">
        <v>37073.499999999905</v>
      </c>
      <c r="I14" t="b">
        <f t="shared" si="0"/>
        <v>1</v>
      </c>
      <c r="J14" t="s">
        <v>134</v>
      </c>
      <c r="K14" s="73">
        <v>13360.810000000021</v>
      </c>
      <c r="M14" t="s">
        <v>134</v>
      </c>
      <c r="N14" s="73">
        <f t="shared" si="1"/>
        <v>50434.309999999925</v>
      </c>
      <c r="P14" s="76">
        <f t="shared" si="2"/>
        <v>5.0000000000000001E-4</v>
      </c>
    </row>
    <row r="15" spans="1:16">
      <c r="A15" t="s">
        <v>24</v>
      </c>
      <c r="B15" s="73">
        <v>-275</v>
      </c>
      <c r="D15" t="s">
        <v>24</v>
      </c>
      <c r="E15" s="72">
        <v>-275</v>
      </c>
      <c r="G15" t="s">
        <v>24</v>
      </c>
      <c r="H15" s="73">
        <v>-275</v>
      </c>
      <c r="I15" t="b">
        <f t="shared" si="0"/>
        <v>1</v>
      </c>
      <c r="J15" t="s">
        <v>135</v>
      </c>
      <c r="K15" s="73">
        <v>104.72</v>
      </c>
      <c r="M15" t="s">
        <v>135</v>
      </c>
      <c r="N15" s="73">
        <f t="shared" si="1"/>
        <v>-170.28</v>
      </c>
      <c r="P15" s="76">
        <f t="shared" si="2"/>
        <v>0</v>
      </c>
    </row>
    <row r="16" spans="1:16">
      <c r="A16" t="s">
        <v>27</v>
      </c>
      <c r="B16" s="73">
        <v>1488.7899999999934</v>
      </c>
      <c r="D16" t="s">
        <v>27</v>
      </c>
      <c r="E16" s="72">
        <v>1488.7899999999934</v>
      </c>
      <c r="G16" t="s">
        <v>27</v>
      </c>
      <c r="H16" s="73">
        <v>1488.7899999999934</v>
      </c>
      <c r="I16" t="b">
        <f t="shared" si="0"/>
        <v>1</v>
      </c>
      <c r="J16" t="s">
        <v>136</v>
      </c>
      <c r="K16" s="73">
        <v>886.27999999999975</v>
      </c>
      <c r="M16" t="s">
        <v>136</v>
      </c>
      <c r="N16" s="73">
        <f t="shared" si="1"/>
        <v>2375.0699999999933</v>
      </c>
      <c r="P16" s="76">
        <f t="shared" si="2"/>
        <v>0</v>
      </c>
    </row>
    <row r="17" spans="1:16">
      <c r="A17" t="s">
        <v>30</v>
      </c>
      <c r="B17" s="73">
        <v>5237.0400000000063</v>
      </c>
      <c r="D17" t="s">
        <v>30</v>
      </c>
      <c r="E17" s="72">
        <v>5237.0400000000063</v>
      </c>
      <c r="G17" t="s">
        <v>30</v>
      </c>
      <c r="H17" s="73">
        <v>5237.0400000000063</v>
      </c>
      <c r="I17" t="b">
        <f t="shared" si="0"/>
        <v>1</v>
      </c>
      <c r="J17" t="s">
        <v>137</v>
      </c>
      <c r="K17" s="73">
        <v>1898.7499999999959</v>
      </c>
      <c r="M17" t="s">
        <v>137</v>
      </c>
      <c r="N17" s="73">
        <f t="shared" si="1"/>
        <v>7135.7900000000027</v>
      </c>
      <c r="P17" s="76">
        <f t="shared" si="2"/>
        <v>1E-4</v>
      </c>
    </row>
    <row r="18" spans="1:16">
      <c r="A18" t="s">
        <v>31</v>
      </c>
      <c r="B18" s="73">
        <v>848.07999999999583</v>
      </c>
      <c r="D18" t="s">
        <v>31</v>
      </c>
      <c r="E18" s="72">
        <v>848.07999999999583</v>
      </c>
      <c r="G18" t="s">
        <v>31</v>
      </c>
      <c r="H18" s="73">
        <v>848.07999999999583</v>
      </c>
      <c r="I18" t="b">
        <f t="shared" si="0"/>
        <v>1</v>
      </c>
      <c r="J18" t="s">
        <v>138</v>
      </c>
      <c r="K18" s="73">
        <v>267.0299999999998</v>
      </c>
      <c r="M18" t="s">
        <v>138</v>
      </c>
      <c r="N18" s="73">
        <f t="shared" si="1"/>
        <v>1115.1099999999956</v>
      </c>
      <c r="P18" s="76">
        <f t="shared" si="2"/>
        <v>0</v>
      </c>
    </row>
    <row r="19" spans="1:16">
      <c r="A19" t="s">
        <v>32</v>
      </c>
      <c r="B19" s="73">
        <v>7601841.5899999952</v>
      </c>
      <c r="D19" t="s">
        <v>32</v>
      </c>
      <c r="E19" s="72">
        <v>7601841.5899999952</v>
      </c>
      <c r="G19" t="s">
        <v>32</v>
      </c>
      <c r="H19" s="73">
        <v>7601841.5899999952</v>
      </c>
      <c r="I19" t="b">
        <f t="shared" si="0"/>
        <v>1</v>
      </c>
      <c r="J19" t="s">
        <v>139</v>
      </c>
      <c r="K19" s="73">
        <v>3345040.1000300026</v>
      </c>
      <c r="M19" t="s">
        <v>139</v>
      </c>
      <c r="N19" s="73">
        <f t="shared" si="1"/>
        <v>10946881.690029997</v>
      </c>
      <c r="P19" s="76">
        <f t="shared" si="2"/>
        <v>0.1095</v>
      </c>
    </row>
    <row r="20" spans="1:16">
      <c r="A20" t="s">
        <v>47</v>
      </c>
      <c r="B20" s="73">
        <v>475960.67999999964</v>
      </c>
      <c r="D20" t="s">
        <v>22</v>
      </c>
      <c r="E20" s="72">
        <v>475960.67999999964</v>
      </c>
      <c r="G20" t="s">
        <v>36</v>
      </c>
      <c r="H20" s="73">
        <v>-7956.9500000000053</v>
      </c>
      <c r="I20" t="b">
        <f t="shared" si="0"/>
        <v>1</v>
      </c>
      <c r="J20" t="s">
        <v>140</v>
      </c>
      <c r="K20" s="73">
        <v>555.22999999999877</v>
      </c>
      <c r="M20" t="s">
        <v>140</v>
      </c>
      <c r="N20" s="73">
        <f t="shared" si="1"/>
        <v>-7401.7200000000066</v>
      </c>
      <c r="P20" s="79">
        <f>ROUND(N20/SUM($N$6:$N$21),4)+0.0001</f>
        <v>0</v>
      </c>
    </row>
    <row r="21" spans="1:16">
      <c r="A21" t="s">
        <v>48</v>
      </c>
      <c r="B21" s="73">
        <v>188276.12000000032</v>
      </c>
      <c r="D21" t="s">
        <v>22</v>
      </c>
      <c r="E21" s="72">
        <v>188276.12000000032</v>
      </c>
      <c r="G21" t="s">
        <v>37</v>
      </c>
      <c r="H21" s="73">
        <v>1417.4999999999948</v>
      </c>
      <c r="I21" t="b">
        <f t="shared" si="0"/>
        <v>1</v>
      </c>
      <c r="J21" t="s">
        <v>141</v>
      </c>
      <c r="K21" s="73">
        <v>426.64999999999969</v>
      </c>
      <c r="M21" t="s">
        <v>141</v>
      </c>
      <c r="N21" s="73">
        <f t="shared" si="1"/>
        <v>1844.1499999999944</v>
      </c>
      <c r="P21" s="76">
        <f t="shared" si="2"/>
        <v>0</v>
      </c>
    </row>
    <row r="22" spans="1:16" ht="15" thickBot="1">
      <c r="A22" t="s">
        <v>36</v>
      </c>
      <c r="B22" s="73">
        <v>-7956.9500000000053</v>
      </c>
      <c r="D22" t="s">
        <v>36</v>
      </c>
      <c r="E22" s="72">
        <v>-7956.9500000000053</v>
      </c>
      <c r="G22" t="s">
        <v>49</v>
      </c>
      <c r="H22" s="73">
        <v>66756828.409999959</v>
      </c>
      <c r="P22" s="184">
        <f>SUM(P6:P21)</f>
        <v>1</v>
      </c>
    </row>
    <row r="23" spans="1:16" ht="15" thickTop="1">
      <c r="A23" t="s">
        <v>37</v>
      </c>
      <c r="B23" s="73">
        <v>1417.4999999999948</v>
      </c>
      <c r="D23" t="s">
        <v>37</v>
      </c>
      <c r="E23" s="72">
        <v>1417.4999999999948</v>
      </c>
    </row>
    <row r="24" spans="1:16">
      <c r="A24" t="s">
        <v>49</v>
      </c>
      <c r="B24" s="73">
        <v>66756828.409999952</v>
      </c>
    </row>
  </sheetData>
  <pageMargins left="0.7" right="0.7" top="0.75" bottom="0.75" header="0.3" footer="0.3"/>
  <pageSetup scale="57" orientation="landscape" r:id="rId1"/>
  <headerFooter>
    <oddHeader>&amp;RKY PSC Case No. 2016-00162,
Attachment G to Staff Post Hearing Supp. DR 2</odd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workbookViewId="0">
      <selection sqref="A1:H1"/>
    </sheetView>
  </sheetViews>
  <sheetFormatPr defaultRowHeight="14.4"/>
  <cols>
    <col min="1" max="1" width="15.44140625" style="77" customWidth="1"/>
    <col min="2" max="2" width="16.88671875" style="77" customWidth="1"/>
    <col min="3" max="4" width="8.88671875" style="77"/>
    <col min="5" max="5" width="14.109375" style="77" bestFit="1" customWidth="1"/>
    <col min="6" max="6" width="11.44140625" style="77" bestFit="1" customWidth="1"/>
    <col min="7" max="8" width="8.88671875" style="77"/>
  </cols>
  <sheetData>
    <row r="1" spans="1:8" ht="19.2">
      <c r="A1" s="252" t="s">
        <v>94</v>
      </c>
      <c r="B1" s="252"/>
      <c r="C1" s="252"/>
      <c r="D1" s="252"/>
      <c r="E1" s="252"/>
      <c r="F1" s="252"/>
      <c r="G1" s="252"/>
      <c r="H1" s="252"/>
    </row>
    <row r="3" spans="1:8">
      <c r="A3" s="250" t="s">
        <v>150</v>
      </c>
      <c r="B3" s="250"/>
      <c r="C3" s="152"/>
      <c r="D3" s="250" t="s">
        <v>151</v>
      </c>
      <c r="E3" s="250"/>
      <c r="F3" s="250"/>
    </row>
    <row r="4" spans="1:8">
      <c r="A4" s="153"/>
      <c r="B4" s="153"/>
      <c r="D4" s="153"/>
      <c r="E4" s="153"/>
      <c r="F4" s="153"/>
    </row>
    <row r="5" spans="1:8">
      <c r="A5" s="152" t="s">
        <v>44</v>
      </c>
      <c r="B5" s="154" t="s">
        <v>4</v>
      </c>
      <c r="C5" s="155"/>
      <c r="D5" s="152" t="s">
        <v>44</v>
      </c>
      <c r="E5" s="152" t="s">
        <v>63</v>
      </c>
      <c r="F5" s="154" t="s">
        <v>4</v>
      </c>
      <c r="G5" s="135"/>
      <c r="H5" s="154" t="s">
        <v>7</v>
      </c>
    </row>
    <row r="6" spans="1:8">
      <c r="A6" s="189" t="s">
        <v>120</v>
      </c>
      <c r="B6" s="160">
        <v>0</v>
      </c>
      <c r="C6" s="135"/>
      <c r="D6" s="189" t="s">
        <v>125</v>
      </c>
      <c r="E6" s="195">
        <v>0</v>
      </c>
      <c r="F6" s="160">
        <v>0</v>
      </c>
      <c r="G6" s="156"/>
      <c r="H6" s="215">
        <f t="shared" ref="H6:H22" si="0">F6-B6</f>
        <v>0</v>
      </c>
    </row>
    <row r="7" spans="1:8">
      <c r="A7" s="134" t="s">
        <v>11</v>
      </c>
      <c r="B7" s="138">
        <v>5.0000000000000001E-4</v>
      </c>
      <c r="C7" s="135"/>
      <c r="D7" s="187" t="s">
        <v>126</v>
      </c>
      <c r="E7" s="195">
        <v>9372.1500000000196</v>
      </c>
      <c r="F7" s="138">
        <v>4.0000000000000002E-4</v>
      </c>
      <c r="G7" s="156"/>
      <c r="H7" s="215">
        <f t="shared" si="0"/>
        <v>-9.9999999999999991E-5</v>
      </c>
    </row>
    <row r="8" spans="1:8">
      <c r="A8" s="134" t="s">
        <v>13</v>
      </c>
      <c r="B8" s="138">
        <v>2.4E-2</v>
      </c>
      <c r="C8" s="135"/>
      <c r="D8" s="187" t="s">
        <v>127</v>
      </c>
      <c r="E8" s="195">
        <v>533309.23999999953</v>
      </c>
      <c r="F8" s="138">
        <v>2.2599999999999999E-2</v>
      </c>
      <c r="G8" s="136"/>
      <c r="H8" s="215">
        <f t="shared" si="0"/>
        <v>-1.4000000000000019E-3</v>
      </c>
    </row>
    <row r="9" spans="1:8">
      <c r="A9" s="134" t="s">
        <v>14</v>
      </c>
      <c r="B9" s="138">
        <v>0.19700000000000001</v>
      </c>
      <c r="C9" s="135"/>
      <c r="D9" s="187" t="s">
        <v>128</v>
      </c>
      <c r="E9" s="195">
        <v>4385402.9999999981</v>
      </c>
      <c r="F9" s="138">
        <v>0.1857</v>
      </c>
      <c r="G9" s="136"/>
      <c r="H9" s="215">
        <f t="shared" si="0"/>
        <v>-1.1300000000000004E-2</v>
      </c>
    </row>
    <row r="10" spans="1:8">
      <c r="A10" s="134" t="s">
        <v>15</v>
      </c>
      <c r="B10" s="138">
        <v>2.53E-2</v>
      </c>
      <c r="C10" s="135"/>
      <c r="D10" s="187" t="s">
        <v>129</v>
      </c>
      <c r="E10" s="195">
        <v>493130.32999999914</v>
      </c>
      <c r="F10" s="138">
        <v>2.0899999999999998E-2</v>
      </c>
      <c r="G10" s="136"/>
      <c r="H10" s="215">
        <f t="shared" si="0"/>
        <v>-4.4000000000000011E-3</v>
      </c>
    </row>
    <row r="11" spans="1:8">
      <c r="A11" s="134" t="s">
        <v>16</v>
      </c>
      <c r="B11" s="138">
        <v>0.1031</v>
      </c>
      <c r="C11" s="135"/>
      <c r="D11" s="187" t="s">
        <v>130</v>
      </c>
      <c r="E11" s="195">
        <v>2383291.8600000017</v>
      </c>
      <c r="F11" s="138">
        <v>0.1009</v>
      </c>
      <c r="G11" s="136"/>
      <c r="H11" s="215">
        <f t="shared" si="0"/>
        <v>-2.1999999999999936E-3</v>
      </c>
    </row>
    <row r="12" spans="1:8">
      <c r="A12" s="134" t="s">
        <v>17</v>
      </c>
      <c r="B12" s="138">
        <v>8.7800000000000003E-2</v>
      </c>
      <c r="C12" s="135"/>
      <c r="D12" s="187" t="s">
        <v>131</v>
      </c>
      <c r="E12" s="195">
        <v>1858362.8900000008</v>
      </c>
      <c r="F12" s="138">
        <v>7.8700000000000006E-2</v>
      </c>
      <c r="G12" s="136"/>
      <c r="H12" s="215">
        <f t="shared" si="0"/>
        <v>-9.099999999999997E-3</v>
      </c>
    </row>
    <row r="13" spans="1:8">
      <c r="A13" s="134" t="s">
        <v>21</v>
      </c>
      <c r="B13" s="138">
        <v>7.6000000000000012E-2</v>
      </c>
      <c r="C13" s="135"/>
      <c r="D13" s="187" t="s">
        <v>132</v>
      </c>
      <c r="E13" s="195">
        <v>2513410.3500000015</v>
      </c>
      <c r="F13" s="138">
        <v>0.10629999999999999</v>
      </c>
      <c r="G13" s="136"/>
      <c r="H13" s="215">
        <f t="shared" si="0"/>
        <v>3.029999999999998E-2</v>
      </c>
    </row>
    <row r="14" spans="1:8">
      <c r="A14" s="134" t="s">
        <v>22</v>
      </c>
      <c r="B14" s="138">
        <v>0.37019999999999997</v>
      </c>
      <c r="C14" s="135"/>
      <c r="D14" s="187" t="s">
        <v>133</v>
      </c>
      <c r="E14" s="195">
        <v>8599202.1400000025</v>
      </c>
      <c r="F14" s="138">
        <v>0.36409999999999998</v>
      </c>
      <c r="G14" s="136"/>
      <c r="H14" s="215">
        <f t="shared" si="0"/>
        <v>-6.0999999999999943E-3</v>
      </c>
    </row>
    <row r="15" spans="1:8">
      <c r="A15" s="134" t="s">
        <v>23</v>
      </c>
      <c r="B15" s="138">
        <v>1.7399999999999999E-2</v>
      </c>
      <c r="C15" s="135"/>
      <c r="D15" s="187" t="s">
        <v>134</v>
      </c>
      <c r="E15" s="195">
        <v>321738.14999999985</v>
      </c>
      <c r="F15" s="138">
        <v>1.3599999999999999E-2</v>
      </c>
      <c r="G15" s="136"/>
      <c r="H15" s="215">
        <f t="shared" si="0"/>
        <v>-3.7999999999999996E-3</v>
      </c>
    </row>
    <row r="16" spans="1:8">
      <c r="A16" s="134" t="s">
        <v>24</v>
      </c>
      <c r="B16" s="160">
        <v>0</v>
      </c>
      <c r="C16" s="135"/>
      <c r="D16" s="187" t="s">
        <v>135</v>
      </c>
      <c r="E16" s="195">
        <v>23.86</v>
      </c>
      <c r="F16" s="160">
        <v>0</v>
      </c>
      <c r="G16" s="136"/>
      <c r="H16" s="215">
        <f t="shared" si="0"/>
        <v>0</v>
      </c>
    </row>
    <row r="17" spans="1:8">
      <c r="A17" s="134" t="s">
        <v>27</v>
      </c>
      <c r="B17" s="138">
        <v>1E-4</v>
      </c>
      <c r="C17" s="135"/>
      <c r="D17" s="187" t="s">
        <v>136</v>
      </c>
      <c r="E17" s="195">
        <v>1316.559999999997</v>
      </c>
      <c r="F17" s="138">
        <v>1E-4</v>
      </c>
      <c r="G17" s="136"/>
      <c r="H17" s="215">
        <f t="shared" si="0"/>
        <v>0</v>
      </c>
    </row>
    <row r="18" spans="1:8">
      <c r="A18" s="134" t="s">
        <v>30</v>
      </c>
      <c r="B18" s="138">
        <v>8.0000000000000004E-4</v>
      </c>
      <c r="C18" s="135"/>
      <c r="D18" s="187" t="s">
        <v>137</v>
      </c>
      <c r="E18" s="195">
        <v>16406.510000000053</v>
      </c>
      <c r="F18" s="138">
        <v>6.9999999999999999E-4</v>
      </c>
      <c r="G18" s="136"/>
      <c r="H18" s="215">
        <f t="shared" si="0"/>
        <v>-1.0000000000000005E-4</v>
      </c>
    </row>
    <row r="19" spans="1:8">
      <c r="A19" s="134" t="s">
        <v>31</v>
      </c>
      <c r="B19" s="160">
        <v>0</v>
      </c>
      <c r="C19" s="135"/>
      <c r="D19" s="187" t="s">
        <v>138</v>
      </c>
      <c r="E19" s="195">
        <v>989.01999999999589</v>
      </c>
      <c r="F19" s="160">
        <v>0</v>
      </c>
      <c r="G19" s="140"/>
      <c r="H19" s="215">
        <f t="shared" si="0"/>
        <v>0</v>
      </c>
    </row>
    <row r="20" spans="1:8">
      <c r="A20" s="134" t="s">
        <v>32</v>
      </c>
      <c r="B20" s="138">
        <v>9.7799999999999998E-2</v>
      </c>
      <c r="C20" s="135"/>
      <c r="D20" s="187" t="s">
        <v>139</v>
      </c>
      <c r="E20" s="195">
        <v>2502659.9399999948</v>
      </c>
      <c r="F20" s="138">
        <v>0.106</v>
      </c>
      <c r="G20" s="140"/>
      <c r="H20" s="215">
        <f t="shared" si="0"/>
        <v>8.199999999999999E-3</v>
      </c>
    </row>
    <row r="21" spans="1:8">
      <c r="A21" s="134" t="s">
        <v>36</v>
      </c>
      <c r="B21" s="160">
        <v>0</v>
      </c>
      <c r="C21" s="135"/>
      <c r="D21" s="187" t="s">
        <v>140</v>
      </c>
      <c r="E21" s="195">
        <v>545.59999999999866</v>
      </c>
      <c r="F21" s="160">
        <v>0</v>
      </c>
      <c r="G21" s="156"/>
      <c r="H21" s="215">
        <f t="shared" si="0"/>
        <v>0</v>
      </c>
    </row>
    <row r="22" spans="1:8">
      <c r="A22" s="134" t="s">
        <v>37</v>
      </c>
      <c r="B22" s="160">
        <v>0</v>
      </c>
      <c r="C22" s="135"/>
      <c r="D22" s="187" t="s">
        <v>141</v>
      </c>
      <c r="E22" s="195">
        <v>472.04999999999893</v>
      </c>
      <c r="F22" s="160">
        <v>0</v>
      </c>
      <c r="G22" s="156"/>
      <c r="H22" s="215">
        <f t="shared" si="0"/>
        <v>0</v>
      </c>
    </row>
    <row r="23" spans="1:8" ht="15" thickBot="1">
      <c r="A23" s="157" t="s">
        <v>6</v>
      </c>
      <c r="B23" s="157">
        <v>0.63589999999999991</v>
      </c>
      <c r="D23" s="188" t="s">
        <v>6</v>
      </c>
      <c r="E23" s="196">
        <f>SUM(E6:E22)</f>
        <v>23619633.649999995</v>
      </c>
      <c r="F23" s="144">
        <v>1</v>
      </c>
      <c r="H23" s="161">
        <f>SUM(H6:H22)</f>
        <v>-1.214306433183765E-17</v>
      </c>
    </row>
  </sheetData>
  <mergeCells count="3">
    <mergeCell ref="A1:H1"/>
    <mergeCell ref="A3:B3"/>
    <mergeCell ref="D3:F3"/>
  </mergeCells>
  <conditionalFormatting sqref="H6:H22">
    <cfRule type="cellIs" dxfId="3" priority="1" operator="notBetween">
      <formula>-0.0099</formula>
      <formula>0.0099</formula>
    </cfRule>
  </conditionalFormatting>
  <pageMargins left="0.7" right="0.7" top="0.75" bottom="0.75" header="0.3" footer="0.3"/>
  <pageSetup orientation="landscape" r:id="rId1"/>
  <headerFooter>
    <oddHeader>&amp;RKY PSC Case No. 2016-00162,
Attachment G to Staff Post Hearing Supp. DR 2</oddHead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3"/>
  <sheetViews>
    <sheetView workbookViewId="0"/>
  </sheetViews>
  <sheetFormatPr defaultRowHeight="14.4"/>
  <cols>
    <col min="1" max="1" width="12.109375" bestFit="1" customWidth="1"/>
    <col min="2" max="2" width="19.109375" bestFit="1" customWidth="1"/>
    <col min="4" max="4" width="5.88671875" customWidth="1"/>
    <col min="5" max="5" width="14.33203125" bestFit="1" customWidth="1"/>
    <col min="7" max="7" width="11.33203125" customWidth="1"/>
    <col min="8" max="8" width="19.109375" bestFit="1" customWidth="1"/>
    <col min="10" max="10" width="13.33203125" customWidth="1"/>
    <col min="11" max="11" width="32.44140625" bestFit="1" customWidth="1"/>
    <col min="14" max="14" width="14.33203125" bestFit="1" customWidth="1"/>
    <col min="16" max="16" width="12.33203125" bestFit="1" customWidth="1"/>
  </cols>
  <sheetData>
    <row r="1" spans="1:16">
      <c r="A1" s="163" t="s">
        <v>98</v>
      </c>
      <c r="B1" t="s">
        <v>99</v>
      </c>
    </row>
    <row r="2" spans="1:16">
      <c r="A2" s="163" t="s">
        <v>106</v>
      </c>
      <c r="B2" t="s">
        <v>107</v>
      </c>
    </row>
    <row r="3" spans="1:16">
      <c r="A3" s="163" t="s">
        <v>121</v>
      </c>
      <c r="B3" t="s">
        <v>107</v>
      </c>
      <c r="G3" s="75" t="s">
        <v>152</v>
      </c>
      <c r="J3" s="75" t="s">
        <v>143</v>
      </c>
    </row>
    <row r="5" spans="1:16">
      <c r="A5" s="163" t="s">
        <v>44</v>
      </c>
      <c r="B5" t="s">
        <v>100</v>
      </c>
      <c r="D5" s="46" t="s">
        <v>44</v>
      </c>
      <c r="E5" s="46" t="s">
        <v>108</v>
      </c>
      <c r="G5" s="163" t="s">
        <v>44</v>
      </c>
      <c r="H5" t="s">
        <v>100</v>
      </c>
      <c r="J5" s="212" t="s">
        <v>146</v>
      </c>
      <c r="K5" s="212" t="s">
        <v>147</v>
      </c>
      <c r="M5" s="46" t="s">
        <v>44</v>
      </c>
      <c r="N5" s="46" t="s">
        <v>108</v>
      </c>
      <c r="P5" s="46" t="s">
        <v>154</v>
      </c>
    </row>
    <row r="6" spans="1:16">
      <c r="A6" t="s">
        <v>11</v>
      </c>
      <c r="B6" s="73">
        <v>6738.3900000000194</v>
      </c>
      <c r="D6" t="s">
        <v>11</v>
      </c>
      <c r="E6" s="72">
        <v>6738.3900000000194</v>
      </c>
      <c r="G6" t="s">
        <v>11</v>
      </c>
      <c r="H6" s="73">
        <v>6738.3900000000194</v>
      </c>
      <c r="J6" t="s">
        <v>126</v>
      </c>
      <c r="K6" s="72">
        <v>2633.76</v>
      </c>
      <c r="M6" t="s">
        <v>126</v>
      </c>
      <c r="N6" s="73">
        <f>H6+K6</f>
        <v>9372.1500000000196</v>
      </c>
      <c r="P6" s="76">
        <f>ROUND(N6/SUM($N$6:$N$21),4)</f>
        <v>4.0000000000000002E-4</v>
      </c>
    </row>
    <row r="7" spans="1:16">
      <c r="A7" t="s">
        <v>13</v>
      </c>
      <c r="B7" s="73">
        <v>399608.91999999958</v>
      </c>
      <c r="D7" t="s">
        <v>13</v>
      </c>
      <c r="E7" s="72">
        <v>399608.91999999958</v>
      </c>
      <c r="G7" t="s">
        <v>13</v>
      </c>
      <c r="H7" s="73">
        <v>399608.91999999958</v>
      </c>
      <c r="J7" t="s">
        <v>127</v>
      </c>
      <c r="K7" s="72">
        <v>133700.31999999995</v>
      </c>
      <c r="M7" t="s">
        <v>127</v>
      </c>
      <c r="N7" s="73">
        <f t="shared" ref="N7:N21" si="0">H7+K7</f>
        <v>533309.23999999953</v>
      </c>
      <c r="P7" s="76">
        <f t="shared" ref="P7:P21" si="1">ROUND(N7/SUM($N$6:$N$21),4)</f>
        <v>2.2599999999999999E-2</v>
      </c>
    </row>
    <row r="8" spans="1:16">
      <c r="A8" t="s">
        <v>14</v>
      </c>
      <c r="B8" s="73">
        <v>3146947.24</v>
      </c>
      <c r="D8" t="s">
        <v>14</v>
      </c>
      <c r="E8" s="72">
        <v>3146947.24</v>
      </c>
      <c r="G8" t="s">
        <v>14</v>
      </c>
      <c r="H8" s="73">
        <v>3146947.24</v>
      </c>
      <c r="J8" t="s">
        <v>128</v>
      </c>
      <c r="K8" s="72">
        <v>1238455.7599999981</v>
      </c>
      <c r="M8" t="s">
        <v>128</v>
      </c>
      <c r="N8" s="73">
        <f t="shared" si="0"/>
        <v>4385402.9999999981</v>
      </c>
      <c r="P8" s="76">
        <f t="shared" si="1"/>
        <v>0.1857</v>
      </c>
    </row>
    <row r="9" spans="1:16">
      <c r="A9" t="s">
        <v>15</v>
      </c>
      <c r="B9" s="73">
        <v>373080.65999999916</v>
      </c>
      <c r="D9" t="s">
        <v>15</v>
      </c>
      <c r="E9" s="72">
        <v>373080.65999999916</v>
      </c>
      <c r="G9" t="s">
        <v>15</v>
      </c>
      <c r="H9" s="73">
        <v>373080.65999999916</v>
      </c>
      <c r="J9" t="s">
        <v>129</v>
      </c>
      <c r="K9" s="72">
        <v>120049.66999999995</v>
      </c>
      <c r="M9" t="s">
        <v>129</v>
      </c>
      <c r="N9" s="73">
        <f t="shared" si="0"/>
        <v>493130.32999999914</v>
      </c>
      <c r="P9" s="76">
        <f t="shared" si="1"/>
        <v>2.0899999999999998E-2</v>
      </c>
    </row>
    <row r="10" spans="1:16">
      <c r="A10" t="s">
        <v>16</v>
      </c>
      <c r="B10" s="73">
        <v>1653684.3600000017</v>
      </c>
      <c r="D10" t="s">
        <v>16</v>
      </c>
      <c r="E10" s="72">
        <v>1653684.3600000017</v>
      </c>
      <c r="G10" t="s">
        <v>16</v>
      </c>
      <c r="H10" s="73">
        <v>1653684.3600000017</v>
      </c>
      <c r="J10" t="s">
        <v>130</v>
      </c>
      <c r="K10" s="72">
        <v>729607.50000000012</v>
      </c>
      <c r="M10" t="s">
        <v>130</v>
      </c>
      <c r="N10" s="73">
        <f t="shared" si="0"/>
        <v>2383291.8600000017</v>
      </c>
      <c r="P10" s="76">
        <f t="shared" si="1"/>
        <v>0.1009</v>
      </c>
    </row>
    <row r="11" spans="1:16">
      <c r="A11" t="s">
        <v>17</v>
      </c>
      <c r="B11" s="73">
        <v>1320305.3300000003</v>
      </c>
      <c r="D11" t="s">
        <v>17</v>
      </c>
      <c r="E11" s="72">
        <v>1320305.3300000003</v>
      </c>
      <c r="G11" t="s">
        <v>17</v>
      </c>
      <c r="H11" s="73">
        <v>1320305.3300000003</v>
      </c>
      <c r="J11" t="s">
        <v>131</v>
      </c>
      <c r="K11" s="72">
        <v>538057.56000000052</v>
      </c>
      <c r="M11" t="s">
        <v>131</v>
      </c>
      <c r="N11" s="73">
        <f t="shared" si="0"/>
        <v>1858362.8900000008</v>
      </c>
      <c r="P11" s="76">
        <f t="shared" si="1"/>
        <v>7.8700000000000006E-2</v>
      </c>
    </row>
    <row r="12" spans="1:16">
      <c r="A12" t="s">
        <v>21</v>
      </c>
      <c r="B12" s="73">
        <v>1746239.830000001</v>
      </c>
      <c r="D12" t="s">
        <v>21</v>
      </c>
      <c r="E12" s="72">
        <v>1746239.830000001</v>
      </c>
      <c r="G12" t="s">
        <v>21</v>
      </c>
      <c r="H12" s="73">
        <v>1746239.830000001</v>
      </c>
      <c r="J12" t="s">
        <v>132</v>
      </c>
      <c r="K12" s="72">
        <v>767170.52000000037</v>
      </c>
      <c r="M12" t="s">
        <v>132</v>
      </c>
      <c r="N12" s="73">
        <f t="shared" si="0"/>
        <v>2513410.3500000015</v>
      </c>
      <c r="P12" s="79">
        <f>ROUND(N12/SUM($N$6:$N$21),4)-0.0001</f>
        <v>0.10629999999999999</v>
      </c>
    </row>
    <row r="13" spans="1:16">
      <c r="A13" t="s">
        <v>22</v>
      </c>
      <c r="B13" s="73">
        <v>2597221.7200000049</v>
      </c>
      <c r="D13" t="s">
        <v>22</v>
      </c>
      <c r="E13" s="72">
        <v>2597221.7200000049</v>
      </c>
      <c r="G13" t="s">
        <v>22</v>
      </c>
      <c r="H13" s="73">
        <v>5759381.5900000045</v>
      </c>
      <c r="J13" t="s">
        <v>133</v>
      </c>
      <c r="K13" s="72">
        <v>2839820.5499999975</v>
      </c>
      <c r="M13" t="s">
        <v>133</v>
      </c>
      <c r="N13" s="73">
        <f t="shared" si="0"/>
        <v>8599202.1400000025</v>
      </c>
      <c r="P13" s="76">
        <f t="shared" si="1"/>
        <v>0.36409999999999998</v>
      </c>
    </row>
    <row r="14" spans="1:16">
      <c r="A14" t="s">
        <v>23</v>
      </c>
      <c r="B14" s="73">
        <v>276760.65999999992</v>
      </c>
      <c r="D14" t="s">
        <v>23</v>
      </c>
      <c r="E14" s="72">
        <v>276760.65999999992</v>
      </c>
      <c r="G14" t="s">
        <v>23</v>
      </c>
      <c r="H14" s="73">
        <v>276760.65999999992</v>
      </c>
      <c r="J14" t="s">
        <v>134</v>
      </c>
      <c r="K14" s="72">
        <v>44977.489999999932</v>
      </c>
      <c r="M14" t="s">
        <v>134</v>
      </c>
      <c r="N14" s="73">
        <f t="shared" si="0"/>
        <v>321738.14999999985</v>
      </c>
      <c r="P14" s="76">
        <f t="shared" si="1"/>
        <v>1.3599999999999999E-2</v>
      </c>
    </row>
    <row r="15" spans="1:16">
      <c r="A15" t="s">
        <v>27</v>
      </c>
      <c r="B15" s="73">
        <v>1164.6999999999971</v>
      </c>
      <c r="D15" s="74" t="s">
        <v>24</v>
      </c>
      <c r="E15" s="72">
        <v>0</v>
      </c>
      <c r="G15" t="s">
        <v>24</v>
      </c>
      <c r="H15" s="73">
        <v>0</v>
      </c>
      <c r="J15" t="s">
        <v>135</v>
      </c>
      <c r="K15" s="72">
        <v>23.86</v>
      </c>
      <c r="M15" t="s">
        <v>135</v>
      </c>
      <c r="N15" s="73">
        <f t="shared" si="0"/>
        <v>23.86</v>
      </c>
      <c r="P15" s="76">
        <f t="shared" si="1"/>
        <v>0</v>
      </c>
    </row>
    <row r="16" spans="1:16">
      <c r="A16" t="s">
        <v>30</v>
      </c>
      <c r="B16" s="73">
        <v>15694.980000000054</v>
      </c>
      <c r="D16" t="s">
        <v>27</v>
      </c>
      <c r="E16" s="72">
        <v>1164.6999999999971</v>
      </c>
      <c r="G16" t="s">
        <v>27</v>
      </c>
      <c r="H16" s="73">
        <v>1164.6999999999971</v>
      </c>
      <c r="J16" t="s">
        <v>136</v>
      </c>
      <c r="K16" s="72">
        <v>151.85999999999987</v>
      </c>
      <c r="M16" t="s">
        <v>136</v>
      </c>
      <c r="N16" s="73">
        <f t="shared" si="0"/>
        <v>1316.559999999997</v>
      </c>
      <c r="P16" s="76">
        <f t="shared" si="1"/>
        <v>1E-4</v>
      </c>
    </row>
    <row r="17" spans="1:16">
      <c r="A17" t="s">
        <v>31</v>
      </c>
      <c r="B17" s="73">
        <v>908.51999999999589</v>
      </c>
      <c r="D17" t="s">
        <v>30</v>
      </c>
      <c r="E17" s="72">
        <v>15694.980000000054</v>
      </c>
      <c r="G17" t="s">
        <v>30</v>
      </c>
      <c r="H17" s="73">
        <v>15694.980000000054</v>
      </c>
      <c r="J17" t="s">
        <v>137</v>
      </c>
      <c r="K17" s="72">
        <v>711.52999999999884</v>
      </c>
      <c r="M17" t="s">
        <v>137</v>
      </c>
      <c r="N17" s="73">
        <f t="shared" si="0"/>
        <v>16406.510000000053</v>
      </c>
      <c r="P17" s="76">
        <f t="shared" si="1"/>
        <v>6.9999999999999999E-4</v>
      </c>
    </row>
    <row r="18" spans="1:16">
      <c r="A18" t="s">
        <v>32</v>
      </c>
      <c r="B18" s="73">
        <v>1730780.1899999967</v>
      </c>
      <c r="D18" t="s">
        <v>31</v>
      </c>
      <c r="E18" s="72">
        <v>908.51999999999589</v>
      </c>
      <c r="G18" t="s">
        <v>31</v>
      </c>
      <c r="H18" s="73">
        <v>908.51999999999589</v>
      </c>
      <c r="J18" t="s">
        <v>138</v>
      </c>
      <c r="K18" s="72">
        <v>80.499999999999972</v>
      </c>
      <c r="M18" t="s">
        <v>138</v>
      </c>
      <c r="N18" s="73">
        <f t="shared" si="0"/>
        <v>989.01999999999589</v>
      </c>
      <c r="P18" s="76">
        <f t="shared" si="1"/>
        <v>0</v>
      </c>
    </row>
    <row r="19" spans="1:16">
      <c r="A19" t="s">
        <v>47</v>
      </c>
      <c r="B19" s="73">
        <v>2555879.5099999993</v>
      </c>
      <c r="D19" t="s">
        <v>32</v>
      </c>
      <c r="E19" s="72">
        <v>1730780.1899999967</v>
      </c>
      <c r="G19" t="s">
        <v>32</v>
      </c>
      <c r="H19" s="73">
        <v>1730780.1899999967</v>
      </c>
      <c r="J19" t="s">
        <v>139</v>
      </c>
      <c r="K19" s="72">
        <v>771879.74999999825</v>
      </c>
      <c r="M19" t="s">
        <v>139</v>
      </c>
      <c r="N19" s="73">
        <f t="shared" si="0"/>
        <v>2502659.9399999948</v>
      </c>
      <c r="P19" s="76">
        <f t="shared" si="1"/>
        <v>0.106</v>
      </c>
    </row>
    <row r="20" spans="1:16">
      <c r="A20" t="s">
        <v>48</v>
      </c>
      <c r="B20" s="73">
        <v>606280.36000000022</v>
      </c>
      <c r="D20" t="s">
        <v>22</v>
      </c>
      <c r="E20" s="72">
        <v>2555879.5099999993</v>
      </c>
      <c r="G20" t="s">
        <v>36</v>
      </c>
      <c r="H20" s="73">
        <v>406.23999999999853</v>
      </c>
      <c r="J20" t="s">
        <v>140</v>
      </c>
      <c r="K20" s="72">
        <v>139.3600000000001</v>
      </c>
      <c r="M20" t="s">
        <v>140</v>
      </c>
      <c r="N20" s="73">
        <f t="shared" si="0"/>
        <v>545.59999999999866</v>
      </c>
      <c r="P20" s="76">
        <f t="shared" si="1"/>
        <v>0</v>
      </c>
    </row>
    <row r="21" spans="1:16">
      <c r="A21" t="s">
        <v>36</v>
      </c>
      <c r="B21" s="73">
        <v>406.23999999999853</v>
      </c>
      <c r="D21" t="s">
        <v>22</v>
      </c>
      <c r="E21" s="72">
        <v>606280.36000000022</v>
      </c>
      <c r="G21" t="s">
        <v>37</v>
      </c>
      <c r="H21" s="73">
        <v>374.78999999999888</v>
      </c>
      <c r="J21" t="s">
        <v>141</v>
      </c>
      <c r="K21" s="72">
        <v>97.260000000000034</v>
      </c>
      <c r="M21" t="s">
        <v>141</v>
      </c>
      <c r="N21" s="73">
        <f t="shared" si="0"/>
        <v>472.04999999999893</v>
      </c>
      <c r="P21" s="76">
        <f t="shared" si="1"/>
        <v>0</v>
      </c>
    </row>
    <row r="22" spans="1:16">
      <c r="A22" t="s">
        <v>37</v>
      </c>
      <c r="B22" s="73">
        <v>374.78999999999888</v>
      </c>
      <c r="D22" t="s">
        <v>36</v>
      </c>
      <c r="E22" s="72">
        <v>406.23999999999853</v>
      </c>
      <c r="G22" t="s">
        <v>49</v>
      </c>
      <c r="H22" s="73">
        <v>16432076.4</v>
      </c>
      <c r="P22" s="85">
        <f>SUM(P6:P21)</f>
        <v>0.99999999999999989</v>
      </c>
    </row>
    <row r="23" spans="1:16">
      <c r="A23" t="s">
        <v>49</v>
      </c>
      <c r="B23" s="73">
        <v>16432076.399999999</v>
      </c>
      <c r="D23" t="s">
        <v>37</v>
      </c>
      <c r="E23" s="72">
        <v>374.78999999999888</v>
      </c>
    </row>
  </sheetData>
  <pageMargins left="0.7" right="0.7" top="0.75" bottom="0.75" header="0.3" footer="0.3"/>
  <pageSetup scale="58" orientation="landscape" r:id="rId1"/>
  <headerFooter>
    <oddHeader>&amp;RKY PSC Case No. 2016-00162,
Attachment G to Staff Post Hearing Supp. DR 2</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J41"/>
  <sheetViews>
    <sheetView workbookViewId="0">
      <selection sqref="A1:J1"/>
    </sheetView>
  </sheetViews>
  <sheetFormatPr defaultColWidth="9.109375" defaultRowHeight="14.4"/>
  <cols>
    <col min="1" max="1" width="12.6640625" style="47" customWidth="1"/>
    <col min="2" max="2" width="15.33203125" style="47" bestFit="1" customWidth="1"/>
    <col min="3" max="3" width="11" style="47" bestFit="1" customWidth="1"/>
    <col min="4" max="4" width="9.109375" style="47"/>
    <col min="5" max="5" width="12.88671875" style="47" customWidth="1"/>
    <col min="6" max="6" width="15.33203125" style="47" bestFit="1" customWidth="1"/>
    <col min="7" max="7" width="19.6640625" style="47" bestFit="1" customWidth="1"/>
    <col min="8" max="8" width="9.109375" style="47"/>
    <col min="9" max="9" width="9.33203125" style="66" bestFit="1" customWidth="1"/>
    <col min="10" max="10" width="10.44140625" style="66" bestFit="1" customWidth="1"/>
    <col min="11" max="16384" width="9.109375" style="47"/>
  </cols>
  <sheetData>
    <row r="1" spans="1:10">
      <c r="A1" s="242" t="s">
        <v>50</v>
      </c>
      <c r="B1" s="242"/>
      <c r="C1" s="242"/>
      <c r="D1" s="242"/>
      <c r="E1" s="242"/>
      <c r="F1" s="242"/>
      <c r="G1" s="242"/>
      <c r="H1" s="242"/>
      <c r="I1" s="242"/>
      <c r="J1" s="242"/>
    </row>
    <row r="3" spans="1:10">
      <c r="A3" s="243" t="s">
        <v>65</v>
      </c>
      <c r="B3" s="243"/>
      <c r="C3" s="243"/>
      <c r="E3" s="243" t="s">
        <v>66</v>
      </c>
      <c r="F3" s="243"/>
      <c r="G3" s="243"/>
      <c r="I3" s="48"/>
      <c r="J3" s="48"/>
    </row>
    <row r="4" spans="1:10">
      <c r="A4" s="49" t="s">
        <v>2</v>
      </c>
      <c r="B4" s="50" t="s">
        <v>6</v>
      </c>
      <c r="C4" s="51" t="s">
        <v>4</v>
      </c>
      <c r="E4" s="49" t="s">
        <v>2</v>
      </c>
      <c r="F4" s="50" t="s">
        <v>3</v>
      </c>
      <c r="G4" s="51" t="s">
        <v>5</v>
      </c>
      <c r="I4" s="52" t="s">
        <v>2</v>
      </c>
      <c r="J4" s="53" t="s">
        <v>7</v>
      </c>
    </row>
    <row r="5" spans="1:10">
      <c r="A5" s="54" t="s">
        <v>8</v>
      </c>
      <c r="B5" s="81">
        <v>3682254.74</v>
      </c>
      <c r="C5" s="56">
        <v>1.06E-2</v>
      </c>
      <c r="E5" s="54" t="s">
        <v>8</v>
      </c>
      <c r="F5" s="81">
        <v>1633117.42</v>
      </c>
      <c r="G5" s="56">
        <v>4.7999999999999996E-3</v>
      </c>
      <c r="I5" s="57" t="s">
        <v>8</v>
      </c>
      <c r="J5" s="82">
        <f>+G5-C5</f>
        <v>-5.8000000000000005E-3</v>
      </c>
    </row>
    <row r="6" spans="1:10">
      <c r="A6" s="54" t="s">
        <v>9</v>
      </c>
      <c r="B6" s="81">
        <v>12857275.029999999</v>
      </c>
      <c r="C6" s="56">
        <v>3.7199999999999997E-2</v>
      </c>
      <c r="E6" s="54" t="s">
        <v>9</v>
      </c>
      <c r="F6" s="81">
        <v>11781171.879999999</v>
      </c>
      <c r="G6" s="56">
        <v>3.49E-2</v>
      </c>
      <c r="I6" s="57" t="s">
        <v>9</v>
      </c>
      <c r="J6" s="82">
        <f t="shared" ref="J6:J32" si="0">+G6-C6</f>
        <v>-2.2999999999999965E-3</v>
      </c>
    </row>
    <row r="7" spans="1:10">
      <c r="A7" s="54" t="s">
        <v>11</v>
      </c>
      <c r="B7" s="81">
        <v>206689.47</v>
      </c>
      <c r="C7" s="56">
        <v>5.9999999999999995E-4</v>
      </c>
      <c r="E7" s="54" t="s">
        <v>11</v>
      </c>
      <c r="F7" s="81">
        <v>220390.74000000002</v>
      </c>
      <c r="G7" s="56">
        <v>6.9999999999999999E-4</v>
      </c>
      <c r="I7" s="57" t="s">
        <v>11</v>
      </c>
      <c r="J7" s="82">
        <f t="shared" si="0"/>
        <v>1.0000000000000005E-4</v>
      </c>
    </row>
    <row r="8" spans="1:10">
      <c r="A8" s="54" t="s">
        <v>12</v>
      </c>
      <c r="B8" s="81">
        <v>485608.89</v>
      </c>
      <c r="C8" s="56">
        <v>1.4E-3</v>
      </c>
      <c r="E8" s="54" t="s">
        <v>12</v>
      </c>
      <c r="F8" s="81">
        <v>366984.77999999997</v>
      </c>
      <c r="G8" s="56">
        <v>1.1000000000000001E-3</v>
      </c>
      <c r="I8" s="57" t="s">
        <v>12</v>
      </c>
      <c r="J8" s="82">
        <f t="shared" si="0"/>
        <v>-2.9999999999999992E-4</v>
      </c>
    </row>
    <row r="9" spans="1:10">
      <c r="A9" s="54" t="s">
        <v>13</v>
      </c>
      <c r="B9" s="81">
        <v>8011128.1199999992</v>
      </c>
      <c r="C9" s="56">
        <v>2.3199999999999998E-2</v>
      </c>
      <c r="E9" s="54" t="s">
        <v>13</v>
      </c>
      <c r="F9" s="81">
        <v>7573214.5100000007</v>
      </c>
      <c r="G9" s="56">
        <v>2.24E-2</v>
      </c>
      <c r="I9" s="57" t="s">
        <v>13</v>
      </c>
      <c r="J9" s="82">
        <f t="shared" si="0"/>
        <v>-7.9999999999999863E-4</v>
      </c>
    </row>
    <row r="10" spans="1:10">
      <c r="A10" s="54" t="s">
        <v>14</v>
      </c>
      <c r="B10" s="81">
        <v>60844904.180000007</v>
      </c>
      <c r="C10" s="56">
        <v>0.17580000000000001</v>
      </c>
      <c r="E10" s="54" t="s">
        <v>14</v>
      </c>
      <c r="F10" s="81">
        <v>58188795.390000001</v>
      </c>
      <c r="G10" s="56">
        <v>0.17219999999999999</v>
      </c>
      <c r="I10" s="57" t="s">
        <v>14</v>
      </c>
      <c r="J10" s="82">
        <f t="shared" si="0"/>
        <v>-3.6000000000000199E-3</v>
      </c>
    </row>
    <row r="11" spans="1:10">
      <c r="A11" s="54" t="s">
        <v>15</v>
      </c>
      <c r="B11" s="81">
        <v>2956478.8200000003</v>
      </c>
      <c r="C11" s="56">
        <v>8.5000000000000006E-3</v>
      </c>
      <c r="E11" s="54" t="s">
        <v>15</v>
      </c>
      <c r="F11" s="81">
        <v>2745895.2600000002</v>
      </c>
      <c r="G11" s="56">
        <v>8.0999999999999996E-3</v>
      </c>
      <c r="I11" s="57" t="s">
        <v>15</v>
      </c>
      <c r="J11" s="82">
        <f t="shared" si="0"/>
        <v>-4.0000000000000105E-4</v>
      </c>
    </row>
    <row r="12" spans="1:10">
      <c r="A12" s="54" t="s">
        <v>16</v>
      </c>
      <c r="B12" s="81">
        <v>26073974.940000005</v>
      </c>
      <c r="C12" s="56">
        <v>7.5399999999999995E-2</v>
      </c>
      <c r="E12" s="54" t="s">
        <v>16</v>
      </c>
      <c r="F12" s="81">
        <v>24979967.149999999</v>
      </c>
      <c r="G12" s="56">
        <v>7.3899999999999993E-2</v>
      </c>
      <c r="I12" s="57" t="s">
        <v>16</v>
      </c>
      <c r="J12" s="82">
        <f t="shared" si="0"/>
        <v>-1.5000000000000013E-3</v>
      </c>
    </row>
    <row r="13" spans="1:10">
      <c r="A13" s="54" t="s">
        <v>17</v>
      </c>
      <c r="B13" s="81">
        <v>14340697.289999999</v>
      </c>
      <c r="C13" s="56">
        <v>4.1399999999999999E-2</v>
      </c>
      <c r="E13" s="54" t="s">
        <v>17</v>
      </c>
      <c r="F13" s="81">
        <v>13474626.559999999</v>
      </c>
      <c r="G13" s="56">
        <v>3.9899999999999998E-2</v>
      </c>
      <c r="I13" s="57" t="s">
        <v>17</v>
      </c>
      <c r="J13" s="82">
        <f t="shared" si="0"/>
        <v>-1.5000000000000013E-3</v>
      </c>
    </row>
    <row r="14" spans="1:10">
      <c r="A14" s="54" t="s">
        <v>18</v>
      </c>
      <c r="B14" s="81">
        <v>414026.05000000005</v>
      </c>
      <c r="C14" s="56">
        <v>1.1999999999999999E-3</v>
      </c>
      <c r="E14" s="54" t="s">
        <v>18</v>
      </c>
      <c r="F14" s="81">
        <v>387058.68</v>
      </c>
      <c r="G14" s="56">
        <v>1.1000000000000001E-3</v>
      </c>
      <c r="I14" s="57" t="s">
        <v>18</v>
      </c>
      <c r="J14" s="82">
        <f t="shared" si="0"/>
        <v>-9.9999999999999829E-5</v>
      </c>
    </row>
    <row r="15" spans="1:10">
      <c r="A15" s="54" t="s">
        <v>19</v>
      </c>
      <c r="B15" s="81">
        <v>80942309.810000017</v>
      </c>
      <c r="C15" s="56">
        <v>0.2339</v>
      </c>
      <c r="E15" s="54" t="s">
        <v>19</v>
      </c>
      <c r="F15" s="81">
        <v>81039616.140000015</v>
      </c>
      <c r="G15" s="56">
        <v>0.2399</v>
      </c>
      <c r="I15" s="57" t="s">
        <v>19</v>
      </c>
      <c r="J15" s="82">
        <f t="shared" si="0"/>
        <v>6.0000000000000053E-3</v>
      </c>
    </row>
    <row r="16" spans="1:10">
      <c r="A16" s="54" t="s">
        <v>20</v>
      </c>
      <c r="B16" s="81">
        <v>114761.34999999999</v>
      </c>
      <c r="C16" s="56">
        <v>2.9999999999999997E-4</v>
      </c>
      <c r="E16" s="54" t="s">
        <v>20</v>
      </c>
      <c r="F16" s="81">
        <v>132565.96</v>
      </c>
      <c r="G16" s="56">
        <v>4.0000000000000002E-4</v>
      </c>
      <c r="I16" s="57" t="s">
        <v>20</v>
      </c>
      <c r="J16" s="82">
        <f t="shared" si="0"/>
        <v>1.0000000000000005E-4</v>
      </c>
    </row>
    <row r="17" spans="1:10">
      <c r="A17" s="59">
        <v>58</v>
      </c>
      <c r="B17" s="81">
        <v>7414555.5299999993</v>
      </c>
      <c r="C17" s="56">
        <v>2.1599999999999998E-2</v>
      </c>
      <c r="E17" s="59" t="s">
        <v>53</v>
      </c>
      <c r="F17" s="81">
        <v>7372195.2799999993</v>
      </c>
      <c r="G17" s="56">
        <v>2.1899999999999999E-2</v>
      </c>
      <c r="I17" s="57">
        <v>58</v>
      </c>
      <c r="J17" s="82">
        <f t="shared" si="0"/>
        <v>3.0000000000000165E-4</v>
      </c>
    </row>
    <row r="18" spans="1:10">
      <c r="A18" s="54" t="s">
        <v>22</v>
      </c>
      <c r="B18" s="81">
        <v>90845139.960000008</v>
      </c>
      <c r="C18" s="56">
        <v>0.26250000000000001</v>
      </c>
      <c r="E18" s="54" t="s">
        <v>22</v>
      </c>
      <c r="F18" s="81">
        <v>90834289.169999987</v>
      </c>
      <c r="G18" s="56">
        <v>0.26879999999999998</v>
      </c>
      <c r="I18" s="60">
        <v>59</v>
      </c>
      <c r="J18" s="82">
        <f t="shared" si="0"/>
        <v>6.2999999999999723E-3</v>
      </c>
    </row>
    <row r="19" spans="1:10">
      <c r="A19" s="54" t="s">
        <v>23</v>
      </c>
      <c r="B19" s="81">
        <v>1640301.65</v>
      </c>
      <c r="C19" s="56">
        <v>4.7000000000000002E-3</v>
      </c>
      <c r="E19" s="54" t="s">
        <v>23</v>
      </c>
      <c r="F19" s="81">
        <v>1149040.53</v>
      </c>
      <c r="G19" s="56">
        <v>3.3999999999999998E-3</v>
      </c>
      <c r="I19" s="57" t="s">
        <v>23</v>
      </c>
      <c r="J19" s="82">
        <f t="shared" si="0"/>
        <v>-1.3000000000000004E-3</v>
      </c>
    </row>
    <row r="20" spans="1:10">
      <c r="A20" s="54" t="s">
        <v>24</v>
      </c>
      <c r="B20" s="81">
        <v>10342.5</v>
      </c>
      <c r="C20" s="56">
        <v>0</v>
      </c>
      <c r="E20" s="54" t="s">
        <v>24</v>
      </c>
      <c r="F20" s="81">
        <v>15288.310000000003</v>
      </c>
      <c r="G20" s="56">
        <v>0</v>
      </c>
      <c r="I20" s="57" t="s">
        <v>24</v>
      </c>
      <c r="J20" s="82">
        <f t="shared" si="0"/>
        <v>0</v>
      </c>
    </row>
    <row r="21" spans="1:10">
      <c r="A21" s="54" t="s">
        <v>27</v>
      </c>
      <c r="B21" s="81">
        <v>261280.34000000003</v>
      </c>
      <c r="C21" s="56">
        <v>8.0000000000000004E-4</v>
      </c>
      <c r="E21" s="54" t="s">
        <v>27</v>
      </c>
      <c r="F21" s="81">
        <v>135264.63</v>
      </c>
      <c r="G21" s="56">
        <v>4.0000000000000002E-4</v>
      </c>
      <c r="I21" s="57" t="s">
        <v>27</v>
      </c>
      <c r="J21" s="82">
        <f t="shared" si="0"/>
        <v>-4.0000000000000002E-4</v>
      </c>
    </row>
    <row r="22" spans="1:10">
      <c r="A22" s="54" t="s">
        <v>29</v>
      </c>
      <c r="B22" s="81">
        <v>907266.46999999986</v>
      </c>
      <c r="C22" s="56">
        <v>2.5999999999999999E-3</v>
      </c>
      <c r="E22" s="54" t="s">
        <v>29</v>
      </c>
      <c r="F22" s="81">
        <v>769921.58000000007</v>
      </c>
      <c r="G22" s="56">
        <v>2.3E-3</v>
      </c>
      <c r="I22" s="57" t="s">
        <v>29</v>
      </c>
      <c r="J22" s="82">
        <f t="shared" si="0"/>
        <v>-2.9999999999999992E-4</v>
      </c>
    </row>
    <row r="23" spans="1:10">
      <c r="A23" s="54" t="s">
        <v>55</v>
      </c>
      <c r="B23" s="81">
        <v>1592.71</v>
      </c>
      <c r="C23" s="56">
        <v>0</v>
      </c>
      <c r="E23" s="54" t="s">
        <v>55</v>
      </c>
      <c r="F23" s="81">
        <v>2628.2500000000005</v>
      </c>
      <c r="G23" s="56">
        <v>0</v>
      </c>
      <c r="I23" s="57" t="s">
        <v>55</v>
      </c>
      <c r="J23" s="82">
        <f t="shared" si="0"/>
        <v>0</v>
      </c>
    </row>
    <row r="24" spans="1:10">
      <c r="A24" s="54" t="s">
        <v>30</v>
      </c>
      <c r="B24" s="81">
        <v>262037.12</v>
      </c>
      <c r="C24" s="56">
        <v>8.0000000000000004E-4</v>
      </c>
      <c r="E24" s="54" t="s">
        <v>30</v>
      </c>
      <c r="F24" s="81">
        <v>234541.31000000003</v>
      </c>
      <c r="G24" s="56">
        <v>6.9999999999999999E-4</v>
      </c>
      <c r="I24" s="57" t="s">
        <v>30</v>
      </c>
      <c r="J24" s="82">
        <f t="shared" si="0"/>
        <v>-1.0000000000000005E-4</v>
      </c>
    </row>
    <row r="25" spans="1:10">
      <c r="A25" s="54" t="s">
        <v>31</v>
      </c>
      <c r="B25" s="81">
        <v>97937.09</v>
      </c>
      <c r="C25" s="56">
        <v>2.9999999999999997E-4</v>
      </c>
      <c r="E25" s="54" t="s">
        <v>31</v>
      </c>
      <c r="F25" s="81">
        <v>125660.98999999999</v>
      </c>
      <c r="G25" s="56">
        <v>4.0000000000000002E-4</v>
      </c>
      <c r="I25" s="57" t="s">
        <v>31</v>
      </c>
      <c r="J25" s="82">
        <f t="shared" si="0"/>
        <v>1.0000000000000005E-4</v>
      </c>
    </row>
    <row r="26" spans="1:10">
      <c r="A26" s="54" t="s">
        <v>32</v>
      </c>
      <c r="B26" s="81">
        <v>28901532.449999992</v>
      </c>
      <c r="C26" s="56">
        <v>8.3500000000000005E-2</v>
      </c>
      <c r="E26" s="54" t="s">
        <v>32</v>
      </c>
      <c r="F26" s="81">
        <v>29071800.410000004</v>
      </c>
      <c r="G26" s="56">
        <v>8.5999999999999993E-2</v>
      </c>
      <c r="I26" s="57" t="s">
        <v>32</v>
      </c>
      <c r="J26" s="82">
        <f t="shared" si="0"/>
        <v>2.4999999999999883E-3</v>
      </c>
    </row>
    <row r="27" spans="1:10">
      <c r="A27" s="54" t="s">
        <v>33</v>
      </c>
      <c r="B27" s="81">
        <v>4339248.32</v>
      </c>
      <c r="C27" s="56">
        <v>1.2500000000000001E-2</v>
      </c>
      <c r="E27" s="54" t="s">
        <v>33</v>
      </c>
      <c r="F27" s="81">
        <v>4575015.9399999995</v>
      </c>
      <c r="G27" s="56">
        <v>1.35E-2</v>
      </c>
      <c r="I27" s="57" t="s">
        <v>33</v>
      </c>
      <c r="J27" s="82">
        <f t="shared" si="0"/>
        <v>9.9999999999999915E-4</v>
      </c>
    </row>
    <row r="28" spans="1:10">
      <c r="A28" s="54" t="s">
        <v>35</v>
      </c>
      <c r="B28" s="81">
        <v>100110.77</v>
      </c>
      <c r="C28" s="56">
        <v>2.9999999999999997E-4</v>
      </c>
      <c r="E28" s="54" t="s">
        <v>35</v>
      </c>
      <c r="F28" s="81">
        <v>230613.37000000002</v>
      </c>
      <c r="G28" s="56">
        <v>6.9999999999999999E-4</v>
      </c>
      <c r="I28" s="57" t="s">
        <v>35</v>
      </c>
      <c r="J28" s="82">
        <f t="shared" si="0"/>
        <v>4.0000000000000002E-4</v>
      </c>
    </row>
    <row r="29" spans="1:10">
      <c r="A29" s="54" t="s">
        <v>36</v>
      </c>
      <c r="B29" s="81">
        <v>83800.61</v>
      </c>
      <c r="C29" s="56">
        <v>2.0000000000000001E-4</v>
      </c>
      <c r="E29" s="54" t="s">
        <v>36</v>
      </c>
      <c r="F29" s="81">
        <v>68374.25</v>
      </c>
      <c r="G29" s="56">
        <v>2.0000000000000001E-4</v>
      </c>
      <c r="I29" s="57" t="s">
        <v>36</v>
      </c>
      <c r="J29" s="82">
        <f t="shared" si="0"/>
        <v>0</v>
      </c>
    </row>
    <row r="30" spans="1:10">
      <c r="A30" s="54" t="s">
        <v>37</v>
      </c>
      <c r="B30" s="81">
        <v>55550.459999999992</v>
      </c>
      <c r="C30" s="56">
        <v>2.0000000000000001E-4</v>
      </c>
      <c r="E30" s="54" t="s">
        <v>37</v>
      </c>
      <c r="F30" s="81">
        <v>61423.75</v>
      </c>
      <c r="G30" s="56">
        <v>2.0000000000000001E-4</v>
      </c>
      <c r="I30" s="57" t="s">
        <v>37</v>
      </c>
      <c r="J30" s="82">
        <f t="shared" si="0"/>
        <v>0</v>
      </c>
    </row>
    <row r="31" spans="1:10">
      <c r="A31" s="54" t="s">
        <v>38</v>
      </c>
      <c r="B31" s="81">
        <v>168080.30000000002</v>
      </c>
      <c r="C31" s="56">
        <v>5.0000000000000001E-4</v>
      </c>
      <c r="E31" s="54" t="s">
        <v>38</v>
      </c>
      <c r="F31" s="81">
        <v>702044.04999999981</v>
      </c>
      <c r="G31" s="56">
        <v>2.0999999999999999E-3</v>
      </c>
      <c r="I31" s="57" t="s">
        <v>38</v>
      </c>
      <c r="J31" s="82">
        <f t="shared" si="0"/>
        <v>1.5999999999999999E-3</v>
      </c>
    </row>
    <row r="32" spans="1:10">
      <c r="A32" s="54" t="s">
        <v>56</v>
      </c>
      <c r="B32" s="81">
        <v>1007.73</v>
      </c>
      <c r="C32" s="56">
        <v>0</v>
      </c>
      <c r="E32" s="54" t="s">
        <v>56</v>
      </c>
      <c r="F32" s="81">
        <v>2824.21</v>
      </c>
      <c r="G32" s="56">
        <v>0</v>
      </c>
      <c r="I32" s="57" t="s">
        <v>56</v>
      </c>
      <c r="J32" s="82">
        <f t="shared" si="0"/>
        <v>0</v>
      </c>
    </row>
    <row r="33" spans="1:10">
      <c r="A33" s="61" t="s">
        <v>49</v>
      </c>
      <c r="B33" s="83">
        <f>SUM(B5:B32)</f>
        <v>346019892.69999993</v>
      </c>
      <c r="C33" s="63">
        <f>SUM(C5:C32)</f>
        <v>0.99999999999999989</v>
      </c>
      <c r="E33" s="61" t="s">
        <v>49</v>
      </c>
      <c r="F33" s="83">
        <f>SUM(F5:F32)</f>
        <v>337874330.5</v>
      </c>
      <c r="G33" s="63">
        <f>SUM(G5:G32)</f>
        <v>0.99999999999999967</v>
      </c>
      <c r="I33" s="52" t="s">
        <v>6</v>
      </c>
      <c r="J33" s="84">
        <f>SUM(J5:J32)</f>
        <v>-5.139118297581291E-17</v>
      </c>
    </row>
    <row r="35" spans="1:10">
      <c r="A35" s="65" t="s">
        <v>67</v>
      </c>
    </row>
    <row r="36" spans="1:10">
      <c r="A36" s="65"/>
    </row>
    <row r="38" spans="1:10">
      <c r="A38" s="65" t="s">
        <v>59</v>
      </c>
      <c r="B38" s="67"/>
      <c r="C38" s="67"/>
      <c r="D38" s="67"/>
      <c r="E38" s="67"/>
      <c r="F38" s="67"/>
      <c r="G38" s="68" t="s">
        <v>60</v>
      </c>
      <c r="H38" s="67"/>
      <c r="I38" s="69"/>
    </row>
    <row r="39" spans="1:10">
      <c r="G39" s="70"/>
    </row>
    <row r="40" spans="1:10">
      <c r="G40" s="70"/>
    </row>
    <row r="41" spans="1:10">
      <c r="A41" s="65" t="s">
        <v>61</v>
      </c>
      <c r="B41" s="67"/>
      <c r="C41" s="67"/>
      <c r="D41" s="67"/>
      <c r="E41" s="67"/>
      <c r="F41" s="67"/>
      <c r="G41" s="68" t="s">
        <v>60</v>
      </c>
      <c r="H41" s="67"/>
      <c r="I41" s="69"/>
    </row>
  </sheetData>
  <mergeCells count="3">
    <mergeCell ref="A1:J1"/>
    <mergeCell ref="A3:C3"/>
    <mergeCell ref="E3:G3"/>
  </mergeCells>
  <pageMargins left="0.7" right="0.7" top="0.75" bottom="0.75" header="0.3" footer="0.3"/>
  <pageSetup scale="84" orientation="landscape" r:id="rId1"/>
  <headerFooter>
    <oddHeader>&amp;RKY PSC Case No. 2016-00162,
Attachment G to Staff Post Hearing Supp. DR 2</oddHead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J22"/>
  <sheetViews>
    <sheetView workbookViewId="0">
      <selection sqref="A1:G1"/>
    </sheetView>
  </sheetViews>
  <sheetFormatPr defaultRowHeight="14.4"/>
  <cols>
    <col min="1" max="1" width="11.109375" style="77" bestFit="1" customWidth="1"/>
    <col min="2" max="2" width="15.33203125" style="77" bestFit="1" customWidth="1"/>
    <col min="3" max="3" width="19.6640625" style="77" bestFit="1" customWidth="1"/>
    <col min="4" max="4" width="8.88671875" style="77"/>
    <col min="5" max="5" width="11.109375" style="77" bestFit="1" customWidth="1"/>
    <col min="6" max="6" width="15.33203125" style="77" bestFit="1" customWidth="1"/>
    <col min="7" max="7" width="19.6640625" style="77" bestFit="1" customWidth="1"/>
    <col min="8" max="8" width="8.88671875" style="77"/>
    <col min="9" max="9" width="9.33203125" style="77" bestFit="1" customWidth="1"/>
    <col min="10" max="10" width="10.44140625" style="77" bestFit="1" customWidth="1"/>
    <col min="11" max="16384" width="8.88671875" style="77"/>
  </cols>
  <sheetData>
    <row r="1" spans="1:10" ht="15.6">
      <c r="A1" s="253" t="s">
        <v>50</v>
      </c>
      <c r="B1" s="253"/>
      <c r="C1" s="253"/>
      <c r="D1" s="253"/>
      <c r="E1" s="253"/>
      <c r="F1" s="253"/>
      <c r="G1" s="253"/>
      <c r="H1" s="197"/>
      <c r="I1" s="198"/>
      <c r="J1" s="198"/>
    </row>
    <row r="2" spans="1:10">
      <c r="A2" s="199"/>
      <c r="B2" s="199"/>
      <c r="C2" s="199"/>
      <c r="D2" s="199"/>
      <c r="E2" s="199"/>
      <c r="F2" s="199"/>
      <c r="G2" s="199"/>
      <c r="H2" s="200"/>
      <c r="I2" s="199"/>
      <c r="J2" s="199"/>
    </row>
    <row r="3" spans="1:10">
      <c r="A3" s="254" t="s">
        <v>161</v>
      </c>
      <c r="B3" s="254"/>
      <c r="C3" s="254"/>
      <c r="D3" s="201"/>
      <c r="E3" s="254" t="s">
        <v>162</v>
      </c>
      <c r="F3" s="254"/>
      <c r="G3" s="254"/>
      <c r="H3" s="88"/>
      <c r="I3" s="202"/>
      <c r="J3" s="202"/>
    </row>
    <row r="4" spans="1:10">
      <c r="A4" s="203" t="s">
        <v>2</v>
      </c>
      <c r="B4" s="106" t="s">
        <v>3</v>
      </c>
      <c r="C4" s="106" t="s">
        <v>5</v>
      </c>
      <c r="D4" s="201"/>
      <c r="E4" s="203" t="s">
        <v>2</v>
      </c>
      <c r="F4" s="106" t="s">
        <v>3</v>
      </c>
      <c r="G4" s="106" t="s">
        <v>5</v>
      </c>
      <c r="H4" s="88"/>
      <c r="I4" s="204" t="s">
        <v>2</v>
      </c>
      <c r="J4" s="204" t="s">
        <v>7</v>
      </c>
    </row>
    <row r="5" spans="1:10">
      <c r="A5" s="205" t="s">
        <v>125</v>
      </c>
      <c r="B5" s="89">
        <v>0</v>
      </c>
      <c r="C5" s="178">
        <v>0</v>
      </c>
      <c r="D5" s="201"/>
      <c r="E5" s="205" t="s">
        <v>125</v>
      </c>
      <c r="F5" s="89">
        <v>0</v>
      </c>
      <c r="G5" s="178">
        <f>F5/$F$22</f>
        <v>0</v>
      </c>
      <c r="H5" s="182"/>
      <c r="I5" s="98" t="s">
        <v>120</v>
      </c>
      <c r="J5" s="82">
        <f>G5-C5</f>
        <v>0</v>
      </c>
    </row>
    <row r="6" spans="1:10">
      <c r="A6" s="206" t="s">
        <v>126</v>
      </c>
      <c r="B6" s="89">
        <v>151595.04309999855</v>
      </c>
      <c r="C6" s="178">
        <v>5.9999999999999995E-4</v>
      </c>
      <c r="D6" s="201"/>
      <c r="E6" s="206" t="s">
        <v>126</v>
      </c>
      <c r="F6" s="89">
        <v>30238.719999999972</v>
      </c>
      <c r="G6" s="178">
        <f t="shared" ref="G6:G21" si="0">F6/$F$22</f>
        <v>1.2026252118042005E-4</v>
      </c>
      <c r="H6" s="182"/>
      <c r="I6" s="60" t="s">
        <v>11</v>
      </c>
      <c r="J6" s="82">
        <f>+G6-C6</f>
        <v>-4.797374788195799E-4</v>
      </c>
    </row>
    <row r="7" spans="1:10">
      <c r="A7" s="206" t="s">
        <v>127</v>
      </c>
      <c r="B7" s="89">
        <v>7765359.806730004</v>
      </c>
      <c r="C7" s="178">
        <v>3.0300000000000001E-2</v>
      </c>
      <c r="D7" s="201"/>
      <c r="E7" s="206" t="s">
        <v>127</v>
      </c>
      <c r="F7" s="89">
        <v>7685645.2599999951</v>
      </c>
      <c r="G7" s="178">
        <f t="shared" si="0"/>
        <v>3.056660717999787E-2</v>
      </c>
      <c r="H7" s="182"/>
      <c r="I7" s="60" t="s">
        <v>13</v>
      </c>
      <c r="J7" s="82">
        <f t="shared" ref="J7:J21" si="1">+G7-C7</f>
        <v>2.6660717999786934E-4</v>
      </c>
    </row>
    <row r="8" spans="1:10">
      <c r="A8" s="206" t="s">
        <v>128</v>
      </c>
      <c r="B8" s="89">
        <v>57380475.022349976</v>
      </c>
      <c r="C8" s="178">
        <v>0.224</v>
      </c>
      <c r="D8" s="201"/>
      <c r="E8" s="206" t="s">
        <v>128</v>
      </c>
      <c r="F8" s="89">
        <v>56240105.75958012</v>
      </c>
      <c r="G8" s="178">
        <f t="shared" si="0"/>
        <v>0.22367272523772744</v>
      </c>
      <c r="H8" s="182"/>
      <c r="I8" s="60" t="s">
        <v>14</v>
      </c>
      <c r="J8" s="82">
        <f t="shared" si="1"/>
        <v>-3.2727476227256691E-4</v>
      </c>
    </row>
    <row r="9" spans="1:10">
      <c r="A9" s="206" t="s">
        <v>129</v>
      </c>
      <c r="B9" s="89">
        <v>3475118.7379300143</v>
      </c>
      <c r="C9" s="178">
        <v>1.3599999999999999E-2</v>
      </c>
      <c r="D9" s="201"/>
      <c r="E9" s="206" t="s">
        <v>129</v>
      </c>
      <c r="F9" s="89">
        <v>3299671.2600100045</v>
      </c>
      <c r="G9" s="178">
        <f t="shared" si="0"/>
        <v>1.3123134338866752E-2</v>
      </c>
      <c r="H9" s="182"/>
      <c r="I9" s="60" t="s">
        <v>15</v>
      </c>
      <c r="J9" s="82">
        <f t="shared" si="1"/>
        <v>-4.7686566113324703E-4</v>
      </c>
    </row>
    <row r="10" spans="1:10">
      <c r="A10" s="206" t="s">
        <v>130</v>
      </c>
      <c r="B10" s="89">
        <v>29251507.338589877</v>
      </c>
      <c r="C10" s="178">
        <v>0.1142</v>
      </c>
      <c r="D10" s="201"/>
      <c r="E10" s="206" t="s">
        <v>130</v>
      </c>
      <c r="F10" s="89">
        <v>28583732.559950002</v>
      </c>
      <c r="G10" s="178">
        <f t="shared" si="0"/>
        <v>0.11368046472887915</v>
      </c>
      <c r="H10" s="182"/>
      <c r="I10" s="60" t="s">
        <v>16</v>
      </c>
      <c r="J10" s="82">
        <f t="shared" si="1"/>
        <v>-5.1953527112084952E-4</v>
      </c>
    </row>
    <row r="11" spans="1:10">
      <c r="A11" s="206" t="s">
        <v>131</v>
      </c>
      <c r="B11" s="89">
        <v>17207002.903610006</v>
      </c>
      <c r="C11" s="178">
        <v>6.7199999999999996E-2</v>
      </c>
      <c r="D11" s="201"/>
      <c r="E11" s="206" t="s">
        <v>131</v>
      </c>
      <c r="F11" s="89">
        <v>17055421.259909946</v>
      </c>
      <c r="G11" s="178">
        <f t="shared" si="0"/>
        <v>6.7831176733370593E-2</v>
      </c>
      <c r="H11" s="182"/>
      <c r="I11" s="60" t="s">
        <v>17</v>
      </c>
      <c r="J11" s="82">
        <f t="shared" si="1"/>
        <v>6.3117673337059754E-4</v>
      </c>
    </row>
    <row r="12" spans="1:10">
      <c r="A12" s="207" t="s">
        <v>132</v>
      </c>
      <c r="B12" s="89">
        <v>9299250.0378100034</v>
      </c>
      <c r="C12" s="178">
        <v>3.6400000000000002E-2</v>
      </c>
      <c r="D12" s="201"/>
      <c r="E12" s="207" t="s">
        <v>132</v>
      </c>
      <c r="F12" s="89">
        <v>8552799.7003599945</v>
      </c>
      <c r="G12" s="178">
        <f t="shared" si="0"/>
        <v>3.4015370198091553E-2</v>
      </c>
      <c r="H12" s="182"/>
      <c r="I12" s="60" t="s">
        <v>21</v>
      </c>
      <c r="J12" s="82">
        <f t="shared" si="1"/>
        <v>-2.3846298019084486E-3</v>
      </c>
    </row>
    <row r="13" spans="1:10">
      <c r="A13" s="206" t="s">
        <v>133</v>
      </c>
      <c r="B13" s="89">
        <v>102418868.09875052</v>
      </c>
      <c r="C13" s="178">
        <v>0.39989999999999998</v>
      </c>
      <c r="D13" s="201"/>
      <c r="E13" s="206" t="s">
        <v>133</v>
      </c>
      <c r="F13" s="89">
        <v>101312072.32983001</v>
      </c>
      <c r="G13" s="178">
        <f t="shared" si="0"/>
        <v>0.40292860426626653</v>
      </c>
      <c r="H13" s="182"/>
      <c r="I13" s="60" t="s">
        <v>22</v>
      </c>
      <c r="J13" s="82">
        <f t="shared" si="1"/>
        <v>3.0286042662665547E-3</v>
      </c>
    </row>
    <row r="14" spans="1:10">
      <c r="A14" s="206" t="s">
        <v>134</v>
      </c>
      <c r="B14" s="89">
        <v>777839.27415000484</v>
      </c>
      <c r="C14" s="178">
        <v>3.0000000000000001E-3</v>
      </c>
      <c r="D14" s="201"/>
      <c r="E14" s="206" t="s">
        <v>134</v>
      </c>
      <c r="F14" s="89">
        <v>645882.16992999846</v>
      </c>
      <c r="G14" s="178">
        <f t="shared" si="0"/>
        <v>2.5687402820378036E-3</v>
      </c>
      <c r="H14" s="182"/>
      <c r="I14" s="60" t="s">
        <v>23</v>
      </c>
      <c r="J14" s="82">
        <f t="shared" si="1"/>
        <v>-4.3125971796219645E-4</v>
      </c>
    </row>
    <row r="15" spans="1:10">
      <c r="A15" s="206" t="s">
        <v>135</v>
      </c>
      <c r="B15" s="89">
        <v>-59.295940000000257</v>
      </c>
      <c r="C15" s="208">
        <v>0</v>
      </c>
      <c r="D15" s="201"/>
      <c r="E15" s="206" t="s">
        <v>135</v>
      </c>
      <c r="F15" s="89">
        <v>0</v>
      </c>
      <c r="G15" s="178">
        <f t="shared" si="0"/>
        <v>0</v>
      </c>
      <c r="H15" s="182"/>
      <c r="I15" s="60" t="s">
        <v>24</v>
      </c>
      <c r="J15" s="82">
        <f t="shared" si="1"/>
        <v>0</v>
      </c>
    </row>
    <row r="16" spans="1:10">
      <c r="A16" s="206" t="s">
        <v>136</v>
      </c>
      <c r="B16" s="89">
        <v>20751.794990000577</v>
      </c>
      <c r="C16" s="178">
        <v>1E-4</v>
      </c>
      <c r="D16" s="201"/>
      <c r="E16" s="206" t="s">
        <v>136</v>
      </c>
      <c r="F16" s="89">
        <v>20194.48006999998</v>
      </c>
      <c r="G16" s="178">
        <f t="shared" si="0"/>
        <v>8.0315538724719341E-5</v>
      </c>
      <c r="H16" s="182"/>
      <c r="I16" s="60" t="s">
        <v>27</v>
      </c>
      <c r="J16" s="82">
        <f t="shared" si="1"/>
        <v>-1.9684461275280664E-5</v>
      </c>
    </row>
    <row r="17" spans="1:10">
      <c r="A17" s="206" t="s">
        <v>137</v>
      </c>
      <c r="B17" s="89">
        <v>106802.6349599993</v>
      </c>
      <c r="C17" s="178">
        <v>4.0000000000000002E-4</v>
      </c>
      <c r="D17" s="201"/>
      <c r="E17" s="206" t="s">
        <v>137</v>
      </c>
      <c r="F17" s="89">
        <v>71191.790150000059</v>
      </c>
      <c r="G17" s="178">
        <f t="shared" si="0"/>
        <v>2.8313712256293949E-4</v>
      </c>
      <c r="H17" s="182"/>
      <c r="I17" s="60" t="s">
        <v>30</v>
      </c>
      <c r="J17" s="82">
        <f t="shared" si="1"/>
        <v>-1.1686287743706053E-4</v>
      </c>
    </row>
    <row r="18" spans="1:10">
      <c r="A18" s="206" t="s">
        <v>138</v>
      </c>
      <c r="B18" s="89">
        <v>11352.177620000139</v>
      </c>
      <c r="C18" s="178">
        <v>0</v>
      </c>
      <c r="D18" s="201"/>
      <c r="E18" s="206" t="s">
        <v>138</v>
      </c>
      <c r="F18" s="89">
        <v>16220.109990000032</v>
      </c>
      <c r="G18" s="178">
        <f t="shared" si="0"/>
        <v>6.4509057302065804E-5</v>
      </c>
      <c r="H18" s="182"/>
      <c r="I18" s="60" t="s">
        <v>31</v>
      </c>
      <c r="J18" s="82">
        <f t="shared" si="1"/>
        <v>6.4509057302065804E-5</v>
      </c>
    </row>
    <row r="19" spans="1:10">
      <c r="A19" s="206" t="s">
        <v>139</v>
      </c>
      <c r="B19" s="89">
        <v>28211935.92629011</v>
      </c>
      <c r="C19" s="178">
        <v>0.1101</v>
      </c>
      <c r="D19" s="201"/>
      <c r="E19" s="206" t="s">
        <v>139</v>
      </c>
      <c r="F19" s="89">
        <v>27862544.050120007</v>
      </c>
      <c r="G19" s="178">
        <f t="shared" si="0"/>
        <v>0.11081222333379015</v>
      </c>
      <c r="H19" s="182"/>
      <c r="I19" s="60" t="s">
        <v>32</v>
      </c>
      <c r="J19" s="82">
        <f t="shared" si="1"/>
        <v>7.1222333379014624E-4</v>
      </c>
    </row>
    <row r="20" spans="1:10">
      <c r="A20" s="206" t="s">
        <v>140</v>
      </c>
      <c r="B20" s="89">
        <v>24751.590430000357</v>
      </c>
      <c r="C20" s="178">
        <v>1E-4</v>
      </c>
      <c r="D20" s="201"/>
      <c r="E20" s="206" t="s">
        <v>140</v>
      </c>
      <c r="F20" s="89">
        <v>33555.879990000016</v>
      </c>
      <c r="G20" s="178">
        <f t="shared" si="0"/>
        <v>1.3345521000971647E-4</v>
      </c>
      <c r="H20" s="182"/>
      <c r="I20" s="60" t="s">
        <v>36</v>
      </c>
      <c r="J20" s="82">
        <f t="shared" si="1"/>
        <v>3.3455210009716469E-5</v>
      </c>
    </row>
    <row r="21" spans="1:10">
      <c r="A21" s="206" t="s">
        <v>141</v>
      </c>
      <c r="B21" s="89">
        <v>31086.94649000045</v>
      </c>
      <c r="C21" s="178">
        <v>1E-4</v>
      </c>
      <c r="D21" s="201"/>
      <c r="E21" s="206" t="s">
        <v>141</v>
      </c>
      <c r="F21" s="89">
        <v>29990.230120000066</v>
      </c>
      <c r="G21" s="178">
        <f t="shared" si="0"/>
        <v>1.1927425119225227E-4</v>
      </c>
      <c r="H21" s="182"/>
      <c r="I21" s="60" t="s">
        <v>37</v>
      </c>
      <c r="J21" s="82">
        <f t="shared" si="1"/>
        <v>1.9274251192252266E-5</v>
      </c>
    </row>
    <row r="22" spans="1:10">
      <c r="A22" s="209" t="s">
        <v>49</v>
      </c>
      <c r="B22" s="91">
        <f>SUM(B5:B21)</f>
        <v>256133638.03786048</v>
      </c>
      <c r="C22" s="177">
        <f>SUM(C5:C21)</f>
        <v>0.99999999999999989</v>
      </c>
      <c r="D22" s="201"/>
      <c r="E22" s="209" t="s">
        <v>49</v>
      </c>
      <c r="F22" s="91">
        <f>SUM(F5:F21)</f>
        <v>251439265.56001008</v>
      </c>
      <c r="G22" s="177">
        <f>SUM(G5:G21)</f>
        <v>0.99999999999999989</v>
      </c>
      <c r="H22" s="211"/>
      <c r="I22" s="204" t="s">
        <v>6</v>
      </c>
      <c r="J22" s="171">
        <v>3.664603343001005E-17</v>
      </c>
    </row>
  </sheetData>
  <mergeCells count="3">
    <mergeCell ref="A1:G1"/>
    <mergeCell ref="A3:C3"/>
    <mergeCell ref="E3:G3"/>
  </mergeCells>
  <conditionalFormatting sqref="J5:J21">
    <cfRule type="cellIs" dxfId="2" priority="1" operator="notBetween">
      <formula>-0.0099</formula>
      <formula>0.0099</formula>
    </cfRule>
  </conditionalFormatting>
  <pageMargins left="0.7" right="0.7" top="0.75" bottom="0.75" header="0.3" footer="0.3"/>
  <pageSetup scale="94" orientation="landscape" r:id="rId1"/>
  <headerFooter>
    <oddHeader>&amp;RKY PSC Case No. 2016-00162,
Attachment G to Staff Post Hearing Supp. DR 2</oddHead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N26"/>
  <sheetViews>
    <sheetView zoomScaleNormal="100" workbookViewId="0">
      <selection sqref="A1:N1"/>
    </sheetView>
  </sheetViews>
  <sheetFormatPr defaultRowHeight="14.4"/>
  <cols>
    <col min="1" max="1" width="12.109375" bestFit="1" customWidth="1"/>
    <col min="2" max="2" width="35.5546875" bestFit="1" customWidth="1"/>
    <col min="3" max="3" width="4.5546875" customWidth="1"/>
    <col min="4" max="5" width="35.5546875" customWidth="1"/>
    <col min="6" max="6" width="4.88671875" customWidth="1"/>
    <col min="7" max="7" width="15.21875" bestFit="1" customWidth="1"/>
    <col min="8" max="8" width="35" bestFit="1" customWidth="1"/>
    <col min="9" max="9" width="4.33203125" customWidth="1"/>
    <col min="10" max="10" width="14.6640625" bestFit="1" customWidth="1"/>
    <col min="11" max="11" width="14.109375" bestFit="1" customWidth="1"/>
    <col min="12" max="12" width="33.77734375" bestFit="1" customWidth="1"/>
    <col min="14" max="14" width="13.6640625" bestFit="1" customWidth="1"/>
  </cols>
  <sheetData>
    <row r="1" spans="1:14">
      <c r="A1" s="255" t="s">
        <v>163</v>
      </c>
      <c r="B1" s="255"/>
      <c r="C1" s="255"/>
      <c r="D1" s="255"/>
      <c r="E1" s="255"/>
      <c r="F1" s="255"/>
      <c r="G1" s="255"/>
      <c r="H1" s="255"/>
      <c r="I1" s="255"/>
      <c r="J1" s="255"/>
      <c r="K1" s="255"/>
      <c r="L1" s="255"/>
      <c r="M1" s="255"/>
      <c r="N1" s="255"/>
    </row>
    <row r="2" spans="1:14">
      <c r="B2" s="72"/>
      <c r="C2" s="72"/>
      <c r="D2" s="72"/>
      <c r="E2" s="72"/>
      <c r="F2" s="72"/>
      <c r="G2" s="77"/>
      <c r="I2" s="72"/>
    </row>
    <row r="3" spans="1:14">
      <c r="A3" s="256" t="s">
        <v>168</v>
      </c>
      <c r="B3" s="256"/>
      <c r="C3" s="72"/>
      <c r="D3" s="256" t="s">
        <v>164</v>
      </c>
      <c r="E3" s="256"/>
      <c r="F3" s="72"/>
      <c r="G3" s="256" t="s">
        <v>144</v>
      </c>
      <c r="H3" s="256"/>
      <c r="I3" s="72"/>
    </row>
    <row r="4" spans="1:14">
      <c r="B4" s="72"/>
      <c r="C4" s="72"/>
      <c r="D4" s="72"/>
      <c r="E4" s="72"/>
      <c r="F4" s="72"/>
      <c r="G4" s="77"/>
      <c r="I4" s="72"/>
    </row>
    <row r="5" spans="1:14" ht="14.4" customHeight="1">
      <c r="A5" s="163" t="s">
        <v>165</v>
      </c>
      <c r="B5" s="72" t="s">
        <v>107</v>
      </c>
      <c r="C5" s="237"/>
    </row>
    <row r="6" spans="1:14">
      <c r="A6" s="163" t="s">
        <v>166</v>
      </c>
      <c r="B6" s="72" t="s">
        <v>107</v>
      </c>
      <c r="C6" s="237"/>
    </row>
    <row r="7" spans="1:14">
      <c r="A7" s="163" t="s">
        <v>167</v>
      </c>
      <c r="B7" s="72" t="s">
        <v>107</v>
      </c>
      <c r="C7" s="237"/>
    </row>
    <row r="8" spans="1:14">
      <c r="B8" s="72"/>
      <c r="C8" s="236"/>
      <c r="E8" s="72"/>
    </row>
    <row r="9" spans="1:14">
      <c r="A9" s="163" t="s">
        <v>79</v>
      </c>
      <c r="B9" s="72" t="s">
        <v>147</v>
      </c>
      <c r="C9" s="77"/>
      <c r="D9" s="212" t="s">
        <v>79</v>
      </c>
      <c r="E9" s="234" t="s">
        <v>100</v>
      </c>
      <c r="G9" s="212" t="s">
        <v>146</v>
      </c>
      <c r="H9" s="212" t="s">
        <v>147</v>
      </c>
      <c r="J9" s="213" t="s">
        <v>148</v>
      </c>
    </row>
    <row r="10" spans="1:14">
      <c r="A10" s="99" t="s">
        <v>127</v>
      </c>
      <c r="B10" s="72">
        <v>6128401.2599999951</v>
      </c>
      <c r="C10" s="77"/>
      <c r="D10" s="99" t="s">
        <v>11</v>
      </c>
      <c r="E10" s="72">
        <v>30238.719999999972</v>
      </c>
      <c r="G10" t="s">
        <v>126</v>
      </c>
      <c r="H10" s="73">
        <f t="shared" ref="H10:H24" si="0">B10+E10</f>
        <v>6158639.9799999949</v>
      </c>
      <c r="J10" s="76">
        <v>1.2026252118042005E-4</v>
      </c>
    </row>
    <row r="11" spans="1:14">
      <c r="A11" s="99" t="s">
        <v>128</v>
      </c>
      <c r="B11" s="72">
        <v>44473968.909580112</v>
      </c>
      <c r="C11" s="77"/>
      <c r="D11" s="99" t="s">
        <v>13</v>
      </c>
      <c r="E11" s="72">
        <v>1557244.0000000002</v>
      </c>
      <c r="G11" t="s">
        <v>127</v>
      </c>
      <c r="H11" s="73">
        <f t="shared" si="0"/>
        <v>46031212.909580112</v>
      </c>
      <c r="J11" s="76">
        <v>3.056660717999787E-2</v>
      </c>
    </row>
    <row r="12" spans="1:14">
      <c r="A12" s="99" t="s">
        <v>129</v>
      </c>
      <c r="B12" s="72">
        <v>2661047.2300100038</v>
      </c>
      <c r="C12" s="77"/>
      <c r="D12" s="99" t="s">
        <v>14</v>
      </c>
      <c r="E12" s="72">
        <v>11766136.850000009</v>
      </c>
      <c r="G12" t="s">
        <v>128</v>
      </c>
      <c r="H12" s="73">
        <f t="shared" si="0"/>
        <v>14427184.080010012</v>
      </c>
      <c r="J12" s="76">
        <v>0.22367272523772744</v>
      </c>
    </row>
    <row r="13" spans="1:14">
      <c r="A13" s="99" t="s">
        <v>130</v>
      </c>
      <c r="B13" s="72">
        <v>22526695.82995002</v>
      </c>
      <c r="C13" s="77"/>
      <c r="D13" s="99" t="s">
        <v>15</v>
      </c>
      <c r="E13" s="72">
        <v>638624.03000000084</v>
      </c>
      <c r="G13" t="s">
        <v>129</v>
      </c>
      <c r="H13" s="73">
        <f t="shared" si="0"/>
        <v>23165319.859950021</v>
      </c>
      <c r="J13" s="76">
        <v>1.3123134338866752E-2</v>
      </c>
    </row>
    <row r="14" spans="1:14">
      <c r="A14" s="99" t="s">
        <v>131</v>
      </c>
      <c r="B14" s="72">
        <v>13548198.26990995</v>
      </c>
      <c r="C14" s="77"/>
      <c r="D14" s="99" t="s">
        <v>16</v>
      </c>
      <c r="E14" s="72">
        <v>6057036.7299999818</v>
      </c>
      <c r="G14" t="s">
        <v>130</v>
      </c>
      <c r="H14" s="73">
        <f t="shared" si="0"/>
        <v>19605234.99990993</v>
      </c>
      <c r="J14" s="76">
        <v>0.11368046472887915</v>
      </c>
    </row>
    <row r="15" spans="1:14">
      <c r="A15" s="99" t="s">
        <v>132</v>
      </c>
      <c r="B15" s="72">
        <v>6916987.6703599952</v>
      </c>
      <c r="C15" s="77"/>
      <c r="D15" s="99" t="s">
        <v>17</v>
      </c>
      <c r="E15" s="72">
        <v>3507222.9899999951</v>
      </c>
      <c r="G15" t="s">
        <v>131</v>
      </c>
      <c r="H15" s="73">
        <f t="shared" si="0"/>
        <v>10424210.66035999</v>
      </c>
      <c r="J15" s="76">
        <v>6.7831176733370593E-2</v>
      </c>
    </row>
    <row r="16" spans="1:14">
      <c r="A16" s="99" t="s">
        <v>133</v>
      </c>
      <c r="B16" s="72">
        <v>81105642.31983</v>
      </c>
      <c r="C16" s="77"/>
      <c r="D16" s="99" t="s">
        <v>21</v>
      </c>
      <c r="E16" s="72">
        <v>1635812.0299999989</v>
      </c>
      <c r="G16" t="s">
        <v>132</v>
      </c>
      <c r="H16" s="73">
        <f t="shared" si="0"/>
        <v>82741454.349830002</v>
      </c>
      <c r="J16" s="76">
        <v>3.4015370198091553E-2</v>
      </c>
    </row>
    <row r="17" spans="1:10">
      <c r="A17" s="99" t="s">
        <v>134</v>
      </c>
      <c r="B17" s="72">
        <v>478978.47992999892</v>
      </c>
      <c r="C17" s="238"/>
      <c r="D17" s="99" t="s">
        <v>22</v>
      </c>
      <c r="E17" s="72">
        <f>18677089.68+1246838.19+282502.14</f>
        <v>20206430.010000002</v>
      </c>
      <c r="G17" t="s">
        <v>133</v>
      </c>
      <c r="H17" s="73">
        <f t="shared" si="0"/>
        <v>20685408.48993</v>
      </c>
      <c r="J17" s="76">
        <v>0.40292860426626653</v>
      </c>
    </row>
    <row r="18" spans="1:10">
      <c r="A18" s="99" t="s">
        <v>135</v>
      </c>
      <c r="B18" s="72">
        <v>3799.8295499999963</v>
      </c>
      <c r="C18" s="238"/>
      <c r="D18" s="99" t="s">
        <v>23</v>
      </c>
      <c r="E18" s="72">
        <v>166903.68999999959</v>
      </c>
      <c r="G18" t="s">
        <v>134</v>
      </c>
      <c r="H18" s="73">
        <f t="shared" si="0"/>
        <v>170703.51954999959</v>
      </c>
      <c r="J18" s="76">
        <v>2.5687402820378036E-3</v>
      </c>
    </row>
    <row r="19" spans="1:10">
      <c r="A19" s="99" t="s">
        <v>136</v>
      </c>
      <c r="B19" s="72">
        <v>19137.380069999985</v>
      </c>
      <c r="C19" s="77"/>
      <c r="D19" s="99" t="s">
        <v>27</v>
      </c>
      <c r="E19" s="72">
        <v>1057.0999999999947</v>
      </c>
      <c r="G19" t="s">
        <v>136</v>
      </c>
      <c r="H19" s="73">
        <f t="shared" si="0"/>
        <v>20194.48006999998</v>
      </c>
      <c r="J19" s="76">
        <v>8.0315538724719341E-5</v>
      </c>
    </row>
    <row r="20" spans="1:10">
      <c r="A20" s="99" t="s">
        <v>137</v>
      </c>
      <c r="B20" s="72">
        <v>49035.51014999998</v>
      </c>
      <c r="C20" s="77"/>
      <c r="D20" s="99" t="s">
        <v>30</v>
      </c>
      <c r="E20" s="72">
        <v>22156.280000000075</v>
      </c>
      <c r="G20" t="s">
        <v>137</v>
      </c>
      <c r="H20" s="73">
        <f t="shared" si="0"/>
        <v>71191.790150000059</v>
      </c>
      <c r="J20" s="76">
        <v>2.8313712256293949E-4</v>
      </c>
    </row>
    <row r="21" spans="1:10">
      <c r="A21" s="99" t="s">
        <v>138</v>
      </c>
      <c r="B21" s="72">
        <v>14477.599990000044</v>
      </c>
      <c r="C21" s="77"/>
      <c r="D21" s="99" t="s">
        <v>31</v>
      </c>
      <c r="E21" s="72">
        <v>1742.5099999999868</v>
      </c>
      <c r="G21" t="s">
        <v>138</v>
      </c>
      <c r="H21" s="73">
        <f t="shared" si="0"/>
        <v>16220.109990000032</v>
      </c>
      <c r="J21" s="76">
        <v>6.4509057302065804E-5</v>
      </c>
    </row>
    <row r="22" spans="1:10">
      <c r="A22" s="99" t="s">
        <v>139</v>
      </c>
      <c r="B22" s="72">
        <v>21937532.040120009</v>
      </c>
      <c r="C22" s="77"/>
      <c r="D22" s="99" t="s">
        <v>32</v>
      </c>
      <c r="E22" s="72">
        <v>5921212.1800000118</v>
      </c>
      <c r="G22" t="s">
        <v>139</v>
      </c>
      <c r="H22" s="73">
        <f t="shared" si="0"/>
        <v>27858744.22012002</v>
      </c>
      <c r="J22" s="76">
        <v>0.11081222333379015</v>
      </c>
    </row>
    <row r="23" spans="1:10">
      <c r="A23" s="99" t="s">
        <v>140</v>
      </c>
      <c r="B23" s="72">
        <v>25881.699989999986</v>
      </c>
      <c r="C23" s="77"/>
      <c r="D23" s="99" t="s">
        <v>36</v>
      </c>
      <c r="E23" s="72">
        <v>7674.1800000000285</v>
      </c>
      <c r="G23" t="s">
        <v>140</v>
      </c>
      <c r="H23" s="73">
        <f t="shared" si="0"/>
        <v>33555.879990000016</v>
      </c>
      <c r="J23" s="76">
        <v>1.3345521000971647E-4</v>
      </c>
    </row>
    <row r="24" spans="1:10">
      <c r="A24" s="99" t="s">
        <v>141</v>
      </c>
      <c r="B24" s="72">
        <v>23430.810120000006</v>
      </c>
      <c r="C24" s="77"/>
      <c r="D24" s="99" t="s">
        <v>37</v>
      </c>
      <c r="E24" s="72">
        <v>6559.420000000061</v>
      </c>
      <c r="G24" t="s">
        <v>141</v>
      </c>
      <c r="H24" s="73">
        <f t="shared" si="0"/>
        <v>29990.230120000066</v>
      </c>
      <c r="J24" s="76">
        <v>1.1927425119225227E-4</v>
      </c>
    </row>
    <row r="25" spans="1:10" ht="15" thickBot="1">
      <c r="A25" s="99" t="s">
        <v>49</v>
      </c>
      <c r="B25" s="72">
        <v>199913214.83956009</v>
      </c>
      <c r="C25" s="77"/>
      <c r="D25" s="225" t="s">
        <v>49</v>
      </c>
      <c r="E25" s="235">
        <f>SUM(E10:E24)</f>
        <v>51526050.719999999</v>
      </c>
      <c r="G25" s="120" t="s">
        <v>49</v>
      </c>
      <c r="H25" s="86">
        <f>SUM(H10:H24)</f>
        <v>251439265.55956009</v>
      </c>
      <c r="J25" s="184">
        <v>0.99999999999999989</v>
      </c>
    </row>
    <row r="26" spans="1:10" ht="15" thickTop="1"/>
  </sheetData>
  <mergeCells count="4">
    <mergeCell ref="A1:N1"/>
    <mergeCell ref="D3:E3"/>
    <mergeCell ref="A3:B3"/>
    <mergeCell ref="G3:H3"/>
  </mergeCells>
  <pageMargins left="0.7" right="0.7" top="0.75" bottom="0.75" header="0.3" footer="0.3"/>
  <pageSetup scale="45" orientation="landscape" r:id="rId1"/>
  <headerFooter>
    <oddHeader>&amp;RKY PSC Case No. 2016-00162,
Attachment G to Staff Post Hearing Supp. DR 2</oddHead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I23"/>
  <sheetViews>
    <sheetView workbookViewId="0">
      <selection sqref="A1:I1"/>
    </sheetView>
  </sheetViews>
  <sheetFormatPr defaultRowHeight="14.4"/>
  <cols>
    <col min="1" max="2" width="15.44140625" style="217" customWidth="1"/>
    <col min="3" max="3" width="16.88671875" style="217" customWidth="1"/>
    <col min="4" max="4" width="9.109375" style="217"/>
    <col min="5" max="5" width="9.109375" style="217" customWidth="1"/>
    <col min="6" max="6" width="15.33203125" style="217" bestFit="1" customWidth="1"/>
    <col min="7" max="7" width="11.44140625" style="217" bestFit="1" customWidth="1"/>
    <col min="8" max="8" width="15.5546875" style="217" customWidth="1"/>
    <col min="9" max="9" width="8.88671875" style="217"/>
  </cols>
  <sheetData>
    <row r="1" spans="1:9" ht="19.2">
      <c r="A1" s="257" t="s">
        <v>149</v>
      </c>
      <c r="B1" s="257"/>
      <c r="C1" s="257"/>
      <c r="D1" s="257"/>
      <c r="E1" s="257"/>
      <c r="F1" s="257"/>
      <c r="G1" s="257"/>
      <c r="H1" s="257"/>
      <c r="I1" s="257"/>
    </row>
    <row r="3" spans="1:9">
      <c r="A3" s="246" t="s">
        <v>151</v>
      </c>
      <c r="B3" s="246"/>
      <c r="C3" s="246"/>
      <c r="D3" s="124"/>
      <c r="E3" s="246" t="s">
        <v>155</v>
      </c>
      <c r="F3" s="246"/>
      <c r="G3" s="246"/>
    </row>
    <row r="4" spans="1:9">
      <c r="A4" s="125"/>
      <c r="B4" s="125"/>
      <c r="C4" s="125"/>
      <c r="E4" s="125"/>
      <c r="F4" s="125"/>
      <c r="G4" s="125"/>
    </row>
    <row r="5" spans="1:9">
      <c r="A5" s="124" t="s">
        <v>44</v>
      </c>
      <c r="B5" s="124" t="s">
        <v>63</v>
      </c>
      <c r="C5" s="126" t="s">
        <v>4</v>
      </c>
      <c r="D5" s="127"/>
      <c r="E5" s="124" t="s">
        <v>44</v>
      </c>
      <c r="F5" s="124" t="s">
        <v>63</v>
      </c>
      <c r="G5" s="126" t="s">
        <v>4</v>
      </c>
      <c r="H5" s="128"/>
      <c r="I5" s="126" t="s">
        <v>7</v>
      </c>
    </row>
    <row r="6" spans="1:9">
      <c r="A6" s="186" t="s">
        <v>120</v>
      </c>
      <c r="B6" s="195">
        <v>0</v>
      </c>
      <c r="C6" s="218">
        <v>0</v>
      </c>
      <c r="D6" s="128"/>
      <c r="E6" s="186" t="s">
        <v>125</v>
      </c>
      <c r="F6" s="222">
        <v>0</v>
      </c>
      <c r="G6" s="218">
        <v>0</v>
      </c>
      <c r="H6" s="131"/>
      <c r="I6" s="219">
        <f t="shared" ref="I6:I22" si="0">G6-C6</f>
        <v>0</v>
      </c>
    </row>
    <row r="7" spans="1:9">
      <c r="A7" s="122" t="s">
        <v>11</v>
      </c>
      <c r="B7" s="195">
        <v>29705.740000000093</v>
      </c>
      <c r="C7" s="130">
        <v>2.9999999999999997E-4</v>
      </c>
      <c r="D7" s="128"/>
      <c r="E7" s="185" t="s">
        <v>126</v>
      </c>
      <c r="F7" s="222">
        <v>31096.650000000009</v>
      </c>
      <c r="G7" s="130">
        <v>1.9999999999999998E-4</v>
      </c>
      <c r="H7" s="131"/>
      <c r="I7" s="219">
        <f t="shared" si="0"/>
        <v>-9.9999999999999991E-5</v>
      </c>
    </row>
    <row r="8" spans="1:9">
      <c r="A8" s="122" t="s">
        <v>13</v>
      </c>
      <c r="B8" s="195">
        <v>3249130.129960001</v>
      </c>
      <c r="C8" s="130">
        <v>3.2500000000000001E-2</v>
      </c>
      <c r="D8" s="128"/>
      <c r="E8" s="185" t="s">
        <v>127</v>
      </c>
      <c r="F8" s="222">
        <v>3088141.9099600008</v>
      </c>
      <c r="G8" s="130">
        <v>3.1099999999999999E-2</v>
      </c>
      <c r="H8" s="123"/>
      <c r="I8" s="219">
        <f t="shared" si="0"/>
        <v>-1.4000000000000019E-3</v>
      </c>
    </row>
    <row r="9" spans="1:9">
      <c r="A9" s="122" t="s">
        <v>14</v>
      </c>
      <c r="B9" s="195">
        <v>24289526.799959991</v>
      </c>
      <c r="C9" s="130">
        <v>0.2429</v>
      </c>
      <c r="D9" s="128"/>
      <c r="E9" s="185" t="s">
        <v>128</v>
      </c>
      <c r="F9" s="222">
        <v>23525612.759959996</v>
      </c>
      <c r="G9" s="130">
        <v>0.23669999999999999</v>
      </c>
      <c r="H9" s="123"/>
      <c r="I9" s="219">
        <f t="shared" si="0"/>
        <v>-6.2000000000000111E-3</v>
      </c>
    </row>
    <row r="10" spans="1:9">
      <c r="A10" s="122" t="s">
        <v>15</v>
      </c>
      <c r="B10" s="195">
        <v>1213735.7699999996</v>
      </c>
      <c r="C10" s="130">
        <v>1.21E-2</v>
      </c>
      <c r="D10" s="128"/>
      <c r="E10" s="185" t="s">
        <v>129</v>
      </c>
      <c r="F10" s="222">
        <v>1097214.1399999997</v>
      </c>
      <c r="G10" s="130">
        <v>1.0999999999999999E-2</v>
      </c>
      <c r="H10" s="123"/>
      <c r="I10" s="219">
        <f t="shared" si="0"/>
        <v>-1.1000000000000003E-3</v>
      </c>
    </row>
    <row r="11" spans="1:9">
      <c r="A11" s="122" t="s">
        <v>16</v>
      </c>
      <c r="B11" s="195">
        <v>11863093.940000009</v>
      </c>
      <c r="C11" s="130">
        <v>0.1186</v>
      </c>
      <c r="D11" s="128"/>
      <c r="E11" s="185" t="s">
        <v>130</v>
      </c>
      <c r="F11" s="222">
        <v>11538869.33</v>
      </c>
      <c r="G11" s="130">
        <v>0.11609999999999999</v>
      </c>
      <c r="H11" s="123"/>
      <c r="I11" s="219">
        <f t="shared" si="0"/>
        <v>-2.5000000000000022E-3</v>
      </c>
    </row>
    <row r="12" spans="1:9">
      <c r="A12" s="122" t="s">
        <v>17</v>
      </c>
      <c r="B12" s="195">
        <v>7289944.6099300003</v>
      </c>
      <c r="C12" s="130">
        <v>7.2900000000000006E-2</v>
      </c>
      <c r="D12" s="128"/>
      <c r="E12" s="185" t="s">
        <v>131</v>
      </c>
      <c r="F12" s="222">
        <v>7014632.869930001</v>
      </c>
      <c r="G12" s="130">
        <v>7.0599999999999996E-2</v>
      </c>
      <c r="H12" s="123"/>
      <c r="I12" s="219">
        <f t="shared" si="0"/>
        <v>-2.3000000000000104E-3</v>
      </c>
    </row>
    <row r="13" spans="1:9">
      <c r="A13" s="122" t="s">
        <v>21</v>
      </c>
      <c r="B13" s="195">
        <v>917284.72999999882</v>
      </c>
      <c r="C13" s="138">
        <v>9.1000000000000004E-3</v>
      </c>
      <c r="D13" s="135"/>
      <c r="E13" s="187" t="s">
        <v>132</v>
      </c>
      <c r="F13" s="222">
        <v>1034962.3300000002</v>
      </c>
      <c r="G13" s="138">
        <v>1.0499999999999999E-2</v>
      </c>
      <c r="H13" s="123"/>
      <c r="I13" s="219">
        <f t="shared" si="0"/>
        <v>1.3999999999999985E-3</v>
      </c>
    </row>
    <row r="14" spans="1:9">
      <c r="A14" s="134" t="s">
        <v>22</v>
      </c>
      <c r="B14" s="195">
        <v>40157720.019999936</v>
      </c>
      <c r="C14" s="130">
        <v>0.40150000000000002</v>
      </c>
      <c r="D14" s="135"/>
      <c r="E14" s="185" t="s">
        <v>133</v>
      </c>
      <c r="F14" s="222">
        <f>41216022.29+'[4]Summary (by month)'!$O$16+'[4]Summary (by month)'!$O$17</f>
        <v>41404213.109999999</v>
      </c>
      <c r="G14" s="130">
        <v>0.41660000000000003</v>
      </c>
      <c r="H14" s="136"/>
      <c r="I14" s="219">
        <f t="shared" si="0"/>
        <v>1.5100000000000002E-2</v>
      </c>
    </row>
    <row r="15" spans="1:9">
      <c r="A15" s="134" t="s">
        <v>23</v>
      </c>
      <c r="B15" s="195">
        <v>50434.309999999925</v>
      </c>
      <c r="C15" s="138">
        <v>5.0000000000000001E-4</v>
      </c>
      <c r="D15" s="135"/>
      <c r="E15" s="187" t="s">
        <v>134</v>
      </c>
      <c r="F15" s="222">
        <v>78514.74000000002</v>
      </c>
      <c r="G15" s="138">
        <v>8.0000000000000004E-4</v>
      </c>
      <c r="H15" s="136"/>
      <c r="I15" s="219">
        <f t="shared" si="0"/>
        <v>3.0000000000000003E-4</v>
      </c>
    </row>
    <row r="16" spans="1:9">
      <c r="A16" s="134" t="s">
        <v>24</v>
      </c>
      <c r="B16" s="195">
        <v>-170.28</v>
      </c>
      <c r="C16" s="220">
        <v>0</v>
      </c>
      <c r="D16" s="135"/>
      <c r="E16" s="187" t="s">
        <v>135</v>
      </c>
      <c r="F16" s="222">
        <v>0</v>
      </c>
      <c r="G16" s="220">
        <v>0</v>
      </c>
      <c r="H16" s="136"/>
      <c r="I16" s="219">
        <f t="shared" si="0"/>
        <v>0</v>
      </c>
    </row>
    <row r="17" spans="1:9">
      <c r="A17" s="134" t="s">
        <v>27</v>
      </c>
      <c r="B17" s="195">
        <v>2375.0699999999933</v>
      </c>
      <c r="C17" s="138">
        <v>0</v>
      </c>
      <c r="D17" s="135"/>
      <c r="E17" s="187" t="s">
        <v>136</v>
      </c>
      <c r="F17" s="222">
        <v>2275.3100000000009</v>
      </c>
      <c r="G17" s="138">
        <v>1E-4</v>
      </c>
      <c r="H17" s="136"/>
      <c r="I17" s="219">
        <f t="shared" si="0"/>
        <v>1E-4</v>
      </c>
    </row>
    <row r="18" spans="1:9">
      <c r="A18" s="134" t="s">
        <v>30</v>
      </c>
      <c r="B18" s="195">
        <v>7135.7900000000027</v>
      </c>
      <c r="C18" s="138">
        <v>1E-4</v>
      </c>
      <c r="D18" s="135"/>
      <c r="E18" s="187" t="s">
        <v>137</v>
      </c>
      <c r="F18" s="222">
        <v>5799.2499999999991</v>
      </c>
      <c r="G18" s="138">
        <v>1E-4</v>
      </c>
      <c r="H18" s="136"/>
      <c r="I18" s="219">
        <f t="shared" si="0"/>
        <v>0</v>
      </c>
    </row>
    <row r="19" spans="1:9">
      <c r="A19" s="134" t="s">
        <v>31</v>
      </c>
      <c r="B19" s="195">
        <v>1115.1099999999956</v>
      </c>
      <c r="C19" s="220">
        <v>0</v>
      </c>
      <c r="D19" s="135"/>
      <c r="E19" s="187" t="s">
        <v>138</v>
      </c>
      <c r="F19" s="222">
        <v>10854.79</v>
      </c>
      <c r="G19" s="220">
        <v>0</v>
      </c>
      <c r="H19" s="140"/>
      <c r="I19" s="219">
        <f t="shared" si="0"/>
        <v>0</v>
      </c>
    </row>
    <row r="20" spans="1:9">
      <c r="A20" s="134" t="s">
        <v>32</v>
      </c>
      <c r="B20" s="195">
        <v>10946881.690029997</v>
      </c>
      <c r="C20" s="138">
        <v>0.1095</v>
      </c>
      <c r="D20" s="135"/>
      <c r="E20" s="187" t="s">
        <v>139</v>
      </c>
      <c r="F20" s="222">
        <v>10552111.470029995</v>
      </c>
      <c r="G20" s="138">
        <v>0.1062</v>
      </c>
      <c r="H20" s="140"/>
      <c r="I20" s="219">
        <f t="shared" si="0"/>
        <v>-3.2999999999999974E-3</v>
      </c>
    </row>
    <row r="21" spans="1:9">
      <c r="A21" s="122" t="s">
        <v>36</v>
      </c>
      <c r="B21" s="195">
        <v>-7401.7200000000066</v>
      </c>
      <c r="C21" s="220">
        <v>0</v>
      </c>
      <c r="D21" s="128"/>
      <c r="E21" s="187" t="s">
        <v>140</v>
      </c>
      <c r="F21" s="222">
        <v>1814.3100000000004</v>
      </c>
      <c r="G21" s="220">
        <v>0</v>
      </c>
      <c r="H21" s="131"/>
      <c r="I21" s="219">
        <f t="shared" si="0"/>
        <v>0</v>
      </c>
    </row>
    <row r="22" spans="1:9">
      <c r="A22" s="122" t="s">
        <v>37</v>
      </c>
      <c r="B22" s="195">
        <v>1844.1499999999944</v>
      </c>
      <c r="C22" s="220">
        <v>0</v>
      </c>
      <c r="D22" s="128"/>
      <c r="E22" s="187" t="s">
        <v>141</v>
      </c>
      <c r="F22" s="222">
        <v>1443.99</v>
      </c>
      <c r="G22" s="220">
        <v>0</v>
      </c>
      <c r="H22" s="131"/>
      <c r="I22" s="219">
        <f t="shared" si="0"/>
        <v>0</v>
      </c>
    </row>
    <row r="23" spans="1:9" ht="15" thickBot="1">
      <c r="A23" s="142" t="s">
        <v>6</v>
      </c>
      <c r="B23" s="174">
        <f>SUM(B6:B22)</f>
        <v>100012355.85987994</v>
      </c>
      <c r="C23" s="221">
        <f>SUM(C6:C22)</f>
        <v>1</v>
      </c>
      <c r="E23" s="188" t="s">
        <v>6</v>
      </c>
      <c r="F23" s="196">
        <f>SUM(F6:F22)</f>
        <v>99387556.959879994</v>
      </c>
      <c r="G23" s="144">
        <v>1</v>
      </c>
      <c r="I23" s="174">
        <f>SUM(I6:I22)</f>
        <v>-2.211772431870429E-17</v>
      </c>
    </row>
  </sheetData>
  <mergeCells count="3">
    <mergeCell ref="A1:I1"/>
    <mergeCell ref="A3:C3"/>
    <mergeCell ref="E3:G3"/>
  </mergeCells>
  <conditionalFormatting sqref="I6:I22">
    <cfRule type="cellIs" dxfId="1" priority="1" operator="notBetween">
      <formula>-0.0099</formula>
      <formula>0.0099</formula>
    </cfRule>
  </conditionalFormatting>
  <pageMargins left="0.7" right="0.7" top="0.75" bottom="0.75" header="0.3" footer="0.3"/>
  <pageSetup orientation="landscape" r:id="rId1"/>
  <headerFooter>
    <oddHeader>&amp;RKY PSC Case No. 2016-00162,
Attachment G to Staff Post Hearing Supp. DR 2</oddHead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2:L48"/>
  <sheetViews>
    <sheetView workbookViewId="0"/>
  </sheetViews>
  <sheetFormatPr defaultRowHeight="14.4"/>
  <cols>
    <col min="1" max="1" width="14.109375" bestFit="1" customWidth="1"/>
    <col min="2" max="2" width="23" bestFit="1" customWidth="1"/>
    <col min="3" max="4" width="16.77734375" bestFit="1" customWidth="1"/>
    <col min="5" max="5" width="2.33203125" customWidth="1"/>
    <col min="6" max="6" width="17.33203125" bestFit="1" customWidth="1"/>
    <col min="7" max="7" width="4.44140625" customWidth="1"/>
    <col min="11" max="11" width="14.33203125" bestFit="1" customWidth="1"/>
    <col min="12" max="12" width="15" bestFit="1" customWidth="1"/>
  </cols>
  <sheetData>
    <row r="2" spans="1:12">
      <c r="B2" s="223" t="s">
        <v>156</v>
      </c>
      <c r="C2" s="223" t="s">
        <v>157</v>
      </c>
      <c r="D2" s="223" t="s">
        <v>158</v>
      </c>
      <c r="E2" s="223"/>
      <c r="F2" s="223" t="s">
        <v>159</v>
      </c>
      <c r="G2" s="223"/>
      <c r="H2" s="223" t="s">
        <v>89</v>
      </c>
    </row>
    <row r="3" spans="1:12">
      <c r="A3" s="99" t="s">
        <v>11</v>
      </c>
      <c r="B3" s="73">
        <v>4223.8100000000159</v>
      </c>
      <c r="C3" s="73">
        <v>15685.350000000011</v>
      </c>
      <c r="D3" s="73">
        <v>11187.490000000014</v>
      </c>
      <c r="F3" s="73">
        <f>SUM(B3:D3)</f>
        <v>31096.650000000038</v>
      </c>
      <c r="G3" s="73"/>
      <c r="H3" s="76">
        <f>ROUND((F3/$F$20),4)-0.0001</f>
        <v>1.9999999999999998E-4</v>
      </c>
      <c r="I3" s="76"/>
      <c r="L3" s="73"/>
    </row>
    <row r="4" spans="1:12">
      <c r="A4" s="99" t="s">
        <v>13</v>
      </c>
      <c r="B4" s="73">
        <v>656297.55999999994</v>
      </c>
      <c r="C4" s="73">
        <v>1180491.4299600006</v>
      </c>
      <c r="D4" s="72">
        <v>1251352.9200000025</v>
      </c>
      <c r="E4" s="73"/>
      <c r="F4" s="73">
        <f t="shared" ref="F4:F19" si="0">SUM(B4:D4)</f>
        <v>3088141.9099600026</v>
      </c>
      <c r="G4" s="73"/>
      <c r="H4" s="76">
        <f t="shared" ref="H4:H8" si="1">ROUND((F4/$F$20),4)</f>
        <v>3.1099999999999999E-2</v>
      </c>
      <c r="I4" s="76"/>
      <c r="L4" s="73"/>
    </row>
    <row r="5" spans="1:12">
      <c r="A5" s="99" t="s">
        <v>14</v>
      </c>
      <c r="B5" s="73">
        <v>5428232.2699999902</v>
      </c>
      <c r="C5" s="73">
        <v>7449757.6199599924</v>
      </c>
      <c r="D5" s="72">
        <v>10647622.870000018</v>
      </c>
      <c r="E5" s="73"/>
      <c r="F5" s="73">
        <f t="shared" si="0"/>
        <v>23525612.759960003</v>
      </c>
      <c r="G5" s="73"/>
      <c r="H5" s="76">
        <f t="shared" si="1"/>
        <v>0.23669999999999999</v>
      </c>
      <c r="I5" s="76"/>
      <c r="L5" s="73"/>
    </row>
    <row r="6" spans="1:12">
      <c r="A6" s="99" t="s">
        <v>15</v>
      </c>
      <c r="B6" s="73">
        <v>240427.28999999995</v>
      </c>
      <c r="C6" s="73">
        <v>391723.06999999913</v>
      </c>
      <c r="D6" s="72">
        <v>465063.78000000125</v>
      </c>
      <c r="E6" s="73"/>
      <c r="F6" s="73">
        <f t="shared" si="0"/>
        <v>1097214.1400000004</v>
      </c>
      <c r="G6" s="73"/>
      <c r="H6" s="76">
        <f t="shared" si="1"/>
        <v>1.0999999999999999E-2</v>
      </c>
      <c r="I6" s="76"/>
      <c r="L6" s="73"/>
    </row>
    <row r="7" spans="1:12">
      <c r="A7" s="99" t="s">
        <v>16</v>
      </c>
      <c r="B7" s="73">
        <v>2572369.3200000003</v>
      </c>
      <c r="C7" s="73">
        <v>3975921.3100000047</v>
      </c>
      <c r="D7" s="72">
        <v>4990578.7000000244</v>
      </c>
      <c r="E7" s="73"/>
      <c r="F7" s="73">
        <f t="shared" si="0"/>
        <v>11538869.330000028</v>
      </c>
      <c r="G7" s="73"/>
      <c r="H7" s="76">
        <f t="shared" si="1"/>
        <v>0.11609999999999999</v>
      </c>
      <c r="I7" s="76"/>
      <c r="L7" s="73"/>
    </row>
    <row r="8" spans="1:12">
      <c r="A8" s="99" t="s">
        <v>17</v>
      </c>
      <c r="B8" s="73">
        <v>1573314.3300000005</v>
      </c>
      <c r="C8" s="73">
        <v>2676963.3799300026</v>
      </c>
      <c r="D8" s="72">
        <v>2764355.1600000071</v>
      </c>
      <c r="E8" s="73"/>
      <c r="F8" s="73">
        <f t="shared" si="0"/>
        <v>7014632.8699300103</v>
      </c>
      <c r="G8" s="73"/>
      <c r="H8" s="76">
        <f t="shared" si="1"/>
        <v>7.0599999999999996E-2</v>
      </c>
      <c r="I8" s="76"/>
      <c r="L8" s="73"/>
    </row>
    <row r="9" spans="1:12">
      <c r="A9" s="99" t="s">
        <v>21</v>
      </c>
      <c r="B9" s="73">
        <v>232557.93999999989</v>
      </c>
      <c r="C9" s="73">
        <v>401202.1399999985</v>
      </c>
      <c r="D9" s="72">
        <v>401202.24999999994</v>
      </c>
      <c r="E9" s="73"/>
      <c r="F9" s="73">
        <f t="shared" si="0"/>
        <v>1034962.3299999984</v>
      </c>
      <c r="G9" s="73"/>
      <c r="H9" s="79">
        <f>ROUND((F9/$F$20),4)+0.0001</f>
        <v>1.0499999999999999E-2</v>
      </c>
      <c r="I9" s="76"/>
      <c r="L9" s="73"/>
    </row>
    <row r="10" spans="1:12">
      <c r="A10" s="99" t="s">
        <v>22</v>
      </c>
      <c r="B10" s="73">
        <v>8595730.8199999873</v>
      </c>
      <c r="C10" s="73">
        <v>13801243.579999968</v>
      </c>
      <c r="D10" s="72">
        <v>18819047.889999971</v>
      </c>
      <c r="E10" s="73"/>
      <c r="F10" s="73">
        <f t="shared" si="0"/>
        <v>41216022.289999925</v>
      </c>
      <c r="G10" s="73"/>
      <c r="H10" s="76">
        <f t="shared" ref="H10:H19" si="2">ROUND((F10/$F$20),4)</f>
        <v>0.41470000000000001</v>
      </c>
      <c r="I10" s="76"/>
      <c r="L10" s="73"/>
    </row>
    <row r="11" spans="1:12">
      <c r="A11" s="99" t="s">
        <v>23</v>
      </c>
      <c r="B11" s="73">
        <v>11338.370000000004</v>
      </c>
      <c r="C11" s="73">
        <v>13360.810000000021</v>
      </c>
      <c r="D11" s="72">
        <v>53815.560000000187</v>
      </c>
      <c r="E11" s="73"/>
      <c r="F11" s="73">
        <f t="shared" si="0"/>
        <v>78514.740000000209</v>
      </c>
      <c r="G11" s="73"/>
      <c r="H11" s="76">
        <f t="shared" si="2"/>
        <v>8.0000000000000004E-4</v>
      </c>
      <c r="I11" s="76"/>
      <c r="L11" s="73"/>
    </row>
    <row r="12" spans="1:12">
      <c r="A12" s="99" t="s">
        <v>27</v>
      </c>
      <c r="B12" s="73">
        <v>381.2499999999996</v>
      </c>
      <c r="C12" s="73">
        <v>886.27999999999975</v>
      </c>
      <c r="D12" s="72">
        <v>1007.7799999999989</v>
      </c>
      <c r="E12" s="73"/>
      <c r="F12" s="73">
        <f t="shared" si="0"/>
        <v>2275.3099999999981</v>
      </c>
      <c r="G12" s="73"/>
      <c r="H12" s="76">
        <f t="shared" si="2"/>
        <v>0</v>
      </c>
      <c r="I12" s="76"/>
      <c r="L12" s="73"/>
    </row>
    <row r="13" spans="1:12">
      <c r="A13" s="99" t="s">
        <v>30</v>
      </c>
      <c r="B13" s="73">
        <v>1570.429999999998</v>
      </c>
      <c r="C13" s="73">
        <v>1898.7499999999957</v>
      </c>
      <c r="D13" s="72">
        <v>2330.0699999999983</v>
      </c>
      <c r="E13" s="73"/>
      <c r="F13" s="73">
        <f t="shared" si="0"/>
        <v>5799.2499999999927</v>
      </c>
      <c r="G13" s="73"/>
      <c r="H13" s="76">
        <f t="shared" si="2"/>
        <v>1E-4</v>
      </c>
      <c r="I13" s="76"/>
      <c r="L13" s="73"/>
    </row>
    <row r="14" spans="1:12">
      <c r="A14" s="99" t="s">
        <v>31</v>
      </c>
      <c r="B14" s="73">
        <v>208.73000000000002</v>
      </c>
      <c r="C14" s="73">
        <v>267.0299999999998</v>
      </c>
      <c r="D14" s="72">
        <v>10379.030000000004</v>
      </c>
      <c r="E14" s="73"/>
      <c r="F14" s="73">
        <f t="shared" si="0"/>
        <v>10854.790000000005</v>
      </c>
      <c r="G14" s="73"/>
      <c r="H14" s="76">
        <f t="shared" si="2"/>
        <v>1E-4</v>
      </c>
      <c r="I14" s="76"/>
      <c r="L14" s="73"/>
    </row>
    <row r="15" spans="1:12">
      <c r="A15" s="99" t="s">
        <v>32</v>
      </c>
      <c r="B15" s="73">
        <v>2537099.0100000021</v>
      </c>
      <c r="C15" s="73">
        <v>3345040.1000300026</v>
      </c>
      <c r="D15" s="72">
        <v>4669972.3599999808</v>
      </c>
      <c r="E15" s="73"/>
      <c r="F15" s="73">
        <f t="shared" si="0"/>
        <v>10552111.470029986</v>
      </c>
      <c r="G15" s="73"/>
      <c r="H15" s="76">
        <f t="shared" si="2"/>
        <v>0.1062</v>
      </c>
      <c r="I15" s="76"/>
      <c r="L15" s="73"/>
    </row>
    <row r="16" spans="1:12">
      <c r="A16" s="99">
        <v>89</v>
      </c>
      <c r="B16" s="73">
        <v>149024.48999999985</v>
      </c>
      <c r="C16" s="73">
        <v>0</v>
      </c>
      <c r="D16" s="72">
        <v>0</v>
      </c>
      <c r="E16" s="73"/>
      <c r="F16" s="73">
        <f t="shared" si="0"/>
        <v>149024.48999999985</v>
      </c>
      <c r="G16" s="73"/>
      <c r="H16" s="76">
        <f t="shared" si="2"/>
        <v>1.5E-3</v>
      </c>
      <c r="I16" s="76"/>
      <c r="L16" s="73"/>
    </row>
    <row r="17" spans="1:12">
      <c r="A17" s="99">
        <v>90</v>
      </c>
      <c r="B17" s="73">
        <v>39166.329999999987</v>
      </c>
      <c r="C17" s="73">
        <v>0</v>
      </c>
      <c r="D17" s="72">
        <v>0</v>
      </c>
      <c r="E17" s="73"/>
      <c r="F17" s="73">
        <f t="shared" si="0"/>
        <v>39166.329999999987</v>
      </c>
      <c r="G17" s="73"/>
      <c r="H17" s="76">
        <f t="shared" si="2"/>
        <v>4.0000000000000002E-4</v>
      </c>
      <c r="I17" s="76"/>
      <c r="L17" s="73"/>
    </row>
    <row r="18" spans="1:12">
      <c r="A18" s="99" t="s">
        <v>36</v>
      </c>
      <c r="B18" s="73">
        <v>499.50999999999988</v>
      </c>
      <c r="C18" s="73">
        <v>555.22999999999877</v>
      </c>
      <c r="D18" s="72">
        <v>759.56999999999994</v>
      </c>
      <c r="E18" s="73"/>
      <c r="F18" s="73">
        <f t="shared" si="0"/>
        <v>1814.3099999999986</v>
      </c>
      <c r="G18" s="73"/>
      <c r="H18" s="76">
        <f t="shared" si="2"/>
        <v>0</v>
      </c>
      <c r="I18" s="76"/>
      <c r="L18" s="73"/>
    </row>
    <row r="19" spans="1:12">
      <c r="A19" s="99" t="s">
        <v>37</v>
      </c>
      <c r="B19" s="73">
        <v>307.02</v>
      </c>
      <c r="C19" s="73">
        <v>426.64999999999969</v>
      </c>
      <c r="D19" s="72">
        <v>710.31999999999914</v>
      </c>
      <c r="E19" s="73"/>
      <c r="F19" s="73">
        <f t="shared" si="0"/>
        <v>1443.9899999999989</v>
      </c>
      <c r="G19" s="73"/>
      <c r="H19" s="224">
        <f t="shared" si="2"/>
        <v>0</v>
      </c>
      <c r="I19" s="76"/>
    </row>
    <row r="20" spans="1:12">
      <c r="A20" s="225" t="s">
        <v>6</v>
      </c>
      <c r="B20" s="226">
        <f>SUM(B3:B19)</f>
        <v>22042748.479999978</v>
      </c>
      <c r="C20" s="226">
        <f>SUM(C3:C19)</f>
        <v>33255422.729879964</v>
      </c>
      <c r="D20" s="226">
        <f>SUM(D3:D19)</f>
        <v>44089385.750000015</v>
      </c>
      <c r="E20" s="227"/>
      <c r="F20" s="226">
        <f>SUM(F3:F19)</f>
        <v>99387556.95987995</v>
      </c>
      <c r="G20" s="228"/>
      <c r="H20" s="85">
        <f>SUM(H3:H19)</f>
        <v>0.99999999999999989</v>
      </c>
    </row>
    <row r="22" spans="1:12">
      <c r="H22" s="85">
        <f>SUM(H10+H16+H17)</f>
        <v>0.41660000000000003</v>
      </c>
      <c r="I22" t="s">
        <v>160</v>
      </c>
    </row>
    <row r="31" spans="1:12">
      <c r="A31" s="99"/>
      <c r="B31" s="73"/>
    </row>
    <row r="32" spans="1:12">
      <c r="A32" s="99"/>
      <c r="B32" s="73"/>
    </row>
    <row r="33" spans="1:2">
      <c r="A33" s="99"/>
      <c r="B33" s="73"/>
    </row>
    <row r="34" spans="1:2">
      <c r="A34" s="99"/>
      <c r="B34" s="73"/>
    </row>
    <row r="35" spans="1:2">
      <c r="A35" s="99"/>
      <c r="B35" s="73"/>
    </row>
    <row r="36" spans="1:2">
      <c r="A36" s="99"/>
      <c r="B36" s="73"/>
    </row>
    <row r="37" spans="1:2">
      <c r="A37" s="99"/>
      <c r="B37" s="73"/>
    </row>
    <row r="38" spans="1:2">
      <c r="A38" s="99"/>
      <c r="B38" s="73"/>
    </row>
    <row r="39" spans="1:2">
      <c r="A39" s="99"/>
      <c r="B39" s="73"/>
    </row>
    <row r="40" spans="1:2">
      <c r="A40" s="99"/>
      <c r="B40" s="73"/>
    </row>
    <row r="41" spans="1:2">
      <c r="A41" s="99"/>
      <c r="B41" s="73"/>
    </row>
    <row r="42" spans="1:2">
      <c r="A42" s="99"/>
      <c r="B42" s="73"/>
    </row>
    <row r="43" spans="1:2">
      <c r="A43" s="99"/>
      <c r="B43" s="73"/>
    </row>
    <row r="44" spans="1:2">
      <c r="A44" s="99"/>
      <c r="B44" s="73"/>
    </row>
    <row r="45" spans="1:2">
      <c r="A45" s="99"/>
      <c r="B45" s="73"/>
    </row>
    <row r="46" spans="1:2">
      <c r="A46" s="99"/>
      <c r="B46" s="73"/>
    </row>
    <row r="47" spans="1:2">
      <c r="A47" s="99"/>
      <c r="B47" s="73"/>
    </row>
    <row r="48" spans="1:2">
      <c r="A48" s="99"/>
      <c r="B48" s="73"/>
    </row>
  </sheetData>
  <pageMargins left="0.7" right="0.7" top="0.75" bottom="0.75" header="0.3" footer="0.3"/>
  <pageSetup orientation="landscape" r:id="rId1"/>
  <headerFooter>
    <oddHeader>&amp;RKY PSC Case No. 2016-00162,
Attachment G to Staff Post Hearing Supp. DR 2</odd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I23"/>
  <sheetViews>
    <sheetView workbookViewId="0">
      <selection sqref="A1:I1"/>
    </sheetView>
  </sheetViews>
  <sheetFormatPr defaultRowHeight="14.4"/>
  <cols>
    <col min="1" max="2" width="15.44140625" customWidth="1"/>
    <col min="3" max="3" width="16.88671875" customWidth="1"/>
    <col min="6" max="6" width="14.33203125" bestFit="1" customWidth="1"/>
    <col min="7" max="7" width="11.44140625" bestFit="1" customWidth="1"/>
    <col min="9" max="9" width="9.77734375" style="77" bestFit="1" customWidth="1"/>
  </cols>
  <sheetData>
    <row r="1" spans="1:9" ht="19.2">
      <c r="A1" s="257" t="s">
        <v>94</v>
      </c>
      <c r="B1" s="257"/>
      <c r="C1" s="257"/>
      <c r="D1" s="257"/>
      <c r="E1" s="257"/>
      <c r="F1" s="257"/>
      <c r="G1" s="257"/>
      <c r="H1" s="257"/>
      <c r="I1" s="257"/>
    </row>
    <row r="3" spans="1:9">
      <c r="A3" s="246" t="s">
        <v>151</v>
      </c>
      <c r="B3" s="246"/>
      <c r="C3" s="246"/>
      <c r="D3" s="124"/>
      <c r="E3" s="246" t="s">
        <v>155</v>
      </c>
      <c r="F3" s="246"/>
      <c r="G3" s="246"/>
    </row>
    <row r="4" spans="1:9">
      <c r="A4" s="125"/>
      <c r="B4" s="125"/>
      <c r="C4" s="125"/>
      <c r="E4" s="125"/>
      <c r="F4" s="125"/>
      <c r="G4" s="125"/>
    </row>
    <row r="5" spans="1:9">
      <c r="A5" s="124" t="s">
        <v>44</v>
      </c>
      <c r="B5" s="124" t="s">
        <v>63</v>
      </c>
      <c r="C5" s="126" t="s">
        <v>4</v>
      </c>
      <c r="D5" s="127"/>
      <c r="E5" s="124" t="s">
        <v>44</v>
      </c>
      <c r="F5" s="124" t="s">
        <v>63</v>
      </c>
      <c r="G5" s="126" t="s">
        <v>4</v>
      </c>
      <c r="H5" s="128"/>
      <c r="I5" s="154" t="s">
        <v>7</v>
      </c>
    </row>
    <row r="6" spans="1:9">
      <c r="A6" s="186" t="s">
        <v>120</v>
      </c>
      <c r="B6" s="222">
        <v>0</v>
      </c>
      <c r="C6" s="147">
        <v>0</v>
      </c>
      <c r="D6" s="128"/>
      <c r="E6" s="186" t="s">
        <v>125</v>
      </c>
      <c r="F6" s="222">
        <v>0</v>
      </c>
      <c r="G6" s="147">
        <v>0</v>
      </c>
      <c r="H6" s="131"/>
      <c r="I6" s="233">
        <f t="shared" ref="I6:I12" si="0">G6-C6</f>
        <v>0</v>
      </c>
    </row>
    <row r="7" spans="1:9">
      <c r="A7" s="122" t="s">
        <v>11</v>
      </c>
      <c r="B7" s="229">
        <v>9372.1500000000196</v>
      </c>
      <c r="C7" s="130">
        <v>4.0000000000000002E-4</v>
      </c>
      <c r="D7" s="128"/>
      <c r="E7" s="185" t="s">
        <v>126</v>
      </c>
      <c r="F7" s="222">
        <v>4279.5200000000004</v>
      </c>
      <c r="G7" s="130">
        <v>2.0000000000000001E-4</v>
      </c>
      <c r="H7" s="131"/>
      <c r="I7" s="215">
        <f t="shared" si="0"/>
        <v>-2.0000000000000001E-4</v>
      </c>
    </row>
    <row r="8" spans="1:9">
      <c r="A8" s="122" t="s">
        <v>13</v>
      </c>
      <c r="B8" s="229">
        <v>533309.23999999953</v>
      </c>
      <c r="C8" s="130">
        <v>2.2599999999999999E-2</v>
      </c>
      <c r="D8" s="128"/>
      <c r="E8" s="185" t="s">
        <v>127</v>
      </c>
      <c r="F8" s="222">
        <v>505071.76000000059</v>
      </c>
      <c r="G8" s="130">
        <v>2.3699999999999999E-2</v>
      </c>
      <c r="H8" s="123"/>
      <c r="I8" s="215">
        <f t="shared" si="0"/>
        <v>1.1000000000000003E-3</v>
      </c>
    </row>
    <row r="9" spans="1:9">
      <c r="A9" s="122" t="s">
        <v>14</v>
      </c>
      <c r="B9" s="229">
        <v>4385402.9999999981</v>
      </c>
      <c r="C9" s="130">
        <v>0.1857</v>
      </c>
      <c r="D9" s="128"/>
      <c r="E9" s="185" t="s">
        <v>128</v>
      </c>
      <c r="F9" s="222">
        <v>3786598.3099999991</v>
      </c>
      <c r="G9" s="130">
        <v>0.1779</v>
      </c>
      <c r="H9" s="123"/>
      <c r="I9" s="215">
        <f t="shared" si="0"/>
        <v>-7.8000000000000014E-3</v>
      </c>
    </row>
    <row r="10" spans="1:9">
      <c r="A10" s="122" t="s">
        <v>15</v>
      </c>
      <c r="B10" s="229">
        <v>493130.32999999914</v>
      </c>
      <c r="C10" s="130">
        <v>2.0899999999999998E-2</v>
      </c>
      <c r="D10" s="128"/>
      <c r="E10" s="185" t="s">
        <v>129</v>
      </c>
      <c r="F10" s="222">
        <v>416899.15999999968</v>
      </c>
      <c r="G10" s="130">
        <v>1.9599999999999999E-2</v>
      </c>
      <c r="H10" s="123"/>
      <c r="I10" s="215">
        <f t="shared" si="0"/>
        <v>-1.2999999999999991E-3</v>
      </c>
    </row>
    <row r="11" spans="1:9">
      <c r="A11" s="122" t="s">
        <v>16</v>
      </c>
      <c r="B11" s="229">
        <v>2383291.8600000017</v>
      </c>
      <c r="C11" s="130">
        <v>0.1009</v>
      </c>
      <c r="D11" s="128"/>
      <c r="E11" s="185" t="s">
        <v>130</v>
      </c>
      <c r="F11" s="222">
        <v>2218647.9900000007</v>
      </c>
      <c r="G11" s="130">
        <v>0.1042</v>
      </c>
      <c r="H11" s="123"/>
      <c r="I11" s="215">
        <f t="shared" si="0"/>
        <v>3.2999999999999974E-3</v>
      </c>
    </row>
    <row r="12" spans="1:9">
      <c r="A12" s="122" t="s">
        <v>17</v>
      </c>
      <c r="B12" s="229">
        <v>1858362.8900000008</v>
      </c>
      <c r="C12" s="130">
        <v>7.8700000000000006E-2</v>
      </c>
      <c r="D12" s="128"/>
      <c r="E12" s="185" t="s">
        <v>131</v>
      </c>
      <c r="F12" s="222">
        <v>1749778.23</v>
      </c>
      <c r="G12" s="130">
        <v>8.2199999999999995E-2</v>
      </c>
      <c r="H12" s="123"/>
      <c r="I12" s="215">
        <f t="shared" si="0"/>
        <v>3.4999999999999892E-3</v>
      </c>
    </row>
    <row r="13" spans="1:9">
      <c r="A13" s="122" t="s">
        <v>21</v>
      </c>
      <c r="B13" s="229">
        <v>2513410.3500000015</v>
      </c>
      <c r="C13" s="138">
        <v>0.10629999999999999</v>
      </c>
      <c r="D13" s="128"/>
      <c r="E13" s="185" t="s">
        <v>132</v>
      </c>
      <c r="F13" s="222">
        <v>1756735.7199999997</v>
      </c>
      <c r="G13" s="138">
        <v>8.270000000000001E-2</v>
      </c>
      <c r="H13" s="123"/>
      <c r="I13" s="215">
        <v>-2.3599999999999982E-2</v>
      </c>
    </row>
    <row r="14" spans="1:9">
      <c r="A14" s="134" t="s">
        <v>22</v>
      </c>
      <c r="B14" s="230">
        <v>8599202.1400000025</v>
      </c>
      <c r="C14" s="130">
        <v>0.36409999999999998</v>
      </c>
      <c r="D14" s="135"/>
      <c r="E14" s="185" t="s">
        <v>133</v>
      </c>
      <c r="F14" s="222">
        <v>8039666.3200000003</v>
      </c>
      <c r="G14" s="130">
        <v>0.37780000000000002</v>
      </c>
      <c r="H14" s="136"/>
      <c r="I14" s="215">
        <v>1.3700000000000045E-2</v>
      </c>
    </row>
    <row r="15" spans="1:9">
      <c r="A15" s="134" t="s">
        <v>23</v>
      </c>
      <c r="B15" s="230">
        <v>321738.14999999985</v>
      </c>
      <c r="C15" s="138">
        <v>1.3599999999999999E-2</v>
      </c>
      <c r="D15" s="135"/>
      <c r="E15" s="187" t="s">
        <v>134</v>
      </c>
      <c r="F15" s="222">
        <v>177463.30999999994</v>
      </c>
      <c r="G15" s="138">
        <v>8.3000000000000001E-3</v>
      </c>
      <c r="H15" s="136"/>
      <c r="I15" s="215">
        <f t="shared" ref="I15:I22" si="1">G15-C15</f>
        <v>-5.2999999999999992E-3</v>
      </c>
    </row>
    <row r="16" spans="1:9">
      <c r="A16" s="134" t="s">
        <v>24</v>
      </c>
      <c r="B16" s="230">
        <v>23.86</v>
      </c>
      <c r="C16" s="160">
        <v>0</v>
      </c>
      <c r="D16" s="135"/>
      <c r="E16" s="187" t="s">
        <v>135</v>
      </c>
      <c r="F16" s="222">
        <v>0</v>
      </c>
      <c r="G16" s="160">
        <v>0</v>
      </c>
      <c r="H16" s="136"/>
      <c r="I16" s="215">
        <f t="shared" si="1"/>
        <v>0</v>
      </c>
    </row>
    <row r="17" spans="1:9">
      <c r="A17" s="134" t="s">
        <v>27</v>
      </c>
      <c r="B17" s="230">
        <v>1316.559999999997</v>
      </c>
      <c r="C17" s="138">
        <v>1E-4</v>
      </c>
      <c r="D17" s="135"/>
      <c r="E17" s="187" t="s">
        <v>136</v>
      </c>
      <c r="F17" s="222">
        <v>473.23999999999972</v>
      </c>
      <c r="G17" s="138">
        <v>0</v>
      </c>
      <c r="H17" s="136"/>
      <c r="I17" s="215">
        <f t="shared" si="1"/>
        <v>-1E-4</v>
      </c>
    </row>
    <row r="18" spans="1:9">
      <c r="A18" s="134" t="s">
        <v>30</v>
      </c>
      <c r="B18" s="230">
        <v>16406.510000000053</v>
      </c>
      <c r="C18" s="138">
        <v>6.9999999999999999E-4</v>
      </c>
      <c r="D18" s="135"/>
      <c r="E18" s="187" t="s">
        <v>137</v>
      </c>
      <c r="F18" s="222">
        <v>1553.8299999999977</v>
      </c>
      <c r="G18" s="138">
        <v>1E-4</v>
      </c>
      <c r="H18" s="136"/>
      <c r="I18" s="215">
        <f t="shared" si="1"/>
        <v>-5.9999999999999995E-4</v>
      </c>
    </row>
    <row r="19" spans="1:9">
      <c r="A19" s="134" t="s">
        <v>31</v>
      </c>
      <c r="B19" s="230">
        <v>989.01999999999589</v>
      </c>
      <c r="C19" s="160">
        <v>0</v>
      </c>
      <c r="D19" s="135"/>
      <c r="E19" s="187" t="s">
        <v>138</v>
      </c>
      <c r="F19" s="222">
        <v>191.09999999999997</v>
      </c>
      <c r="G19" s="160">
        <v>0</v>
      </c>
      <c r="H19" s="140"/>
      <c r="I19" s="215">
        <f t="shared" si="1"/>
        <v>0</v>
      </c>
    </row>
    <row r="20" spans="1:9">
      <c r="A20" s="134" t="s">
        <v>32</v>
      </c>
      <c r="B20" s="230">
        <v>2502659.9399999948</v>
      </c>
      <c r="C20" s="138">
        <v>0.106</v>
      </c>
      <c r="D20" s="135"/>
      <c r="E20" s="187" t="s">
        <v>139</v>
      </c>
      <c r="F20" s="222">
        <v>2623684.450000002</v>
      </c>
      <c r="G20" s="138">
        <v>0.12330000000000001</v>
      </c>
      <c r="H20" s="140"/>
      <c r="I20" s="215">
        <f t="shared" si="1"/>
        <v>1.730000000000001E-2</v>
      </c>
    </row>
    <row r="21" spans="1:9">
      <c r="A21" s="122" t="s">
        <v>36</v>
      </c>
      <c r="B21" s="229">
        <v>545.59999999999866</v>
      </c>
      <c r="C21" s="160">
        <v>0</v>
      </c>
      <c r="D21" s="128"/>
      <c r="E21" s="187" t="s">
        <v>140</v>
      </c>
      <c r="F21" s="222">
        <v>555.01999999999953</v>
      </c>
      <c r="G21" s="160">
        <v>0</v>
      </c>
      <c r="H21" s="131"/>
      <c r="I21" s="215">
        <f t="shared" si="1"/>
        <v>0</v>
      </c>
    </row>
    <row r="22" spans="1:9">
      <c r="A22" s="122" t="s">
        <v>37</v>
      </c>
      <c r="B22" s="229">
        <v>472.04999999999893</v>
      </c>
      <c r="C22" s="160">
        <v>0</v>
      </c>
      <c r="D22" s="128"/>
      <c r="E22" s="187" t="s">
        <v>141</v>
      </c>
      <c r="F22" s="222">
        <v>446.39999999999986</v>
      </c>
      <c r="G22" s="160">
        <v>0</v>
      </c>
      <c r="H22" s="131"/>
      <c r="I22" s="215">
        <f t="shared" si="1"/>
        <v>0</v>
      </c>
    </row>
    <row r="23" spans="1:9" ht="15" thickBot="1">
      <c r="A23" s="142" t="s">
        <v>6</v>
      </c>
      <c r="B23" s="174">
        <f>SUM(B6:B22)</f>
        <v>23619633.649999995</v>
      </c>
      <c r="C23" s="144">
        <f>SUM(C6:C22)</f>
        <v>0.99999999999999989</v>
      </c>
      <c r="E23" s="188" t="s">
        <v>6</v>
      </c>
      <c r="F23" s="196">
        <f>SUM(F6:F22)</f>
        <v>21282044.359999999</v>
      </c>
      <c r="G23" s="144">
        <v>1</v>
      </c>
      <c r="I23" s="161">
        <f>SUM(I6:I22)</f>
        <v>6.2450045135165055E-17</v>
      </c>
    </row>
  </sheetData>
  <mergeCells count="3">
    <mergeCell ref="A1:I1"/>
    <mergeCell ref="A3:C3"/>
    <mergeCell ref="E3:G3"/>
  </mergeCells>
  <conditionalFormatting sqref="I6:I22">
    <cfRule type="cellIs" dxfId="0" priority="1" operator="notBetween">
      <formula>-0.0099</formula>
      <formula>0.0099</formula>
    </cfRule>
  </conditionalFormatting>
  <pageMargins left="0.7" right="0.7" top="0.75" bottom="0.75" header="0.3" footer="0.3"/>
  <pageSetup orientation="landscape" r:id="rId1"/>
  <headerFooter>
    <oddHeader>&amp;RKY PSC Case No. 2016-00162,
Attachment G to Staff Post Hearing Supp. DR 2</oddHead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2:H22"/>
  <sheetViews>
    <sheetView view="pageLayout" zoomScaleNormal="100" workbookViewId="0"/>
  </sheetViews>
  <sheetFormatPr defaultRowHeight="14.4"/>
  <cols>
    <col min="1" max="1" width="11.33203125" bestFit="1" customWidth="1"/>
    <col min="2" max="3" width="13.33203125" bestFit="1" customWidth="1"/>
    <col min="4" max="4" width="14.33203125" bestFit="1" customWidth="1"/>
    <col min="5" max="5" width="3.6640625" customWidth="1"/>
    <col min="6" max="6" width="14.33203125" bestFit="1" customWidth="1"/>
    <col min="7" max="7" width="13.33203125" bestFit="1" customWidth="1"/>
  </cols>
  <sheetData>
    <row r="2" spans="1:7">
      <c r="B2" s="75" t="s">
        <v>156</v>
      </c>
      <c r="C2" s="75" t="s">
        <v>157</v>
      </c>
      <c r="D2" s="75" t="s">
        <v>158</v>
      </c>
      <c r="F2" s="75" t="s">
        <v>6</v>
      </c>
    </row>
    <row r="3" spans="1:7">
      <c r="A3" s="99" t="s">
        <v>11</v>
      </c>
      <c r="B3" s="72">
        <v>1645.76</v>
      </c>
      <c r="C3" s="72">
        <v>2633.76</v>
      </c>
      <c r="D3" s="72">
        <v>0</v>
      </c>
      <c r="F3" s="73">
        <f>SUM(B3:D3)</f>
        <v>4279.5200000000004</v>
      </c>
      <c r="G3" s="76">
        <f>ROUND((F3/$F$20),4)</f>
        <v>2.0000000000000001E-4</v>
      </c>
    </row>
    <row r="4" spans="1:7">
      <c r="A4" s="99" t="s">
        <v>13</v>
      </c>
      <c r="B4" s="72">
        <v>92863.94</v>
      </c>
      <c r="C4" s="72">
        <v>133700.31999999998</v>
      </c>
      <c r="D4" s="72">
        <v>278507.50000000064</v>
      </c>
      <c r="F4" s="73">
        <f t="shared" ref="F4:F20" si="0">SUM(B4:D4)</f>
        <v>505071.76000000059</v>
      </c>
      <c r="G4" s="76">
        <f t="shared" ref="G4:G19" si="1">ROUND((F4/$F$20),4)</f>
        <v>2.3699999999999999E-2</v>
      </c>
    </row>
    <row r="5" spans="1:7">
      <c r="A5" s="99" t="s">
        <v>14</v>
      </c>
      <c r="B5" s="72">
        <v>687461.65999999992</v>
      </c>
      <c r="C5" s="72">
        <v>1238455.7599999981</v>
      </c>
      <c r="D5" s="72">
        <v>1860680.8900000011</v>
      </c>
      <c r="F5" s="73">
        <f t="shared" si="0"/>
        <v>3786598.3099999991</v>
      </c>
      <c r="G5" s="76">
        <f t="shared" si="1"/>
        <v>0.1779</v>
      </c>
    </row>
    <row r="6" spans="1:7">
      <c r="A6" s="99" t="s">
        <v>15</v>
      </c>
      <c r="B6" s="72">
        <v>49044.109999999993</v>
      </c>
      <c r="C6" s="72">
        <v>120049.66999999995</v>
      </c>
      <c r="D6" s="72">
        <v>247805.37999999974</v>
      </c>
      <c r="F6" s="73">
        <f t="shared" si="0"/>
        <v>416899.15999999968</v>
      </c>
      <c r="G6" s="76">
        <f t="shared" si="1"/>
        <v>1.9599999999999999E-2</v>
      </c>
    </row>
    <row r="7" spans="1:7">
      <c r="A7" s="99" t="s">
        <v>16</v>
      </c>
      <c r="B7" s="72">
        <v>444256.95999999979</v>
      </c>
      <c r="C7" s="72">
        <v>729607.50000000012</v>
      </c>
      <c r="D7" s="72">
        <v>1044783.5300000006</v>
      </c>
      <c r="F7" s="73">
        <f t="shared" si="0"/>
        <v>2218647.9900000007</v>
      </c>
      <c r="G7" s="76">
        <f t="shared" si="1"/>
        <v>0.1042</v>
      </c>
    </row>
    <row r="8" spans="1:7">
      <c r="A8" s="99" t="s">
        <v>17</v>
      </c>
      <c r="B8" s="72">
        <v>355423.95000000013</v>
      </c>
      <c r="C8" s="72">
        <v>538057.56000000052</v>
      </c>
      <c r="D8" s="72">
        <v>856296.71999999927</v>
      </c>
      <c r="F8" s="73">
        <f t="shared" si="0"/>
        <v>1749778.23</v>
      </c>
      <c r="G8" s="76">
        <f t="shared" si="1"/>
        <v>8.2199999999999995E-2</v>
      </c>
    </row>
    <row r="9" spans="1:7">
      <c r="A9" s="99" t="s">
        <v>21</v>
      </c>
      <c r="B9" s="72">
        <v>412662.69999999955</v>
      </c>
      <c r="C9" s="72">
        <v>767170.52000000048</v>
      </c>
      <c r="D9" s="72">
        <v>576902.49999999977</v>
      </c>
      <c r="F9" s="73">
        <f t="shared" si="0"/>
        <v>1756735.7199999997</v>
      </c>
      <c r="G9" s="180">
        <f>ROUND((F9/$F$20),4)+0.0002</f>
        <v>8.270000000000001E-2</v>
      </c>
    </row>
    <row r="10" spans="1:7">
      <c r="A10" s="99" t="s">
        <v>22</v>
      </c>
      <c r="B10" s="72">
        <v>577182.56999999983</v>
      </c>
      <c r="C10" s="72">
        <v>2839820.5499999975</v>
      </c>
      <c r="D10" s="72">
        <v>3763238.7800000021</v>
      </c>
      <c r="F10" s="73">
        <f t="shared" si="0"/>
        <v>7180241.8999999994</v>
      </c>
      <c r="G10" s="180">
        <f>ROUND((F10/$F$20),4)</f>
        <v>0.33739999999999998</v>
      </c>
    </row>
    <row r="11" spans="1:7">
      <c r="A11" s="99" t="s">
        <v>23</v>
      </c>
      <c r="B11" s="72">
        <v>66252.039999999994</v>
      </c>
      <c r="C11" s="72">
        <v>44977.48999999994</v>
      </c>
      <c r="D11" s="72">
        <v>66233.779999999984</v>
      </c>
      <c r="F11" s="73">
        <f t="shared" si="0"/>
        <v>177463.30999999994</v>
      </c>
      <c r="G11" s="76">
        <f t="shared" si="1"/>
        <v>8.3000000000000001E-3</v>
      </c>
    </row>
    <row r="12" spans="1:7">
      <c r="A12" s="99" t="s">
        <v>27</v>
      </c>
      <c r="B12" s="72">
        <v>98.580000000000041</v>
      </c>
      <c r="C12" s="72">
        <v>151.85999999999987</v>
      </c>
      <c r="D12" s="72">
        <v>222.79999999999981</v>
      </c>
      <c r="F12" s="73">
        <f t="shared" si="0"/>
        <v>473.23999999999972</v>
      </c>
      <c r="G12" s="76">
        <f t="shared" si="1"/>
        <v>0</v>
      </c>
    </row>
    <row r="13" spans="1:7">
      <c r="A13" s="99" t="s">
        <v>30</v>
      </c>
      <c r="B13" s="72">
        <v>281.99</v>
      </c>
      <c r="C13" s="72">
        <v>711.52999999999884</v>
      </c>
      <c r="D13" s="72">
        <v>560.30999999999892</v>
      </c>
      <c r="F13" s="73">
        <f t="shared" si="0"/>
        <v>1553.8299999999977</v>
      </c>
      <c r="G13" s="76">
        <f t="shared" si="1"/>
        <v>1E-4</v>
      </c>
    </row>
    <row r="14" spans="1:7">
      <c r="A14" s="99" t="s">
        <v>31</v>
      </c>
      <c r="B14" s="72">
        <v>67.839999999999989</v>
      </c>
      <c r="C14" s="72">
        <v>80.499999999999972</v>
      </c>
      <c r="D14" s="72">
        <v>42.76</v>
      </c>
      <c r="F14" s="73">
        <f t="shared" si="0"/>
        <v>191.09999999999997</v>
      </c>
      <c r="G14" s="76">
        <f t="shared" si="1"/>
        <v>0</v>
      </c>
    </row>
    <row r="15" spans="1:7">
      <c r="A15" s="231" t="s">
        <v>32</v>
      </c>
      <c r="B15" s="192">
        <v>528158.5</v>
      </c>
      <c r="C15" s="192">
        <v>771879.74999999825</v>
      </c>
      <c r="D15" s="72">
        <v>1323646.2000000039</v>
      </c>
      <c r="F15" s="73">
        <f t="shared" si="0"/>
        <v>2623684.450000002</v>
      </c>
      <c r="G15" s="76">
        <f t="shared" si="1"/>
        <v>0.12330000000000001</v>
      </c>
    </row>
    <row r="16" spans="1:7">
      <c r="A16" s="231" t="s">
        <v>47</v>
      </c>
      <c r="B16" s="192">
        <v>734157.00999999978</v>
      </c>
      <c r="C16" s="192">
        <v>0</v>
      </c>
      <c r="D16" s="72">
        <v>0</v>
      </c>
      <c r="F16" s="73">
        <f t="shared" si="0"/>
        <v>734157.00999999978</v>
      </c>
      <c r="G16" s="76">
        <f t="shared" si="1"/>
        <v>3.4500000000000003E-2</v>
      </c>
    </row>
    <row r="17" spans="1:8">
      <c r="A17" s="231" t="s">
        <v>48</v>
      </c>
      <c r="B17" s="192">
        <v>125267.40999999996</v>
      </c>
      <c r="C17" s="192">
        <v>0</v>
      </c>
      <c r="D17" s="72">
        <v>0</v>
      </c>
      <c r="F17" s="73">
        <f t="shared" si="0"/>
        <v>125267.40999999996</v>
      </c>
      <c r="G17" s="76">
        <f t="shared" si="1"/>
        <v>5.8999999999999999E-3</v>
      </c>
    </row>
    <row r="18" spans="1:8">
      <c r="A18" s="99" t="s">
        <v>36</v>
      </c>
      <c r="B18" s="72">
        <v>91.37</v>
      </c>
      <c r="C18" s="72">
        <v>139.3600000000001</v>
      </c>
      <c r="D18" s="72">
        <v>324.2899999999994</v>
      </c>
      <c r="F18" s="73">
        <f t="shared" si="0"/>
        <v>555.01999999999953</v>
      </c>
      <c r="G18" s="76">
        <f t="shared" si="1"/>
        <v>0</v>
      </c>
    </row>
    <row r="19" spans="1:8">
      <c r="A19" s="99" t="s">
        <v>37</v>
      </c>
      <c r="B19" s="72">
        <v>42.290000000000006</v>
      </c>
      <c r="C19" s="72">
        <v>97.260000000000034</v>
      </c>
      <c r="D19" s="72">
        <v>306.84999999999985</v>
      </c>
      <c r="F19" s="73">
        <f t="shared" si="0"/>
        <v>446.39999999999986</v>
      </c>
      <c r="G19" s="76">
        <f t="shared" si="1"/>
        <v>0</v>
      </c>
    </row>
    <row r="20" spans="1:8">
      <c r="A20" s="149" t="s">
        <v>6</v>
      </c>
      <c r="B20" s="232">
        <f>SUM(B3:B19)</f>
        <v>4074958.6799999997</v>
      </c>
      <c r="C20" s="232">
        <f>SUM(C3:C19)</f>
        <v>7187533.3899999959</v>
      </c>
      <c r="D20" s="232">
        <f>SUM(D3:D19)</f>
        <v>10019552.290000008</v>
      </c>
      <c r="F20" s="232">
        <f t="shared" si="0"/>
        <v>21282044.360000007</v>
      </c>
      <c r="G20" s="85">
        <f>SUM(G3:G19)</f>
        <v>0.99999999999999989</v>
      </c>
    </row>
    <row r="22" spans="1:8">
      <c r="G22" s="85">
        <f>G10+G16+G17</f>
        <v>0.37780000000000002</v>
      </c>
      <c r="H22" t="s">
        <v>160</v>
      </c>
    </row>
  </sheetData>
  <pageMargins left="0.7" right="0.7" top="0.75" bottom="0.75" header="0.3" footer="0.3"/>
  <pageSetup orientation="landscape" r:id="rId1"/>
  <headerFooter>
    <oddHeader>&amp;RKY PSC Case No. 2016-00162,
Attachment G to Staff Post Hearing Supp. DR 2</oddHead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zoomScaleNormal="100" workbookViewId="0">
      <selection sqref="A1:I1"/>
    </sheetView>
  </sheetViews>
  <sheetFormatPr defaultRowHeight="14.4"/>
  <cols>
    <col min="2" max="2" width="10.88671875" bestFit="1" customWidth="1"/>
    <col min="3" max="3" width="8.33203125" bestFit="1" customWidth="1"/>
  </cols>
  <sheetData>
    <row r="1" spans="1:9">
      <c r="A1" s="258" t="s">
        <v>86</v>
      </c>
      <c r="B1" s="258"/>
      <c r="C1" s="258"/>
      <c r="D1" s="258"/>
      <c r="E1" s="258"/>
      <c r="F1" s="258"/>
      <c r="G1" s="258"/>
      <c r="H1" s="258"/>
      <c r="I1" s="258"/>
    </row>
    <row r="3" spans="1:9">
      <c r="B3" s="259" t="s">
        <v>171</v>
      </c>
      <c r="C3" s="259"/>
      <c r="F3" s="259" t="s">
        <v>155</v>
      </c>
      <c r="G3" s="259"/>
      <c r="I3" t="s">
        <v>172</v>
      </c>
    </row>
    <row r="4" spans="1:9">
      <c r="B4" t="s">
        <v>126</v>
      </c>
      <c r="C4" s="76">
        <v>4.0000000000000002E-4</v>
      </c>
      <c r="F4" t="s">
        <v>126</v>
      </c>
      <c r="G4" s="76">
        <v>1E-4</v>
      </c>
      <c r="I4" s="180">
        <f>C4-G4</f>
        <v>3.0000000000000003E-4</v>
      </c>
    </row>
    <row r="5" spans="1:9">
      <c r="B5" t="s">
        <v>127</v>
      </c>
      <c r="C5" s="76">
        <v>3.2199999999999999E-2</v>
      </c>
      <c r="F5" t="s">
        <v>127</v>
      </c>
      <c r="G5" s="76">
        <v>3.0599999999999999E-2</v>
      </c>
      <c r="I5" s="180">
        <f t="shared" ref="I5:I18" si="0">C5-G5</f>
        <v>1.6000000000000007E-3</v>
      </c>
    </row>
    <row r="6" spans="1:9">
      <c r="B6" t="s">
        <v>128</v>
      </c>
      <c r="C6" s="76">
        <v>0.2281</v>
      </c>
      <c r="F6" t="s">
        <v>128</v>
      </c>
      <c r="G6" s="76">
        <v>0.22370000000000001</v>
      </c>
      <c r="I6" s="180">
        <f t="shared" si="0"/>
        <v>4.3999999999999873E-3</v>
      </c>
    </row>
    <row r="7" spans="1:9">
      <c r="B7" t="s">
        <v>129</v>
      </c>
      <c r="C7" s="76">
        <v>1.35E-2</v>
      </c>
      <c r="F7" t="s">
        <v>129</v>
      </c>
      <c r="G7" s="76">
        <v>1.3100000000000001E-2</v>
      </c>
      <c r="I7" s="180">
        <f t="shared" si="0"/>
        <v>3.9999999999999931E-4</v>
      </c>
    </row>
    <row r="8" spans="1:9">
      <c r="B8" t="s">
        <v>130</v>
      </c>
      <c r="C8" s="76">
        <v>0.1176</v>
      </c>
      <c r="F8" t="s">
        <v>130</v>
      </c>
      <c r="G8" s="76">
        <v>0.1137</v>
      </c>
      <c r="I8" s="180">
        <f t="shared" si="0"/>
        <v>3.9000000000000007E-3</v>
      </c>
    </row>
    <row r="9" spans="1:9">
      <c r="B9" t="s">
        <v>131</v>
      </c>
      <c r="C9" s="76">
        <v>7.0699999999999999E-2</v>
      </c>
      <c r="F9" t="s">
        <v>131</v>
      </c>
      <c r="G9" s="76">
        <v>6.7799999999999999E-2</v>
      </c>
      <c r="I9" s="180">
        <f t="shared" si="0"/>
        <v>2.8999999999999998E-3</v>
      </c>
    </row>
    <row r="10" spans="1:9">
      <c r="B10" t="s">
        <v>132</v>
      </c>
      <c r="C10" s="76">
        <v>2.87E-2</v>
      </c>
      <c r="F10" t="s">
        <v>132</v>
      </c>
      <c r="G10" s="76">
        <v>3.4000000000000002E-2</v>
      </c>
      <c r="I10" s="180">
        <f t="shared" si="0"/>
        <v>-5.3000000000000026E-3</v>
      </c>
    </row>
    <row r="11" spans="1:9">
      <c r="B11" t="s">
        <v>133</v>
      </c>
      <c r="C11" s="180">
        <v>0.39419999999999999</v>
      </c>
      <c r="F11" t="s">
        <v>133</v>
      </c>
      <c r="G11" s="76">
        <v>0.40289999999999998</v>
      </c>
      <c r="I11" s="180">
        <f t="shared" si="0"/>
        <v>-8.6999999999999855E-3</v>
      </c>
    </row>
    <row r="12" spans="1:9">
      <c r="B12" t="s">
        <v>134</v>
      </c>
      <c r="C12" s="76">
        <v>2.5000000000000001E-3</v>
      </c>
      <c r="F12" t="s">
        <v>134</v>
      </c>
      <c r="G12" s="76">
        <v>2.5999999999999999E-3</v>
      </c>
      <c r="I12" s="180">
        <f t="shared" si="0"/>
        <v>-9.9999999999999829E-5</v>
      </c>
    </row>
    <row r="13" spans="1:9">
      <c r="B13" t="s">
        <v>136</v>
      </c>
      <c r="C13" s="76">
        <v>0</v>
      </c>
      <c r="F13" t="s">
        <v>136</v>
      </c>
      <c r="G13" s="76">
        <v>1E-4</v>
      </c>
      <c r="I13" s="180">
        <f t="shared" si="0"/>
        <v>-1E-4</v>
      </c>
    </row>
    <row r="14" spans="1:9">
      <c r="B14" t="s">
        <v>137</v>
      </c>
      <c r="C14" s="76">
        <v>2.0000000000000001E-4</v>
      </c>
      <c r="F14" t="s">
        <v>137</v>
      </c>
      <c r="G14" s="76">
        <v>2.9999999999999997E-4</v>
      </c>
      <c r="I14" s="180">
        <f t="shared" si="0"/>
        <v>-9.9999999999999964E-5</v>
      </c>
    </row>
    <row r="15" spans="1:9">
      <c r="B15" t="s">
        <v>138</v>
      </c>
      <c r="C15" s="76">
        <v>0</v>
      </c>
      <c r="F15" t="s">
        <v>138</v>
      </c>
      <c r="G15" s="76">
        <v>1E-4</v>
      </c>
      <c r="I15" s="180">
        <f t="shared" si="0"/>
        <v>-1E-4</v>
      </c>
    </row>
    <row r="16" spans="1:9">
      <c r="B16" t="s">
        <v>139</v>
      </c>
      <c r="C16" s="76">
        <v>0.11169999999999999</v>
      </c>
      <c r="F16" t="s">
        <v>139</v>
      </c>
      <c r="G16" s="76">
        <v>0.1108</v>
      </c>
      <c r="I16" s="180">
        <f t="shared" si="0"/>
        <v>8.9999999999999802E-4</v>
      </c>
    </row>
    <row r="17" spans="2:9">
      <c r="B17" t="s">
        <v>140</v>
      </c>
      <c r="C17" s="76">
        <v>1E-4</v>
      </c>
      <c r="F17" t="s">
        <v>140</v>
      </c>
      <c r="G17" s="76">
        <v>1E-4</v>
      </c>
      <c r="I17" s="180">
        <f t="shared" si="0"/>
        <v>0</v>
      </c>
    </row>
    <row r="18" spans="2:9">
      <c r="B18" t="s">
        <v>141</v>
      </c>
      <c r="C18" s="76">
        <v>1E-4</v>
      </c>
      <c r="F18" t="s">
        <v>141</v>
      </c>
      <c r="G18" s="76">
        <v>1E-4</v>
      </c>
      <c r="I18" s="180">
        <f t="shared" si="0"/>
        <v>0</v>
      </c>
    </row>
    <row r="19" spans="2:9" ht="15" thickBot="1">
      <c r="B19" t="s">
        <v>6</v>
      </c>
      <c r="C19" s="184">
        <f>SUM(C4:C18)</f>
        <v>0.99999999999999989</v>
      </c>
      <c r="F19" t="s">
        <v>6</v>
      </c>
      <c r="G19" s="184">
        <f>SUM(G4:G18)</f>
        <v>0.99999999999999989</v>
      </c>
      <c r="I19" s="260">
        <f>SUM(I4:I18)</f>
        <v>-2.2768245622195593E-18</v>
      </c>
    </row>
    <row r="20" spans="2:9" ht="15" thickTop="1"/>
  </sheetData>
  <mergeCells count="3">
    <mergeCell ref="A1:I1"/>
    <mergeCell ref="B3:C3"/>
    <mergeCell ref="F3:G3"/>
  </mergeCells>
  <pageMargins left="0.7" right="0.7" top="0.75" bottom="0.75" header="0.3" footer="0.3"/>
  <pageSetup orientation="portrait" verticalDpi="0" r:id="rId1"/>
  <headerFooter>
    <oddHeader>&amp;RKY PSC Case No. 2016-00162,
Attachment G to Staff Post Hearing Supp. DR 2</odd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3"/>
  <sheetViews>
    <sheetView zoomScaleNormal="100" workbookViewId="0"/>
  </sheetViews>
  <sheetFormatPr defaultRowHeight="14.4"/>
  <cols>
    <col min="2" max="2" width="32.88671875" bestFit="1" customWidth="1"/>
    <col min="5" max="5" width="34.33203125" style="72" bestFit="1" customWidth="1"/>
    <col min="6" max="6" width="10.5546875" bestFit="1" customWidth="1"/>
    <col min="8" max="8" width="34.33203125" style="72" bestFit="1" customWidth="1"/>
  </cols>
  <sheetData>
    <row r="2" spans="1:8">
      <c r="B2" t="s">
        <v>173</v>
      </c>
      <c r="E2" s="72" t="s">
        <v>174</v>
      </c>
      <c r="H2" s="72" t="s">
        <v>175</v>
      </c>
    </row>
    <row r="3" spans="1:8">
      <c r="A3" s="212" t="s">
        <v>79</v>
      </c>
      <c r="B3" s="212" t="s">
        <v>147</v>
      </c>
      <c r="D3" s="212" t="s">
        <v>79</v>
      </c>
      <c r="E3" s="234" t="s">
        <v>147</v>
      </c>
      <c r="G3" s="212" t="s">
        <v>79</v>
      </c>
      <c r="H3" s="234" t="s">
        <v>147</v>
      </c>
    </row>
    <row r="4" spans="1:8">
      <c r="A4" s="99" t="s">
        <v>126</v>
      </c>
      <c r="B4" s="73">
        <v>51238.539949999802</v>
      </c>
      <c r="D4" s="99" t="s">
        <v>126</v>
      </c>
      <c r="E4" s="72">
        <v>33821.500060000166</v>
      </c>
      <c r="G4" s="99" t="s">
        <v>126</v>
      </c>
      <c r="H4" s="72">
        <v>35759.139979999913</v>
      </c>
    </row>
    <row r="5" spans="1:8">
      <c r="A5" s="99" t="s">
        <v>127</v>
      </c>
      <c r="B5" s="73">
        <v>2772055.8800500035</v>
      </c>
      <c r="D5" s="99" t="s">
        <v>127</v>
      </c>
      <c r="E5" s="72">
        <v>2106550.1900000158</v>
      </c>
      <c r="G5" s="99" t="s">
        <v>127</v>
      </c>
      <c r="H5" s="72">
        <v>4472985.8601799794</v>
      </c>
    </row>
    <row r="6" spans="1:8">
      <c r="A6" s="99" t="s">
        <v>128</v>
      </c>
      <c r="B6" s="73">
        <v>20065621.86005006</v>
      </c>
      <c r="D6" s="99" t="s">
        <v>128</v>
      </c>
      <c r="E6" s="72">
        <v>15657163.939569892</v>
      </c>
      <c r="G6" s="99" t="s">
        <v>128</v>
      </c>
      <c r="H6" s="72">
        <v>30517513.390100136</v>
      </c>
    </row>
    <row r="7" spans="1:8">
      <c r="A7" s="99" t="s">
        <v>129</v>
      </c>
      <c r="B7" s="73">
        <v>1170939.6798299879</v>
      </c>
      <c r="D7" s="99" t="s">
        <v>129</v>
      </c>
      <c r="E7" s="72">
        <v>974502.29013000336</v>
      </c>
      <c r="G7" s="99" t="s">
        <v>129</v>
      </c>
      <c r="H7" s="72">
        <v>1771310.3995200237</v>
      </c>
    </row>
    <row r="8" spans="1:8">
      <c r="A8" s="99" t="s">
        <v>130</v>
      </c>
      <c r="B8" s="73">
        <v>10534154.389999982</v>
      </c>
      <c r="D8" s="99" t="s">
        <v>130</v>
      </c>
      <c r="E8" s="72">
        <v>7658199.2199000502</v>
      </c>
      <c r="G8" s="99" t="s">
        <v>130</v>
      </c>
      <c r="H8" s="72">
        <v>15941190.940059969</v>
      </c>
    </row>
    <row r="9" spans="1:8">
      <c r="A9" s="99" t="s">
        <v>131</v>
      </c>
      <c r="B9" s="73">
        <v>6287542.4800099861</v>
      </c>
      <c r="D9" s="99" t="s">
        <v>131</v>
      </c>
      <c r="E9" s="72">
        <v>4779515.0399700254</v>
      </c>
      <c r="G9" s="99" t="s">
        <v>131</v>
      </c>
      <c r="H9" s="72">
        <v>9455831.2997599505</v>
      </c>
    </row>
    <row r="10" spans="1:8">
      <c r="A10" s="99" t="s">
        <v>132</v>
      </c>
      <c r="B10" s="73">
        <f>3311704.77006998+6550.67+291.66</f>
        <v>3318547.1000699801</v>
      </c>
      <c r="D10" s="99" t="s">
        <v>132</v>
      </c>
      <c r="E10" s="72">
        <f>1805004.88029+2985.83+13361.98</f>
        <v>1821352.6902900001</v>
      </c>
      <c r="G10" s="99" t="s">
        <v>132</v>
      </c>
      <c r="H10" s="72">
        <f>3186307.39994+5570.11+5435.25</f>
        <v>3197312.7599399998</v>
      </c>
    </row>
    <row r="11" spans="1:8">
      <c r="A11" s="99" t="s">
        <v>133</v>
      </c>
      <c r="B11" s="73">
        <v>34078544.709880136</v>
      </c>
      <c r="D11" s="99" t="s">
        <v>133</v>
      </c>
      <c r="E11" s="72">
        <v>27932469.10994982</v>
      </c>
      <c r="G11" s="99" t="s">
        <v>133</v>
      </c>
      <c r="H11" s="72">
        <v>52457952.990450099</v>
      </c>
    </row>
    <row r="12" spans="1:8">
      <c r="A12" s="99" t="s">
        <v>134</v>
      </c>
      <c r="B12" s="73">
        <v>207019.44989999893</v>
      </c>
      <c r="D12" s="99" t="s">
        <v>134</v>
      </c>
      <c r="E12" s="72">
        <v>181046.20002999966</v>
      </c>
      <c r="G12" s="99" t="s">
        <v>134</v>
      </c>
      <c r="H12" s="72">
        <v>338124.23967000184</v>
      </c>
    </row>
    <row r="13" spans="1:8">
      <c r="A13" s="99" t="s">
        <v>137</v>
      </c>
      <c r="B13" s="73">
        <v>31699.600090000022</v>
      </c>
      <c r="D13" s="99" t="s">
        <v>137</v>
      </c>
      <c r="E13" s="72">
        <v>1579.4500599999249</v>
      </c>
      <c r="G13" s="99" t="s">
        <v>137</v>
      </c>
      <c r="H13" s="72">
        <v>15115.530190000478</v>
      </c>
    </row>
    <row r="14" spans="1:8">
      <c r="A14" s="99" t="s">
        <v>139</v>
      </c>
      <c r="B14" s="73">
        <v>9897177.4800200146</v>
      </c>
      <c r="D14" s="99" t="s">
        <v>139</v>
      </c>
      <c r="E14" s="72">
        <v>7754878.5500699701</v>
      </c>
      <c r="G14" s="99" t="s">
        <v>139</v>
      </c>
      <c r="H14" s="72">
        <v>14768021.740019957</v>
      </c>
    </row>
    <row r="15" spans="1:8" s="77" customFormat="1">
      <c r="A15" s="99" t="s">
        <v>140</v>
      </c>
      <c r="B15" s="73">
        <v>9316.9101200000823</v>
      </c>
      <c r="D15" s="99" t="s">
        <v>140</v>
      </c>
      <c r="E15" s="72">
        <v>11353.179870000193</v>
      </c>
      <c r="G15" s="99" t="s">
        <v>140</v>
      </c>
      <c r="H15" s="72">
        <v>20477.089990000084</v>
      </c>
    </row>
    <row r="16" spans="1:8" s="77" customFormat="1">
      <c r="A16" s="99" t="s">
        <v>141</v>
      </c>
      <c r="B16" s="73">
        <v>7524.2601000000377</v>
      </c>
      <c r="D16" s="99" t="s">
        <v>141</v>
      </c>
      <c r="E16" s="72">
        <v>9856.3200200000592</v>
      </c>
      <c r="G16" s="99" t="s">
        <v>141</v>
      </c>
      <c r="H16" s="72">
        <v>14339.389990000271</v>
      </c>
    </row>
    <row r="17" spans="1:8" s="77" customFormat="1">
      <c r="A17" s="225" t="s">
        <v>49</v>
      </c>
      <c r="B17" s="226">
        <v>88431382.340230152</v>
      </c>
      <c r="D17" s="225" t="s">
        <v>49</v>
      </c>
      <c r="E17" s="235">
        <v>68922287.679819778</v>
      </c>
      <c r="G17" s="225" t="s">
        <v>49</v>
      </c>
      <c r="H17" s="235">
        <v>133005934.76963013</v>
      </c>
    </row>
    <row r="18" spans="1:8" s="77" customFormat="1">
      <c r="A18" s="261"/>
      <c r="B18" s="228"/>
      <c r="D18" s="261"/>
      <c r="E18" s="262"/>
      <c r="G18" s="261"/>
      <c r="H18" s="262"/>
    </row>
    <row r="19" spans="1:8">
      <c r="G19" s="261"/>
      <c r="H19" s="262"/>
    </row>
    <row r="20" spans="1:8">
      <c r="D20" s="99" t="s">
        <v>126</v>
      </c>
      <c r="E20" s="72">
        <f>ROUND(SUM(B4+E4+H4),2)</f>
        <v>120819.18</v>
      </c>
      <c r="F20" s="76">
        <f t="shared" ref="F20:F32" si="0">ROUND(E20/SUM($E$20:$E$32),4)</f>
        <v>4.0000000000000002E-4</v>
      </c>
      <c r="G20" s="76"/>
    </row>
    <row r="21" spans="1:8">
      <c r="D21" s="99" t="s">
        <v>127</v>
      </c>
      <c r="E21" s="72">
        <f t="shared" ref="E21:E32" si="1">ROUND(SUM(B5+E5+H5),2)</f>
        <v>9351591.9299999997</v>
      </c>
      <c r="F21" s="76">
        <f t="shared" si="0"/>
        <v>3.2199999999999999E-2</v>
      </c>
      <c r="G21" s="76"/>
    </row>
    <row r="22" spans="1:8">
      <c r="D22" s="99" t="s">
        <v>128</v>
      </c>
      <c r="E22" s="72">
        <f t="shared" si="1"/>
        <v>66240299.189999998</v>
      </c>
      <c r="F22" s="76">
        <f t="shared" si="0"/>
        <v>0.2281</v>
      </c>
      <c r="G22" s="76"/>
    </row>
    <row r="23" spans="1:8">
      <c r="D23" s="99" t="s">
        <v>129</v>
      </c>
      <c r="E23" s="72">
        <f t="shared" si="1"/>
        <v>3916752.37</v>
      </c>
      <c r="F23" s="76">
        <f t="shared" si="0"/>
        <v>1.35E-2</v>
      </c>
      <c r="G23" s="76"/>
    </row>
    <row r="24" spans="1:8">
      <c r="D24" s="99" t="s">
        <v>130</v>
      </c>
      <c r="E24" s="72">
        <f>ROUND(SUM(B8+E8+H8),2)</f>
        <v>34133544.549999997</v>
      </c>
      <c r="F24" s="76">
        <f t="shared" si="0"/>
        <v>0.1176</v>
      </c>
      <c r="G24" s="76"/>
    </row>
    <row r="25" spans="1:8">
      <c r="D25" s="99" t="s">
        <v>131</v>
      </c>
      <c r="E25" s="72">
        <f t="shared" si="1"/>
        <v>20522888.82</v>
      </c>
      <c r="F25" s="76">
        <f t="shared" si="0"/>
        <v>7.0699999999999999E-2</v>
      </c>
      <c r="G25" s="76"/>
    </row>
    <row r="26" spans="1:8">
      <c r="D26" s="99" t="s">
        <v>132</v>
      </c>
      <c r="E26" s="72">
        <f t="shared" si="1"/>
        <v>8337212.5499999998</v>
      </c>
      <c r="F26" s="76">
        <f t="shared" si="0"/>
        <v>2.87E-2</v>
      </c>
      <c r="G26" s="76"/>
    </row>
    <row r="27" spans="1:8">
      <c r="D27" s="99" t="s">
        <v>133</v>
      </c>
      <c r="E27" s="72">
        <f t="shared" si="1"/>
        <v>114468966.81</v>
      </c>
      <c r="F27" s="76">
        <f t="shared" si="0"/>
        <v>0.39419999999999999</v>
      </c>
      <c r="G27" s="76"/>
    </row>
    <row r="28" spans="1:8">
      <c r="D28" s="99" t="s">
        <v>134</v>
      </c>
      <c r="E28" s="72">
        <f t="shared" si="1"/>
        <v>726189.89</v>
      </c>
      <c r="F28" s="76">
        <f t="shared" si="0"/>
        <v>2.5000000000000001E-3</v>
      </c>
      <c r="G28" s="76"/>
    </row>
    <row r="29" spans="1:8">
      <c r="D29" s="99" t="s">
        <v>137</v>
      </c>
      <c r="E29" s="72">
        <f t="shared" si="1"/>
        <v>48394.58</v>
      </c>
      <c r="F29" s="76">
        <f t="shared" si="0"/>
        <v>2.0000000000000001E-4</v>
      </c>
      <c r="G29" s="76"/>
    </row>
    <row r="30" spans="1:8">
      <c r="D30" s="99" t="s">
        <v>139</v>
      </c>
      <c r="E30" s="72">
        <f t="shared" si="1"/>
        <v>32420077.77</v>
      </c>
      <c r="F30" s="76">
        <f t="shared" si="0"/>
        <v>0.11169999999999999</v>
      </c>
      <c r="G30" s="76"/>
    </row>
    <row r="31" spans="1:8">
      <c r="D31" s="99" t="s">
        <v>140</v>
      </c>
      <c r="E31" s="72">
        <f t="shared" si="1"/>
        <v>41147.18</v>
      </c>
      <c r="F31" s="76">
        <f t="shared" si="0"/>
        <v>1E-4</v>
      </c>
      <c r="G31" s="76"/>
    </row>
    <row r="32" spans="1:8">
      <c r="D32" s="99" t="s">
        <v>141</v>
      </c>
      <c r="E32" s="72">
        <f t="shared" si="1"/>
        <v>31719.97</v>
      </c>
      <c r="F32" s="76">
        <f t="shared" si="0"/>
        <v>1E-4</v>
      </c>
      <c r="G32" s="76"/>
    </row>
    <row r="33" spans="1:7" s="72" customFormat="1">
      <c r="A33"/>
      <c r="B33"/>
      <c r="C33"/>
      <c r="D33"/>
      <c r="E33" s="72">
        <f>SUM(E20:E32)</f>
        <v>290359604.79000002</v>
      </c>
      <c r="F33" s="85">
        <f>SUM(F20:F32)</f>
        <v>0.99999999999999989</v>
      </c>
      <c r="G33" s="85"/>
    </row>
  </sheetData>
  <pageMargins left="0.7" right="0.7" top="0.75" bottom="0.75" header="0.3" footer="0.3"/>
  <pageSetup scale="96" orientation="portrait" verticalDpi="0" r:id="rId1"/>
  <headerFooter>
    <oddHeader>&amp;RKY PSC Case No. 2016-00162,
Attachment G to Staff Post Hearing Supp. DR 2</oddHeader>
  </headerFooter>
  <colBreaks count="1" manualBreakCount="1">
    <brk id="5" max="1048575" man="1"/>
  </colBreak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zoomScaleNormal="100" workbookViewId="0">
      <selection sqref="A1:J1"/>
    </sheetView>
  </sheetViews>
  <sheetFormatPr defaultRowHeight="14.4"/>
  <cols>
    <col min="10" max="10" width="11.6640625" customWidth="1"/>
  </cols>
  <sheetData>
    <row r="1" spans="1:10">
      <c r="A1" s="258" t="s">
        <v>176</v>
      </c>
      <c r="B1" s="258"/>
      <c r="C1" s="258"/>
      <c r="D1" s="258"/>
      <c r="E1" s="258"/>
      <c r="F1" s="258"/>
      <c r="G1" s="258"/>
      <c r="H1" s="258"/>
      <c r="I1" s="258"/>
      <c r="J1" s="258"/>
    </row>
    <row r="3" spans="1:10">
      <c r="B3" s="256" t="s">
        <v>171</v>
      </c>
      <c r="C3" s="256"/>
      <c r="F3" s="256" t="s">
        <v>155</v>
      </c>
      <c r="G3" s="256"/>
      <c r="J3" s="75" t="s">
        <v>172</v>
      </c>
    </row>
    <row r="4" spans="1:10">
      <c r="B4" t="s">
        <v>126</v>
      </c>
      <c r="C4" s="76">
        <v>2.0000000000000001E-4</v>
      </c>
      <c r="F4" t="s">
        <v>126</v>
      </c>
      <c r="G4" s="76">
        <v>2.0000000000000001E-4</v>
      </c>
      <c r="J4" s="263">
        <f>C4-G4</f>
        <v>0</v>
      </c>
    </row>
    <row r="5" spans="1:10">
      <c r="B5" t="s">
        <v>127</v>
      </c>
      <c r="C5" s="76">
        <v>3.1600000000000003E-2</v>
      </c>
      <c r="F5" t="s">
        <v>127</v>
      </c>
      <c r="G5" s="76">
        <v>3.1099999999999999E-2</v>
      </c>
      <c r="J5" s="263">
        <f t="shared" ref="J5:J15" si="0">C5-G5</f>
        <v>5.0000000000000391E-4</v>
      </c>
    </row>
    <row r="6" spans="1:10">
      <c r="B6" t="s">
        <v>128</v>
      </c>
      <c r="C6" s="76">
        <v>0.247</v>
      </c>
      <c r="F6" t="s">
        <v>128</v>
      </c>
      <c r="G6" s="76">
        <v>0.23669999999999999</v>
      </c>
      <c r="J6" s="264">
        <f t="shared" si="0"/>
        <v>1.0300000000000004E-2</v>
      </c>
    </row>
    <row r="7" spans="1:10">
      <c r="B7" t="s">
        <v>129</v>
      </c>
      <c r="C7" s="76">
        <v>1.04E-2</v>
      </c>
      <c r="F7" t="s">
        <v>129</v>
      </c>
      <c r="G7" s="76">
        <v>1.0999999999999999E-2</v>
      </c>
      <c r="J7" s="263">
        <f t="shared" si="0"/>
        <v>-5.9999999999999984E-4</v>
      </c>
    </row>
    <row r="8" spans="1:10">
      <c r="B8" t="s">
        <v>130</v>
      </c>
      <c r="C8" s="76">
        <v>0.12620000000000001</v>
      </c>
      <c r="F8" t="s">
        <v>130</v>
      </c>
      <c r="G8" s="76">
        <v>0.11609999999999999</v>
      </c>
      <c r="J8" s="264">
        <f t="shared" si="0"/>
        <v>1.0100000000000012E-2</v>
      </c>
    </row>
    <row r="9" spans="1:10">
      <c r="B9" t="s">
        <v>131</v>
      </c>
      <c r="C9" s="76">
        <v>7.1099999999999997E-2</v>
      </c>
      <c r="F9" t="s">
        <v>131</v>
      </c>
      <c r="G9" s="76">
        <v>7.0599999999999996E-2</v>
      </c>
      <c r="J9" s="263">
        <f t="shared" si="0"/>
        <v>5.0000000000000044E-4</v>
      </c>
    </row>
    <row r="10" spans="1:10">
      <c r="B10" t="s">
        <v>132</v>
      </c>
      <c r="C10" s="76">
        <v>5.5999999999999999E-3</v>
      </c>
      <c r="F10" t="s">
        <v>132</v>
      </c>
      <c r="G10" s="76">
        <v>1.0500000000000001E-2</v>
      </c>
      <c r="J10" s="263">
        <f t="shared" si="0"/>
        <v>-4.9000000000000007E-3</v>
      </c>
    </row>
    <row r="11" spans="1:10">
      <c r="B11" t="s">
        <v>133</v>
      </c>
      <c r="C11" s="76">
        <v>0.40389999999999998</v>
      </c>
      <c r="F11" t="s">
        <v>133</v>
      </c>
      <c r="G11" s="76">
        <v>0.41660000000000003</v>
      </c>
      <c r="J11" s="264">
        <f t="shared" si="0"/>
        <v>-1.2700000000000045E-2</v>
      </c>
    </row>
    <row r="12" spans="1:10">
      <c r="B12" t="s">
        <v>134</v>
      </c>
      <c r="C12" s="76">
        <v>6.9999999999999999E-4</v>
      </c>
      <c r="F12" t="s">
        <v>134</v>
      </c>
      <c r="G12" s="76">
        <v>8.0000000000000004E-4</v>
      </c>
      <c r="J12" s="85">
        <f t="shared" si="0"/>
        <v>-1.0000000000000005E-4</v>
      </c>
    </row>
    <row r="13" spans="1:10">
      <c r="B13" t="s">
        <v>137</v>
      </c>
      <c r="C13" s="76">
        <v>0</v>
      </c>
      <c r="F13" t="s">
        <v>137</v>
      </c>
      <c r="G13" s="76">
        <v>1E-4</v>
      </c>
      <c r="J13" s="85">
        <f t="shared" si="0"/>
        <v>-1E-4</v>
      </c>
    </row>
    <row r="14" spans="1:10">
      <c r="B14" t="s">
        <v>138</v>
      </c>
      <c r="C14" s="76">
        <v>0</v>
      </c>
      <c r="F14" t="s">
        <v>138</v>
      </c>
      <c r="G14" s="76">
        <v>1E-4</v>
      </c>
      <c r="J14" s="85">
        <f t="shared" si="0"/>
        <v>-1E-4</v>
      </c>
    </row>
    <row r="15" spans="1:10">
      <c r="B15" t="s">
        <v>139</v>
      </c>
      <c r="C15" s="76">
        <v>0.1033</v>
      </c>
      <c r="F15" t="s">
        <v>139</v>
      </c>
      <c r="G15" s="76">
        <v>0.1062</v>
      </c>
      <c r="J15" s="85">
        <f t="shared" si="0"/>
        <v>-2.8999999999999998E-3</v>
      </c>
    </row>
    <row r="16" spans="1:10" ht="15" thickBot="1">
      <c r="B16" t="s">
        <v>6</v>
      </c>
      <c r="C16" s="184">
        <f>SUM(C4:C15)</f>
        <v>1</v>
      </c>
      <c r="F16" t="s">
        <v>6</v>
      </c>
      <c r="G16" s="184">
        <f>SUM(G4:G15)</f>
        <v>1</v>
      </c>
      <c r="J16" s="184">
        <f>SUM(J4:J15)</f>
        <v>-2.6020852139652106E-17</v>
      </c>
    </row>
    <row r="17" ht="15" thickTop="1"/>
  </sheetData>
  <mergeCells count="3">
    <mergeCell ref="A1:J1"/>
    <mergeCell ref="B3:C3"/>
    <mergeCell ref="F3:G3"/>
  </mergeCells>
  <pageMargins left="0.7" right="0.7" top="0.75" bottom="0.75" header="0.3" footer="0.3"/>
  <pageSetup orientation="portrait" verticalDpi="0" r:id="rId1"/>
  <headerFooter>
    <oddHeader>&amp;RKY PSC Case No. 2016-00162,
Attachment G to Staff Post Hearing Supp. DR 2</oddHead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16"/>
  <sheetViews>
    <sheetView zoomScaleNormal="100" workbookViewId="0"/>
  </sheetViews>
  <sheetFormatPr defaultRowHeight="14.4"/>
  <cols>
    <col min="2" max="2" width="11.5546875" bestFit="1" customWidth="1"/>
    <col min="3" max="3" width="34.33203125" bestFit="1" customWidth="1"/>
    <col min="6" max="6" width="34.33203125" bestFit="1" customWidth="1"/>
    <col min="9" max="9" width="34.33203125" bestFit="1" customWidth="1"/>
    <col min="11" max="11" width="19" bestFit="1" customWidth="1"/>
  </cols>
  <sheetData>
    <row r="3" spans="2:13">
      <c r="B3" s="259" t="s">
        <v>173</v>
      </c>
      <c r="C3" s="259"/>
      <c r="E3" s="259" t="s">
        <v>177</v>
      </c>
      <c r="F3" s="259"/>
      <c r="H3" s="259" t="s">
        <v>175</v>
      </c>
      <c r="I3" s="259"/>
    </row>
    <row r="4" spans="2:13">
      <c r="B4" s="212" t="s">
        <v>79</v>
      </c>
      <c r="C4" s="212" t="s">
        <v>147</v>
      </c>
      <c r="E4" s="212" t="s">
        <v>79</v>
      </c>
      <c r="F4" s="234" t="s">
        <v>147</v>
      </c>
      <c r="H4" s="212" t="s">
        <v>79</v>
      </c>
      <c r="I4" s="234" t="s">
        <v>147</v>
      </c>
      <c r="K4" s="265" t="s">
        <v>178</v>
      </c>
      <c r="M4" s="265" t="s">
        <v>89</v>
      </c>
    </row>
    <row r="5" spans="2:13">
      <c r="B5" s="99" t="s">
        <v>126</v>
      </c>
      <c r="C5" s="73">
        <v>17604.130000000012</v>
      </c>
      <c r="E5" s="99" t="s">
        <v>126</v>
      </c>
      <c r="F5" s="72">
        <v>5424.4099999999971</v>
      </c>
      <c r="H5" s="99" t="s">
        <v>126</v>
      </c>
      <c r="I5" s="72">
        <v>4356.3300000000017</v>
      </c>
      <c r="K5" s="73">
        <f>C5+F5+I5</f>
        <v>27384.87000000001</v>
      </c>
      <c r="M5" s="180">
        <f t="shared" ref="M5:M11" si="0">ROUND(K5/SUM($K$5:$K$15),4)</f>
        <v>2.0000000000000001E-4</v>
      </c>
    </row>
    <row r="6" spans="2:13">
      <c r="B6" s="99" t="s">
        <v>127</v>
      </c>
      <c r="C6" s="73">
        <v>1161611.9000000015</v>
      </c>
      <c r="E6" s="99" t="s">
        <v>127</v>
      </c>
      <c r="F6" s="72">
        <v>737805.98999999906</v>
      </c>
      <c r="H6" s="99" t="s">
        <v>127</v>
      </c>
      <c r="I6" s="72">
        <v>1752696.2400000028</v>
      </c>
      <c r="K6" s="73">
        <f t="shared" ref="K6:K15" si="1">C6+F6+I6</f>
        <v>3652114.1300000036</v>
      </c>
      <c r="M6" s="180">
        <f t="shared" si="0"/>
        <v>3.1600000000000003E-2</v>
      </c>
    </row>
    <row r="7" spans="2:13">
      <c r="B7" s="99" t="s">
        <v>128</v>
      </c>
      <c r="C7" s="73">
        <v>8304522.0900000073</v>
      </c>
      <c r="E7" s="99" t="s">
        <v>128</v>
      </c>
      <c r="F7" s="72">
        <v>6164742.1800000062</v>
      </c>
      <c r="H7" s="99" t="s">
        <v>128</v>
      </c>
      <c r="I7" s="72">
        <v>14098419.830000043</v>
      </c>
      <c r="K7" s="73">
        <f t="shared" si="1"/>
        <v>28567684.100000057</v>
      </c>
      <c r="M7" s="180">
        <f t="shared" si="0"/>
        <v>0.247</v>
      </c>
    </row>
    <row r="8" spans="2:13">
      <c r="B8" s="99" t="s">
        <v>129</v>
      </c>
      <c r="C8" s="73">
        <v>419841.77000000147</v>
      </c>
      <c r="E8" s="99" t="s">
        <v>129</v>
      </c>
      <c r="F8" s="72">
        <v>270784.20000000013</v>
      </c>
      <c r="H8" s="99" t="s">
        <v>129</v>
      </c>
      <c r="I8" s="72">
        <v>515764.27000000101</v>
      </c>
      <c r="K8" s="73">
        <f t="shared" si="1"/>
        <v>1206390.2400000026</v>
      </c>
      <c r="M8" s="180">
        <f t="shared" si="0"/>
        <v>1.04E-2</v>
      </c>
    </row>
    <row r="9" spans="2:13">
      <c r="B9" s="99" t="s">
        <v>130</v>
      </c>
      <c r="C9" s="73">
        <v>4464880.2700000023</v>
      </c>
      <c r="E9" s="99" t="s">
        <v>130</v>
      </c>
      <c r="F9" s="72">
        <v>2820686.5099999909</v>
      </c>
      <c r="H9" s="99" t="s">
        <v>130</v>
      </c>
      <c r="I9" s="72">
        <v>7313990.6299999934</v>
      </c>
      <c r="K9" s="73">
        <f t="shared" si="1"/>
        <v>14599557.409999987</v>
      </c>
      <c r="M9" s="180">
        <f>ROUND(K9/SUM($K$5:$K$15),4)</f>
        <v>0.12620000000000001</v>
      </c>
    </row>
    <row r="10" spans="2:13">
      <c r="B10" s="99" t="s">
        <v>131</v>
      </c>
      <c r="C10" s="73">
        <v>2706566.2200000039</v>
      </c>
      <c r="E10" s="99" t="s">
        <v>131</v>
      </c>
      <c r="F10" s="72">
        <v>1732806.2500000002</v>
      </c>
      <c r="H10" s="99" t="s">
        <v>131</v>
      </c>
      <c r="I10" s="72">
        <v>3785004.1999999848</v>
      </c>
      <c r="K10" s="73">
        <f t="shared" si="1"/>
        <v>8224376.6699999887</v>
      </c>
      <c r="M10" s="180">
        <f t="shared" si="0"/>
        <v>7.1099999999999997E-2</v>
      </c>
    </row>
    <row r="11" spans="2:13">
      <c r="B11" s="99" t="s">
        <v>132</v>
      </c>
      <c r="C11" s="73">
        <f>520589.25+86.79</f>
        <v>520676.04</v>
      </c>
      <c r="E11" s="99" t="s">
        <v>132</v>
      </c>
      <c r="F11" s="72">
        <f>77380.7600000002+10379.7</f>
        <v>87760.460000000196</v>
      </c>
      <c r="H11" s="266" t="s">
        <v>132</v>
      </c>
      <c r="I11" s="72">
        <f>39721.97-420.62</f>
        <v>39301.35</v>
      </c>
      <c r="K11" s="73">
        <f t="shared" si="1"/>
        <v>647737.85000000021</v>
      </c>
      <c r="M11" s="180">
        <f t="shared" si="0"/>
        <v>5.5999999999999999E-3</v>
      </c>
    </row>
    <row r="12" spans="2:13">
      <c r="B12" s="99" t="s">
        <v>133</v>
      </c>
      <c r="C12" s="73">
        <v>14108637.299999965</v>
      </c>
      <c r="E12" s="99" t="s">
        <v>133</v>
      </c>
      <c r="F12" s="72">
        <v>11434527.140000002</v>
      </c>
      <c r="H12" s="99" t="s">
        <v>133</v>
      </c>
      <c r="I12" s="72">
        <v>21143562.709999993</v>
      </c>
      <c r="K12" s="73">
        <f t="shared" si="1"/>
        <v>46686727.149999961</v>
      </c>
      <c r="M12" s="79">
        <f>ROUND(K12/SUM($K$5:$K$15),4)+0.0002</f>
        <v>0.40389999999999998</v>
      </c>
    </row>
    <row r="13" spans="2:13">
      <c r="B13" s="99" t="s">
        <v>134</v>
      </c>
      <c r="C13" s="73">
        <v>20852.059999999994</v>
      </c>
      <c r="E13" s="99" t="s">
        <v>134</v>
      </c>
      <c r="F13" s="72">
        <v>39362.559999999983</v>
      </c>
      <c r="H13" s="99" t="s">
        <v>134</v>
      </c>
      <c r="I13" s="72">
        <v>18255.820000000014</v>
      </c>
      <c r="K13" s="73">
        <f t="shared" si="1"/>
        <v>78470.44</v>
      </c>
      <c r="M13" s="180">
        <f>ROUND(K13/SUM($K$5:$K$15),4)</f>
        <v>6.9999999999999999E-4</v>
      </c>
    </row>
    <row r="14" spans="2:13">
      <c r="B14" s="99" t="s">
        <v>137</v>
      </c>
      <c r="C14" s="73">
        <v>2011.8499999999974</v>
      </c>
      <c r="E14" s="99" t="s">
        <v>137</v>
      </c>
      <c r="F14" s="72">
        <v>1153.8599999999985</v>
      </c>
      <c r="H14" s="99" t="s">
        <v>137</v>
      </c>
      <c r="I14" s="72">
        <v>1678.9099999999944</v>
      </c>
      <c r="K14" s="73">
        <f t="shared" si="1"/>
        <v>4844.6199999999899</v>
      </c>
      <c r="M14" s="180">
        <f>ROUND(K14/SUM($K$5:$K$15),4)</f>
        <v>0</v>
      </c>
    </row>
    <row r="15" spans="2:13">
      <c r="B15" s="99" t="s">
        <v>139</v>
      </c>
      <c r="C15" s="73">
        <v>3622666.8800000022</v>
      </c>
      <c r="E15" s="99" t="s">
        <v>139</v>
      </c>
      <c r="F15" s="72">
        <v>2696522.5499999966</v>
      </c>
      <c r="H15" s="99" t="s">
        <v>139</v>
      </c>
      <c r="I15" s="72">
        <v>5627127.5299999956</v>
      </c>
      <c r="K15" s="73">
        <f t="shared" si="1"/>
        <v>11946316.959999993</v>
      </c>
      <c r="M15" s="180">
        <f>ROUND(K15/SUM($K$5:$K$15),4)</f>
        <v>0.1033</v>
      </c>
    </row>
    <row r="16" spans="2:13">
      <c r="B16" s="225" t="s">
        <v>49</v>
      </c>
      <c r="C16" s="226">
        <f>SUM(C5:C15)</f>
        <v>35349870.509999976</v>
      </c>
      <c r="E16" s="225" t="s">
        <v>49</v>
      </c>
      <c r="F16" s="235">
        <f>SUM(F5:F15)</f>
        <v>25991576.109999996</v>
      </c>
      <c r="H16" s="225" t="s">
        <v>49</v>
      </c>
      <c r="I16" s="235">
        <f>SUM(I5:I15)</f>
        <v>54300157.820000008</v>
      </c>
      <c r="K16" s="267">
        <f>SUM(K5:K15)</f>
        <v>115641604.44</v>
      </c>
      <c r="M16" s="263">
        <f>SUM(M5:M15)</f>
        <v>1</v>
      </c>
    </row>
  </sheetData>
  <mergeCells count="3">
    <mergeCell ref="B3:C3"/>
    <mergeCell ref="E3:F3"/>
    <mergeCell ref="H3:I3"/>
  </mergeCells>
  <pageMargins left="0.7" right="0.7" top="0.75" bottom="0.75" header="0.3" footer="0.3"/>
  <pageSetup orientation="portrait" verticalDpi="0" r:id="rId1"/>
  <headerFooter>
    <oddHeader>&amp;RKY PSC Case No. 2016-00162,
Attachment G to Staff Post Hearing Supp. DR 2</oddHeader>
  </headerFooter>
  <colBreaks count="2" manualBreakCount="2">
    <brk id="4" max="1048575" man="1"/>
    <brk id="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H36"/>
  <sheetViews>
    <sheetView zoomScaleNormal="100" workbookViewId="0"/>
  </sheetViews>
  <sheetFormatPr defaultRowHeight="14.4"/>
  <cols>
    <col min="1" max="1" width="18.33203125" bestFit="1" customWidth="1"/>
    <col min="2" max="2" width="15.33203125" bestFit="1" customWidth="1"/>
    <col min="4" max="4" width="15.33203125" bestFit="1" customWidth="1"/>
    <col min="5" max="5" width="12.109375" customWidth="1"/>
    <col min="6" max="6" width="12" bestFit="1" customWidth="1"/>
    <col min="7" max="7" width="15.33203125" bestFit="1" customWidth="1"/>
    <col min="8" max="8" width="11.88671875" customWidth="1"/>
  </cols>
  <sheetData>
    <row r="1" spans="1:8">
      <c r="A1" t="s">
        <v>39</v>
      </c>
      <c r="B1" t="s">
        <v>40</v>
      </c>
      <c r="E1" s="244" t="s">
        <v>68</v>
      </c>
      <c r="F1" s="244"/>
      <c r="G1" s="244"/>
      <c r="H1" s="244"/>
    </row>
    <row r="2" spans="1:8">
      <c r="E2" s="244"/>
      <c r="F2" s="244"/>
      <c r="G2" s="244"/>
      <c r="H2" s="244"/>
    </row>
    <row r="3" spans="1:8">
      <c r="A3" t="s">
        <v>43</v>
      </c>
    </row>
    <row r="4" spans="1:8">
      <c r="A4" t="s">
        <v>44</v>
      </c>
      <c r="B4" t="s">
        <v>6</v>
      </c>
      <c r="C4" t="s">
        <v>44</v>
      </c>
      <c r="D4" t="s">
        <v>6</v>
      </c>
      <c r="F4" t="s">
        <v>69</v>
      </c>
    </row>
    <row r="5" spans="1:8">
      <c r="A5" t="s">
        <v>8</v>
      </c>
      <c r="B5" s="73">
        <v>1633117.42</v>
      </c>
      <c r="C5" t="s">
        <v>8</v>
      </c>
      <c r="D5" s="72">
        <v>1633117.42</v>
      </c>
      <c r="F5" t="s">
        <v>44</v>
      </c>
      <c r="G5" t="s">
        <v>6</v>
      </c>
    </row>
    <row r="6" spans="1:8">
      <c r="A6" t="s">
        <v>9</v>
      </c>
      <c r="B6" s="73">
        <v>11781171.879999999</v>
      </c>
      <c r="C6" t="s">
        <v>9</v>
      </c>
      <c r="D6" s="72">
        <v>11781171.879999999</v>
      </c>
      <c r="F6" t="s">
        <v>8</v>
      </c>
      <c r="G6" s="73">
        <v>1633117.42</v>
      </c>
      <c r="H6" s="76">
        <f>ROUND(G6/$G$34,4)</f>
        <v>4.7999999999999996E-3</v>
      </c>
    </row>
    <row r="7" spans="1:8">
      <c r="A7" t="s">
        <v>11</v>
      </c>
      <c r="B7" s="73">
        <v>220390.74000000002</v>
      </c>
      <c r="C7" t="s">
        <v>11</v>
      </c>
      <c r="D7" s="72">
        <v>220390.74000000002</v>
      </c>
      <c r="F7" t="s">
        <v>9</v>
      </c>
      <c r="G7" s="73">
        <v>11781171.879999999</v>
      </c>
      <c r="H7" s="76">
        <f t="shared" ref="H7:H33" si="0">ROUND(G7/$G$34,4)</f>
        <v>3.49E-2</v>
      </c>
    </row>
    <row r="8" spans="1:8">
      <c r="A8" t="s">
        <v>12</v>
      </c>
      <c r="B8" s="73">
        <v>366984.77999999997</v>
      </c>
      <c r="C8" t="s">
        <v>12</v>
      </c>
      <c r="D8" s="72">
        <v>366984.77999999997</v>
      </c>
      <c r="F8" t="s">
        <v>11</v>
      </c>
      <c r="G8" s="73">
        <v>220390.74000000002</v>
      </c>
      <c r="H8" s="76">
        <f t="shared" si="0"/>
        <v>6.9999999999999999E-4</v>
      </c>
    </row>
    <row r="9" spans="1:8">
      <c r="A9" t="s">
        <v>13</v>
      </c>
      <c r="B9" s="73">
        <v>7573214.5100000007</v>
      </c>
      <c r="C9" t="s">
        <v>13</v>
      </c>
      <c r="D9" s="72">
        <v>7573214.5100000007</v>
      </c>
      <c r="F9" t="s">
        <v>12</v>
      </c>
      <c r="G9" s="73">
        <v>366984.77999999997</v>
      </c>
      <c r="H9" s="76">
        <f t="shared" si="0"/>
        <v>1.1000000000000001E-3</v>
      </c>
    </row>
    <row r="10" spans="1:8">
      <c r="A10" t="s">
        <v>14</v>
      </c>
      <c r="B10" s="73">
        <v>58188795.390000001</v>
      </c>
      <c r="C10" t="s">
        <v>14</v>
      </c>
      <c r="D10" s="72">
        <v>58188795.390000001</v>
      </c>
      <c r="F10" t="s">
        <v>13</v>
      </c>
      <c r="G10" s="73">
        <v>7573214.5100000007</v>
      </c>
      <c r="H10" s="76">
        <f t="shared" si="0"/>
        <v>2.24E-2</v>
      </c>
    </row>
    <row r="11" spans="1:8">
      <c r="A11" t="s">
        <v>15</v>
      </c>
      <c r="B11" s="73">
        <v>2745895.2600000002</v>
      </c>
      <c r="C11" t="s">
        <v>15</v>
      </c>
      <c r="D11" s="72">
        <v>2745895.2600000002</v>
      </c>
      <c r="F11" t="s">
        <v>14</v>
      </c>
      <c r="G11" s="73">
        <v>58188795.390000001</v>
      </c>
      <c r="H11" s="76">
        <f t="shared" si="0"/>
        <v>0.17219999999999999</v>
      </c>
    </row>
    <row r="12" spans="1:8">
      <c r="A12" t="s">
        <v>16</v>
      </c>
      <c r="B12" s="73">
        <v>24979967.149999999</v>
      </c>
      <c r="C12" t="s">
        <v>16</v>
      </c>
      <c r="D12" s="72">
        <v>24979967.149999999</v>
      </c>
      <c r="F12" t="s">
        <v>15</v>
      </c>
      <c r="G12" s="73">
        <v>2745895.2600000002</v>
      </c>
      <c r="H12" s="76">
        <f t="shared" si="0"/>
        <v>8.0999999999999996E-3</v>
      </c>
    </row>
    <row r="13" spans="1:8">
      <c r="A13" t="s">
        <v>17</v>
      </c>
      <c r="B13" s="73">
        <v>13474626.559999999</v>
      </c>
      <c r="C13" t="s">
        <v>17</v>
      </c>
      <c r="D13" s="72">
        <v>13474626.559999999</v>
      </c>
      <c r="F13" t="s">
        <v>16</v>
      </c>
      <c r="G13" s="73">
        <v>24979967.149999999</v>
      </c>
      <c r="H13" s="76">
        <f t="shared" si="0"/>
        <v>7.3899999999999993E-2</v>
      </c>
    </row>
    <row r="14" spans="1:8">
      <c r="A14" t="s">
        <v>18</v>
      </c>
      <c r="B14" s="73">
        <v>387058.68</v>
      </c>
      <c r="C14" t="s">
        <v>18</v>
      </c>
      <c r="D14" s="72">
        <v>387058.68</v>
      </c>
      <c r="F14" t="s">
        <v>17</v>
      </c>
      <c r="G14" s="73">
        <v>13474626.559999999</v>
      </c>
      <c r="H14" s="76">
        <f t="shared" si="0"/>
        <v>3.9899999999999998E-2</v>
      </c>
    </row>
    <row r="15" spans="1:8">
      <c r="A15" t="s">
        <v>19</v>
      </c>
      <c r="B15" s="73">
        <v>81039616.140000015</v>
      </c>
      <c r="C15" t="s">
        <v>19</v>
      </c>
      <c r="D15" s="72">
        <v>81039616.140000015</v>
      </c>
      <c r="F15" t="s">
        <v>18</v>
      </c>
      <c r="G15" s="73">
        <v>387058.68</v>
      </c>
      <c r="H15" s="76">
        <f t="shared" si="0"/>
        <v>1.1000000000000001E-3</v>
      </c>
    </row>
    <row r="16" spans="1:8">
      <c r="A16" t="s">
        <v>20</v>
      </c>
      <c r="B16" s="73">
        <v>132565.96</v>
      </c>
      <c r="C16" t="s">
        <v>20</v>
      </c>
      <c r="D16" s="72">
        <v>132565.96</v>
      </c>
      <c r="F16" t="s">
        <v>19</v>
      </c>
      <c r="G16" s="73">
        <v>81039616.140000015</v>
      </c>
      <c r="H16" s="76">
        <f t="shared" si="0"/>
        <v>0.2399</v>
      </c>
    </row>
    <row r="17" spans="1:8">
      <c r="A17" t="s">
        <v>21</v>
      </c>
      <c r="B17" s="73">
        <v>7372195.2799999993</v>
      </c>
      <c r="C17" t="s">
        <v>21</v>
      </c>
      <c r="D17" s="72">
        <v>7372195.2799999993</v>
      </c>
      <c r="F17" t="s">
        <v>20</v>
      </c>
      <c r="G17" s="73">
        <v>132565.96</v>
      </c>
      <c r="H17" s="76">
        <f t="shared" si="0"/>
        <v>4.0000000000000002E-4</v>
      </c>
    </row>
    <row r="18" spans="1:8">
      <c r="A18" t="s">
        <v>22</v>
      </c>
      <c r="B18" s="73">
        <v>81329999.519999996</v>
      </c>
      <c r="C18" t="s">
        <v>22</v>
      </c>
      <c r="D18" s="72">
        <v>81329999.519999996</v>
      </c>
      <c r="F18" t="s">
        <v>21</v>
      </c>
      <c r="G18" s="73">
        <v>7372195.2799999993</v>
      </c>
      <c r="H18" s="79">
        <f>ROUND(G18/$G$34,4)+0.0001</f>
        <v>2.1899999999999999E-2</v>
      </c>
    </row>
    <row r="19" spans="1:8">
      <c r="A19" t="s">
        <v>23</v>
      </c>
      <c r="B19" s="73">
        <v>1149040.5299999998</v>
      </c>
      <c r="C19" t="s">
        <v>23</v>
      </c>
      <c r="D19" s="72">
        <v>1149040.53</v>
      </c>
      <c r="F19" t="s">
        <v>22</v>
      </c>
      <c r="G19" s="73">
        <v>90834289.169999987</v>
      </c>
      <c r="H19" s="76">
        <f t="shared" si="0"/>
        <v>0.26879999999999998</v>
      </c>
    </row>
    <row r="20" spans="1:8">
      <c r="A20" t="s">
        <v>24</v>
      </c>
      <c r="B20" s="73">
        <v>15288.310000000003</v>
      </c>
      <c r="C20" t="s">
        <v>24</v>
      </c>
      <c r="D20" s="72">
        <v>15288.310000000003</v>
      </c>
      <c r="F20" t="s">
        <v>23</v>
      </c>
      <c r="G20" s="73">
        <v>1149040.53</v>
      </c>
      <c r="H20" s="76">
        <f t="shared" si="0"/>
        <v>3.3999999999999998E-3</v>
      </c>
    </row>
    <row r="21" spans="1:8">
      <c r="A21" t="s">
        <v>27</v>
      </c>
      <c r="B21" s="73">
        <v>135264.63</v>
      </c>
      <c r="C21" t="s">
        <v>27</v>
      </c>
      <c r="D21" s="72">
        <v>135264.63</v>
      </c>
      <c r="F21" t="s">
        <v>24</v>
      </c>
      <c r="G21" s="73">
        <v>15288.310000000003</v>
      </c>
      <c r="H21" s="76">
        <f t="shared" si="0"/>
        <v>0</v>
      </c>
    </row>
    <row r="22" spans="1:8">
      <c r="A22" t="s">
        <v>29</v>
      </c>
      <c r="B22" s="73">
        <v>769921.58000000007</v>
      </c>
      <c r="C22" t="s">
        <v>29</v>
      </c>
      <c r="D22" s="72">
        <v>769921.58000000007</v>
      </c>
      <c r="F22" t="s">
        <v>27</v>
      </c>
      <c r="G22" s="73">
        <v>135264.63</v>
      </c>
      <c r="H22" s="76">
        <f t="shared" si="0"/>
        <v>4.0000000000000002E-4</v>
      </c>
    </row>
    <row r="23" spans="1:8">
      <c r="A23" t="s">
        <v>55</v>
      </c>
      <c r="B23" s="73">
        <v>2628.25</v>
      </c>
      <c r="C23" t="s">
        <v>55</v>
      </c>
      <c r="D23" s="72">
        <v>2628.2500000000005</v>
      </c>
      <c r="F23" t="s">
        <v>29</v>
      </c>
      <c r="G23" s="73">
        <v>769921.58000000007</v>
      </c>
      <c r="H23" s="76">
        <f t="shared" si="0"/>
        <v>2.3E-3</v>
      </c>
    </row>
    <row r="24" spans="1:8">
      <c r="A24" t="s">
        <v>30</v>
      </c>
      <c r="B24" s="73">
        <v>234541.31000000003</v>
      </c>
      <c r="C24" t="s">
        <v>30</v>
      </c>
      <c r="D24" s="72">
        <v>234541.31000000003</v>
      </c>
      <c r="F24" t="s">
        <v>55</v>
      </c>
      <c r="G24" s="73">
        <v>2628.2500000000005</v>
      </c>
      <c r="H24" s="76">
        <f t="shared" si="0"/>
        <v>0</v>
      </c>
    </row>
    <row r="25" spans="1:8">
      <c r="A25" t="s">
        <v>31</v>
      </c>
      <c r="B25" s="73">
        <v>125660.98999999999</v>
      </c>
      <c r="C25" t="s">
        <v>31</v>
      </c>
      <c r="D25" s="72">
        <v>125660.98999999999</v>
      </c>
      <c r="F25" t="s">
        <v>30</v>
      </c>
      <c r="G25" s="73">
        <v>234541.31000000003</v>
      </c>
      <c r="H25" s="76">
        <f t="shared" si="0"/>
        <v>6.9999999999999999E-4</v>
      </c>
    </row>
    <row r="26" spans="1:8">
      <c r="A26" t="s">
        <v>32</v>
      </c>
      <c r="B26" s="73">
        <v>29071800.410000004</v>
      </c>
      <c r="C26" t="s">
        <v>32</v>
      </c>
      <c r="D26" s="72">
        <v>29071800.410000004</v>
      </c>
      <c r="F26" t="s">
        <v>31</v>
      </c>
      <c r="G26" s="73">
        <v>125660.98999999999</v>
      </c>
      <c r="H26" s="76">
        <f t="shared" si="0"/>
        <v>4.0000000000000002E-4</v>
      </c>
    </row>
    <row r="27" spans="1:8">
      <c r="A27" t="s">
        <v>33</v>
      </c>
      <c r="B27" s="73">
        <v>4575015.9399999995</v>
      </c>
      <c r="C27" t="s">
        <v>33</v>
      </c>
      <c r="D27" s="72">
        <v>4575015.9399999995</v>
      </c>
      <c r="F27" t="s">
        <v>32</v>
      </c>
      <c r="G27" s="73">
        <v>29071800.410000004</v>
      </c>
      <c r="H27" s="76">
        <f t="shared" si="0"/>
        <v>8.5999999999999993E-2</v>
      </c>
    </row>
    <row r="28" spans="1:8">
      <c r="A28" t="s">
        <v>47</v>
      </c>
      <c r="B28" s="73">
        <v>6747116.5600000005</v>
      </c>
      <c r="C28" s="74" t="s">
        <v>22</v>
      </c>
      <c r="D28" s="72">
        <v>6747116.5600000005</v>
      </c>
      <c r="F28" t="s">
        <v>33</v>
      </c>
      <c r="G28" s="73">
        <v>4575015.9399999995</v>
      </c>
      <c r="H28" s="76">
        <f t="shared" si="0"/>
        <v>1.35E-2</v>
      </c>
    </row>
    <row r="29" spans="1:8">
      <c r="A29" t="s">
        <v>48</v>
      </c>
      <c r="B29" s="73">
        <v>2756467.71</v>
      </c>
      <c r="C29" s="74" t="s">
        <v>22</v>
      </c>
      <c r="D29" s="72">
        <v>2756467.71</v>
      </c>
      <c r="F29" t="s">
        <v>35</v>
      </c>
      <c r="G29" s="73">
        <v>230613.37000000002</v>
      </c>
      <c r="H29" s="76">
        <f t="shared" si="0"/>
        <v>6.9999999999999999E-4</v>
      </c>
    </row>
    <row r="30" spans="1:8">
      <c r="A30" t="s">
        <v>35</v>
      </c>
      <c r="B30" s="73">
        <v>230613.37000000002</v>
      </c>
      <c r="C30" t="s">
        <v>35</v>
      </c>
      <c r="D30" s="72">
        <v>230613.37000000002</v>
      </c>
      <c r="F30" t="s">
        <v>36</v>
      </c>
      <c r="G30" s="73">
        <v>68374.25</v>
      </c>
      <c r="H30" s="76">
        <f t="shared" si="0"/>
        <v>2.0000000000000001E-4</v>
      </c>
    </row>
    <row r="31" spans="1:8">
      <c r="A31" t="s">
        <v>36</v>
      </c>
      <c r="B31" s="73">
        <v>68374.25</v>
      </c>
      <c r="C31" t="s">
        <v>36</v>
      </c>
      <c r="D31" s="72">
        <v>68374.25</v>
      </c>
      <c r="F31" t="s">
        <v>37</v>
      </c>
      <c r="G31" s="73">
        <v>61423.75</v>
      </c>
      <c r="H31" s="76">
        <f t="shared" si="0"/>
        <v>2.0000000000000001E-4</v>
      </c>
    </row>
    <row r="32" spans="1:8">
      <c r="A32" t="s">
        <v>37</v>
      </c>
      <c r="B32" s="73">
        <v>61423.75</v>
      </c>
      <c r="C32" t="s">
        <v>37</v>
      </c>
      <c r="D32" s="72">
        <v>61423.75</v>
      </c>
      <c r="F32" t="s">
        <v>38</v>
      </c>
      <c r="G32" s="73">
        <v>702044.04999999981</v>
      </c>
      <c r="H32" s="76">
        <f t="shared" si="0"/>
        <v>2.0999999999999999E-3</v>
      </c>
    </row>
    <row r="33" spans="1:8">
      <c r="A33" t="s">
        <v>70</v>
      </c>
      <c r="B33" s="73">
        <v>705.38</v>
      </c>
      <c r="C33" s="74" t="s">
        <v>22</v>
      </c>
      <c r="D33" s="72">
        <v>705.38</v>
      </c>
      <c r="F33" t="s">
        <v>56</v>
      </c>
      <c r="G33" s="73">
        <v>2824.21</v>
      </c>
      <c r="H33" s="76">
        <f t="shared" si="0"/>
        <v>0</v>
      </c>
    </row>
    <row r="34" spans="1:8">
      <c r="A34" t="s">
        <v>38</v>
      </c>
      <c r="B34" s="73">
        <v>702044.04999999993</v>
      </c>
      <c r="C34" t="s">
        <v>38</v>
      </c>
      <c r="D34" s="72">
        <v>702044.04999999981</v>
      </c>
      <c r="F34" t="s">
        <v>49</v>
      </c>
      <c r="G34" s="73">
        <v>337874330.5</v>
      </c>
      <c r="H34" s="85">
        <f>SUM(H6:H33)</f>
        <v>0.99999999999999967</v>
      </c>
    </row>
    <row r="35" spans="1:8">
      <c r="A35" t="s">
        <v>56</v>
      </c>
      <c r="B35" s="73">
        <v>2824.21</v>
      </c>
      <c r="C35" t="s">
        <v>56</v>
      </c>
      <c r="D35" s="72">
        <v>2824.21</v>
      </c>
    </row>
    <row r="36" spans="1:8">
      <c r="A36" t="s">
        <v>49</v>
      </c>
      <c r="B36" s="73">
        <v>337874330.5</v>
      </c>
      <c r="D36" s="72"/>
    </row>
  </sheetData>
  <mergeCells count="1">
    <mergeCell ref="E1:H2"/>
  </mergeCells>
  <pageMargins left="0.7" right="0.7" top="0.75" bottom="0.75" header="0.3" footer="0.3"/>
  <pageSetup scale="96" orientation="landscape" r:id="rId1"/>
  <headerFooter>
    <oddHeader>&amp;RKY PSC Case No. 2016-00162,
Attachment G to Staff Post Hearing Supp. DR 2</oddHead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zoomScaleNormal="100" workbookViewId="0">
      <selection sqref="A1:I1"/>
    </sheetView>
  </sheetViews>
  <sheetFormatPr defaultRowHeight="14.4"/>
  <cols>
    <col min="9" max="9" width="12.5546875" bestFit="1" customWidth="1"/>
  </cols>
  <sheetData>
    <row r="1" spans="1:9">
      <c r="A1" s="258" t="s">
        <v>179</v>
      </c>
      <c r="B1" s="258"/>
      <c r="C1" s="258"/>
      <c r="D1" s="258"/>
      <c r="E1" s="258"/>
      <c r="F1" s="258"/>
      <c r="G1" s="258"/>
      <c r="H1" s="258"/>
      <c r="I1" s="258"/>
    </row>
    <row r="4" spans="1:9">
      <c r="B4" s="256" t="s">
        <v>171</v>
      </c>
      <c r="C4" s="256"/>
      <c r="F4" s="256" t="s">
        <v>155</v>
      </c>
      <c r="G4" s="256"/>
      <c r="I4" s="75" t="s">
        <v>172</v>
      </c>
    </row>
    <row r="5" spans="1:9">
      <c r="B5" s="99" t="s">
        <v>126</v>
      </c>
      <c r="C5" s="180">
        <v>2.9999999999999997E-4</v>
      </c>
      <c r="F5" t="s">
        <v>126</v>
      </c>
      <c r="G5" s="76">
        <v>2.0000000000000001E-4</v>
      </c>
      <c r="I5" s="85">
        <f>C5-G5</f>
        <v>9.9999999999999964E-5</v>
      </c>
    </row>
    <row r="6" spans="1:9">
      <c r="B6" s="99" t="s">
        <v>127</v>
      </c>
      <c r="C6" s="180">
        <v>3.1099999999999999E-2</v>
      </c>
      <c r="F6" t="s">
        <v>127</v>
      </c>
      <c r="G6" s="76">
        <v>2.3699999999999999E-2</v>
      </c>
      <c r="I6" s="85">
        <f t="shared" ref="I6:I15" si="0">C6-G6</f>
        <v>7.4000000000000003E-3</v>
      </c>
    </row>
    <row r="7" spans="1:9">
      <c r="B7" s="99" t="s">
        <v>128</v>
      </c>
      <c r="C7" s="180">
        <v>0.17549999999999999</v>
      </c>
      <c r="F7" t="s">
        <v>128</v>
      </c>
      <c r="G7" s="76">
        <v>0.1779</v>
      </c>
      <c r="I7" s="85">
        <f t="shared" si="0"/>
        <v>-2.4000000000000132E-3</v>
      </c>
    </row>
    <row r="8" spans="1:9">
      <c r="B8" s="99" t="s">
        <v>129</v>
      </c>
      <c r="C8" s="180">
        <v>2.53E-2</v>
      </c>
      <c r="F8" t="s">
        <v>129</v>
      </c>
      <c r="G8" s="76">
        <v>1.9599999999999999E-2</v>
      </c>
      <c r="I8" s="85">
        <f t="shared" si="0"/>
        <v>5.7000000000000002E-3</v>
      </c>
    </row>
    <row r="9" spans="1:9">
      <c r="B9" s="99" t="s">
        <v>130</v>
      </c>
      <c r="C9" s="180">
        <v>0.115</v>
      </c>
      <c r="F9" t="s">
        <v>130</v>
      </c>
      <c r="G9" s="76">
        <v>0.1042</v>
      </c>
      <c r="I9" s="264">
        <f t="shared" si="0"/>
        <v>1.0800000000000004E-2</v>
      </c>
    </row>
    <row r="10" spans="1:9">
      <c r="B10" s="99" t="s">
        <v>131</v>
      </c>
      <c r="C10" s="180">
        <v>8.9700000000000002E-2</v>
      </c>
      <c r="F10" t="s">
        <v>131</v>
      </c>
      <c r="G10" s="76">
        <v>8.2199999999999995E-2</v>
      </c>
      <c r="I10" s="85">
        <f t="shared" si="0"/>
        <v>7.5000000000000067E-3</v>
      </c>
    </row>
    <row r="11" spans="1:9">
      <c r="B11" s="99" t="s">
        <v>132</v>
      </c>
      <c r="C11" s="180">
        <v>7.1199999999999999E-2</v>
      </c>
      <c r="F11" t="s">
        <v>132</v>
      </c>
      <c r="G11" s="76">
        <v>8.2699999999999996E-2</v>
      </c>
      <c r="I11" s="264">
        <f t="shared" si="0"/>
        <v>-1.1499999999999996E-2</v>
      </c>
    </row>
    <row r="12" spans="1:9">
      <c r="B12" s="99" t="s">
        <v>133</v>
      </c>
      <c r="C12" s="180">
        <v>0.36080000000000001</v>
      </c>
      <c r="F12" t="s">
        <v>133</v>
      </c>
      <c r="G12" s="76">
        <v>0.37780000000000002</v>
      </c>
      <c r="I12" s="264">
        <f t="shared" si="0"/>
        <v>-1.7000000000000015E-2</v>
      </c>
    </row>
    <row r="13" spans="1:9">
      <c r="B13" s="99" t="s">
        <v>134</v>
      </c>
      <c r="C13" s="180">
        <v>9.9000000000000008E-3</v>
      </c>
      <c r="F13" t="s">
        <v>134</v>
      </c>
      <c r="G13" s="76">
        <v>8.3000000000000001E-3</v>
      </c>
      <c r="I13" s="85">
        <f t="shared" si="0"/>
        <v>1.6000000000000007E-3</v>
      </c>
    </row>
    <row r="14" spans="1:9">
      <c r="B14" s="99" t="s">
        <v>137</v>
      </c>
      <c r="C14" s="180">
        <v>1E-4</v>
      </c>
      <c r="F14" t="s">
        <v>137</v>
      </c>
      <c r="G14" s="76">
        <v>1E-4</v>
      </c>
      <c r="I14" s="85">
        <f t="shared" si="0"/>
        <v>0</v>
      </c>
    </row>
    <row r="15" spans="1:9">
      <c r="B15" s="99" t="s">
        <v>139</v>
      </c>
      <c r="C15" s="180">
        <v>0.1211</v>
      </c>
      <c r="F15" t="s">
        <v>139</v>
      </c>
      <c r="G15" s="76">
        <v>0.12330000000000001</v>
      </c>
      <c r="I15" s="85">
        <f t="shared" si="0"/>
        <v>-2.2000000000000075E-3</v>
      </c>
    </row>
    <row r="16" spans="1:9" ht="15" thickBot="1">
      <c r="B16" s="99" t="s">
        <v>6</v>
      </c>
      <c r="C16" s="184">
        <f>SUM(C5:C15)</f>
        <v>1</v>
      </c>
      <c r="F16" t="s">
        <v>6</v>
      </c>
      <c r="G16" s="184">
        <f>SUM(G5:G15)</f>
        <v>1</v>
      </c>
      <c r="I16" s="184">
        <f>SUM(I5:I15)</f>
        <v>-2.0816681711721685E-17</v>
      </c>
    </row>
    <row r="17" ht="15" thickTop="1"/>
  </sheetData>
  <mergeCells count="3">
    <mergeCell ref="A1:I1"/>
    <mergeCell ref="B4:C4"/>
    <mergeCell ref="F4:G4"/>
  </mergeCells>
  <pageMargins left="0.7" right="0.7" top="0.75" bottom="0.75" header="0.3" footer="0.3"/>
  <pageSetup orientation="portrait" verticalDpi="0" r:id="rId1"/>
  <headerFooter>
    <oddHeader>&amp;RKY PSC Case No. 2016-00162,
Attachment G to Staff Post Hearing Supp. DR 2</oddHead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16"/>
  <sheetViews>
    <sheetView zoomScaleNormal="100" workbookViewId="0"/>
  </sheetViews>
  <sheetFormatPr defaultRowHeight="14.4"/>
  <cols>
    <col min="2" max="2" width="32.44140625" bestFit="1" customWidth="1"/>
    <col min="5" max="5" width="34.33203125" style="72" bestFit="1" customWidth="1"/>
    <col min="7" max="7" width="11.5546875" bestFit="1" customWidth="1"/>
    <col min="8" max="8" width="34.33203125" bestFit="1" customWidth="1"/>
    <col min="10" max="10" width="14.33203125" bestFit="1" customWidth="1"/>
  </cols>
  <sheetData>
    <row r="3" spans="1:12">
      <c r="A3" s="259" t="s">
        <v>180</v>
      </c>
      <c r="B3" s="259"/>
      <c r="D3" s="259" t="s">
        <v>181</v>
      </c>
      <c r="E3" s="259"/>
      <c r="G3" s="259" t="s">
        <v>175</v>
      </c>
      <c r="H3" s="259"/>
    </row>
    <row r="4" spans="1:12">
      <c r="A4" s="212" t="s">
        <v>79</v>
      </c>
      <c r="B4" s="234" t="s">
        <v>147</v>
      </c>
      <c r="D4" s="212" t="s">
        <v>79</v>
      </c>
      <c r="E4" s="234" t="s">
        <v>147</v>
      </c>
      <c r="G4" s="212" t="s">
        <v>79</v>
      </c>
      <c r="H4" s="234" t="s">
        <v>147</v>
      </c>
      <c r="J4" s="265" t="s">
        <v>178</v>
      </c>
      <c r="K4" s="240"/>
      <c r="L4" s="265" t="s">
        <v>182</v>
      </c>
    </row>
    <row r="5" spans="1:12">
      <c r="A5" s="99" t="s">
        <v>126</v>
      </c>
      <c r="B5" s="72">
        <v>2825.2400000000052</v>
      </c>
      <c r="D5" s="99" t="s">
        <v>126</v>
      </c>
      <c r="E5" s="72">
        <v>1803.0499999999961</v>
      </c>
      <c r="G5" s="99" t="s">
        <v>126</v>
      </c>
      <c r="H5" s="72">
        <v>1875.9799999999952</v>
      </c>
      <c r="J5" s="73">
        <f>B5+E5+H5</f>
        <v>6504.2699999999959</v>
      </c>
      <c r="L5" s="180">
        <f>ROUND(J5/SUM($J$5:$J$15),4)</f>
        <v>2.9999999999999997E-4</v>
      </c>
    </row>
    <row r="6" spans="1:12">
      <c r="A6" s="99" t="s">
        <v>127</v>
      </c>
      <c r="B6" s="72">
        <v>164176.40000000008</v>
      </c>
      <c r="D6" s="99" t="s">
        <v>127</v>
      </c>
      <c r="E6" s="72">
        <v>181255.6200000002</v>
      </c>
      <c r="G6" s="99" t="s">
        <v>127</v>
      </c>
      <c r="H6" s="72">
        <v>364436.52000000025</v>
      </c>
      <c r="J6" s="73">
        <f t="shared" ref="J6:J15" si="0">B6+E6+H6</f>
        <v>709868.5400000005</v>
      </c>
      <c r="L6" s="180">
        <f t="shared" ref="L6:L15" si="1">ROUND(J6/SUM($J$5:$J$15),4)</f>
        <v>3.1099999999999999E-2</v>
      </c>
    </row>
    <row r="7" spans="1:12">
      <c r="A7" s="99" t="s">
        <v>128</v>
      </c>
      <c r="B7" s="72">
        <v>1239413.5400000014</v>
      </c>
      <c r="D7" s="99" t="s">
        <v>128</v>
      </c>
      <c r="E7" s="72">
        <v>1240668.2100000004</v>
      </c>
      <c r="G7" s="99" t="s">
        <v>128</v>
      </c>
      <c r="H7" s="72">
        <v>1521394.9999999986</v>
      </c>
      <c r="J7" s="73">
        <f t="shared" si="0"/>
        <v>4001476.7500000005</v>
      </c>
      <c r="L7" s="180">
        <f t="shared" si="1"/>
        <v>0.17549999999999999</v>
      </c>
    </row>
    <row r="8" spans="1:12">
      <c r="A8" s="99" t="s">
        <v>129</v>
      </c>
      <c r="B8" s="72">
        <v>133312.4500000001</v>
      </c>
      <c r="D8" s="99" t="s">
        <v>129</v>
      </c>
      <c r="E8" s="72">
        <v>172696.34999999992</v>
      </c>
      <c r="G8" s="99" t="s">
        <v>129</v>
      </c>
      <c r="H8" s="72">
        <v>271209.15999999986</v>
      </c>
      <c r="J8" s="73">
        <f t="shared" si="0"/>
        <v>577217.96</v>
      </c>
      <c r="L8" s="180">
        <f t="shared" si="1"/>
        <v>2.53E-2</v>
      </c>
    </row>
    <row r="9" spans="1:12">
      <c r="A9" s="99" t="s">
        <v>130</v>
      </c>
      <c r="B9" s="72">
        <v>796021.60999999824</v>
      </c>
      <c r="D9" s="99" t="s">
        <v>130</v>
      </c>
      <c r="E9" s="72">
        <v>680980.50999999954</v>
      </c>
      <c r="G9" s="99" t="s">
        <v>130</v>
      </c>
      <c r="H9" s="72">
        <f>1144421.19</f>
        <v>1144421.19</v>
      </c>
      <c r="J9" s="73">
        <f t="shared" si="0"/>
        <v>2621423.3099999977</v>
      </c>
      <c r="L9" s="180">
        <f t="shared" si="1"/>
        <v>0.115</v>
      </c>
    </row>
    <row r="10" spans="1:12">
      <c r="A10" s="99" t="s">
        <v>131</v>
      </c>
      <c r="B10" s="72">
        <v>626142.85999999975</v>
      </c>
      <c r="D10" s="99" t="s">
        <v>131</v>
      </c>
      <c r="E10" s="72">
        <v>523005.53999999975</v>
      </c>
      <c r="G10" s="99" t="s">
        <v>131</v>
      </c>
      <c r="H10" s="72">
        <v>896147.76999999967</v>
      </c>
      <c r="J10" s="73">
        <f t="shared" si="0"/>
        <v>2045296.169999999</v>
      </c>
      <c r="L10" s="180">
        <f t="shared" si="1"/>
        <v>8.9700000000000002E-2</v>
      </c>
    </row>
    <row r="11" spans="1:12">
      <c r="A11" s="99" t="s">
        <v>132</v>
      </c>
      <c r="B11" s="72">
        <v>525484.36999999988</v>
      </c>
      <c r="D11" s="99" t="s">
        <v>132</v>
      </c>
      <c r="E11" s="72">
        <v>421677.70999999932</v>
      </c>
      <c r="G11" s="99" t="s">
        <v>132</v>
      </c>
      <c r="H11" s="72">
        <v>675877.75</v>
      </c>
      <c r="J11" s="73">
        <f t="shared" si="0"/>
        <v>1623039.8299999991</v>
      </c>
      <c r="L11" s="180">
        <f t="shared" si="1"/>
        <v>7.1199999999999999E-2</v>
      </c>
    </row>
    <row r="12" spans="1:12">
      <c r="A12" s="99" t="s">
        <v>133</v>
      </c>
      <c r="B12" s="72">
        <v>2561146.7599999961</v>
      </c>
      <c r="D12" s="99" t="s">
        <v>133</v>
      </c>
      <c r="E12" s="72">
        <v>2437676.489999997</v>
      </c>
      <c r="G12" s="99" t="s">
        <v>133</v>
      </c>
      <c r="H12" s="72">
        <v>3224642.5400000014</v>
      </c>
      <c r="J12" s="73">
        <f t="shared" si="0"/>
        <v>8223465.7899999935</v>
      </c>
      <c r="L12" s="79">
        <f>ROUND(J12/SUM($J$5:$J$15),4)+0.0001</f>
        <v>0.36080000000000001</v>
      </c>
    </row>
    <row r="13" spans="1:12">
      <c r="A13" s="99" t="s">
        <v>134</v>
      </c>
      <c r="B13" s="72">
        <v>58468.200000000019</v>
      </c>
      <c r="D13" s="99" t="s">
        <v>134</v>
      </c>
      <c r="E13" s="72">
        <v>34368.960000000036</v>
      </c>
      <c r="G13" s="99" t="s">
        <v>134</v>
      </c>
      <c r="H13" s="72">
        <v>132284.91999999998</v>
      </c>
      <c r="J13" s="73">
        <f t="shared" si="0"/>
        <v>225122.08000000005</v>
      </c>
      <c r="L13" s="180">
        <f t="shared" si="1"/>
        <v>9.9000000000000008E-3</v>
      </c>
    </row>
    <row r="14" spans="1:12">
      <c r="A14" s="99" t="s">
        <v>137</v>
      </c>
      <c r="B14" s="72">
        <v>904.86999999999796</v>
      </c>
      <c r="D14" s="99" t="s">
        <v>137</v>
      </c>
      <c r="E14" s="72">
        <v>176.73999999999998</v>
      </c>
      <c r="G14" s="99" t="s">
        <v>137</v>
      </c>
      <c r="H14" s="72">
        <v>492.85999999999956</v>
      </c>
      <c r="J14" s="73">
        <f t="shared" si="0"/>
        <v>1574.4699999999975</v>
      </c>
      <c r="L14" s="180">
        <f t="shared" si="1"/>
        <v>1E-4</v>
      </c>
    </row>
    <row r="15" spans="1:12">
      <c r="A15" s="99" t="s">
        <v>139</v>
      </c>
      <c r="B15" s="72">
        <v>1005472.3599999999</v>
      </c>
      <c r="D15" s="99" t="s">
        <v>139</v>
      </c>
      <c r="E15" s="72">
        <v>844715.87000000116</v>
      </c>
      <c r="G15" s="99" t="s">
        <v>139</v>
      </c>
      <c r="H15" s="72">
        <v>910622.04000000167</v>
      </c>
      <c r="J15" s="73">
        <f t="shared" si="0"/>
        <v>2760810.2700000023</v>
      </c>
      <c r="L15" s="180">
        <f t="shared" si="1"/>
        <v>0.1211</v>
      </c>
    </row>
    <row r="16" spans="1:12">
      <c r="A16" s="225" t="s">
        <v>49</v>
      </c>
      <c r="B16" s="235">
        <v>7113368.6599999964</v>
      </c>
      <c r="D16" s="225" t="s">
        <v>49</v>
      </c>
      <c r="E16" s="235">
        <v>6539025.049999998</v>
      </c>
      <c r="G16" s="225" t="s">
        <v>49</v>
      </c>
      <c r="H16" s="235">
        <v>9143405.7300000004</v>
      </c>
      <c r="J16" s="73">
        <f>SUM(J5:J15)</f>
        <v>22795799.43999999</v>
      </c>
      <c r="L16" s="180">
        <f>SUM(L5:L15)</f>
        <v>1</v>
      </c>
    </row>
  </sheetData>
  <mergeCells count="3">
    <mergeCell ref="A3:B3"/>
    <mergeCell ref="D3:E3"/>
    <mergeCell ref="G3:H3"/>
  </mergeCells>
  <pageMargins left="0.7" right="0.7" top="0.75" bottom="0.75" header="0.3" footer="0.3"/>
  <pageSetup orientation="portrait" verticalDpi="0" r:id="rId1"/>
  <headerFooter>
    <oddHeader>&amp;RKY PSC Case No. 2016-00162,
Attachment G to Staff Post Hearing Supp. DR 2</oddHeader>
  </headerFooter>
  <colBreaks count="2" manualBreakCount="2">
    <brk id="3" max="1048575" man="1"/>
    <brk id="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zoomScaleNormal="100" workbookViewId="0">
      <selection sqref="A1:J1"/>
    </sheetView>
  </sheetViews>
  <sheetFormatPr defaultColWidth="9.109375" defaultRowHeight="14.4"/>
  <cols>
    <col min="1" max="1" width="12.88671875" style="47" customWidth="1"/>
    <col min="2" max="2" width="15.33203125" style="47" bestFit="1" customWidth="1"/>
    <col min="3" max="3" width="19.6640625" style="47" bestFit="1" customWidth="1"/>
    <col min="4" max="4" width="6" style="47" customWidth="1"/>
    <col min="5" max="7" width="19.6640625" style="47" customWidth="1"/>
    <col min="8" max="8" width="9.109375" style="47"/>
    <col min="9" max="9" width="9.33203125" style="66" bestFit="1" customWidth="1"/>
    <col min="10" max="10" width="10.44140625" style="66" bestFit="1" customWidth="1"/>
    <col min="11" max="16384" width="9.109375" style="47"/>
  </cols>
  <sheetData>
    <row r="1" spans="1:11">
      <c r="A1" s="242" t="s">
        <v>50</v>
      </c>
      <c r="B1" s="242"/>
      <c r="C1" s="242"/>
      <c r="D1" s="242"/>
      <c r="E1" s="242"/>
      <c r="F1" s="242"/>
      <c r="G1" s="242"/>
      <c r="H1" s="242"/>
      <c r="I1" s="242"/>
      <c r="J1" s="242"/>
      <c r="K1" s="65"/>
    </row>
    <row r="3" spans="1:11">
      <c r="A3" s="243" t="s">
        <v>71</v>
      </c>
      <c r="B3" s="243"/>
      <c r="C3" s="243"/>
      <c r="D3" s="87"/>
      <c r="E3" s="243" t="s">
        <v>72</v>
      </c>
      <c r="F3" s="243"/>
      <c r="G3" s="243"/>
      <c r="I3" s="48"/>
      <c r="J3" s="48"/>
    </row>
    <row r="4" spans="1:11">
      <c r="A4" s="49" t="s">
        <v>2</v>
      </c>
      <c r="B4" s="50" t="s">
        <v>3</v>
      </c>
      <c r="C4" s="51" t="s">
        <v>5</v>
      </c>
      <c r="D4" s="88"/>
      <c r="E4" s="49" t="s">
        <v>2</v>
      </c>
      <c r="F4" s="50" t="s">
        <v>3</v>
      </c>
      <c r="G4" s="51" t="s">
        <v>5</v>
      </c>
      <c r="I4" s="52" t="s">
        <v>2</v>
      </c>
      <c r="J4" s="53" t="s">
        <v>7</v>
      </c>
    </row>
    <row r="5" spans="1:11">
      <c r="A5" s="54" t="s">
        <v>8</v>
      </c>
      <c r="B5" s="89">
        <v>1633117.42</v>
      </c>
      <c r="C5" s="56">
        <v>4.7999999999999996E-3</v>
      </c>
      <c r="D5" s="90"/>
      <c r="E5" s="54" t="s">
        <v>8</v>
      </c>
      <c r="F5" s="89">
        <v>1118631.79</v>
      </c>
      <c r="G5" s="56">
        <v>3.2000000000000002E-3</v>
      </c>
      <c r="I5" s="57" t="s">
        <v>8</v>
      </c>
      <c r="J5" s="82">
        <f>+G5-C5</f>
        <v>-1.5999999999999994E-3</v>
      </c>
    </row>
    <row r="6" spans="1:11">
      <c r="A6" s="54" t="s">
        <v>9</v>
      </c>
      <c r="B6" s="89">
        <v>11781171.879999999</v>
      </c>
      <c r="C6" s="56">
        <v>3.49E-2</v>
      </c>
      <c r="D6" s="90"/>
      <c r="E6" s="54" t="s">
        <v>9</v>
      </c>
      <c r="F6" s="89">
        <v>11792015.050000003</v>
      </c>
      <c r="G6" s="56">
        <v>3.4200000000000001E-2</v>
      </c>
      <c r="I6" s="57" t="s">
        <v>9</v>
      </c>
      <c r="J6" s="82">
        <f t="shared" ref="J6:J32" si="0">+G6-C6</f>
        <v>-6.9999999999999923E-4</v>
      </c>
    </row>
    <row r="7" spans="1:11">
      <c r="A7" s="54" t="s">
        <v>11</v>
      </c>
      <c r="B7" s="89">
        <v>220390.74000000002</v>
      </c>
      <c r="C7" s="56">
        <v>6.9999999999999999E-4</v>
      </c>
      <c r="D7" s="90"/>
      <c r="E7" s="54" t="s">
        <v>11</v>
      </c>
      <c r="F7" s="89">
        <v>248632.69000000003</v>
      </c>
      <c r="G7" s="56">
        <v>6.9999999999999999E-4</v>
      </c>
      <c r="I7" s="57" t="s">
        <v>11</v>
      </c>
      <c r="J7" s="82">
        <f t="shared" si="0"/>
        <v>0</v>
      </c>
    </row>
    <row r="8" spans="1:11">
      <c r="A8" s="54" t="s">
        <v>12</v>
      </c>
      <c r="B8" s="89">
        <v>366984.77999999997</v>
      </c>
      <c r="C8" s="56">
        <v>1.1000000000000001E-3</v>
      </c>
      <c r="D8" s="90"/>
      <c r="E8" s="54" t="s">
        <v>12</v>
      </c>
      <c r="F8" s="89">
        <v>329457.78000000003</v>
      </c>
      <c r="G8" s="56">
        <v>1E-3</v>
      </c>
      <c r="I8" s="57" t="s">
        <v>12</v>
      </c>
      <c r="J8" s="82">
        <f t="shared" si="0"/>
        <v>-1.0000000000000005E-4</v>
      </c>
    </row>
    <row r="9" spans="1:11">
      <c r="A9" s="54" t="s">
        <v>13</v>
      </c>
      <c r="B9" s="89">
        <v>7573214.5100000007</v>
      </c>
      <c r="C9" s="56">
        <v>2.24E-2</v>
      </c>
      <c r="D9" s="90"/>
      <c r="E9" s="54" t="s">
        <v>13</v>
      </c>
      <c r="F9" s="89">
        <v>7570162.54</v>
      </c>
      <c r="G9" s="56">
        <v>2.1999999999999999E-2</v>
      </c>
      <c r="I9" s="57" t="s">
        <v>13</v>
      </c>
      <c r="J9" s="82">
        <f t="shared" si="0"/>
        <v>-4.0000000000000105E-4</v>
      </c>
    </row>
    <row r="10" spans="1:11">
      <c r="A10" s="54" t="s">
        <v>14</v>
      </c>
      <c r="B10" s="89">
        <v>58188795.390000001</v>
      </c>
      <c r="C10" s="56">
        <v>0.17219999999999999</v>
      </c>
      <c r="D10" s="90"/>
      <c r="E10" s="54" t="s">
        <v>14</v>
      </c>
      <c r="F10" s="89">
        <v>59064504.899999999</v>
      </c>
      <c r="G10" s="56">
        <v>0.17150000000000001</v>
      </c>
      <c r="I10" s="57" t="s">
        <v>14</v>
      </c>
      <c r="J10" s="82">
        <f t="shared" si="0"/>
        <v>-6.9999999999997842E-4</v>
      </c>
    </row>
    <row r="11" spans="1:11">
      <c r="A11" s="54" t="s">
        <v>15</v>
      </c>
      <c r="B11" s="89">
        <v>2745895.2600000002</v>
      </c>
      <c r="C11" s="56">
        <v>8.0999999999999996E-3</v>
      </c>
      <c r="D11" s="90"/>
      <c r="E11" s="54" t="s">
        <v>15</v>
      </c>
      <c r="F11" s="89">
        <v>2938669.6</v>
      </c>
      <c r="G11" s="56">
        <v>8.5000000000000006E-3</v>
      </c>
      <c r="I11" s="57" t="s">
        <v>15</v>
      </c>
      <c r="J11" s="82">
        <f t="shared" si="0"/>
        <v>4.0000000000000105E-4</v>
      </c>
    </row>
    <row r="12" spans="1:11">
      <c r="A12" s="54" t="s">
        <v>16</v>
      </c>
      <c r="B12" s="89">
        <v>24979967.149999999</v>
      </c>
      <c r="C12" s="56">
        <v>7.3899999999999993E-2</v>
      </c>
      <c r="D12" s="90"/>
      <c r="E12" s="54" t="s">
        <v>16</v>
      </c>
      <c r="F12" s="89">
        <v>25483978.600000001</v>
      </c>
      <c r="G12" s="56">
        <v>7.3999999999999996E-2</v>
      </c>
      <c r="I12" s="57" t="s">
        <v>16</v>
      </c>
      <c r="J12" s="82">
        <f t="shared" si="0"/>
        <v>1.0000000000000286E-4</v>
      </c>
    </row>
    <row r="13" spans="1:11">
      <c r="A13" s="54" t="s">
        <v>17</v>
      </c>
      <c r="B13" s="89">
        <v>13474626.559999999</v>
      </c>
      <c r="C13" s="56">
        <v>3.9899999999999998E-2</v>
      </c>
      <c r="D13" s="90"/>
      <c r="E13" s="54" t="s">
        <v>17</v>
      </c>
      <c r="F13" s="89">
        <v>13761182.549999999</v>
      </c>
      <c r="G13" s="56">
        <v>3.9899999999999998E-2</v>
      </c>
      <c r="I13" s="57" t="s">
        <v>17</v>
      </c>
      <c r="J13" s="82">
        <f t="shared" si="0"/>
        <v>0</v>
      </c>
    </row>
    <row r="14" spans="1:11">
      <c r="A14" s="54" t="s">
        <v>18</v>
      </c>
      <c r="B14" s="89">
        <v>387058.68</v>
      </c>
      <c r="C14" s="56">
        <v>1.1000000000000001E-3</v>
      </c>
      <c r="D14" s="90"/>
      <c r="E14" s="54" t="s">
        <v>18</v>
      </c>
      <c r="F14" s="89">
        <v>348466.84</v>
      </c>
      <c r="G14" s="56">
        <v>1E-3</v>
      </c>
      <c r="I14" s="57" t="s">
        <v>18</v>
      </c>
      <c r="J14" s="82">
        <f t="shared" si="0"/>
        <v>-1.0000000000000005E-4</v>
      </c>
    </row>
    <row r="15" spans="1:11">
      <c r="A15" s="54" t="s">
        <v>19</v>
      </c>
      <c r="B15" s="89">
        <v>81039616.140000015</v>
      </c>
      <c r="C15" s="56">
        <v>0.2399</v>
      </c>
      <c r="D15" s="90"/>
      <c r="E15" s="54" t="s">
        <v>19</v>
      </c>
      <c r="F15" s="89">
        <v>85696871.560000002</v>
      </c>
      <c r="G15" s="56">
        <v>0.24879999999999999</v>
      </c>
      <c r="I15" s="57" t="s">
        <v>19</v>
      </c>
      <c r="J15" s="82">
        <f t="shared" si="0"/>
        <v>8.8999999999999913E-3</v>
      </c>
    </row>
    <row r="16" spans="1:11">
      <c r="A16" s="54" t="s">
        <v>20</v>
      </c>
      <c r="B16" s="89">
        <v>132565.96</v>
      </c>
      <c r="C16" s="56">
        <v>4.0000000000000002E-4</v>
      </c>
      <c r="D16" s="90"/>
      <c r="E16" s="54" t="s">
        <v>20</v>
      </c>
      <c r="F16" s="89">
        <v>114094.66</v>
      </c>
      <c r="G16" s="56">
        <v>2.9999999999999997E-4</v>
      </c>
      <c r="I16" s="57" t="s">
        <v>20</v>
      </c>
      <c r="J16" s="82">
        <f t="shared" si="0"/>
        <v>-1.0000000000000005E-4</v>
      </c>
    </row>
    <row r="17" spans="1:10">
      <c r="A17" s="59" t="s">
        <v>53</v>
      </c>
      <c r="B17" s="89">
        <v>7372195.2799999993</v>
      </c>
      <c r="C17" s="56">
        <v>2.1899999999999999E-2</v>
      </c>
      <c r="D17" s="90"/>
      <c r="E17" s="59" t="s">
        <v>21</v>
      </c>
      <c r="F17" s="89">
        <v>7109071.1499999994</v>
      </c>
      <c r="G17" s="56">
        <v>2.06E-2</v>
      </c>
      <c r="I17" s="57">
        <v>58</v>
      </c>
      <c r="J17" s="82">
        <f t="shared" si="0"/>
        <v>-1.2999999999999991E-3</v>
      </c>
    </row>
    <row r="18" spans="1:10">
      <c r="A18" s="54" t="s">
        <v>22</v>
      </c>
      <c r="B18" s="89">
        <v>90834289.169999987</v>
      </c>
      <c r="C18" s="56">
        <v>0.26879999999999998</v>
      </c>
      <c r="D18" s="90"/>
      <c r="E18" s="54" t="s">
        <v>22</v>
      </c>
      <c r="F18" s="89">
        <v>90535684.280000001</v>
      </c>
      <c r="G18" s="56">
        <v>0.26279999999999998</v>
      </c>
      <c r="I18" s="60">
        <v>59</v>
      </c>
      <c r="J18" s="82">
        <f t="shared" si="0"/>
        <v>-6.0000000000000053E-3</v>
      </c>
    </row>
    <row r="19" spans="1:10">
      <c r="A19" s="54" t="s">
        <v>23</v>
      </c>
      <c r="B19" s="89">
        <v>1149040.53</v>
      </c>
      <c r="C19" s="56">
        <v>3.3999999999999998E-3</v>
      </c>
      <c r="D19" s="90"/>
      <c r="E19" s="54" t="s">
        <v>23</v>
      </c>
      <c r="F19" s="89">
        <v>1066447.3900000001</v>
      </c>
      <c r="G19" s="56">
        <v>3.0999999999999999E-3</v>
      </c>
      <c r="I19" s="57" t="s">
        <v>23</v>
      </c>
      <c r="J19" s="82">
        <f t="shared" si="0"/>
        <v>-2.9999999999999992E-4</v>
      </c>
    </row>
    <row r="20" spans="1:10">
      <c r="A20" s="54" t="s">
        <v>24</v>
      </c>
      <c r="B20" s="89">
        <v>15288.310000000003</v>
      </c>
      <c r="C20" s="56">
        <v>0</v>
      </c>
      <c r="D20" s="90"/>
      <c r="E20" s="54" t="s">
        <v>24</v>
      </c>
      <c r="F20" s="89">
        <v>17610.340000000004</v>
      </c>
      <c r="G20" s="56">
        <v>1E-4</v>
      </c>
      <c r="I20" s="57" t="s">
        <v>24</v>
      </c>
      <c r="J20" s="82">
        <f t="shared" si="0"/>
        <v>1E-4</v>
      </c>
    </row>
    <row r="21" spans="1:10">
      <c r="A21" s="54" t="s">
        <v>27</v>
      </c>
      <c r="B21" s="89">
        <v>135264.63</v>
      </c>
      <c r="C21" s="56">
        <v>4.0000000000000002E-4</v>
      </c>
      <c r="D21" s="90"/>
      <c r="E21" s="54" t="s">
        <v>27</v>
      </c>
      <c r="F21" s="89">
        <v>130792.5</v>
      </c>
      <c r="G21" s="56">
        <v>4.0000000000000002E-4</v>
      </c>
      <c r="I21" s="57" t="s">
        <v>27</v>
      </c>
      <c r="J21" s="82">
        <f t="shared" si="0"/>
        <v>0</v>
      </c>
    </row>
    <row r="22" spans="1:10">
      <c r="A22" s="54" t="s">
        <v>29</v>
      </c>
      <c r="B22" s="89">
        <v>769921.58000000007</v>
      </c>
      <c r="C22" s="56">
        <v>2.3E-3</v>
      </c>
      <c r="D22" s="90"/>
      <c r="E22" s="54" t="s">
        <v>29</v>
      </c>
      <c r="F22" s="89">
        <v>0</v>
      </c>
      <c r="G22" s="56">
        <v>0</v>
      </c>
      <c r="I22" s="57" t="s">
        <v>29</v>
      </c>
      <c r="J22" s="82">
        <f t="shared" si="0"/>
        <v>-2.3E-3</v>
      </c>
    </row>
    <row r="23" spans="1:10">
      <c r="A23" s="54" t="s">
        <v>55</v>
      </c>
      <c r="B23" s="89">
        <v>2628.2500000000005</v>
      </c>
      <c r="C23" s="56">
        <v>0</v>
      </c>
      <c r="D23" s="90"/>
      <c r="E23" s="54" t="s">
        <v>55</v>
      </c>
      <c r="F23" s="89">
        <v>2004.45</v>
      </c>
      <c r="G23" s="56">
        <v>0</v>
      </c>
      <c r="I23" s="57" t="s">
        <v>55</v>
      </c>
      <c r="J23" s="82">
        <f t="shared" si="0"/>
        <v>0</v>
      </c>
    </row>
    <row r="24" spans="1:10">
      <c r="A24" s="54" t="s">
        <v>30</v>
      </c>
      <c r="B24" s="89">
        <v>234541.31000000003</v>
      </c>
      <c r="C24" s="56">
        <v>6.9999999999999999E-4</v>
      </c>
      <c r="D24" s="90"/>
      <c r="E24" s="54" t="s">
        <v>30</v>
      </c>
      <c r="F24" s="89">
        <v>205530.69</v>
      </c>
      <c r="G24" s="56">
        <v>5.9999999999999995E-4</v>
      </c>
      <c r="I24" s="57" t="s">
        <v>30</v>
      </c>
      <c r="J24" s="82">
        <f t="shared" si="0"/>
        <v>-1.0000000000000005E-4</v>
      </c>
    </row>
    <row r="25" spans="1:10">
      <c r="A25" s="54" t="s">
        <v>31</v>
      </c>
      <c r="B25" s="89">
        <v>125660.98999999999</v>
      </c>
      <c r="C25" s="56">
        <v>4.0000000000000002E-4</v>
      </c>
      <c r="D25" s="90"/>
      <c r="E25" s="54" t="s">
        <v>31</v>
      </c>
      <c r="F25" s="89">
        <v>70055.11</v>
      </c>
      <c r="G25" s="56">
        <v>2.0000000000000001E-4</v>
      </c>
      <c r="I25" s="57" t="s">
        <v>31</v>
      </c>
      <c r="J25" s="82">
        <f t="shared" si="0"/>
        <v>-2.0000000000000001E-4</v>
      </c>
    </row>
    <row r="26" spans="1:10">
      <c r="A26" s="54" t="s">
        <v>32</v>
      </c>
      <c r="B26" s="89">
        <v>29071800.410000004</v>
      </c>
      <c r="C26" s="56">
        <v>8.5999999999999993E-2</v>
      </c>
      <c r="E26" s="54" t="s">
        <v>32</v>
      </c>
      <c r="F26" s="89">
        <v>29594329.689999994</v>
      </c>
      <c r="G26" s="56">
        <v>8.5900000000000004E-2</v>
      </c>
      <c r="I26" s="57" t="s">
        <v>32</v>
      </c>
      <c r="J26" s="82">
        <f t="shared" si="0"/>
        <v>-9.9999999999988987E-5</v>
      </c>
    </row>
    <row r="27" spans="1:10">
      <c r="A27" s="54" t="s">
        <v>33</v>
      </c>
      <c r="B27" s="89">
        <v>4575015.9399999995</v>
      </c>
      <c r="C27" s="56">
        <v>1.35E-2</v>
      </c>
      <c r="E27" s="54" t="s">
        <v>33</v>
      </c>
      <c r="F27" s="89">
        <v>5294530.55</v>
      </c>
      <c r="G27" s="56">
        <v>1.54E-2</v>
      </c>
      <c r="I27" s="57" t="s">
        <v>33</v>
      </c>
      <c r="J27" s="82">
        <f t="shared" si="0"/>
        <v>1.9000000000000006E-3</v>
      </c>
    </row>
    <row r="28" spans="1:10">
      <c r="A28" s="54" t="s">
        <v>35</v>
      </c>
      <c r="B28" s="89">
        <v>230613.37000000002</v>
      </c>
      <c r="C28" s="56">
        <v>6.9999999999999999E-4</v>
      </c>
      <c r="E28" s="54" t="s">
        <v>35</v>
      </c>
      <c r="F28" s="89">
        <v>554627.47</v>
      </c>
      <c r="G28" s="56">
        <v>1.6000000000000001E-3</v>
      </c>
      <c r="I28" s="57" t="s">
        <v>35</v>
      </c>
      <c r="J28" s="82">
        <f t="shared" si="0"/>
        <v>9.0000000000000008E-4</v>
      </c>
    </row>
    <row r="29" spans="1:10">
      <c r="A29" s="54" t="s">
        <v>36</v>
      </c>
      <c r="B29" s="89">
        <v>68374.25</v>
      </c>
      <c r="C29" s="56">
        <v>2.0000000000000001E-4</v>
      </c>
      <c r="E29" s="54" t="s">
        <v>36</v>
      </c>
      <c r="F29" s="89">
        <v>53752.929999999993</v>
      </c>
      <c r="G29" s="56">
        <v>2.0000000000000001E-4</v>
      </c>
      <c r="I29" s="57" t="s">
        <v>36</v>
      </c>
      <c r="J29" s="82">
        <f t="shared" si="0"/>
        <v>0</v>
      </c>
    </row>
    <row r="30" spans="1:10">
      <c r="A30" s="54" t="s">
        <v>37</v>
      </c>
      <c r="B30" s="89">
        <v>61423.75</v>
      </c>
      <c r="C30" s="56">
        <v>2.0000000000000001E-4</v>
      </c>
      <c r="E30" s="54" t="s">
        <v>37</v>
      </c>
      <c r="F30" s="89">
        <v>62300.680000000015</v>
      </c>
      <c r="G30" s="56">
        <v>2.0000000000000001E-4</v>
      </c>
      <c r="I30" s="57" t="s">
        <v>37</v>
      </c>
      <c r="J30" s="82">
        <f t="shared" si="0"/>
        <v>0</v>
      </c>
    </row>
    <row r="31" spans="1:10">
      <c r="A31" s="54" t="s">
        <v>38</v>
      </c>
      <c r="B31" s="89">
        <v>702044.04999999981</v>
      </c>
      <c r="C31" s="56">
        <v>2.0999999999999999E-3</v>
      </c>
      <c r="E31" s="54" t="s">
        <v>38</v>
      </c>
      <c r="F31" s="89">
        <v>1314137.33</v>
      </c>
      <c r="G31" s="56">
        <v>3.8E-3</v>
      </c>
      <c r="I31" s="57" t="s">
        <v>38</v>
      </c>
      <c r="J31" s="82">
        <f t="shared" si="0"/>
        <v>1.7000000000000001E-3</v>
      </c>
    </row>
    <row r="32" spans="1:10">
      <c r="A32" s="54" t="s">
        <v>56</v>
      </c>
      <c r="B32" s="89">
        <v>2824.21</v>
      </c>
      <c r="C32" s="56">
        <v>0</v>
      </c>
      <c r="D32" s="90"/>
      <c r="E32" s="54" t="s">
        <v>56</v>
      </c>
      <c r="F32" s="89">
        <v>0</v>
      </c>
      <c r="G32" s="56">
        <v>0</v>
      </c>
      <c r="I32" s="57" t="s">
        <v>56</v>
      </c>
      <c r="J32" s="82">
        <f t="shared" si="0"/>
        <v>0</v>
      </c>
    </row>
    <row r="33" spans="1:11">
      <c r="A33" s="61" t="s">
        <v>49</v>
      </c>
      <c r="B33" s="91">
        <f>SUM(B5:B32)</f>
        <v>337874330.5</v>
      </c>
      <c r="C33" s="63">
        <f>SUM(C5:C32)</f>
        <v>0.99999999999999967</v>
      </c>
      <c r="D33" s="90"/>
      <c r="E33" s="61" t="s">
        <v>49</v>
      </c>
      <c r="F33" s="91">
        <f>SUM(F5:F32)</f>
        <v>344477543.12</v>
      </c>
      <c r="G33" s="63">
        <f>SUM(G5:G32)</f>
        <v>0.99999999999999978</v>
      </c>
      <c r="I33" s="52" t="s">
        <v>6</v>
      </c>
      <c r="J33" s="84">
        <f>SUM(J5:J32)</f>
        <v>2.4719809532669501E-17</v>
      </c>
    </row>
    <row r="34" spans="1:11">
      <c r="E34" s="90"/>
      <c r="F34" s="90"/>
      <c r="G34" s="90"/>
    </row>
    <row r="36" spans="1:11">
      <c r="A36" s="92"/>
      <c r="B36" s="92"/>
      <c r="C36" s="92"/>
      <c r="D36" s="92"/>
      <c r="E36" s="92"/>
      <c r="F36" s="92"/>
      <c r="G36" s="92"/>
      <c r="H36" s="92"/>
      <c r="K36" s="92"/>
    </row>
    <row r="37" spans="1:11">
      <c r="A37" s="92"/>
      <c r="B37" s="92"/>
      <c r="C37" s="92"/>
      <c r="D37" s="92"/>
      <c r="E37" s="92"/>
      <c r="F37" s="92"/>
      <c r="G37" s="92"/>
      <c r="H37" s="92"/>
      <c r="K37" s="92"/>
    </row>
    <row r="38" spans="1:11">
      <c r="A38" s="92"/>
      <c r="B38" s="92"/>
      <c r="C38" s="93"/>
      <c r="D38" s="93"/>
      <c r="E38" s="92"/>
      <c r="F38" s="92"/>
      <c r="G38" s="92"/>
      <c r="H38" s="92"/>
      <c r="K38" s="92"/>
    </row>
    <row r="39" spans="1:11">
      <c r="A39" s="92"/>
      <c r="B39" s="92"/>
      <c r="C39" s="94"/>
      <c r="D39" s="94"/>
      <c r="E39" s="93"/>
      <c r="F39" s="93"/>
      <c r="G39" s="93"/>
      <c r="H39" s="92"/>
      <c r="K39" s="92"/>
    </row>
    <row r="40" spans="1:11">
      <c r="A40" s="92"/>
      <c r="B40" s="92"/>
      <c r="C40" s="94"/>
      <c r="D40" s="94"/>
      <c r="E40" s="94"/>
      <c r="F40" s="94"/>
      <c r="G40" s="94"/>
      <c r="H40" s="92"/>
      <c r="K40" s="92"/>
    </row>
    <row r="41" spans="1:11">
      <c r="A41" s="92"/>
      <c r="B41" s="92"/>
      <c r="C41" s="93"/>
      <c r="D41" s="93"/>
      <c r="E41" s="94"/>
      <c r="F41" s="94"/>
      <c r="G41" s="94"/>
      <c r="H41" s="92"/>
      <c r="K41" s="92"/>
    </row>
    <row r="42" spans="1:11">
      <c r="A42" s="92"/>
      <c r="B42" s="92"/>
      <c r="C42" s="92"/>
      <c r="D42" s="92"/>
      <c r="E42" s="93"/>
      <c r="F42" s="93"/>
      <c r="G42" s="93"/>
      <c r="H42" s="92"/>
      <c r="K42" s="92"/>
    </row>
    <row r="43" spans="1:11">
      <c r="A43" s="92"/>
      <c r="B43" s="92"/>
      <c r="C43" s="92"/>
      <c r="D43" s="92"/>
      <c r="E43" s="92"/>
      <c r="F43" s="92"/>
      <c r="G43" s="92"/>
      <c r="H43" s="92"/>
      <c r="K43" s="92"/>
    </row>
    <row r="44" spans="1:11">
      <c r="A44" s="92"/>
      <c r="B44" s="92"/>
      <c r="C44" s="92"/>
      <c r="D44" s="92"/>
      <c r="E44" s="92"/>
      <c r="F44" s="92"/>
      <c r="G44" s="92"/>
      <c r="H44" s="92"/>
      <c r="K44" s="92"/>
    </row>
    <row r="45" spans="1:11">
      <c r="A45" s="92"/>
      <c r="B45" s="92"/>
      <c r="C45" s="92"/>
      <c r="D45" s="92"/>
      <c r="E45" s="92"/>
      <c r="F45" s="92"/>
      <c r="G45" s="92"/>
      <c r="H45" s="92"/>
      <c r="K45" s="92"/>
    </row>
  </sheetData>
  <mergeCells count="3">
    <mergeCell ref="A1:J1"/>
    <mergeCell ref="A3:C3"/>
    <mergeCell ref="E3:G3"/>
  </mergeCells>
  <pageMargins left="0.7" right="0.7" top="0.75" bottom="0.75" header="0.3" footer="0.3"/>
  <pageSetup scale="86" orientation="landscape" r:id="rId1"/>
  <headerFooter>
    <oddHeader>&amp;RKY PSC Case No. 2016-00162,
Attachment G to Staff Post Hearing Supp. DR 2</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3"/>
  <sheetViews>
    <sheetView zoomScaleNormal="100" workbookViewId="0">
      <selection sqref="A1:K1"/>
    </sheetView>
  </sheetViews>
  <sheetFormatPr defaultColWidth="9.109375" defaultRowHeight="14.4"/>
  <cols>
    <col min="1" max="1" width="12.88671875" style="47" customWidth="1"/>
    <col min="2" max="2" width="15.33203125" style="47" bestFit="1" customWidth="1"/>
    <col min="3" max="3" width="19.6640625" style="47" bestFit="1" customWidth="1"/>
    <col min="4" max="4" width="6" style="47" customWidth="1"/>
    <col min="5" max="5" width="19.44140625" style="47" customWidth="1"/>
    <col min="6" max="6" width="17.33203125" style="47" customWidth="1"/>
    <col min="7" max="7" width="19.6640625" style="47" customWidth="1"/>
    <col min="8" max="8" width="9.109375" style="47"/>
    <col min="9" max="9" width="9.33203125" style="66" bestFit="1" customWidth="1"/>
    <col min="10" max="10" width="19.44140625" style="66" bestFit="1" customWidth="1"/>
    <col min="11" max="11" width="10.44140625" style="66" bestFit="1" customWidth="1"/>
    <col min="12" max="16384" width="9.109375" style="47"/>
  </cols>
  <sheetData>
    <row r="1" spans="1:12">
      <c r="A1" s="242" t="s">
        <v>75</v>
      </c>
      <c r="B1" s="242"/>
      <c r="C1" s="242"/>
      <c r="D1" s="242"/>
      <c r="E1" s="242"/>
      <c r="F1" s="242"/>
      <c r="G1" s="242"/>
      <c r="H1" s="242"/>
      <c r="I1" s="242"/>
      <c r="J1" s="242"/>
      <c r="K1" s="242"/>
      <c r="L1" s="65"/>
    </row>
    <row r="3" spans="1:12">
      <c r="A3" s="243" t="s">
        <v>72</v>
      </c>
      <c r="B3" s="243"/>
      <c r="C3" s="243"/>
      <c r="D3" s="87"/>
      <c r="E3" s="243" t="s">
        <v>76</v>
      </c>
      <c r="F3" s="243"/>
      <c r="G3" s="243"/>
      <c r="I3" s="48"/>
      <c r="J3" s="48"/>
      <c r="K3" s="48"/>
    </row>
    <row r="4" spans="1:12">
      <c r="A4" s="49" t="s">
        <v>2</v>
      </c>
      <c r="B4" s="50" t="s">
        <v>3</v>
      </c>
      <c r="C4" s="51" t="s">
        <v>5</v>
      </c>
      <c r="D4" s="88"/>
      <c r="E4" s="49" t="s">
        <v>2</v>
      </c>
      <c r="F4" s="50" t="s">
        <v>3</v>
      </c>
      <c r="G4" s="51" t="s">
        <v>5</v>
      </c>
      <c r="I4" s="52" t="s">
        <v>2</v>
      </c>
      <c r="J4" s="53" t="s">
        <v>77</v>
      </c>
      <c r="K4" s="53" t="s">
        <v>7</v>
      </c>
    </row>
    <row r="5" spans="1:12">
      <c r="A5" s="54" t="s">
        <v>8</v>
      </c>
      <c r="B5" s="89">
        <v>1118631.79</v>
      </c>
      <c r="C5" s="56">
        <v>3.2000000000000002E-3</v>
      </c>
      <c r="D5" s="90"/>
      <c r="E5" s="54" t="s">
        <v>8</v>
      </c>
      <c r="F5" s="89">
        <v>1118631.79</v>
      </c>
      <c r="G5" s="56">
        <v>3.3E-3</v>
      </c>
      <c r="I5" s="57" t="s">
        <v>8</v>
      </c>
      <c r="J5" s="96" t="str">
        <f>VLOOKUP(I5,[1]Sheet1!$A$2:$F$48,6,FALSE)</f>
        <v>Corporate and Other</v>
      </c>
      <c r="K5" s="82">
        <f>+G5-C5</f>
        <v>9.9999999999999829E-5</v>
      </c>
    </row>
    <row r="6" spans="1:12">
      <c r="A6" s="54" t="s">
        <v>9</v>
      </c>
      <c r="B6" s="89">
        <v>11792015.050000003</v>
      </c>
      <c r="C6" s="56">
        <v>3.4200000000000001E-2</v>
      </c>
      <c r="D6" s="90"/>
      <c r="E6" s="54" t="s">
        <v>9</v>
      </c>
      <c r="F6" s="89">
        <v>10944996.120000003</v>
      </c>
      <c r="G6" s="56">
        <v>3.2399999999999998E-2</v>
      </c>
      <c r="I6" s="57" t="s">
        <v>9</v>
      </c>
      <c r="J6" s="96" t="str">
        <f>VLOOKUP(I6,[1]Sheet1!$A$2:$F$48,6,FALSE)</f>
        <v>NGT&amp;S</v>
      </c>
      <c r="K6" s="82">
        <f t="shared" ref="K6:K32" si="0">+G6-C6</f>
        <v>-1.800000000000003E-3</v>
      </c>
    </row>
    <row r="7" spans="1:12">
      <c r="A7" s="54" t="s">
        <v>11</v>
      </c>
      <c r="B7" s="89">
        <v>248632.69000000003</v>
      </c>
      <c r="C7" s="56">
        <v>6.9999999999999999E-4</v>
      </c>
      <c r="D7" s="90"/>
      <c r="E7" s="54" t="s">
        <v>11</v>
      </c>
      <c r="F7" s="89">
        <v>248632.69000000003</v>
      </c>
      <c r="G7" s="56">
        <v>6.9999999999999999E-4</v>
      </c>
      <c r="I7" s="57" t="s">
        <v>11</v>
      </c>
      <c r="J7" s="96" t="str">
        <f>VLOOKUP(I7,[1]Sheet1!$A$2:$F$48,6,FALSE)</f>
        <v>Corporate and Other</v>
      </c>
      <c r="K7" s="82">
        <f t="shared" si="0"/>
        <v>0</v>
      </c>
    </row>
    <row r="8" spans="1:12">
      <c r="A8" s="54" t="s">
        <v>12</v>
      </c>
      <c r="B8" s="89">
        <v>329457.78000000003</v>
      </c>
      <c r="C8" s="56">
        <v>1E-3</v>
      </c>
      <c r="D8" s="90"/>
      <c r="E8" s="54" t="s">
        <v>12</v>
      </c>
      <c r="F8" s="89">
        <v>329457.78000000003</v>
      </c>
      <c r="G8" s="56">
        <v>1E-3</v>
      </c>
      <c r="I8" s="57" t="s">
        <v>12</v>
      </c>
      <c r="J8" s="96" t="str">
        <f>VLOOKUP(I8,[1]Sheet1!$A$2:$F$48,6,FALSE)</f>
        <v>Corporate and Other</v>
      </c>
      <c r="K8" s="82">
        <f t="shared" si="0"/>
        <v>0</v>
      </c>
    </row>
    <row r="9" spans="1:12">
      <c r="A9" s="54" t="s">
        <v>13</v>
      </c>
      <c r="B9" s="89">
        <v>7570162.54</v>
      </c>
      <c r="C9" s="56">
        <v>2.1999999999999999E-2</v>
      </c>
      <c r="D9" s="90"/>
      <c r="E9" s="54" t="s">
        <v>13</v>
      </c>
      <c r="F9" s="89">
        <v>7570162.54</v>
      </c>
      <c r="G9" s="56">
        <v>2.24E-2</v>
      </c>
      <c r="I9" s="57" t="s">
        <v>13</v>
      </c>
      <c r="J9" s="96" t="str">
        <f>VLOOKUP(I9,[1]Sheet1!$A$2:$F$48,6,FALSE)</f>
        <v>NGD</v>
      </c>
      <c r="K9" s="82">
        <f t="shared" si="0"/>
        <v>4.0000000000000105E-4</v>
      </c>
    </row>
    <row r="10" spans="1:12">
      <c r="A10" s="54" t="s">
        <v>14</v>
      </c>
      <c r="B10" s="89">
        <v>59064504.899999999</v>
      </c>
      <c r="C10" s="56">
        <v>0.17150000000000001</v>
      </c>
      <c r="D10" s="90"/>
      <c r="E10" s="54" t="s">
        <v>14</v>
      </c>
      <c r="F10" s="89">
        <v>59064504.899999999</v>
      </c>
      <c r="G10" s="56">
        <v>0.17469999999999999</v>
      </c>
      <c r="I10" s="57" t="s">
        <v>14</v>
      </c>
      <c r="J10" s="96" t="str">
        <f>VLOOKUP(I10,[1]Sheet1!$A$2:$F$48,6,FALSE)</f>
        <v>NGD</v>
      </c>
      <c r="K10" s="82">
        <f t="shared" si="0"/>
        <v>3.1999999999999806E-3</v>
      </c>
    </row>
    <row r="11" spans="1:12">
      <c r="A11" s="54" t="s">
        <v>15</v>
      </c>
      <c r="B11" s="89">
        <v>2938669.6</v>
      </c>
      <c r="C11" s="56">
        <v>8.5000000000000006E-3</v>
      </c>
      <c r="D11" s="90"/>
      <c r="E11" s="54" t="s">
        <v>15</v>
      </c>
      <c r="F11" s="89">
        <v>2938669.6</v>
      </c>
      <c r="G11" s="56">
        <v>8.6999999999999994E-3</v>
      </c>
      <c r="I11" s="57" t="s">
        <v>15</v>
      </c>
      <c r="J11" s="96" t="str">
        <f>VLOOKUP(I11,[1]Sheet1!$A$2:$F$48,6,FALSE)</f>
        <v>NGD</v>
      </c>
      <c r="K11" s="82">
        <f t="shared" si="0"/>
        <v>1.9999999999999879E-4</v>
      </c>
    </row>
    <row r="12" spans="1:12">
      <c r="A12" s="54" t="s">
        <v>16</v>
      </c>
      <c r="B12" s="89">
        <v>25483978.600000001</v>
      </c>
      <c r="C12" s="56">
        <v>7.3999999999999996E-2</v>
      </c>
      <c r="D12" s="90"/>
      <c r="E12" s="54" t="s">
        <v>16</v>
      </c>
      <c r="F12" s="89">
        <v>25483978.600000001</v>
      </c>
      <c r="G12" s="56">
        <v>7.5399999999999995E-2</v>
      </c>
      <c r="I12" s="57" t="s">
        <v>16</v>
      </c>
      <c r="J12" s="96" t="str">
        <f>VLOOKUP(I12,[1]Sheet1!$A$2:$F$48,6,FALSE)</f>
        <v>NGD</v>
      </c>
      <c r="K12" s="82">
        <f t="shared" si="0"/>
        <v>1.3999999999999985E-3</v>
      </c>
    </row>
    <row r="13" spans="1:12">
      <c r="A13" s="54" t="s">
        <v>17</v>
      </c>
      <c r="B13" s="89">
        <v>13761182.549999999</v>
      </c>
      <c r="C13" s="56">
        <v>3.9899999999999998E-2</v>
      </c>
      <c r="D13" s="90"/>
      <c r="E13" s="54" t="s">
        <v>17</v>
      </c>
      <c r="F13" s="89">
        <v>13761182.549999999</v>
      </c>
      <c r="G13" s="56">
        <v>4.07E-2</v>
      </c>
      <c r="I13" s="57" t="s">
        <v>17</v>
      </c>
      <c r="J13" s="96" t="str">
        <f>VLOOKUP(I13,[1]Sheet1!$A$2:$F$48,6,FALSE)</f>
        <v>NGD</v>
      </c>
      <c r="K13" s="82">
        <f t="shared" si="0"/>
        <v>8.000000000000021E-4</v>
      </c>
    </row>
    <row r="14" spans="1:12">
      <c r="A14" s="54" t="s">
        <v>18</v>
      </c>
      <c r="B14" s="89">
        <v>348466.84</v>
      </c>
      <c r="C14" s="56">
        <v>1E-3</v>
      </c>
      <c r="D14" s="90"/>
      <c r="E14" s="54" t="s">
        <v>18</v>
      </c>
      <c r="F14" s="89">
        <v>317955.92000000004</v>
      </c>
      <c r="G14" s="56">
        <v>8.9999999999999998E-4</v>
      </c>
      <c r="I14" s="57" t="s">
        <v>18</v>
      </c>
      <c r="J14" s="96" t="str">
        <f>VLOOKUP(I14,[1]Sheet1!$A$2:$F$48,6,FALSE)</f>
        <v>NGT&amp;S</v>
      </c>
      <c r="K14" s="82">
        <f t="shared" si="0"/>
        <v>-1.0000000000000005E-4</v>
      </c>
    </row>
    <row r="15" spans="1:12">
      <c r="A15" s="54" t="s">
        <v>19</v>
      </c>
      <c r="B15" s="89">
        <v>85696871.560000002</v>
      </c>
      <c r="C15" s="56">
        <v>0.24879999999999999</v>
      </c>
      <c r="D15" s="90"/>
      <c r="E15" s="54" t="s">
        <v>19</v>
      </c>
      <c r="F15" s="89">
        <v>80198598.040000007</v>
      </c>
      <c r="G15" s="56">
        <v>0.23719999999999999</v>
      </c>
      <c r="I15" s="57" t="s">
        <v>19</v>
      </c>
      <c r="J15" s="96" t="str">
        <f>VLOOKUP(I15,[1]Sheet1!$A$2:$F$48,6,FALSE)</f>
        <v>NGT&amp;S</v>
      </c>
      <c r="K15" s="82">
        <f t="shared" si="0"/>
        <v>-1.1599999999999999E-2</v>
      </c>
    </row>
    <row r="16" spans="1:12">
      <c r="A16" s="54" t="s">
        <v>20</v>
      </c>
      <c r="B16" s="89">
        <v>114094.66</v>
      </c>
      <c r="C16" s="56">
        <v>2.9999999999999997E-4</v>
      </c>
      <c r="D16" s="90"/>
      <c r="E16" s="54" t="s">
        <v>20</v>
      </c>
      <c r="F16" s="89">
        <v>114094.66</v>
      </c>
      <c r="G16" s="56">
        <v>2.9999999999999997E-4</v>
      </c>
      <c r="I16" s="57" t="s">
        <v>20</v>
      </c>
      <c r="J16" s="96" t="str">
        <f>VLOOKUP(I16,[1]Sheet1!$A$2:$F$48,6,FALSE)</f>
        <v>Corporate and Other</v>
      </c>
      <c r="K16" s="82">
        <f t="shared" si="0"/>
        <v>0</v>
      </c>
    </row>
    <row r="17" spans="1:11">
      <c r="A17" s="59" t="s">
        <v>21</v>
      </c>
      <c r="B17" s="89">
        <v>7109071.1499999994</v>
      </c>
      <c r="C17" s="56">
        <v>2.06E-2</v>
      </c>
      <c r="D17" s="90"/>
      <c r="E17" s="59" t="s">
        <v>21</v>
      </c>
      <c r="F17" s="89">
        <v>7109071.1499999994</v>
      </c>
      <c r="G17" s="56">
        <v>2.0899999999999998E-2</v>
      </c>
      <c r="I17" s="97" t="s">
        <v>21</v>
      </c>
      <c r="J17" s="96" t="str">
        <f>VLOOKUP(I17,[1]Sheet1!$A$2:$F$48,6,FALSE)</f>
        <v>Corporate and Other</v>
      </c>
      <c r="K17" s="82">
        <f t="shared" si="0"/>
        <v>2.9999999999999818E-4</v>
      </c>
    </row>
    <row r="18" spans="1:11">
      <c r="A18" s="54" t="s">
        <v>22</v>
      </c>
      <c r="B18" s="89">
        <v>90535684.280000001</v>
      </c>
      <c r="C18" s="56">
        <v>0.26279999999999998</v>
      </c>
      <c r="D18" s="90"/>
      <c r="E18" s="54" t="s">
        <v>22</v>
      </c>
      <c r="F18" s="89">
        <v>90535684.280000001</v>
      </c>
      <c r="G18" s="56">
        <v>0.26779999999999998</v>
      </c>
      <c r="I18" s="98" t="s">
        <v>22</v>
      </c>
      <c r="J18" s="96" t="str">
        <f>VLOOKUP(I18,[1]Sheet1!$A$2:$F$48,6,FALSE)</f>
        <v>NIPSCO</v>
      </c>
      <c r="K18" s="82">
        <f t="shared" si="0"/>
        <v>5.0000000000000044E-3</v>
      </c>
    </row>
    <row r="19" spans="1:11">
      <c r="A19" s="54" t="s">
        <v>23</v>
      </c>
      <c r="B19" s="89">
        <v>1066447.3900000001</v>
      </c>
      <c r="C19" s="56">
        <v>3.0999999999999999E-3</v>
      </c>
      <c r="D19" s="90"/>
      <c r="E19" s="54" t="s">
        <v>23</v>
      </c>
      <c r="F19" s="89">
        <v>1066447.3900000001</v>
      </c>
      <c r="G19" s="56">
        <v>3.2000000000000002E-3</v>
      </c>
      <c r="I19" s="57" t="s">
        <v>23</v>
      </c>
      <c r="J19" s="96" t="str">
        <f>VLOOKUP(I19,[1]Sheet1!$A$2:$F$48,6,FALSE)</f>
        <v>Corporate and Other</v>
      </c>
      <c r="K19" s="82">
        <f t="shared" si="0"/>
        <v>1.0000000000000026E-4</v>
      </c>
    </row>
    <row r="20" spans="1:11">
      <c r="A20" s="54" t="s">
        <v>24</v>
      </c>
      <c r="B20" s="89">
        <v>17610.340000000004</v>
      </c>
      <c r="C20" s="56">
        <v>1E-4</v>
      </c>
      <c r="D20" s="90"/>
      <c r="E20" s="54" t="s">
        <v>24</v>
      </c>
      <c r="F20" s="89">
        <v>17610.340000000004</v>
      </c>
      <c r="G20" s="56">
        <v>1E-4</v>
      </c>
      <c r="I20" s="57" t="s">
        <v>24</v>
      </c>
      <c r="J20" s="96" t="str">
        <f>VLOOKUP(I20,[1]Sheet1!$A$2:$F$48,6,FALSE)</f>
        <v>Corporate and Other</v>
      </c>
      <c r="K20" s="82">
        <f t="shared" si="0"/>
        <v>0</v>
      </c>
    </row>
    <row r="21" spans="1:11">
      <c r="A21" s="54" t="s">
        <v>27</v>
      </c>
      <c r="B21" s="89">
        <v>130792.5</v>
      </c>
      <c r="C21" s="56">
        <v>4.0000000000000002E-4</v>
      </c>
      <c r="D21" s="90"/>
      <c r="E21" s="54" t="s">
        <v>27</v>
      </c>
      <c r="F21" s="89">
        <v>130792.5</v>
      </c>
      <c r="G21" s="56">
        <v>4.0000000000000002E-4</v>
      </c>
      <c r="I21" s="57" t="s">
        <v>27</v>
      </c>
      <c r="J21" s="96" t="str">
        <f>VLOOKUP(I21,[1]Sheet1!$A$2:$F$48,6,FALSE)</f>
        <v>Corporate and Other</v>
      </c>
      <c r="K21" s="82">
        <f t="shared" si="0"/>
        <v>0</v>
      </c>
    </row>
    <row r="22" spans="1:11">
      <c r="A22" s="54" t="s">
        <v>29</v>
      </c>
      <c r="B22" s="89">
        <v>0</v>
      </c>
      <c r="C22" s="56">
        <v>0</v>
      </c>
      <c r="D22" s="90"/>
      <c r="E22" s="54" t="s">
        <v>29</v>
      </c>
      <c r="F22" s="89">
        <v>0</v>
      </c>
      <c r="G22" s="56">
        <v>0</v>
      </c>
      <c r="I22" s="57" t="s">
        <v>29</v>
      </c>
      <c r="J22" s="96" t="str">
        <f>VLOOKUP(I22,[1]Sheet1!$A$2:$F$48,6,FALSE)</f>
        <v>NGD</v>
      </c>
      <c r="K22" s="82">
        <f t="shared" si="0"/>
        <v>0</v>
      </c>
    </row>
    <row r="23" spans="1:11">
      <c r="A23" s="54" t="s">
        <v>55</v>
      </c>
      <c r="B23" s="89">
        <v>2004.45</v>
      </c>
      <c r="C23" s="56">
        <v>0</v>
      </c>
      <c r="D23" s="90"/>
      <c r="E23" s="54" t="s">
        <v>55</v>
      </c>
      <c r="F23" s="89">
        <v>2004.45</v>
      </c>
      <c r="G23" s="56">
        <v>0</v>
      </c>
      <c r="I23" s="57" t="s">
        <v>55</v>
      </c>
      <c r="J23" s="96" t="str">
        <f>VLOOKUP(I23,[1]Sheet1!$A$2:$F$48,6,FALSE)</f>
        <v>NGD</v>
      </c>
      <c r="K23" s="82">
        <f t="shared" si="0"/>
        <v>0</v>
      </c>
    </row>
    <row r="24" spans="1:11">
      <c r="A24" s="54" t="s">
        <v>30</v>
      </c>
      <c r="B24" s="89">
        <v>205530.69</v>
      </c>
      <c r="C24" s="56">
        <v>5.9999999999999995E-4</v>
      </c>
      <c r="D24" s="90"/>
      <c r="E24" s="54" t="s">
        <v>30</v>
      </c>
      <c r="F24" s="89">
        <v>205530.69</v>
      </c>
      <c r="G24" s="56">
        <v>5.9999999999999995E-4</v>
      </c>
      <c r="I24" s="57" t="s">
        <v>30</v>
      </c>
      <c r="J24" s="96" t="str">
        <f>VLOOKUP(I24,[1]Sheet1!$A$2:$F$48,6,FALSE)</f>
        <v>Corporate and Other</v>
      </c>
      <c r="K24" s="82">
        <f t="shared" si="0"/>
        <v>0</v>
      </c>
    </row>
    <row r="25" spans="1:11">
      <c r="A25" s="54" t="s">
        <v>31</v>
      </c>
      <c r="B25" s="89">
        <v>70055.11</v>
      </c>
      <c r="C25" s="56">
        <v>2.0000000000000001E-4</v>
      </c>
      <c r="D25" s="90"/>
      <c r="E25" s="54" t="s">
        <v>31</v>
      </c>
      <c r="F25" s="89">
        <v>70055.11</v>
      </c>
      <c r="G25" s="56">
        <v>2.0000000000000001E-4</v>
      </c>
      <c r="I25" s="57" t="s">
        <v>31</v>
      </c>
      <c r="J25" s="96" t="str">
        <f>VLOOKUP(I25,[1]Sheet1!$A$2:$F$48,6,FALSE)</f>
        <v>Corporate and Other</v>
      </c>
      <c r="K25" s="82">
        <f t="shared" si="0"/>
        <v>0</v>
      </c>
    </row>
    <row r="26" spans="1:11">
      <c r="A26" s="54" t="s">
        <v>32</v>
      </c>
      <c r="B26" s="89">
        <v>29594329.689999994</v>
      </c>
      <c r="C26" s="56">
        <v>8.5900000000000004E-2</v>
      </c>
      <c r="E26" s="54" t="s">
        <v>32</v>
      </c>
      <c r="F26" s="89">
        <v>29594329.689999994</v>
      </c>
      <c r="G26" s="56">
        <v>8.7499999999999994E-2</v>
      </c>
      <c r="I26" s="57" t="s">
        <v>32</v>
      </c>
      <c r="J26" s="96" t="str">
        <f>VLOOKUP(I26,[1]Sheet1!$A$2:$F$48,6,FALSE)</f>
        <v>NGD</v>
      </c>
      <c r="K26" s="82">
        <f t="shared" si="0"/>
        <v>1.5999999999999903E-3</v>
      </c>
    </row>
    <row r="27" spans="1:11">
      <c r="A27" s="54" t="s">
        <v>33</v>
      </c>
      <c r="B27" s="89">
        <v>5294530.55</v>
      </c>
      <c r="C27" s="56">
        <v>1.54E-2</v>
      </c>
      <c r="E27" s="54" t="s">
        <v>33</v>
      </c>
      <c r="F27" s="89">
        <v>5294530.55</v>
      </c>
      <c r="G27" s="56">
        <v>1.5699999999999999E-2</v>
      </c>
      <c r="I27" s="57" t="s">
        <v>33</v>
      </c>
      <c r="J27" s="96" t="str">
        <f>VLOOKUP(I27,[1]Sheet1!$A$2:$F$48,6,FALSE)</f>
        <v>NGT&amp;S</v>
      </c>
      <c r="K27" s="82">
        <f t="shared" si="0"/>
        <v>2.9999999999999818E-4</v>
      </c>
    </row>
    <row r="28" spans="1:11">
      <c r="A28" s="54" t="s">
        <v>35</v>
      </c>
      <c r="B28" s="89">
        <v>554627.47</v>
      </c>
      <c r="C28" s="56">
        <v>1.6000000000000001E-3</v>
      </c>
      <c r="E28" s="54" t="s">
        <v>35</v>
      </c>
      <c r="F28" s="89">
        <v>554627.47</v>
      </c>
      <c r="G28" s="56">
        <v>1.6000000000000001E-3</v>
      </c>
      <c r="I28" s="57" t="s">
        <v>35</v>
      </c>
      <c r="J28" s="96" t="str">
        <f>VLOOKUP(I28,[1]Sheet1!$A$2:$F$48,6,FALSE)</f>
        <v>NGT&amp;S</v>
      </c>
      <c r="K28" s="82">
        <f t="shared" si="0"/>
        <v>0</v>
      </c>
    </row>
    <row r="29" spans="1:11">
      <c r="A29" s="54" t="s">
        <v>36</v>
      </c>
      <c r="B29" s="89">
        <v>53752.929999999993</v>
      </c>
      <c r="C29" s="56">
        <v>2.0000000000000001E-4</v>
      </c>
      <c r="E29" s="54" t="s">
        <v>36</v>
      </c>
      <c r="F29" s="89">
        <v>53752.929999999993</v>
      </c>
      <c r="G29" s="56">
        <v>2.0000000000000001E-4</v>
      </c>
      <c r="I29" s="57" t="s">
        <v>36</v>
      </c>
      <c r="J29" s="96" t="str">
        <f>VLOOKUP(I29,[1]Sheet1!$A$2:$F$48,6,FALSE)</f>
        <v>Corporate and Other</v>
      </c>
      <c r="K29" s="82">
        <f t="shared" si="0"/>
        <v>0</v>
      </c>
    </row>
    <row r="30" spans="1:11">
      <c r="A30" s="54" t="s">
        <v>37</v>
      </c>
      <c r="B30" s="89">
        <v>62300.680000000015</v>
      </c>
      <c r="C30" s="56">
        <v>2.0000000000000001E-4</v>
      </c>
      <c r="E30" s="54" t="s">
        <v>37</v>
      </c>
      <c r="F30" s="89">
        <v>62300.680000000015</v>
      </c>
      <c r="G30" s="56">
        <v>2.0000000000000001E-4</v>
      </c>
      <c r="I30" s="57" t="s">
        <v>37</v>
      </c>
      <c r="J30" s="96" t="str">
        <f>VLOOKUP(I30,[1]Sheet1!$A$2:$F$48,6,FALSE)</f>
        <v>Corporate and Other</v>
      </c>
      <c r="K30" s="82">
        <f t="shared" si="0"/>
        <v>0</v>
      </c>
    </row>
    <row r="31" spans="1:11">
      <c r="A31" s="54" t="s">
        <v>38</v>
      </c>
      <c r="B31" s="89">
        <v>1314137.33</v>
      </c>
      <c r="C31" s="56">
        <v>3.8E-3</v>
      </c>
      <c r="E31" s="54" t="s">
        <v>38</v>
      </c>
      <c r="F31" s="89">
        <v>1314137.33</v>
      </c>
      <c r="G31" s="56">
        <v>3.8999999999999998E-3</v>
      </c>
      <c r="I31" s="57" t="s">
        <v>38</v>
      </c>
      <c r="J31" s="96" t="str">
        <f>VLOOKUP(I31,[1]Sheet1!$A$2:$F$48,6,FALSE)</f>
        <v>NGT&amp;S</v>
      </c>
      <c r="K31" s="82">
        <f t="shared" si="0"/>
        <v>9.9999999999999829E-5</v>
      </c>
    </row>
    <row r="32" spans="1:11">
      <c r="A32" s="54" t="s">
        <v>56</v>
      </c>
      <c r="B32" s="89">
        <v>0</v>
      </c>
      <c r="C32" s="56">
        <v>0</v>
      </c>
      <c r="D32" s="90"/>
      <c r="E32" s="54" t="s">
        <v>56</v>
      </c>
      <c r="F32" s="89">
        <v>0</v>
      </c>
      <c r="G32" s="56">
        <v>0</v>
      </c>
      <c r="I32" s="57" t="s">
        <v>56</v>
      </c>
      <c r="J32" s="96" t="str">
        <f>VLOOKUP(I32,[1]Sheet1!$A$2:$F$48,6,FALSE)</f>
        <v>NGT&amp;S</v>
      </c>
      <c r="K32" s="82">
        <f t="shared" si="0"/>
        <v>0</v>
      </c>
    </row>
    <row r="33" spans="1:11">
      <c r="A33" s="61" t="s">
        <v>49</v>
      </c>
      <c r="B33" s="91">
        <v>344477543.12</v>
      </c>
      <c r="C33" s="63">
        <v>0.99999999999999978</v>
      </c>
      <c r="D33" s="90"/>
      <c r="E33" s="61" t="s">
        <v>49</v>
      </c>
      <c r="F33" s="91">
        <f>SUM(F5:F32)</f>
        <v>338101739.75</v>
      </c>
      <c r="G33" s="63">
        <f>SUM(G5:G32)</f>
        <v>1</v>
      </c>
      <c r="I33" s="52" t="s">
        <v>6</v>
      </c>
      <c r="J33" s="53"/>
      <c r="K33" s="84">
        <f>SUM(K5:K32)</f>
        <v>-3.0791341698588326E-17</v>
      </c>
    </row>
    <row r="34" spans="1:11">
      <c r="E34" s="90"/>
      <c r="F34" s="90"/>
      <c r="G34" s="90"/>
    </row>
    <row r="35" spans="1:11">
      <c r="E35" s="65" t="s">
        <v>78</v>
      </c>
    </row>
    <row r="36" spans="1:11">
      <c r="E36" t="s">
        <v>79</v>
      </c>
      <c r="F36" t="s">
        <v>80</v>
      </c>
      <c r="G36" s="46" t="s">
        <v>81</v>
      </c>
    </row>
    <row r="37" spans="1:11">
      <c r="E37" s="99" t="s">
        <v>82</v>
      </c>
      <c r="F37" s="85">
        <v>4.9999999999999828E-4</v>
      </c>
      <c r="G37" s="78">
        <f>F37*$F$46</f>
        <v>33070.174589999886</v>
      </c>
    </row>
    <row r="38" spans="1:11">
      <c r="A38" s="67"/>
      <c r="B38" s="67"/>
      <c r="C38" s="68" t="s">
        <v>60</v>
      </c>
      <c r="D38" s="68"/>
      <c r="E38" s="99" t="s">
        <v>83</v>
      </c>
      <c r="F38" s="85">
        <v>7.5999999999999714E-3</v>
      </c>
      <c r="G38" s="78">
        <f t="shared" ref="G38:G40" si="1">F38*$F$46</f>
        <v>502666.65376799816</v>
      </c>
      <c r="H38" s="67"/>
      <c r="I38" s="69"/>
    </row>
    <row r="39" spans="1:11">
      <c r="C39" s="70"/>
      <c r="D39" s="70"/>
      <c r="E39" s="99" t="s">
        <v>84</v>
      </c>
      <c r="F39" s="85">
        <v>-1.3100000000000004E-2</v>
      </c>
      <c r="G39" s="78">
        <f t="shared" si="1"/>
        <v>-866438.57425800036</v>
      </c>
    </row>
    <row r="40" spans="1:11">
      <c r="C40" s="70"/>
      <c r="D40" s="70"/>
      <c r="E40" s="99" t="s">
        <v>85</v>
      </c>
      <c r="F40" s="85">
        <v>5.0000000000000044E-3</v>
      </c>
      <c r="G40" s="78">
        <f t="shared" si="1"/>
        <v>330701.74590000033</v>
      </c>
    </row>
    <row r="41" spans="1:11">
      <c r="A41" s="67"/>
      <c r="B41" s="67"/>
      <c r="C41" s="68" t="s">
        <v>60</v>
      </c>
      <c r="D41" s="68"/>
      <c r="E41" s="99" t="s">
        <v>49</v>
      </c>
      <c r="F41" s="85">
        <v>-2.9490299091605721E-17</v>
      </c>
      <c r="G41" s="86">
        <f>SUM(G37:G40)</f>
        <v>-1.9790604710578918E-9</v>
      </c>
      <c r="H41" s="67"/>
      <c r="I41" s="69"/>
    </row>
    <row r="42" spans="1:11">
      <c r="E42"/>
      <c r="F42"/>
      <c r="G42"/>
    </row>
    <row r="43" spans="1:11">
      <c r="E43" s="100" t="s">
        <v>86</v>
      </c>
      <c r="F43"/>
      <c r="G43"/>
    </row>
    <row r="44" spans="1:11">
      <c r="E44" s="101">
        <v>41305</v>
      </c>
      <c r="F44" s="73">
        <v>5183765.33</v>
      </c>
      <c r="G44"/>
    </row>
    <row r="45" spans="1:11">
      <c r="E45" s="101">
        <v>41333</v>
      </c>
      <c r="F45" s="73">
        <v>5839626.2000000002</v>
      </c>
      <c r="G45"/>
    </row>
    <row r="46" spans="1:11">
      <c r="E46" t="s">
        <v>87</v>
      </c>
      <c r="F46" s="73">
        <f>(F44+F45)*6</f>
        <v>66140349.180000007</v>
      </c>
      <c r="G46"/>
    </row>
    <row r="47" spans="1:11">
      <c r="E47"/>
      <c r="F47"/>
      <c r="G47"/>
    </row>
    <row r="48" spans="1:11">
      <c r="E48"/>
      <c r="F48"/>
      <c r="G48"/>
    </row>
    <row r="49" spans="5:7">
      <c r="E49"/>
      <c r="F49"/>
      <c r="G49"/>
    </row>
    <row r="50" spans="5:7">
      <c r="E50"/>
      <c r="F50"/>
      <c r="G50"/>
    </row>
    <row r="51" spans="5:7">
      <c r="E51"/>
      <c r="F51"/>
      <c r="G51"/>
    </row>
    <row r="52" spans="5:7">
      <c r="E52"/>
      <c r="F52"/>
      <c r="G52"/>
    </row>
    <row r="53" spans="5:7">
      <c r="E53"/>
      <c r="F53"/>
      <c r="G53"/>
    </row>
  </sheetData>
  <mergeCells count="3">
    <mergeCell ref="A1:K1"/>
    <mergeCell ref="A3:C3"/>
    <mergeCell ref="E3:G3"/>
  </mergeCells>
  <pageMargins left="0.7" right="0.7" top="0.75" bottom="0.75" header="0.3" footer="0.3"/>
  <pageSetup scale="75" orientation="landscape" r:id="rId2"/>
  <headerFooter>
    <oddHeader>&amp;RKY PSC Case No. 2016-00162,
Attachment G to Staff Post Hearing Supp. DR 2</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workbookViewId="0"/>
  </sheetViews>
  <sheetFormatPr defaultRowHeight="14.4"/>
  <cols>
    <col min="1" max="1" width="18.33203125" bestFit="1" customWidth="1"/>
    <col min="2" max="2" width="18.88671875" style="72" customWidth="1"/>
    <col min="3" max="3" width="9.44140625" style="72" customWidth="1"/>
    <col min="4" max="4" width="17.33203125" style="72" customWidth="1"/>
    <col min="5" max="5" width="7" style="72" customWidth="1"/>
    <col min="6" max="6" width="12" bestFit="1" customWidth="1"/>
    <col min="7" max="7" width="16" style="72" customWidth="1"/>
    <col min="8" max="8" width="12.33203125" bestFit="1" customWidth="1"/>
    <col min="12" max="12" width="11" customWidth="1"/>
  </cols>
  <sheetData>
    <row r="1" spans="1:8" ht="15" customHeight="1">
      <c r="A1" t="s">
        <v>39</v>
      </c>
      <c r="B1" s="72" t="s">
        <v>40</v>
      </c>
      <c r="D1" s="244" t="s">
        <v>73</v>
      </c>
      <c r="E1" s="244"/>
      <c r="F1" s="244"/>
      <c r="G1" s="244"/>
      <c r="H1" s="244"/>
    </row>
    <row r="2" spans="1:8">
      <c r="D2" s="244"/>
      <c r="E2" s="244"/>
      <c r="F2" s="244"/>
      <c r="G2" s="244"/>
      <c r="H2" s="244"/>
    </row>
    <row r="3" spans="1:8">
      <c r="A3" t="s">
        <v>43</v>
      </c>
      <c r="D3" s="244"/>
      <c r="E3" s="244"/>
      <c r="F3" s="244"/>
      <c r="G3" s="244"/>
      <c r="H3" s="244"/>
    </row>
    <row r="4" spans="1:8">
      <c r="A4" t="s">
        <v>44</v>
      </c>
      <c r="B4" s="72" t="s">
        <v>6</v>
      </c>
      <c r="C4" s="72" t="s">
        <v>44</v>
      </c>
      <c r="D4" s="72" t="s">
        <v>6</v>
      </c>
    </row>
    <row r="5" spans="1:8">
      <c r="A5" t="s">
        <v>8</v>
      </c>
      <c r="B5" s="72">
        <v>1118631.79</v>
      </c>
      <c r="C5" s="72" t="s">
        <v>8</v>
      </c>
      <c r="D5" s="72">
        <v>1118631.79</v>
      </c>
      <c r="F5" t="s">
        <v>69</v>
      </c>
    </row>
    <row r="6" spans="1:8">
      <c r="A6" t="s">
        <v>9</v>
      </c>
      <c r="B6" s="72">
        <v>11941675.080000002</v>
      </c>
      <c r="C6" s="72" t="s">
        <v>9</v>
      </c>
      <c r="D6" s="72">
        <v>11941675.080000002</v>
      </c>
      <c r="F6" t="s">
        <v>44</v>
      </c>
      <c r="G6" s="72" t="s">
        <v>6</v>
      </c>
    </row>
    <row r="7" spans="1:8">
      <c r="A7" t="s">
        <v>11</v>
      </c>
      <c r="B7" s="72">
        <v>248632.69000000003</v>
      </c>
      <c r="C7" s="72" t="s">
        <v>11</v>
      </c>
      <c r="D7" s="72">
        <v>248632.69000000003</v>
      </c>
      <c r="F7" t="s">
        <v>8</v>
      </c>
      <c r="G7" s="72">
        <v>1118631.79</v>
      </c>
      <c r="H7" s="76">
        <f>ROUND(G7/$G$33,4)</f>
        <v>3.2000000000000002E-3</v>
      </c>
    </row>
    <row r="8" spans="1:8">
      <c r="A8" t="s">
        <v>12</v>
      </c>
      <c r="B8" s="72">
        <v>329457.78000000003</v>
      </c>
      <c r="C8" s="72" t="s">
        <v>12</v>
      </c>
      <c r="D8" s="72">
        <v>329457.78000000003</v>
      </c>
      <c r="F8" t="s">
        <v>9</v>
      </c>
      <c r="G8" s="72">
        <v>11792015.050000003</v>
      </c>
      <c r="H8" s="76">
        <f t="shared" ref="H8:H31" si="0">ROUND(G8/$G$33,4)</f>
        <v>3.4200000000000001E-2</v>
      </c>
    </row>
    <row r="9" spans="1:8">
      <c r="A9" t="s">
        <v>13</v>
      </c>
      <c r="B9" s="72">
        <v>7575956.8600000003</v>
      </c>
      <c r="C9" s="72" t="s">
        <v>13</v>
      </c>
      <c r="D9" s="72">
        <v>7575956.8600000003</v>
      </c>
      <c r="F9" t="s">
        <v>11</v>
      </c>
      <c r="G9" s="72">
        <v>248632.69000000003</v>
      </c>
      <c r="H9" s="76">
        <f t="shared" si="0"/>
        <v>6.9999999999999999E-4</v>
      </c>
    </row>
    <row r="10" spans="1:8">
      <c r="A10" t="s">
        <v>14</v>
      </c>
      <c r="B10" s="72">
        <v>59114955.850000001</v>
      </c>
      <c r="C10" s="72" t="s">
        <v>14</v>
      </c>
      <c r="D10" s="72">
        <v>59114955.850000001</v>
      </c>
      <c r="F10" t="s">
        <v>12</v>
      </c>
      <c r="G10" s="72">
        <v>329457.78000000003</v>
      </c>
      <c r="H10" s="76">
        <f t="shared" si="0"/>
        <v>1E-3</v>
      </c>
    </row>
    <row r="11" spans="1:8">
      <c r="A11" t="s">
        <v>15</v>
      </c>
      <c r="B11" s="72">
        <v>2940725.24</v>
      </c>
      <c r="C11" s="72" t="s">
        <v>15</v>
      </c>
      <c r="D11" s="72">
        <v>2940725.24</v>
      </c>
      <c r="F11" t="s">
        <v>13</v>
      </c>
      <c r="G11" s="72">
        <v>7570162.54</v>
      </c>
      <c r="H11" s="76">
        <f t="shared" si="0"/>
        <v>2.1999999999999999E-2</v>
      </c>
    </row>
    <row r="12" spans="1:8">
      <c r="A12" t="s">
        <v>16</v>
      </c>
      <c r="B12" s="72">
        <v>25509596.080000002</v>
      </c>
      <c r="C12" s="72" t="s">
        <v>16</v>
      </c>
      <c r="D12" s="72">
        <v>25509596.080000002</v>
      </c>
      <c r="F12" t="s">
        <v>14</v>
      </c>
      <c r="G12" s="72">
        <v>59064504.899999999</v>
      </c>
      <c r="H12" s="76">
        <f t="shared" si="0"/>
        <v>0.17150000000000001</v>
      </c>
    </row>
    <row r="13" spans="1:8">
      <c r="A13" t="s">
        <v>17</v>
      </c>
      <c r="B13" s="72">
        <v>13773819.169999998</v>
      </c>
      <c r="C13" s="72" t="s">
        <v>17</v>
      </c>
      <c r="D13" s="72">
        <v>13773819.169999998</v>
      </c>
      <c r="F13" t="s">
        <v>15</v>
      </c>
      <c r="G13" s="72">
        <v>2938669.6</v>
      </c>
      <c r="H13" s="76">
        <f t="shared" si="0"/>
        <v>8.5000000000000006E-3</v>
      </c>
    </row>
    <row r="14" spans="1:8">
      <c r="A14" t="s">
        <v>18</v>
      </c>
      <c r="B14" s="72">
        <v>355644.26</v>
      </c>
      <c r="C14" s="72" t="s">
        <v>18</v>
      </c>
      <c r="D14" s="72">
        <v>355644.26</v>
      </c>
      <c r="F14" t="s">
        <v>16</v>
      </c>
      <c r="G14" s="72">
        <v>25483978.600000001</v>
      </c>
      <c r="H14" s="76">
        <f t="shared" si="0"/>
        <v>7.3999999999999996E-2</v>
      </c>
    </row>
    <row r="15" spans="1:8">
      <c r="A15" t="s">
        <v>19</v>
      </c>
      <c r="B15" s="72">
        <v>86782880.969999999</v>
      </c>
      <c r="C15" s="72" t="s">
        <v>19</v>
      </c>
      <c r="D15" s="72">
        <v>86782880.969999999</v>
      </c>
      <c r="F15" t="s">
        <v>17</v>
      </c>
      <c r="G15" s="72">
        <v>13761182.549999999</v>
      </c>
      <c r="H15" s="76">
        <f t="shared" si="0"/>
        <v>3.9899999999999998E-2</v>
      </c>
    </row>
    <row r="16" spans="1:8">
      <c r="A16" t="s">
        <v>20</v>
      </c>
      <c r="B16" s="72">
        <v>114094.66</v>
      </c>
      <c r="C16" s="72" t="s">
        <v>20</v>
      </c>
      <c r="D16" s="72">
        <v>114094.66</v>
      </c>
      <c r="F16" t="s">
        <v>18</v>
      </c>
      <c r="G16" s="72">
        <v>348466.84</v>
      </c>
      <c r="H16" s="76">
        <f t="shared" si="0"/>
        <v>1E-3</v>
      </c>
    </row>
    <row r="17" spans="1:8">
      <c r="A17" t="s">
        <v>21</v>
      </c>
      <c r="B17" s="72">
        <v>7109071.1499999994</v>
      </c>
      <c r="C17" s="72" t="s">
        <v>21</v>
      </c>
      <c r="D17" s="72">
        <v>7109071.1499999994</v>
      </c>
      <c r="F17" t="s">
        <v>19</v>
      </c>
      <c r="G17" s="72">
        <v>85696871.560000002</v>
      </c>
      <c r="H17" s="76">
        <f t="shared" si="0"/>
        <v>0.24879999999999999</v>
      </c>
    </row>
    <row r="18" spans="1:8">
      <c r="A18" t="s">
        <v>22</v>
      </c>
      <c r="B18" s="72">
        <v>82684657.520000011</v>
      </c>
      <c r="C18" s="72" t="s">
        <v>22</v>
      </c>
      <c r="D18" s="72">
        <v>82684657.520000011</v>
      </c>
      <c r="F18" t="s">
        <v>20</v>
      </c>
      <c r="G18" s="72">
        <v>114094.66</v>
      </c>
      <c r="H18" s="76">
        <f t="shared" si="0"/>
        <v>2.9999999999999997E-4</v>
      </c>
    </row>
    <row r="19" spans="1:8">
      <c r="A19" t="s">
        <v>23</v>
      </c>
      <c r="B19" s="72">
        <v>1066447.3900000001</v>
      </c>
      <c r="C19" s="72" t="s">
        <v>23</v>
      </c>
      <c r="D19" s="72">
        <v>1066447.3900000001</v>
      </c>
      <c r="F19" t="s">
        <v>21</v>
      </c>
      <c r="G19" s="72">
        <v>7109071.1499999994</v>
      </c>
      <c r="H19" s="76">
        <f t="shared" si="0"/>
        <v>2.06E-2</v>
      </c>
    </row>
    <row r="20" spans="1:8">
      <c r="A20" t="s">
        <v>24</v>
      </c>
      <c r="B20" s="72">
        <v>17610.340000000004</v>
      </c>
      <c r="C20" s="72" t="s">
        <v>24</v>
      </c>
      <c r="D20" s="72">
        <v>17610.340000000004</v>
      </c>
      <c r="F20" t="s">
        <v>22</v>
      </c>
      <c r="G20" s="72">
        <v>90535684.280000001</v>
      </c>
      <c r="H20" s="76">
        <f t="shared" si="0"/>
        <v>0.26279999999999998</v>
      </c>
    </row>
    <row r="21" spans="1:8">
      <c r="A21" t="s">
        <v>27</v>
      </c>
      <c r="B21" s="72">
        <v>130792.5</v>
      </c>
      <c r="C21" s="72" t="s">
        <v>27</v>
      </c>
      <c r="D21" s="72">
        <v>130792.5</v>
      </c>
      <c r="F21" t="s">
        <v>23</v>
      </c>
      <c r="G21" s="72">
        <v>1066447.3900000001</v>
      </c>
      <c r="H21" s="76">
        <f t="shared" si="0"/>
        <v>3.0999999999999999E-3</v>
      </c>
    </row>
    <row r="22" spans="1:8">
      <c r="A22" t="s">
        <v>55</v>
      </c>
      <c r="B22" s="72">
        <v>2004.45</v>
      </c>
      <c r="C22" s="72" t="s">
        <v>55</v>
      </c>
      <c r="D22" s="72">
        <v>2004.45</v>
      </c>
      <c r="F22" t="s">
        <v>24</v>
      </c>
      <c r="G22" s="72">
        <v>17610.340000000004</v>
      </c>
      <c r="H22" s="76">
        <f t="shared" si="0"/>
        <v>1E-4</v>
      </c>
    </row>
    <row r="23" spans="1:8">
      <c r="A23" t="s">
        <v>30</v>
      </c>
      <c r="B23" s="72">
        <v>205530.69</v>
      </c>
      <c r="C23" s="72" t="s">
        <v>30</v>
      </c>
      <c r="D23" s="72">
        <v>205530.69</v>
      </c>
      <c r="F23" t="s">
        <v>27</v>
      </c>
      <c r="G23" s="72">
        <v>130792.5</v>
      </c>
      <c r="H23" s="76">
        <f t="shared" si="0"/>
        <v>4.0000000000000002E-4</v>
      </c>
    </row>
    <row r="24" spans="1:8">
      <c r="A24" t="s">
        <v>31</v>
      </c>
      <c r="B24" s="72">
        <v>70055.11</v>
      </c>
      <c r="C24" s="72" t="s">
        <v>31</v>
      </c>
      <c r="D24" s="72">
        <v>70055.11</v>
      </c>
      <c r="F24" t="s">
        <v>55</v>
      </c>
      <c r="G24" s="72">
        <v>2004.45</v>
      </c>
      <c r="H24" s="76">
        <f t="shared" si="0"/>
        <v>0</v>
      </c>
    </row>
    <row r="25" spans="1:8">
      <c r="A25" t="s">
        <v>32</v>
      </c>
      <c r="B25" s="72">
        <v>29619644.939999994</v>
      </c>
      <c r="C25" s="72" t="s">
        <v>32</v>
      </c>
      <c r="D25" s="72">
        <v>29619644.939999994</v>
      </c>
      <c r="F25" t="s">
        <v>30</v>
      </c>
      <c r="G25" s="72">
        <v>205530.69</v>
      </c>
      <c r="H25" s="76">
        <f t="shared" si="0"/>
        <v>5.9999999999999995E-4</v>
      </c>
    </row>
    <row r="26" spans="1:8">
      <c r="A26" t="s">
        <v>33</v>
      </c>
      <c r="B26" s="72">
        <v>5350720.21</v>
      </c>
      <c r="C26" s="72" t="s">
        <v>33</v>
      </c>
      <c r="D26" s="72">
        <v>5350720.21</v>
      </c>
      <c r="F26" t="s">
        <v>31</v>
      </c>
      <c r="G26" s="72">
        <v>70055.11</v>
      </c>
      <c r="H26" s="76">
        <f t="shared" si="0"/>
        <v>2.0000000000000001E-4</v>
      </c>
    </row>
    <row r="27" spans="1:8">
      <c r="A27" t="s">
        <v>47</v>
      </c>
      <c r="B27" s="72">
        <v>6076634.0700000003</v>
      </c>
      <c r="C27" s="72" t="s">
        <v>22</v>
      </c>
      <c r="D27" s="72">
        <v>6076634.0700000003</v>
      </c>
      <c r="F27" t="s">
        <v>32</v>
      </c>
      <c r="G27" s="72">
        <v>29594329.689999994</v>
      </c>
      <c r="H27" s="76">
        <f t="shared" si="0"/>
        <v>8.5900000000000004E-2</v>
      </c>
    </row>
    <row r="28" spans="1:8">
      <c r="A28" t="s">
        <v>48</v>
      </c>
      <c r="B28" s="72">
        <v>2209782.64</v>
      </c>
      <c r="C28" s="72" t="s">
        <v>22</v>
      </c>
      <c r="D28" s="72">
        <v>2209782.64</v>
      </c>
      <c r="F28" t="s">
        <v>33</v>
      </c>
      <c r="G28" s="72">
        <v>5294530.55</v>
      </c>
      <c r="H28" s="76">
        <f t="shared" si="0"/>
        <v>1.54E-2</v>
      </c>
    </row>
    <row r="29" spans="1:8">
      <c r="A29" t="s">
        <v>35</v>
      </c>
      <c r="B29" s="72">
        <v>555674.98</v>
      </c>
      <c r="C29" s="72" t="s">
        <v>35</v>
      </c>
      <c r="D29" s="72">
        <v>555674.98</v>
      </c>
      <c r="F29" t="s">
        <v>35</v>
      </c>
      <c r="G29" s="72">
        <v>554627.47</v>
      </c>
      <c r="H29" s="76">
        <f t="shared" si="0"/>
        <v>1.6000000000000001E-3</v>
      </c>
    </row>
    <row r="30" spans="1:8">
      <c r="A30" t="s">
        <v>36</v>
      </c>
      <c r="B30" s="72">
        <v>53752.929999999993</v>
      </c>
      <c r="C30" s="72" t="s">
        <v>36</v>
      </c>
      <c r="D30" s="72">
        <v>53752.929999999993</v>
      </c>
      <c r="F30" t="s">
        <v>36</v>
      </c>
      <c r="G30" s="72">
        <v>53752.929999999993</v>
      </c>
      <c r="H30" s="76">
        <f t="shared" si="0"/>
        <v>2.0000000000000001E-4</v>
      </c>
    </row>
    <row r="31" spans="1:8">
      <c r="A31" t="s">
        <v>37</v>
      </c>
      <c r="B31" s="72">
        <v>62300.680000000015</v>
      </c>
      <c r="C31" s="72" t="s">
        <v>37</v>
      </c>
      <c r="D31" s="72">
        <v>62300.680000000015</v>
      </c>
      <c r="F31" t="s">
        <v>37</v>
      </c>
      <c r="G31" s="72">
        <v>62300.680000000015</v>
      </c>
      <c r="H31" s="76">
        <f t="shared" si="0"/>
        <v>2.0000000000000001E-4</v>
      </c>
    </row>
    <row r="32" spans="1:8">
      <c r="A32" t="s">
        <v>70</v>
      </c>
      <c r="B32" s="72">
        <v>854.7</v>
      </c>
      <c r="C32" s="72" t="s">
        <v>22</v>
      </c>
      <c r="D32" s="72">
        <v>854.7</v>
      </c>
      <c r="F32" t="s">
        <v>38</v>
      </c>
      <c r="G32" s="72">
        <v>1314137.33</v>
      </c>
      <c r="H32" s="76">
        <f>ROUND(G32/$G$33,4)</f>
        <v>3.8E-3</v>
      </c>
    </row>
    <row r="33" spans="1:11">
      <c r="A33" t="s">
        <v>38</v>
      </c>
      <c r="B33" s="72">
        <v>1338929.79</v>
      </c>
      <c r="C33" s="72" t="s">
        <v>38</v>
      </c>
      <c r="D33" s="72">
        <v>1338929.79</v>
      </c>
      <c r="F33" t="s">
        <v>49</v>
      </c>
      <c r="G33" s="72">
        <v>344477543.12</v>
      </c>
      <c r="H33" s="85">
        <f>SUM(H7:H32)</f>
        <v>0.99999999999999978</v>
      </c>
      <c r="K33" s="95"/>
    </row>
    <row r="34" spans="1:11">
      <c r="A34" t="s">
        <v>49</v>
      </c>
      <c r="B34" s="72">
        <v>346360534.51999998</v>
      </c>
      <c r="C34" t="s">
        <v>9</v>
      </c>
      <c r="D34" s="72">
        <v>-149660.02999999994</v>
      </c>
    </row>
    <row r="35" spans="1:11">
      <c r="C35" t="s">
        <v>13</v>
      </c>
      <c r="D35" s="72">
        <v>-5794.3200000000015</v>
      </c>
    </row>
    <row r="36" spans="1:11">
      <c r="C36" t="s">
        <v>14</v>
      </c>
      <c r="D36" s="72">
        <v>-50450.950000000012</v>
      </c>
    </row>
    <row r="37" spans="1:11">
      <c r="C37" t="s">
        <v>15</v>
      </c>
      <c r="D37" s="72">
        <v>-2055.64</v>
      </c>
    </row>
    <row r="38" spans="1:11">
      <c r="C38" t="s">
        <v>16</v>
      </c>
      <c r="D38" s="72">
        <v>-25617.479999999996</v>
      </c>
    </row>
    <row r="39" spans="1:11">
      <c r="C39" t="s">
        <v>17</v>
      </c>
      <c r="D39" s="72">
        <v>-12636.619999999999</v>
      </c>
    </row>
    <row r="40" spans="1:11">
      <c r="C40" t="s">
        <v>18</v>
      </c>
      <c r="D40" s="72">
        <v>-7177.420000000001</v>
      </c>
    </row>
    <row r="41" spans="1:11">
      <c r="C41" t="s">
        <v>19</v>
      </c>
      <c r="D41" s="72">
        <v>-1086009.4100000001</v>
      </c>
      <c r="F41" t="s">
        <v>74</v>
      </c>
    </row>
    <row r="42" spans="1:11">
      <c r="C42" t="s">
        <v>22</v>
      </c>
      <c r="D42" s="72">
        <v>-436244.65</v>
      </c>
    </row>
    <row r="43" spans="1:11">
      <c r="C43" t="s">
        <v>32</v>
      </c>
      <c r="D43" s="72">
        <v>-25315.249999999993</v>
      </c>
    </row>
    <row r="44" spans="1:11">
      <c r="C44" t="s">
        <v>33</v>
      </c>
      <c r="D44" s="72">
        <v>-56189.66</v>
      </c>
    </row>
    <row r="45" spans="1:11">
      <c r="C45" t="s">
        <v>35</v>
      </c>
      <c r="D45" s="72">
        <v>-1047.5099999999998</v>
      </c>
    </row>
    <row r="46" spans="1:11">
      <c r="C46" t="s">
        <v>38</v>
      </c>
      <c r="D46" s="72">
        <v>-24792.46</v>
      </c>
    </row>
    <row r="47" spans="1:11">
      <c r="C47"/>
    </row>
    <row r="48" spans="1:11">
      <c r="D48" s="72">
        <f>SUM(D5:D46)</f>
        <v>344477543.12</v>
      </c>
    </row>
  </sheetData>
  <mergeCells count="1">
    <mergeCell ref="D1:H3"/>
  </mergeCells>
  <pageMargins left="0.7" right="0.7" top="0.75" bottom="0.75" header="0.3" footer="0.3"/>
  <pageSetup scale="72" orientation="landscape" r:id="rId1"/>
  <headerFooter>
    <oddHeader>&amp;RKY PSC Case No. 2016-00162,
Attachment G to Staff Post Hearing Supp. DR 2</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61</vt:i4>
      </vt:variant>
      <vt:variant>
        <vt:lpstr>Named Ranges</vt:lpstr>
      </vt:variant>
      <vt:variant>
        <vt:i4>1</vt:i4>
      </vt:variant>
    </vt:vector>
  </HeadingPairs>
  <TitlesOfParts>
    <vt:vector size="62" baseType="lpstr">
      <vt:lpstr>Differences 2nd 2011</vt:lpstr>
      <vt:lpstr>Pivot 2nd 2011</vt:lpstr>
      <vt:lpstr>Differences 1st 2012</vt:lpstr>
      <vt:lpstr>Pivot 1st 2012</vt:lpstr>
      <vt:lpstr>Differences 2nd 2012</vt:lpstr>
      <vt:lpstr>Pivot 2nd 2012</vt:lpstr>
      <vt:lpstr>Differences 1st 2013 TA</vt:lpstr>
      <vt:lpstr>TA - Differences 1st 2013</vt:lpstr>
      <vt:lpstr>Pivot 1st 2013 TA</vt:lpstr>
      <vt:lpstr>TI - Differences 1st 2013</vt:lpstr>
      <vt:lpstr>TI - Pivot 1st 2013</vt:lpstr>
      <vt:lpstr>TL - Differences 1st 2013</vt:lpstr>
      <vt:lpstr>TL - Pivot 1st 2013</vt:lpstr>
      <vt:lpstr>TA Differences 2nd 2013</vt:lpstr>
      <vt:lpstr>TA Pivot 2nd 2013</vt:lpstr>
      <vt:lpstr>TI - Differences 2nd 2013</vt:lpstr>
      <vt:lpstr>TI - Pivot 2nd 2013</vt:lpstr>
      <vt:lpstr>TL - Differences 2nd 2013</vt:lpstr>
      <vt:lpstr>TL - Pivot 2nd 2013</vt:lpstr>
      <vt:lpstr>TA - Differences 1st 2014</vt:lpstr>
      <vt:lpstr>TA - Pivot 1st 2014</vt:lpstr>
      <vt:lpstr>TI - Differences 1st 2014</vt:lpstr>
      <vt:lpstr>TI - Pivot 1st 2014</vt:lpstr>
      <vt:lpstr>TL - Differences 1st 2014</vt:lpstr>
      <vt:lpstr>TL - Pivot 1st 2014</vt:lpstr>
      <vt:lpstr>TA - Differences 2nd 2014</vt:lpstr>
      <vt:lpstr>TA - Pivot 2nd 2014</vt:lpstr>
      <vt:lpstr>TI - Differences 2nd 2014</vt:lpstr>
      <vt:lpstr>TI - Pivot 2nd 2014</vt:lpstr>
      <vt:lpstr>TL - Differences 2nd 2014</vt:lpstr>
      <vt:lpstr>TL - Pivot 2nd 2014</vt:lpstr>
      <vt:lpstr>TA - Differences 1st 2015</vt:lpstr>
      <vt:lpstr>TA - Pivot 1st 2015</vt:lpstr>
      <vt:lpstr>TI - Differences 1st 2015</vt:lpstr>
      <vt:lpstr>TI - Pivot 1st 2015</vt:lpstr>
      <vt:lpstr>TL - Differences 1st 2015</vt:lpstr>
      <vt:lpstr>TL - Pivot 1st 2015</vt:lpstr>
      <vt:lpstr>TA - Differences Post-Sep</vt:lpstr>
      <vt:lpstr>TA - Pivot Post-Sep</vt:lpstr>
      <vt:lpstr>TI - Difference Post-Sep</vt:lpstr>
      <vt:lpstr>TI - Pivot Post-Sep</vt:lpstr>
      <vt:lpstr>TL - Differences Post-Sep</vt:lpstr>
      <vt:lpstr>TL - Pivot Post-Sep</vt:lpstr>
      <vt:lpstr>TA - Differences 2nd 2015</vt:lpstr>
      <vt:lpstr>TA - Pivot 2nd 2015</vt:lpstr>
      <vt:lpstr>TI - Differences 2nd 2015</vt:lpstr>
      <vt:lpstr>TI - Pivot 2nd 2015</vt:lpstr>
      <vt:lpstr>TL - Differences 2nd 2015</vt:lpstr>
      <vt:lpstr>TL - Pivot 2nd 2015</vt:lpstr>
      <vt:lpstr>TA - Differences 1st 2016</vt:lpstr>
      <vt:lpstr>TA - Pivot 1st 2016</vt:lpstr>
      <vt:lpstr>TI - Differences 1st 2016</vt:lpstr>
      <vt:lpstr>TI - Pivot 1st 2016</vt:lpstr>
      <vt:lpstr>TL - Differences 1st 2016</vt:lpstr>
      <vt:lpstr>TL - Pivot 1st 2016</vt:lpstr>
      <vt:lpstr>TA - Differences 2nd 2016</vt:lpstr>
      <vt:lpstr>TA - Pivot 2nd 2016</vt:lpstr>
      <vt:lpstr>TI - Differences 2nd 2016</vt:lpstr>
      <vt:lpstr>TI - Pivot 2nd 2016</vt:lpstr>
      <vt:lpstr>TL - Differences 2nd 2016</vt:lpstr>
      <vt:lpstr>TL - Pivot 2nd 2016</vt:lpstr>
      <vt:lpstr>'TA Differences 2nd 2013'!Print_Area</vt:lpstr>
    </vt:vector>
  </TitlesOfParts>
  <Company>NiSource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Schauer \ Austin \ Matthew</dc:creator>
  <cp:lastModifiedBy>Paynter \ Colin \ Bartholomew</cp:lastModifiedBy>
  <cp:lastPrinted>2016-11-30T20:35:32Z</cp:lastPrinted>
  <dcterms:created xsi:type="dcterms:W3CDTF">2016-08-09T19:35:34Z</dcterms:created>
  <dcterms:modified xsi:type="dcterms:W3CDTF">2016-12-01T16:25:52Z</dcterms:modified>
</cp:coreProperties>
</file>