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R:\CKY\Rate Case - 2016\Data Requests\PSC Staff - Second Round\"/>
    </mc:Choice>
  </mc:AlternateContent>
  <bookViews>
    <workbookView xWindow="1548" yWindow="180" windowWidth="15732" windowHeight="6576" tabRatio="912"/>
  </bookViews>
  <sheets>
    <sheet name="INDEX M" sheetId="24" r:id="rId1"/>
    <sheet name="Input" sheetId="1" r:id="rId2"/>
    <sheet name="A" sheetId="23" r:id="rId3"/>
    <sheet name="B" sheetId="2" r:id="rId4"/>
    <sheet name="C" sheetId="3" r:id="rId5"/>
    <sheet name="D pg 1" sheetId="5" r:id="rId6"/>
    <sheet name="D pg 2" sheetId="15" r:id="rId7"/>
    <sheet name="Sch M" sheetId="22" r:id="rId8"/>
    <sheet name="Sch M 2.1" sheetId="14" r:id="rId9"/>
    <sheet name="Sch M 2.2" sheetId="8" r:id="rId10"/>
    <sheet name="Sch M 2.3" sheetId="20" r:id="rId11"/>
    <sheet name="Rate Design MPB-1" sheetId="26" r:id="rId12"/>
    <sheet name="Late Payment MPB-2" sheetId="19" r:id="rId13"/>
    <sheet name="MPB-3" sheetId="27" r:id="rId14"/>
    <sheet name="MPB-4" sheetId="28" r:id="rId15"/>
    <sheet name="Macros" sheetId="16" state="veryHidden" r:id="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A">'[1]TRANSPORTS-revised'!#REF!</definedName>
    <definedName name="\C">#REF!</definedName>
    <definedName name="\f">'[2]E-2'!#REF!</definedName>
    <definedName name="\P" localSheetId="11">'[3]SCHEDULE 33 A REV.'!$B$83:$B$87</definedName>
    <definedName name="\p">#REF!</definedName>
    <definedName name="\s">'[2]E-2'!#REF!</definedName>
    <definedName name="\t">#REF!</definedName>
    <definedName name="__ADJ24">#REF!</definedName>
    <definedName name="__ADJ25">#REF!</definedName>
    <definedName name="__adj4">#REF!</definedName>
    <definedName name="__ADJ44">#REF!</definedName>
    <definedName name="__ADJ48">#REF!</definedName>
    <definedName name="__ADJ49">#REF!</definedName>
    <definedName name="__ADJ51">#REF!</definedName>
    <definedName name="__EMP11">#REF!</definedName>
    <definedName name="__EMP12">#REF!</definedName>
    <definedName name="__EMP14">#REF!</definedName>
    <definedName name="__EMP15">#REF!</definedName>
    <definedName name="__EMP16">#REF!</definedName>
    <definedName name="__EMP17">#REF!</definedName>
    <definedName name="__EMP18">#REF!</definedName>
    <definedName name="__EMP20">#REF!</definedName>
    <definedName name="__EMP22">#REF!</definedName>
    <definedName name="__EMP32">#REF!</definedName>
    <definedName name="__EMP34">#REF!</definedName>
    <definedName name="__EMP35">#REF!</definedName>
    <definedName name="__EMP37">#REF!</definedName>
    <definedName name="__EMP38">#REF!</definedName>
    <definedName name="__EMP43">#REF!</definedName>
    <definedName name="__EMP48">#REF!</definedName>
    <definedName name="__EMP51">#REF!</definedName>
    <definedName name="__EMP52">#REF!</definedName>
    <definedName name="__EMP53">#REF!</definedName>
    <definedName name="__FXD0111">#REF!</definedName>
    <definedName name="__FXD0151">#REF!</definedName>
    <definedName name="__FXD0212">#REF!</definedName>
    <definedName name="__FXD0214">#REF!</definedName>
    <definedName name="__FXD0234">#REF!</definedName>
    <definedName name="__FXD0235">#REF!</definedName>
    <definedName name="__FXD0237">#REF!</definedName>
    <definedName name="__FXD0238">#REF!</definedName>
    <definedName name="__FXD0251">#REF!</definedName>
    <definedName name="__FXD0612">#REF!</definedName>
    <definedName name="__FXD0614">#REF!</definedName>
    <definedName name="__FXD0615">#REF!</definedName>
    <definedName name="__FXD0616">#REF!</definedName>
    <definedName name="__FXD0617">#REF!</definedName>
    <definedName name="__FXD0618">#REF!</definedName>
    <definedName name="__FXD0632">#REF!</definedName>
    <definedName name="__FXD0634">#REF!</definedName>
    <definedName name="__FXD0635">#REF!</definedName>
    <definedName name="__FXD0637">#REF!</definedName>
    <definedName name="__FXD0638">#REF!</definedName>
    <definedName name="__FXD0643">#REF!</definedName>
    <definedName name="__FXD0651">#REF!</definedName>
    <definedName name="__FXD0653">#REF!</definedName>
    <definedName name="__FXD0814">#REF!</definedName>
    <definedName name="__FXD0832">#REF!</definedName>
    <definedName name="__FXD0834">#REF!</definedName>
    <definedName name="__FXD0835">#REF!</definedName>
    <definedName name="__FXD0837">#REF!</definedName>
    <definedName name="__FXD0838">#REF!</definedName>
    <definedName name="__FXD0851">#REF!</definedName>
    <definedName name="__FXD0932">#REF!</definedName>
    <definedName name="__FXD0934">#REF!</definedName>
    <definedName name="__FXD0935">#REF!</definedName>
    <definedName name="__FXD0937">#REF!</definedName>
    <definedName name="__FXD0938">#REF!</definedName>
    <definedName name="__FXD0951">#REF!</definedName>
    <definedName name="__FXD7032">#REF!</definedName>
    <definedName name="__FXD7034">#REF!</definedName>
    <definedName name="__FXD7035">#REF!</definedName>
    <definedName name="__FXD7037">#REF!</definedName>
    <definedName name="__FXD7038">#REF!</definedName>
    <definedName name="__FXD8614">#REF!</definedName>
    <definedName name="__FXD8615">#REF!</definedName>
    <definedName name="__FXD8616">#REF!</definedName>
    <definedName name="__FXD8617">#REF!</definedName>
    <definedName name="__FXD8618">#REF!</definedName>
    <definedName name="__FXD8632">#REF!</definedName>
    <definedName name="__FXD8634">#REF!</definedName>
    <definedName name="__FXD8635">#REF!</definedName>
    <definedName name="__FXD8637">#REF!</definedName>
    <definedName name="__FXD8638">#REF!</definedName>
    <definedName name="__FXD8651">#REF!</definedName>
    <definedName name="__SCH10">'[4]Rev Def Sum'!#REF!</definedName>
    <definedName name="__sch17">#REF!</definedName>
    <definedName name="__SCH33">'[5]SCHEDULE 33 A REV.'!$A$1:$H$67</definedName>
    <definedName name="__SCH6">#N/A</definedName>
    <definedName name="__SUM0111">#REF!</definedName>
    <definedName name="__SUM0113">#REF!</definedName>
    <definedName name="__SUM0210">#REF!</definedName>
    <definedName name="__SUM0213">#REF!</definedName>
    <definedName name="__SUM0401">#REF!</definedName>
    <definedName name="__SUM0402">#REF!</definedName>
    <definedName name="__SUM0408">#REF!</definedName>
    <definedName name="__SUM0409">#REF!</definedName>
    <definedName name="__SUM0411">#REF!</definedName>
    <definedName name="__SUM0501">#REF!</definedName>
    <definedName name="__SUM0502">#REF!</definedName>
    <definedName name="__SUM0508">#REF!</definedName>
    <definedName name="__SUM0509">#REF!</definedName>
    <definedName name="__SUM0510">#REF!</definedName>
    <definedName name="__SUM0511">#REF!</definedName>
    <definedName name="__SUM0613">#REF!</definedName>
    <definedName name="__SUM0701">#REF!</definedName>
    <definedName name="__SUM0702">#REF!</definedName>
    <definedName name="__SUM0708">#REF!</definedName>
    <definedName name="__SUM0709">#REF!</definedName>
    <definedName name="__SUM0813">#REF!</definedName>
    <definedName name="__SUM0901">#REF!</definedName>
    <definedName name="__SUM0902">#REF!</definedName>
    <definedName name="__SUM0908">#REF!</definedName>
    <definedName name="__SUM0911">#REF!</definedName>
    <definedName name="__SUM0913">#REF!</definedName>
    <definedName name="__SUM5701">#REF!</definedName>
    <definedName name="__SUM5702">#REF!</definedName>
    <definedName name="__SUM5708">#REF!</definedName>
    <definedName name="__SUM5709">#REF!</definedName>
    <definedName name="__SUM5711">#REF!</definedName>
    <definedName name="__SUM5801">#REF!</definedName>
    <definedName name="__SUM5802">#REF!</definedName>
    <definedName name="__SUM5811">#REF!</definedName>
    <definedName name="__SUM6001">#REF!</definedName>
    <definedName name="__SUM6002">#REF!</definedName>
    <definedName name="__SUM6008">#REF!</definedName>
    <definedName name="__sum6009">#REF!</definedName>
    <definedName name="__SUM6011">#REF!</definedName>
    <definedName name="__SUM6101">#REF!</definedName>
    <definedName name="__SUM6102">#REF!</definedName>
    <definedName name="__SUM6108">#REF!</definedName>
    <definedName name="__SUM6109">#REF!</definedName>
    <definedName name="__SUM6111">#REF!</definedName>
    <definedName name="__SUM6201">#REF!</definedName>
    <definedName name="__SUM6202">#REF!</definedName>
    <definedName name="__SUM6301">#REF!</definedName>
    <definedName name="__SUM6302">#REF!</definedName>
    <definedName name="__SUM6308">#REF!</definedName>
    <definedName name="__SUM6309">#REF!</definedName>
    <definedName name="__SUM6311">#REF!</definedName>
    <definedName name="__SUM6401">#REF!</definedName>
    <definedName name="__SUM6402">#REF!</definedName>
    <definedName name="__SUM6408">#REF!</definedName>
    <definedName name="__SUM6409">#REF!</definedName>
    <definedName name="__SUM6411">#REF!</definedName>
    <definedName name="__SUM6413">#REF!</definedName>
    <definedName name="__SUM6501">#REF!</definedName>
    <definedName name="__SUM6502">#REF!</definedName>
    <definedName name="__SUM6508">#REF!</definedName>
    <definedName name="__SUM6509">#REF!</definedName>
    <definedName name="__SUM6510">#REF!</definedName>
    <definedName name="__SUM6511">#REF!</definedName>
    <definedName name="__SUM6601">#REF!</definedName>
    <definedName name="__SUM6602">#REF!</definedName>
    <definedName name="__SUM6608">#REF!</definedName>
    <definedName name="__SUM6609">#REF!</definedName>
    <definedName name="__SUM6611">#REF!</definedName>
    <definedName name="__SUM6701">#REF!</definedName>
    <definedName name="__SUM6702">#REF!</definedName>
    <definedName name="__SUM6708">#REF!</definedName>
    <definedName name="__SUM6709">#REF!</definedName>
    <definedName name="__SUM6710">#REF!</definedName>
    <definedName name="__SUM6711">#REF!</definedName>
    <definedName name="__SUM6718">#REF!</definedName>
    <definedName name="__SUM6801">#REF!</definedName>
    <definedName name="__SUM6802">#REF!</definedName>
    <definedName name="__SUM7013">#REF!</definedName>
    <definedName name="__SUM7201">#REF!</definedName>
    <definedName name="__SUM7202">#REF!</definedName>
    <definedName name="__SUM7208">#REF!</definedName>
    <definedName name="__SUM7209">#REF!</definedName>
    <definedName name="__SUM7210">#REF!</definedName>
    <definedName name="__SUM7211">#REF!</definedName>
    <definedName name="__SUM7301">#REF!</definedName>
    <definedName name="__SUM7302">#REF!</definedName>
    <definedName name="__SUM7308">#REF!</definedName>
    <definedName name="__SUM7309">#REF!</definedName>
    <definedName name="__SUM7311">#REF!</definedName>
    <definedName name="__SUM7401">#REF!</definedName>
    <definedName name="__SUM7402">#REF!</definedName>
    <definedName name="__SUM7408">#REF!</definedName>
    <definedName name="__SUM7409">#REF!</definedName>
    <definedName name="__SUM7411">#REF!</definedName>
    <definedName name="__SUM7501">#REF!</definedName>
    <definedName name="__SUM7502">#REF!</definedName>
    <definedName name="__SUM7508">#REF!</definedName>
    <definedName name="__SUM7509">#REF!</definedName>
    <definedName name="__SUM7511">#REF!</definedName>
    <definedName name="__SUM7811">#REF!</definedName>
    <definedName name="__SUM7920">#REF!</definedName>
    <definedName name="__SUM8001">#REF!</definedName>
    <definedName name="__SUM8002">#REF!</definedName>
    <definedName name="__SUM8008">#REF!</definedName>
    <definedName name="__SUM8009">#REF!</definedName>
    <definedName name="__SUM8011">#REF!</definedName>
    <definedName name="__SUM8301">#REF!</definedName>
    <definedName name="__SUM8302">#REF!</definedName>
    <definedName name="__SUM8308">#REF!</definedName>
    <definedName name="__SUM8309">#REF!</definedName>
    <definedName name="__SUM8311">#REF!</definedName>
    <definedName name="__SUM8401">#REF!</definedName>
    <definedName name="__SUM8402">#REF!</definedName>
    <definedName name="__SUM8408">#REF!</definedName>
    <definedName name="__SUM8409">#REF!</definedName>
    <definedName name="__SUM8411">#REF!</definedName>
    <definedName name="__SUM8511">#REF!</definedName>
    <definedName name="__SUM8613">#REF!</definedName>
    <definedName name="__SUM8701">#REF!</definedName>
    <definedName name="__SUM8702">#REF!</definedName>
    <definedName name="__SUM8708">#REF!</definedName>
    <definedName name="__SUM8709">#REF!</definedName>
    <definedName name="__SUM8710">#REF!</definedName>
    <definedName name="__SUM8711">#REF!</definedName>
    <definedName name="__SUM8713">#REF!</definedName>
    <definedName name="__SUM8714">#REF!</definedName>
    <definedName name="__SUM8715">#REF!</definedName>
    <definedName name="__SUM8716">#REF!</definedName>
    <definedName name="__SUM8717">#REF!</definedName>
    <definedName name="__SUM8719">#REF!</definedName>
    <definedName name="_10TAXPROP">#REF!</definedName>
    <definedName name="_11GROSSTAX">#REF!</definedName>
    <definedName name="_12FRANCTAX">#REF!</definedName>
    <definedName name="_13TAXFED">#REF!</definedName>
    <definedName name="_14DEBTINTEREST">#REF!</definedName>
    <definedName name="_1QTR">#REF!</definedName>
    <definedName name="_1QTR_PROPANE">#REF!</definedName>
    <definedName name="_2_SUMMARY">#REF!</definedName>
    <definedName name="_2_SUMMARY10">#REF!</definedName>
    <definedName name="_235">#REF!</definedName>
    <definedName name="_2QTR">#REF!</definedName>
    <definedName name="_2QTR_PROPANE">#REF!</definedName>
    <definedName name="_3_REV_LAG">#REF!</definedName>
    <definedName name="_3A_COLLECTIONS">#REF!</definedName>
    <definedName name="_3B_ACC_REC">#REF!</definedName>
    <definedName name="_3C_ADJ_REV">#REF!</definedName>
    <definedName name="_3QTR">#REF!</definedName>
    <definedName name="_3QTR_PROPANE">#REF!</definedName>
    <definedName name="_4GASPURCHASES">#REF!</definedName>
    <definedName name="_4QTR">#REF!</definedName>
    <definedName name="_4QTR_PROPANE">#REF!</definedName>
    <definedName name="_5A_NON_APP_GAS">#REF!</definedName>
    <definedName name="_5GP_TCO">#REF!</definedName>
    <definedName name="_5GP_TCOINPUT">#REF!</definedName>
    <definedName name="_6_PAYROLL_COST">#REF!</definedName>
    <definedName name="_7BENEFITS">#REF!</definedName>
    <definedName name="_8TAXPSC">#REF!</definedName>
    <definedName name="_9_PAY_TAXES">#REF!</definedName>
    <definedName name="_ADJ24">#REF!</definedName>
    <definedName name="_ADJ25">#REF!</definedName>
    <definedName name="_adj4">#REF!</definedName>
    <definedName name="_ADJ44">#REF!</definedName>
    <definedName name="_ADJ48">#REF!</definedName>
    <definedName name="_ADJ49">#REF!</definedName>
    <definedName name="_ADJ51">#REF!</definedName>
    <definedName name="_Dist_Values" hidden="1">#REF!</definedName>
    <definedName name="_EMP11">#REF!</definedName>
    <definedName name="_EMP12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20">#REF!</definedName>
    <definedName name="_EMP22">#REF!</definedName>
    <definedName name="_EMP32">#REF!</definedName>
    <definedName name="_EMP34">#REF!</definedName>
    <definedName name="_EMP35">#REF!</definedName>
    <definedName name="_EMP37">#REF!</definedName>
    <definedName name="_EMP38">#REF!</definedName>
    <definedName name="_EMP43">#REF!</definedName>
    <definedName name="_EMP48">#REF!</definedName>
    <definedName name="_EMP51">#REF!</definedName>
    <definedName name="_EMP52">#REF!</definedName>
    <definedName name="_EMP53">#REF!</definedName>
    <definedName name="_Fill" hidden="1">#REF!</definedName>
    <definedName name="_FS_ESC_3_X_\TA">'[2]E-2'!#REF!</definedName>
    <definedName name="_FXD0111">#REF!</definedName>
    <definedName name="_FXD0151">#REF!</definedName>
    <definedName name="_FXD0212">#REF!</definedName>
    <definedName name="_FXD0214">#REF!</definedName>
    <definedName name="_FXD0234">#REF!</definedName>
    <definedName name="_FXD0235">#REF!</definedName>
    <definedName name="_FXD0237">#REF!</definedName>
    <definedName name="_FXD0238">#REF!</definedName>
    <definedName name="_FXD0251">#REF!</definedName>
    <definedName name="_FXD0612">#REF!</definedName>
    <definedName name="_FXD0614">#REF!</definedName>
    <definedName name="_FXD0615">#REF!</definedName>
    <definedName name="_FXD0616">#REF!</definedName>
    <definedName name="_FXD0617">#REF!</definedName>
    <definedName name="_FXD0618">#REF!</definedName>
    <definedName name="_FXD0632">#REF!</definedName>
    <definedName name="_FXD0634">#REF!</definedName>
    <definedName name="_FXD0635">#REF!</definedName>
    <definedName name="_FXD0637">#REF!</definedName>
    <definedName name="_FXD0638">#REF!</definedName>
    <definedName name="_FXD0643">#REF!</definedName>
    <definedName name="_FXD0651">#REF!</definedName>
    <definedName name="_FXD0653">#REF!</definedName>
    <definedName name="_FXD0814">#REF!</definedName>
    <definedName name="_FXD0832">#REF!</definedName>
    <definedName name="_FXD0834">#REF!</definedName>
    <definedName name="_FXD0835">#REF!</definedName>
    <definedName name="_FXD0837">#REF!</definedName>
    <definedName name="_FXD0838">#REF!</definedName>
    <definedName name="_FXD0851">#REF!</definedName>
    <definedName name="_FXD0932">#REF!</definedName>
    <definedName name="_FXD0934">#REF!</definedName>
    <definedName name="_FXD0935">#REF!</definedName>
    <definedName name="_FXD0937">#REF!</definedName>
    <definedName name="_FXD0938">#REF!</definedName>
    <definedName name="_FXD0951">#REF!</definedName>
    <definedName name="_FXD7032">#REF!</definedName>
    <definedName name="_FXD7034">#REF!</definedName>
    <definedName name="_FXD7035">#REF!</definedName>
    <definedName name="_FXD7037">#REF!</definedName>
    <definedName name="_FXD7038">#REF!</definedName>
    <definedName name="_FXD8614">#REF!</definedName>
    <definedName name="_FXD8615">#REF!</definedName>
    <definedName name="_FXD8616">#REF!</definedName>
    <definedName name="_FXD8617">#REF!</definedName>
    <definedName name="_FXD8618">#REF!</definedName>
    <definedName name="_FXD8632">#REF!</definedName>
    <definedName name="_FXD8634">#REF!</definedName>
    <definedName name="_FXD8635">#REF!</definedName>
    <definedName name="_FXD8637">#REF!</definedName>
    <definedName name="_FXD8638">#REF!</definedName>
    <definedName name="_FXD8651">#REF!</definedName>
    <definedName name="_HOME__APP1__LP">#REF!</definedName>
    <definedName name="_HOME__APP1__PC">'[2]E-2'!#REF!</definedName>
    <definedName name="_HOME__FS_ESC_3">'[2]E-2'!#REF!</definedName>
    <definedName name="_Order1" hidden="1">255</definedName>
    <definedName name="_Order2" hidden="1">255</definedName>
    <definedName name="_PRCRSA148..O17">'[2]E-2'!#REF!</definedName>
    <definedName name="_PRCRSAC1..AK46">#REF!</definedName>
    <definedName name="_PRCRSO1..Y60_G">#REF!</definedName>
    <definedName name="_PRCRSQ148..AE1">'[2]E-2'!#REF!</definedName>
    <definedName name="_Regression_Int" localSheetId="0" hidden="1">1</definedName>
    <definedName name="_Regression_Int" hidden="1">1</definedName>
    <definedName name="_SCH10">'[6]Rev Def Sum'!#REF!</definedName>
    <definedName name="_sch17">#REF!</definedName>
    <definedName name="_SCH33">'[3]SCHEDULE 33 A REV.'!$A$1:$H$67</definedName>
    <definedName name="_SCH6">#N/A</definedName>
    <definedName name="_Sort" hidden="1">#REF!</definedName>
    <definedName name="_SUM0111">#REF!</definedName>
    <definedName name="_SUM0113">#REF!</definedName>
    <definedName name="_SUM0210">#REF!</definedName>
    <definedName name="_SUM0213">#REF!</definedName>
    <definedName name="_SUM0401">#REF!</definedName>
    <definedName name="_SUM0402">#REF!</definedName>
    <definedName name="_SUM0408">#REF!</definedName>
    <definedName name="_SUM0409">#REF!</definedName>
    <definedName name="_SUM0411">#REF!</definedName>
    <definedName name="_SUM0501">#REF!</definedName>
    <definedName name="_SUM0502">#REF!</definedName>
    <definedName name="_SUM0508">#REF!</definedName>
    <definedName name="_SUM0509">#REF!</definedName>
    <definedName name="_SUM0510">#REF!</definedName>
    <definedName name="_SUM0511">#REF!</definedName>
    <definedName name="_SUM0613">#REF!</definedName>
    <definedName name="_SUM0701">#REF!</definedName>
    <definedName name="_SUM0702">#REF!</definedName>
    <definedName name="_SUM0708">#REF!</definedName>
    <definedName name="_SUM0709">#REF!</definedName>
    <definedName name="_SUM0813">#REF!</definedName>
    <definedName name="_SUM0901">#REF!</definedName>
    <definedName name="_SUM0902">#REF!</definedName>
    <definedName name="_SUM0908">#REF!</definedName>
    <definedName name="_SUM0911">#REF!</definedName>
    <definedName name="_SUM0913">#REF!</definedName>
    <definedName name="_SUM5701">#REF!</definedName>
    <definedName name="_SUM5702">#REF!</definedName>
    <definedName name="_SUM5708">#REF!</definedName>
    <definedName name="_SUM5709">#REF!</definedName>
    <definedName name="_SUM5711">#REF!</definedName>
    <definedName name="_SUM5801">#REF!</definedName>
    <definedName name="_SUM5802">#REF!</definedName>
    <definedName name="_SUM5811">#REF!</definedName>
    <definedName name="_SUM6001">#REF!</definedName>
    <definedName name="_SUM6002">#REF!</definedName>
    <definedName name="_SUM6008">#REF!</definedName>
    <definedName name="_sum6009">#REF!</definedName>
    <definedName name="_SUM6011">#REF!</definedName>
    <definedName name="_SUM6101">#REF!</definedName>
    <definedName name="_SUM6102">#REF!</definedName>
    <definedName name="_SUM6108">#REF!</definedName>
    <definedName name="_SUM6109">#REF!</definedName>
    <definedName name="_SUM6111">#REF!</definedName>
    <definedName name="_SUM6201">#REF!</definedName>
    <definedName name="_SUM6202">#REF!</definedName>
    <definedName name="_SUM6301">#REF!</definedName>
    <definedName name="_SUM6302">#REF!</definedName>
    <definedName name="_SUM6308">#REF!</definedName>
    <definedName name="_SUM6309">#REF!</definedName>
    <definedName name="_SUM6311">#REF!</definedName>
    <definedName name="_SUM6401">#REF!</definedName>
    <definedName name="_SUM6402">#REF!</definedName>
    <definedName name="_SUM6408">#REF!</definedName>
    <definedName name="_SUM6409">#REF!</definedName>
    <definedName name="_SUM6411">#REF!</definedName>
    <definedName name="_SUM6413">#REF!</definedName>
    <definedName name="_SUM6501">#REF!</definedName>
    <definedName name="_SUM6502">#REF!</definedName>
    <definedName name="_SUM6508">#REF!</definedName>
    <definedName name="_SUM6509">#REF!</definedName>
    <definedName name="_SUM6510">#REF!</definedName>
    <definedName name="_SUM6511">#REF!</definedName>
    <definedName name="_SUM6601">#REF!</definedName>
    <definedName name="_SUM6602">#REF!</definedName>
    <definedName name="_SUM6608">#REF!</definedName>
    <definedName name="_SUM6609">#REF!</definedName>
    <definedName name="_SUM6611">#REF!</definedName>
    <definedName name="_SUM6701">#REF!</definedName>
    <definedName name="_SUM6702">#REF!</definedName>
    <definedName name="_SUM6708">#REF!</definedName>
    <definedName name="_SUM6709">#REF!</definedName>
    <definedName name="_SUM6710">#REF!</definedName>
    <definedName name="_SUM6711">#REF!</definedName>
    <definedName name="_SUM6718">#REF!</definedName>
    <definedName name="_SUM6801">#REF!</definedName>
    <definedName name="_SUM6802">#REF!</definedName>
    <definedName name="_SUM7013">#REF!</definedName>
    <definedName name="_SUM7201">#REF!</definedName>
    <definedName name="_SUM7202">#REF!</definedName>
    <definedName name="_SUM7208">#REF!</definedName>
    <definedName name="_SUM7209">#REF!</definedName>
    <definedName name="_SUM7210">#REF!</definedName>
    <definedName name="_SUM7211">#REF!</definedName>
    <definedName name="_SUM7301">#REF!</definedName>
    <definedName name="_SUM7302">#REF!</definedName>
    <definedName name="_SUM7308">#REF!</definedName>
    <definedName name="_SUM7309">#REF!</definedName>
    <definedName name="_SUM7311">#REF!</definedName>
    <definedName name="_SUM7401">#REF!</definedName>
    <definedName name="_SUM7402">#REF!</definedName>
    <definedName name="_SUM7408">#REF!</definedName>
    <definedName name="_SUM7409">#REF!</definedName>
    <definedName name="_SUM7411">#REF!</definedName>
    <definedName name="_SUM7501">#REF!</definedName>
    <definedName name="_SUM7502">#REF!</definedName>
    <definedName name="_SUM7508">#REF!</definedName>
    <definedName name="_SUM7509">#REF!</definedName>
    <definedName name="_SUM7511">#REF!</definedName>
    <definedName name="_SUM7811">#REF!</definedName>
    <definedName name="_SUM7920">#REF!</definedName>
    <definedName name="_SUM8001">#REF!</definedName>
    <definedName name="_SUM8002">#REF!</definedName>
    <definedName name="_SUM8008">#REF!</definedName>
    <definedName name="_SUM8009">#REF!</definedName>
    <definedName name="_SUM8011">#REF!</definedName>
    <definedName name="_SUM8301">#REF!</definedName>
    <definedName name="_SUM8302">#REF!</definedName>
    <definedName name="_SUM8308">#REF!</definedName>
    <definedName name="_SUM8309">#REF!</definedName>
    <definedName name="_SUM8311">#REF!</definedName>
    <definedName name="_SUM8401">#REF!</definedName>
    <definedName name="_SUM8402">#REF!</definedName>
    <definedName name="_SUM8408">#REF!</definedName>
    <definedName name="_SUM8409">#REF!</definedName>
    <definedName name="_SUM8411">#REF!</definedName>
    <definedName name="_SUM8511">#REF!</definedName>
    <definedName name="_SUM8613">#REF!</definedName>
    <definedName name="_SUM8701">#REF!</definedName>
    <definedName name="_SUM8702">#REF!</definedName>
    <definedName name="_SUM8708">#REF!</definedName>
    <definedName name="_SUM8709">#REF!</definedName>
    <definedName name="_SUM8710">#REF!</definedName>
    <definedName name="_SUM8711">#REF!</definedName>
    <definedName name="_SUM8713">#REF!</definedName>
    <definedName name="_SUM8714">#REF!</definedName>
    <definedName name="_SUM8715">#REF!</definedName>
    <definedName name="_SUM8716">#REF!</definedName>
    <definedName name="_SUM8717">#REF!</definedName>
    <definedName name="_SUM8719">#REF!</definedName>
    <definedName name="a" hidden="1">{"'Server Configuration'!$A$1:$DB$281"}</definedName>
    <definedName name="a_1" hidden="1">{"'Server Configuration'!$A$1:$DB$281"}</definedName>
    <definedName name="A_R_CAPCOMP">#REF!</definedName>
    <definedName name="A_R_DAILY">#REF!</definedName>
    <definedName name="A_R_DAILYSUPPOR">#REF!</definedName>
    <definedName name="A_R_WKSHT1">#REF!</definedName>
    <definedName name="A_R_WKST2">#REF!</definedName>
    <definedName name="ACCT106">#REF!</definedName>
    <definedName name="ACCT495">#REF!</definedName>
    <definedName name="ACCT904">#REF!</definedName>
    <definedName name="acctXref">#REF!</definedName>
    <definedName name="Active">[7]Inputs!$B$4</definedName>
    <definedName name="ACTUAL_VOL">#REF!</definedName>
    <definedName name="AddPMA">#REF!</definedName>
    <definedName name="AddUSF">#REF!</definedName>
    <definedName name="adj1to3">#REF!</definedName>
    <definedName name="adj4a">#REF!</definedName>
    <definedName name="adj4b">#REF!</definedName>
    <definedName name="adj4c">#REF!</definedName>
    <definedName name="adj4d">#REF!</definedName>
    <definedName name="adj4e1">#REF!</definedName>
    <definedName name="adj4e3">#REF!</definedName>
    <definedName name="adj4f1">#REF!</definedName>
    <definedName name="adj4f2">#REF!</definedName>
    <definedName name="adj4f3">#REF!</definedName>
    <definedName name="adj4g">#REF!</definedName>
    <definedName name="adj4h">#REF!</definedName>
    <definedName name="ADJ52_1of2">#REF!</definedName>
    <definedName name="ADJ52_2of2">#REF!</definedName>
    <definedName name="ADJMCF">#REF!</definedName>
    <definedName name="ADJMCF2">#REF!</definedName>
    <definedName name="adjno">[8]Sch1!$G$1</definedName>
    <definedName name="ADJSUM">#REF!</definedName>
    <definedName name="AGENCY_GASCOSTS">#REF!</definedName>
    <definedName name="AGENCY_HISTORY">#REF!</definedName>
    <definedName name="AGENCY_TRANSP">#REF!</definedName>
    <definedName name="ahahahahaha" hidden="1">{"'Server Configuration'!$A$1:$DB$281"}</definedName>
    <definedName name="ahahahahaha_1" hidden="1">{"'Server Configuration'!$A$1:$DB$281"}</definedName>
    <definedName name="ahahahahaha_2" hidden="1">{"'Server Configuration'!$A$1:$DB$281"}</definedName>
    <definedName name="Ainput2">'[9]L Graph (Data)'!$A$6:$DS$21</definedName>
    <definedName name="Ainputvol">'[10]L Graph (Data)'!$A$6:$DS$17</definedName>
    <definedName name="ali" hidden="1">{"'Server Configuration'!$A$1:$DB$281"}</definedName>
    <definedName name="AllData">OFFSET('[11]SLCs Due &amp; Recd'!$A$11,0,0,COUNTA('[11]SLCs Due &amp; Recd'!$B$1:$B$65536),COUNTA('[11]SLCs Due &amp; Recd'!$A$11:$IV$11))</definedName>
    <definedName name="ALLOC">[12]VLOOKUP!$A$2:$S$26</definedName>
    <definedName name="ALLPAGES">#REF!</definedName>
    <definedName name="ANGINC">#REF!</definedName>
    <definedName name="ANNPCT">#REF!</definedName>
    <definedName name="ANNPCTANG">#REF!</definedName>
    <definedName name="Application_Fees">[7]Inputs!$B$50</definedName>
    <definedName name="AR">#REF!</definedName>
    <definedName name="AUTO11">#REF!</definedName>
    <definedName name="AUTO12">#REF!</definedName>
    <definedName name="AUTO14">#REF!</definedName>
    <definedName name="AUTO15">#REF!</definedName>
    <definedName name="AUTO16">#REF!</definedName>
    <definedName name="AUTO17">#REF!</definedName>
    <definedName name="AUTO18">#REF!</definedName>
    <definedName name="AUTO20">#REF!</definedName>
    <definedName name="AUTO22">#REF!</definedName>
    <definedName name="AUTO32">#REF!</definedName>
    <definedName name="AUTO34">#REF!</definedName>
    <definedName name="AUTO35">#REF!</definedName>
    <definedName name="AUTO37">#REF!</definedName>
    <definedName name="AUTO38">#REF!</definedName>
    <definedName name="AUTO48">#REF!</definedName>
    <definedName name="AUTO51">#REF!</definedName>
    <definedName name="AUTO52">#REF!</definedName>
    <definedName name="AUTO53">#REF!</definedName>
    <definedName name="AVG_BANK_BAL">[13]EXH10!$A$1:$J$47</definedName>
    <definedName name="Avg_Mo_pmt">[7]Inputs!$B$7</definedName>
    <definedName name="AVGrate">'[14]AVG FXrates'!$B$4:$F$47</definedName>
    <definedName name="b" hidden="1">{"'Server Configuration'!$A$1:$DB$281"}</definedName>
    <definedName name="b_1" hidden="1">{"'Server Configuration'!$A$1:$DB$281"}</definedName>
    <definedName name="Bank" localSheetId="2">[15]Input!#REF!</definedName>
    <definedName name="Bank" localSheetId="0">[15]Input!#REF!</definedName>
    <definedName name="Bank" localSheetId="7">[15]Input!#REF!</definedName>
    <definedName name="Bank" localSheetId="10">Input!#REF!</definedName>
    <definedName name="Bank">Input!#REF!</definedName>
    <definedName name="Baseline">#REF!</definedName>
    <definedName name="bdate">'[16]Oper Rev&amp;Exp by Accts C2.1A'!$A$4</definedName>
    <definedName name="BENEFITS">#REF!</definedName>
    <definedName name="Binputrusum">'[9]L Graph (Data)'!$A$97:$DS$109</definedName>
    <definedName name="binputsum">'[10]L Graph (Data)'!$A$19:$DS$29</definedName>
    <definedName name="binputsumru">'[17]L Graph (Data)'!$A$91:$DS$105</definedName>
    <definedName name="binputvol">'[17]L Graph (Data)'!$A$21:$DS$34</definedName>
    <definedName name="blip" hidden="1">{"'Server Configuration'!$A$1:$DB$281"}</definedName>
    <definedName name="blip_1" hidden="1">{"'Server Configuration'!$A$1:$DB$281"}</definedName>
    <definedName name="blip_2" hidden="1">{"'Server Configuration'!$A$1:$DB$281"}</definedName>
    <definedName name="blort">#REF!</definedName>
    <definedName name="BMSGRADE">[18]Assumptions!$J$8:$J$21</definedName>
    <definedName name="BOB">#REF!</definedName>
    <definedName name="BTU">[19]Input!$B$11</definedName>
    <definedName name="ByTower">#REF!</definedName>
    <definedName name="CALDEN">#REF!</definedName>
    <definedName name="Cap_Structure">#REF!</definedName>
    <definedName name="case" localSheetId="2">[15]Input!$B$12</definedName>
    <definedName name="case" localSheetId="0">'[16]Operating Income Summary C-1'!$A$2</definedName>
    <definedName name="case" localSheetId="7">[15]Input!$B$12</definedName>
    <definedName name="case">Input!$B$6</definedName>
    <definedName name="CCCfeeadj">'[10]L Graph (Data)'!$A$410:$DS$457</definedName>
    <definedName name="CCCvoladj">'[10]L Graph (Data)'!$A$359:$DS$406</definedName>
    <definedName name="Central_Call_Handling_Charge">'[20]Router Configuration'!$S$1</definedName>
    <definedName name="CHART32">#REF!</definedName>
    <definedName name="CHART34">#REF!</definedName>
    <definedName name="CHART35">#REF!</definedName>
    <definedName name="CHART37">#REF!</definedName>
    <definedName name="CHART38">#REF!</definedName>
    <definedName name="CInputChg">'[9]L Graph (Data)'!$A$41:$IV$56</definedName>
    <definedName name="Cinputvol">'[17]L Graph (Data)'!$A$38:$DS$51</definedName>
    <definedName name="Clarification">#REF!</definedName>
    <definedName name="COLUMN1">#REF!</definedName>
    <definedName name="COLUMN2">#REF!</definedName>
    <definedName name="Commodity" localSheetId="2">[15]Input!$C$16</definedName>
    <definedName name="Commodity" localSheetId="0">[15]Input!$C$16</definedName>
    <definedName name="Commodity" localSheetId="7">[15]Input!$C$16</definedName>
    <definedName name="Commodity">Input!$C$10</definedName>
    <definedName name="Companies">#REF!</definedName>
    <definedName name="company">'[16]Operating Income Summary C-1'!$A$1</definedName>
    <definedName name="CONAME" localSheetId="2">[15]B!$A$1</definedName>
    <definedName name="CONAME" localSheetId="0">[15]B!$A$1</definedName>
    <definedName name="coname" localSheetId="11">'[21]4-B'!$A$1</definedName>
    <definedName name="CONAME" localSheetId="7">[15]B!$A$1</definedName>
    <definedName name="CONAME">B!$A$1</definedName>
    <definedName name="CONTENTS">#REF!</definedName>
    <definedName name="Criticality">#REF!</definedName>
    <definedName name="curr_cust_pmts">'[7]Payment Calculation'!$C$24</definedName>
    <definedName name="CUSTCHG">#REF!</definedName>
    <definedName name="CUSTCOM32">#REF!</definedName>
    <definedName name="CUSTCOM34">#REF!</definedName>
    <definedName name="CUSTCOM35">#REF!</definedName>
    <definedName name="CUSTCOM37">#REF!</definedName>
    <definedName name="CUSTCOM38">#REF!</definedName>
    <definedName name="CUSTGAS32">#REF!</definedName>
    <definedName name="CUSTGAS34">#REF!</definedName>
    <definedName name="CUSTGAS37">#REF!</definedName>
    <definedName name="CUSTHP32">#REF!</definedName>
    <definedName name="CUSTHP34">#REF!</definedName>
    <definedName name="CUSTHP35">#REF!</definedName>
    <definedName name="CUSTHP37">#REF!</definedName>
    <definedName name="CUSTHP38">#REF!</definedName>
    <definedName name="CUSTRES32">#REF!</definedName>
    <definedName name="CUSTRES34">#REF!</definedName>
    <definedName name="CUSTRES35">#REF!</definedName>
    <definedName name="CUSTRES37">#REF!</definedName>
    <definedName name="CUSTRES38">#REF!</definedName>
    <definedName name="CUSTRET16">#REF!</definedName>
    <definedName name="CUSTRET32">#REF!</definedName>
    <definedName name="CUSTRET34">#REF!</definedName>
    <definedName name="CUSTRET35">#REF!</definedName>
    <definedName name="CUSTRET37">#REF!</definedName>
    <definedName name="CUSTRET38">#REF!</definedName>
    <definedName name="CUSTRET43">#REF!</definedName>
    <definedName name="CUSTTRAN32">#REF!</definedName>
    <definedName name="CUSTTRAN34">#REF!</definedName>
    <definedName name="CUSTTRAN35">#REF!</definedName>
    <definedName name="CUSTTRAN37">#REF!</definedName>
    <definedName name="CUSTTRAN38">#REF!</definedName>
    <definedName name="CWC">'[6]Rev Def Sum'!#REF!</definedName>
    <definedName name="CWC_12_96">#REF!</definedName>
    <definedName name="CWC_12_97">#REF!</definedName>
    <definedName name="CWC_9_97">#REF!</definedName>
    <definedName name="D">{"'Server Configuration'!$A$1:$DB$281"}</definedName>
    <definedName name="D_1">{"'Server Configuration'!$A$1:$DB$281"}</definedName>
    <definedName name="D_2">{"'Server Configuration'!$A$1:$DB$281"}</definedName>
    <definedName name="da">{"'Server Configuration'!$A$1:$DB$281"}</definedName>
    <definedName name="da_1">{"'Server Configuration'!$A$1:$DB$281"}</definedName>
    <definedName name="dad" hidden="1">{"'Server Configuration'!$A$1:$DB$281"}</definedName>
    <definedName name="DATA2">#REF!</definedName>
    <definedName name="_xlnm.Database">#REF!</definedName>
    <definedName name="date">'[22]Operating Income Summary C-1'!$A$4</definedName>
    <definedName name="DAVE">'[2]E-2'!#REF!</definedName>
    <definedName name="DC">[8]Sch2!#REF!</definedName>
    <definedName name="DEBT">[23]RORB!$B$2:$F$24</definedName>
    <definedName name="DEPPROD51">#REF!</definedName>
    <definedName name="DEPR">#REF!</definedName>
    <definedName name="DEPTOT11">#REF!</definedName>
    <definedName name="DEPTOT12">#REF!</definedName>
    <definedName name="DEPTOT14">#REF!</definedName>
    <definedName name="DEPTOT15">#REF!</definedName>
    <definedName name="DEPTOT16">#REF!</definedName>
    <definedName name="DEPTOT17">#REF!</definedName>
    <definedName name="DEPTOT18">#REF!</definedName>
    <definedName name="DEPTOT20">#REF!</definedName>
    <definedName name="DEPTOT22">#REF!</definedName>
    <definedName name="DEPTOT32">#REF!</definedName>
    <definedName name="DEPTOT34">#REF!</definedName>
    <definedName name="DEPTOT35">#REF!</definedName>
    <definedName name="DEPTOT37">#REF!</definedName>
    <definedName name="DEPTOT38">#REF!</definedName>
    <definedName name="DEPTOT45">#REF!</definedName>
    <definedName name="DEPTOT48">#REF!</definedName>
    <definedName name="DEPTOT51">#REF!</definedName>
    <definedName name="DEPTOT52">#REF!</definedName>
    <definedName name="DEPTOT53">#REF!</definedName>
    <definedName name="DIRBIL11">#REF!</definedName>
    <definedName name="DIRBIL14">#REF!</definedName>
    <definedName name="DIRBIL15">#REF!</definedName>
    <definedName name="DIRBIL16">#REF!</definedName>
    <definedName name="DIRBIL17">#REF!</definedName>
    <definedName name="DIRBIL18">#REF!</definedName>
    <definedName name="DIRBIL20">#REF!</definedName>
    <definedName name="DIRBIL22">#REF!</definedName>
    <definedName name="DIRBIL32">#REF!</definedName>
    <definedName name="DIRBIL34">#REF!</definedName>
    <definedName name="DIRBIL35">#REF!</definedName>
    <definedName name="DIRBIL37">#REF!</definedName>
    <definedName name="DIRBIL38">#REF!</definedName>
    <definedName name="DIRBIL43">#REF!</definedName>
    <definedName name="DIRBIL45">#REF!</definedName>
    <definedName name="DIRBIL48">#REF!</definedName>
    <definedName name="DIRBIL51">#REF!</definedName>
    <definedName name="DIRBIL52">#REF!</definedName>
    <definedName name="DIRBIL53">#REF!</definedName>
    <definedName name="DISTINC">#REF!</definedName>
    <definedName name="E_factor_amt">[7]Inputs!$B$32</definedName>
    <definedName name="EA">[7]Inputs!$B$8</definedName>
    <definedName name="EGC" localSheetId="2">[15]Input!$C$17</definedName>
    <definedName name="EGC" localSheetId="0">[15]Input!$C$17</definedName>
    <definedName name="EGC" localSheetId="7">[15]Input!$C$17</definedName>
    <definedName name="EGC">Input!$C$11</definedName>
    <definedName name="EGCDATE" localSheetId="2">[15]Input!$C$20</definedName>
    <definedName name="EGCDATE" localSheetId="0">[15]Input!$C$20</definedName>
    <definedName name="EGCDATE" localSheetId="7">[15]Input!$C$20</definedName>
    <definedName name="EGCDATE">Input!$C$14</definedName>
    <definedName name="ENDrate">'[14]END FXrates'!$B$4:$F$46</definedName>
    <definedName name="Enrolled">[7]Inputs!$B$5</definedName>
    <definedName name="EQUITY">[23]RORB!$A$25:$G$49</definedName>
    <definedName name="Est_Enrollment">[7]Inputs!$B$17</definedName>
    <definedName name="EX3_SHT1">#REF!</definedName>
    <definedName name="EX3_SHT2">#REF!</definedName>
    <definedName name="EXPDIST32">#REF!</definedName>
    <definedName name="EXPDIST34">#REF!</definedName>
    <definedName name="EXPDIST35">#REF!</definedName>
    <definedName name="EXPDIST37">#REF!</definedName>
    <definedName name="EXPDIST38">#REF!</definedName>
    <definedName name="EXPENSES">#REF!</definedName>
    <definedName name="EXPFACTOR">#REF!</definedName>
    <definedName name="EXPPROD51">#REF!</definedName>
    <definedName name="EXPTOT11">#REF!</definedName>
    <definedName name="EXPTOT12">#REF!</definedName>
    <definedName name="EXPTOT14">#REF!</definedName>
    <definedName name="EXPTOT15">#REF!</definedName>
    <definedName name="EXPTOT16">#REF!</definedName>
    <definedName name="EXPTOT17">#REF!</definedName>
    <definedName name="EXPTOT18">#REF!</definedName>
    <definedName name="EXPTOT20">#REF!</definedName>
    <definedName name="EXPTOT22">#REF!</definedName>
    <definedName name="EXPTOT32">#REF!</definedName>
    <definedName name="EXPTOT34">#REF!</definedName>
    <definedName name="EXPTOT35">#REF!</definedName>
    <definedName name="EXPTOT37">#REF!</definedName>
    <definedName name="EXPTOT38">#REF!</definedName>
    <definedName name="EXPTOT45">#REF!</definedName>
    <definedName name="EXPTOT48">#REF!</definedName>
    <definedName name="EXPTOT51">#REF!</definedName>
    <definedName name="EXPTOT52">#REF!</definedName>
    <definedName name="EXPTOT53">#REF!</definedName>
    <definedName name="EXPTRAN14">#REF!</definedName>
    <definedName name="EXPTRAN51">#REF!</definedName>
    <definedName name="FADIST32">#REF!</definedName>
    <definedName name="FADIST34">#REF!</definedName>
    <definedName name="FADIST35">#REF!</definedName>
    <definedName name="FADIST37">#REF!</definedName>
    <definedName name="FADIST38">#REF!</definedName>
    <definedName name="FADSIT37">#REF!</definedName>
    <definedName name="FAPROD51">#REF!</definedName>
    <definedName name="FATOT11">#REF!</definedName>
    <definedName name="FATOT12">#REF!</definedName>
    <definedName name="FATOT14">#REF!</definedName>
    <definedName name="FATOT15">#REF!</definedName>
    <definedName name="FATOT16">#REF!</definedName>
    <definedName name="FATOT17">#REF!</definedName>
    <definedName name="FATOT18">#REF!</definedName>
    <definedName name="FATOT20">#REF!</definedName>
    <definedName name="FATOT22">#REF!</definedName>
    <definedName name="FATOT32">#REF!</definedName>
    <definedName name="FATOT34">#REF!</definedName>
    <definedName name="FATOT35">#REF!</definedName>
    <definedName name="FATOT37">#REF!</definedName>
    <definedName name="FATOT38">#REF!</definedName>
    <definedName name="fatot45">#REF!</definedName>
    <definedName name="FATOT48">#REF!</definedName>
    <definedName name="FATOT51">#REF!</definedName>
    <definedName name="FATOT52">#REF!</definedName>
    <definedName name="FATOT53">#REF!</definedName>
    <definedName name="FATRAN14">#REF!</definedName>
    <definedName name="FATRAN51">#REF!</definedName>
    <definedName name="fbdate">'[16]Operating Income Summary C-1'!$A$4</definedName>
    <definedName name="FDATE">'[16]Oper Rev&amp;Exp by Accts C2.1B'!$A$4</definedName>
    <definedName name="FEDTAX">'[6]Rev Def Sum'!#REF!</definedName>
    <definedName name="FICA">[24]Sheet1!$A$2:$R$48</definedName>
    <definedName name="FICA_CALULATION">#REF!</definedName>
    <definedName name="FICA_FIC_TAX_MO">#REF!</definedName>
    <definedName name="FICA_FIT_TAX_BW">#REF!</definedName>
    <definedName name="FindRef">OFFSET('[11]% Invoice'!$A$1,0,0,COUNTA('[11]% Invoice'!$A$1:$A$65536),1)</definedName>
    <definedName name="firmcom">Input!$C$12</definedName>
    <definedName name="firmdem">Input!$C$13</definedName>
    <definedName name="FOREM_S">#REF!</definedName>
    <definedName name="FORESTORE">#REF!</definedName>
    <definedName name="FORESUM">#REF!</definedName>
    <definedName name="FTLEE">#REF!</definedName>
    <definedName name="FTY">#REF!</definedName>
    <definedName name="FUELCOST">#REF!</definedName>
    <definedName name="FY">[8]Sch2!#REF!</definedName>
    <definedName name="FYDESC">#REF!</definedName>
    <definedName name="GARY">#REF!</definedName>
    <definedName name="GAS_PURCH_SORT">#REF!</definedName>
    <definedName name="GASCOST">#REF!</definedName>
    <definedName name="GASNOTE">#REF!</definedName>
    <definedName name="Grade">[18]Assumptions!$J$8:$J$21</definedName>
    <definedName name="GROSS_WAGES">#REF!</definedName>
    <definedName name="HEAD" localSheetId="11">#REF!</definedName>
    <definedName name="HEAD">Input!$A$1:$C$15</definedName>
    <definedName name="header">#REF!</definedName>
    <definedName name="HIS_AVG_RT_BASE">#REF!</definedName>
    <definedName name="HoursPerDay">7.5</definedName>
    <definedName name="ht" hidden="1">{"'Server Configuration'!$A$1:$DB$281"}</definedName>
    <definedName name="ht_1" hidden="1">{"'Server Configuration'!$A$1:$DB$281"}</definedName>
    <definedName name="HTML_CodePage" hidden="1">1252</definedName>
    <definedName name="HTML_Control" hidden="1">{"'Server Configuration'!$A$1:$DB$281"}</definedName>
    <definedName name="HTML_Control_1" hidden="1">{"'Server Configuration'!$A$1:$DB$281"}</definedName>
    <definedName name="HTML_Control_2" hidden="1">{"'Server Configuration'!$A$1:$DB$281"}</definedName>
    <definedName name="HTML_Description" hidden="1">""</definedName>
    <definedName name="HTML_Email" hidden="1">""</definedName>
    <definedName name="HTML_Header" hidden="1">"Server Configuration"</definedName>
    <definedName name="HTML_LastUpdate" hidden="1">"2/9/01"</definedName>
    <definedName name="HTML_LineAfter" hidden="1">FALSE</definedName>
    <definedName name="HTML_LineBefore" hidden="1">FALSE</definedName>
    <definedName name="HTML_Name" hidden="1">"Corporate Network Services"</definedName>
    <definedName name="HTML_OBDlg2" hidden="1">TRUE</definedName>
    <definedName name="HTML_OBDlg4" hidden="1">TRUE</definedName>
    <definedName name="HTML_OS" hidden="1">0</definedName>
    <definedName name="HTML_PathFile" hidden="1">"C:\WINNT\Profiles\E003999\Desktop\MyHTML.htm"</definedName>
    <definedName name="HTML_Title" hidden="1">"Asset Tracking 2_9_01"</definedName>
    <definedName name="Ibaselineunits">'[17]L Graph (Data)'!$A$71:$DS$84</definedName>
    <definedName name="IBM">{"'Server Configuration'!$A$1:$DB$281"}</definedName>
    <definedName name="IC">{"'Server Configuration'!$A$1:$DB$281"}</definedName>
    <definedName name="IMFILE">#REF!</definedName>
    <definedName name="INCTAX">'[6]Rev Def Sum'!#REF!</definedName>
    <definedName name="INCTAX2">'[6]Rev Def Sum'!#REF!</definedName>
    <definedName name="INDADD">#REF!</definedName>
    <definedName name="INPUT">#REF!</definedName>
    <definedName name="Inputbase">'[9]A (Input) Inv MO Service Charge'!#REF!</definedName>
    <definedName name="INTCO">#REF!</definedName>
    <definedName name="INTEREST_WKST">#REF!</definedName>
    <definedName name="IRefbase">'[9]L Graph (Data)'!$A$113:$DS$126</definedName>
    <definedName name="Irefbaseunits">'[17]L Graph (Data)'!$A$109:$DS$125</definedName>
    <definedName name="ITARCRRCCHARGE">'[10]L Graph (Data)'!$A$187:$DS$233</definedName>
    <definedName name="ITbasefee">'[10]L Graph (Data)'!$A$49:$DS$60</definedName>
    <definedName name="ITbaseRUFee">'[10]L Graph (Data)'!$A$239:$DS$286</definedName>
    <definedName name="ITbinputsumru">'[10]L Graph (Data)'!$A$81:$DS$128</definedName>
    <definedName name="ITbinputvol">'[10]L Graph (Data)'!$A$19:$DS$30</definedName>
    <definedName name="ITCinputvol">'[10]L Graph (Data)'!$A$34:$DS$45</definedName>
    <definedName name="ITIbaselineunits">'[10]L Graph (Data)'!$A$63:$DS$74</definedName>
    <definedName name="ITNetArcCharge">'[10]L Graph (Data)'!$A$293:$DS$339</definedName>
    <definedName name="ITnetservfee">'[10]L Graph (Data)'!$A$344:$DS$355</definedName>
    <definedName name="ITrefbaselineunits">'[10]L Graph (Data)'!$A$132:$DS$181</definedName>
    <definedName name="LABOR">#REF!</definedName>
    <definedName name="licenseduration">#REF!</definedName>
    <definedName name="licensescope">#REF!</definedName>
    <definedName name="LOBBYING">#REF!</definedName>
    <definedName name="lookup">'[25]Input Sheet'!$A$9:$BM$140</definedName>
    <definedName name="M_S">#REF!</definedName>
    <definedName name="mktcomp">#REF!</definedName>
    <definedName name="mktfin2">#REF!</definedName>
    <definedName name="mktfin3">#REF!</definedName>
    <definedName name="mktfin6">#REF!</definedName>
    <definedName name="mktpage4">#REF!</definedName>
    <definedName name="MKTPRODUCT">#REF!</definedName>
    <definedName name="NCSC">'[26]Rev Def Sum'!#REF!</definedName>
    <definedName name="NCSCLB" hidden="1">{"'Server Configuration'!$A$1:$DB$281"}</definedName>
    <definedName name="NEBT">#REF!</definedName>
    <definedName name="NEWFILE">#REF!</definedName>
    <definedName name="NJANG">#REF!</definedName>
    <definedName name="NJDIST">#REF!</definedName>
    <definedName name="No.">#REF!</definedName>
    <definedName name="NORM_VOL">#REF!</definedName>
    <definedName name="nousf">#REF!</definedName>
    <definedName name="NPM">#REF!</definedName>
    <definedName name="NvsAnswerCol">"'[PYR_SVC_BLUERI_AP IMAGES.xls]AVG FXrates'!$A$4:$A$21"</definedName>
    <definedName name="NvsASD">"V2007-09-30"</definedName>
    <definedName name="NvsASD_1">"V2007-09-30"</definedName>
    <definedName name="NvsASD_1_1">"V2012-06-30"</definedName>
    <definedName name="NvsAutoDrillOk">"VN"</definedName>
    <definedName name="NvsElapsedTime">0.000219907407881692</definedName>
    <definedName name="NvsElapsedTime_1">0.000219907407881692</definedName>
    <definedName name="NvsElapsedTime_1_1">0.00020833333110204</definedName>
    <definedName name="NvsElapsedTime_2">0.000219907407881692</definedName>
    <definedName name="NvsEndTime">39363.4914467593</definedName>
    <definedName name="NvsEndTime_1">39363.4914467593</definedName>
    <definedName name="NvsEndTime_1_1">41099.6144444444</definedName>
    <definedName name="NvsEndTime_2">39363.4914467593</definedName>
    <definedName name="NvsInstanceHook">#REF!='[27]September Travel Detail'!#REF!</definedName>
    <definedName name="NvsInstanceHook_1">#REF!='[27]September Travel Detail'!#REF!</definedName>
    <definedName name="NvsInstLang">"VENG"</definedName>
    <definedName name="NvsInstSpec">"%"</definedName>
    <definedName name="NvsInstSpec_1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"V2099-01-01"</definedName>
    <definedName name="NvsPanelEffdt_1">"V2099-01-01"</definedName>
    <definedName name="NvsPanelSetid">"VSHARE"</definedName>
    <definedName name="NvsParentRef">"'[PYR_SVC_BLUERI_BS-1003.xls]Balance Sheet'!$I$13"</definedName>
    <definedName name="NvsReqBU">"V00012"</definedName>
    <definedName name="NvsReqBU_1">"V00012"</definedName>
    <definedName name="NvsReqBUOnly">"VY"</definedName>
    <definedName name="NvsReqBUOnly_1">"VY"</definedName>
    <definedName name="NvsStyleNme">"NiSource Corporate.xls"</definedName>
    <definedName name="NvsTransLed">"VN"</definedName>
    <definedName name="NvsTreeASD">"V2007-09-30"</definedName>
    <definedName name="NvsTreeASD_1">"V2007-09-30"</definedName>
    <definedName name="NvsTreeASD_1_1">"V2012-06-30"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LEDGER">"LED_DEFN_TBL"</definedName>
    <definedName name="NvsValTbl.PRODUCT">"PRODUCT_TBL"</definedName>
    <definedName name="NvsValTbl.PROGRAM_CODE">"PROGRAM_TBL"</definedName>
    <definedName name="NvsValTbl.SCENARIO">"BD_SCENARIO_TBL"</definedName>
    <definedName name="OPEB_Credit">[7]Inputs!$B$34</definedName>
    <definedName name="OTHERTAX">#REF!</definedName>
    <definedName name="OTPAY">#REF!</definedName>
    <definedName name="PAGE_">#REF!</definedName>
    <definedName name="PAGE_1">#REF!</definedName>
    <definedName name="PAGE_10">#REF!</definedName>
    <definedName name="PAGE_11">#REF!</definedName>
    <definedName name="PAGE_12">#REF!</definedName>
    <definedName name="PAGE_13">#REF!</definedName>
    <definedName name="PAGE_14">#REF!</definedName>
    <definedName name="PAGE_19">#REF!</definedName>
    <definedName name="PAGE_2">#REF!</definedName>
    <definedName name="PAGE_20">#REF!</definedName>
    <definedName name="PAGE_21">#REF!</definedName>
    <definedName name="PAGE_25">#REF!</definedName>
    <definedName name="PAGE_3">#REF!</definedName>
    <definedName name="PAGE_4">#REF!</definedName>
    <definedName name="PAGE_5">#REF!</definedName>
    <definedName name="PAGE_6">#REF!</definedName>
    <definedName name="PAGE_7">#REF!</definedName>
    <definedName name="PAGE_8">#REF!</definedName>
    <definedName name="PAGE_9">#REF!</definedName>
    <definedName name="PAGE01">#REF!</definedName>
    <definedName name="PAGE1">#REF!</definedName>
    <definedName name="PAGE2" localSheetId="11">'[28]Rate Base Summary Sch B-1'!#REF!</definedName>
    <definedName name="PAGE2">#REF!</definedName>
    <definedName name="PAGE3" localSheetId="11">#REF!</definedName>
    <definedName name="PAGE3">#REF!</definedName>
    <definedName name="PAGE4" localSheetId="11">#REF!</definedName>
    <definedName name="PAGE4">#REF!</definedName>
    <definedName name="PAGE5" localSheetId="11">'[29]B-2.3'!#REF!</definedName>
    <definedName name="PAGE5">'[29]B-2.3'!#REF!</definedName>
    <definedName name="PAGE6" localSheetId="11">'[29]B-2.3'!#REF!</definedName>
    <definedName name="PAGE6">'[29]B-2.3'!#REF!</definedName>
    <definedName name="PAGE7">#REF!</definedName>
    <definedName name="PAGE8">#REF!</definedName>
    <definedName name="penalty">#REF!</definedName>
    <definedName name="PerInvoiceLookup">OFFSET('[11]% Invoice'!$A$1,0,0,COUNTA('[11]% Invoice'!$A$1:$A$65536),COUNTA('[11]% Invoice'!$A$1:$IV$1))</definedName>
    <definedName name="PG5A">#REF!</definedName>
    <definedName name="PG5B">#REF!</definedName>
    <definedName name="PG5C">#REF!</definedName>
    <definedName name="PG5D">#REF!</definedName>
    <definedName name="PG5E">#REF!</definedName>
    <definedName name="PG5F">#REF!</definedName>
    <definedName name="plug">#REF!</definedName>
    <definedName name="plug1">#REF!</definedName>
    <definedName name="pook">#REF!</definedName>
    <definedName name="PPTY">#REF!</definedName>
    <definedName name="PREMPAY">#REF!</definedName>
    <definedName name="PRINT">#REF!</definedName>
    <definedName name="_xlnm.Print_Area" localSheetId="2">A!$A$1:$P$58</definedName>
    <definedName name="_xlnm.Print_Area" localSheetId="3">B!$A$1:$P$302</definedName>
    <definedName name="_xlnm.Print_Area" localSheetId="4">'C'!$A$1:$P$439</definedName>
    <definedName name="_xlnm.Print_Area" localSheetId="5">'D pg 1'!$A$1:$P$67</definedName>
    <definedName name="_xlnm.Print_Area" localSheetId="6">'D pg 2'!$A$1:$R$61</definedName>
    <definedName name="_xlnm.Print_Area" localSheetId="0">'INDEX M'!$A$1:$C$26</definedName>
    <definedName name="_xlnm.Print_Area" localSheetId="1">Input!$A$17:$O$55</definedName>
    <definedName name="_xlnm.Print_Area" localSheetId="12">'Late Payment MPB-2'!$A$1:$G$59</definedName>
    <definedName name="_xlnm.Print_Area" localSheetId="13">'MPB-3'!$A$1:$F$35</definedName>
    <definedName name="_xlnm.Print_Area" localSheetId="14">'MPB-4'!$A$1:$F$243</definedName>
    <definedName name="_xlnm.Print_Area" localSheetId="11">'Rate Design MPB-1'!$A$1:$K$283</definedName>
    <definedName name="_xlnm.Print_Area" localSheetId="7">'Sch M'!$A$1:$O$93</definedName>
    <definedName name="_xlnm.Print_Area" localSheetId="8">'Sch M 2.1'!$A$1:$J$64</definedName>
    <definedName name="_xlnm.Print_Area" localSheetId="9">'Sch M 2.2'!$A$1:$Q$1248</definedName>
    <definedName name="_xlnm.Print_Area" localSheetId="10">'Sch M 2.3'!$A$1:$Q$1248</definedName>
    <definedName name="Print_Area_MI" localSheetId="11">#REF!</definedName>
    <definedName name="Print_Area_MI">'INDEX M'!$A$1:$N$41</definedName>
    <definedName name="PRINTADJ">#REF!</definedName>
    <definedName name="PRINTADS">#REF!</definedName>
    <definedName name="PRINTBENEFITS">#REF!</definedName>
    <definedName name="PRINTBILL">#REF!</definedName>
    <definedName name="PRINTFICA">#REF!</definedName>
    <definedName name="PRINTGC">#REF!</definedName>
    <definedName name="PRINTINPUT">#REF!</definedName>
    <definedName name="PRINTLABOR">#REF!</definedName>
    <definedName name="PRINTMAIN">#REF!</definedName>
    <definedName name="PRINTNORM">#REF!</definedName>
    <definedName name="PRINTREVC">#REF!</definedName>
    <definedName name="PRINTSCH35B">#REF!</definedName>
    <definedName name="PRINTSUMMARY">#REF!</definedName>
    <definedName name="productlist">'[30]Product List'!$A$1:$E$23153</definedName>
    <definedName name="proj_cust_pmts">'[7]Payment Calculation'!$C$25</definedName>
    <definedName name="PROPTAX">#REF!</definedName>
    <definedName name="qryFTECategbyCountry">#REF!</definedName>
    <definedName name="Quest">#REF!</definedName>
    <definedName name="RATEBASE">'[6]Rev Def Sum'!#REF!</definedName>
    <definedName name="rates">#REF!</definedName>
    <definedName name="RECON2">#REF!</definedName>
    <definedName name="RECONCILATION">#REF!</definedName>
    <definedName name="_xlnm.Recorder">#REF!</definedName>
    <definedName name="RefFunction">[18]Assumptions!$F$34:$F$39</definedName>
    <definedName name="RefGrade">[18]Assumptions!$F$7:$F$16</definedName>
    <definedName name="RefJobTitle">[18]Assumptions!$F$18:$F$31</definedName>
    <definedName name="REVALLOC">'[3]ATTACH REH-5A REV'!$A$1:$J$39</definedName>
    <definedName name="RISK">#REF!</definedName>
    <definedName name="Rollups">#REF!</definedName>
    <definedName name="Rusty" hidden="1">{"'Server Configuration'!$A$1:$DB$281"}</definedName>
    <definedName name="S35A">#REF!</definedName>
    <definedName name="S35B">#REF!</definedName>
    <definedName name="SAS_GasCost" localSheetId="2">[15]Input!#REF!</definedName>
    <definedName name="SAS_GasCost" localSheetId="0">[15]Input!#REF!</definedName>
    <definedName name="SAS_GasCost" localSheetId="7">[15]Input!#REF!</definedName>
    <definedName name="SAS_GasCost" localSheetId="10">Input!#REF!</definedName>
    <definedName name="SAS_GasCost">Input!#REF!</definedName>
    <definedName name="SCH_17_1of2">#REF!</definedName>
    <definedName name="SCH_17_2of2">#REF!</definedName>
    <definedName name="sch35a">#REF!</definedName>
    <definedName name="sch35b">#REF!</definedName>
    <definedName name="SCHEDULE_12">#REF!</definedName>
    <definedName name="Sep_08_Man_Fee">#REF!</definedName>
    <definedName name="SGA">#REF!</definedName>
    <definedName name="SHEET1">#REF!</definedName>
    <definedName name="SHEET10">#REF!</definedName>
    <definedName name="SHEET108">#REF!</definedName>
    <definedName name="SHEET108_2">#REF!</definedName>
    <definedName name="SHEET11">#REF!</definedName>
    <definedName name="SHEET12">#REF!</definedName>
    <definedName name="SHEET13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PECIFIC">#REF!</definedName>
    <definedName name="STATETAX_PAY_MO">#REF!</definedName>
    <definedName name="STATETAX_PAY_WK">#REF!</definedName>
    <definedName name="STORAGE">#REF!</definedName>
    <definedName name="STUDY">#REF!</definedName>
    <definedName name="SUM6406E">#REF!</definedName>
    <definedName name="SUM6406P">#REF!</definedName>
    <definedName name="SUM6503E">#REF!</definedName>
    <definedName name="SUM6503P">#REF!</definedName>
    <definedName name="SUM6703E">#REF!</definedName>
    <definedName name="SUM6703P">#REF!</definedName>
    <definedName name="SUM7203E">#REF!</definedName>
    <definedName name="SUM7203P">#REF!</definedName>
    <definedName name="SUM8703E">#REF!</definedName>
    <definedName name="SUM8703P">#REF!</definedName>
    <definedName name="SUMM5">#REF!</definedName>
    <definedName name="SUMMARY">#REF!</definedName>
    <definedName name="SummaryTable">#REF!</definedName>
    <definedName name="TABLE">#REF!</definedName>
    <definedName name="Teldata">#REF!</definedName>
    <definedName name="TEMP">#REF!</definedName>
    <definedName name="test">'[25]Input Sheet'!#REF!</definedName>
    <definedName name="test1">'[25]Input Sheet'!#REF!</definedName>
    <definedName name="tol">0.001</definedName>
    <definedName name="TOTALONM">#REF!</definedName>
    <definedName name="Totals">'[31]Complete Listing incl LCN'!#REF!</definedName>
    <definedName name="TY" localSheetId="2">[15]B!#REF!</definedName>
    <definedName name="TY" localSheetId="0">[15]B!#REF!</definedName>
    <definedName name="TY" localSheetId="7">[15]B!#REF!</definedName>
    <definedName name="TY" localSheetId="10">B!#REF!</definedName>
    <definedName name="TY">B!#REF!</definedName>
    <definedName name="TYDESC" localSheetId="2">[15]B!$A$3</definedName>
    <definedName name="TYDESC" localSheetId="0">[15]B!$A$3</definedName>
    <definedName name="TYDESC" localSheetId="11">[32]Summary!$A$3</definedName>
    <definedName name="TYDESC" localSheetId="7">[15]B!$A$3</definedName>
    <definedName name="TYDESC">B!$A$3</definedName>
    <definedName name="UNEMPLOY_TAX">#REF!</definedName>
    <definedName name="Usage_per_Cust">[7]Inputs!$B$12</definedName>
    <definedName name="usd">[33]Assumptions!$C$13</definedName>
    <definedName name="USF">#REF!</definedName>
    <definedName name="VOL_COMP2">#REF!</definedName>
    <definedName name="VOL_COMPARISON">#REF!</definedName>
    <definedName name="WCSUM">#REF!</definedName>
    <definedName name="wit">'[16]Operating Income Summary C-1'!$M$9</definedName>
    <definedName name="Witness" localSheetId="2">[15]Input!$B$14</definedName>
    <definedName name="Witness" localSheetId="0">[15]Input!$B$14</definedName>
    <definedName name="Witness" localSheetId="11">[8]Sch1!$G$4</definedName>
    <definedName name="Witness" localSheetId="7">[15]Input!$B$14</definedName>
    <definedName name="Witness">Input!$B$8</definedName>
    <definedName name="WORKAREA">'[3]ATTACH REH-5A REV'!$B$52:$K$169</definedName>
    <definedName name="WorkingDaysPerYear">210</definedName>
    <definedName name="Xref">'[34]xref acct'!$A$3:$C$167</definedName>
  </definedNames>
  <calcPr calcId="152511"/>
</workbook>
</file>

<file path=xl/calcChain.xml><?xml version="1.0" encoding="utf-8"?>
<calcChain xmlns="http://schemas.openxmlformats.org/spreadsheetml/2006/main">
  <c r="E130" i="28" l="1"/>
  <c r="E129" i="28"/>
  <c r="E113" i="28"/>
  <c r="E112" i="28"/>
  <c r="F265" i="26" l="1"/>
  <c r="F240" i="26"/>
  <c r="F213" i="26"/>
  <c r="F239" i="26"/>
  <c r="F261" i="26"/>
  <c r="F234" i="26"/>
  <c r="F205" i="26"/>
  <c r="F182" i="26"/>
  <c r="F119" i="26"/>
  <c r="F118" i="26"/>
  <c r="F117" i="26"/>
  <c r="F17" i="26"/>
  <c r="F16" i="26"/>
  <c r="F14" i="26"/>
  <c r="F13" i="26"/>
  <c r="I135" i="26" l="1"/>
  <c r="A135" i="26" l="1"/>
  <c r="A270" i="26"/>
  <c r="J262" i="26" l="1"/>
  <c r="H262" i="26"/>
  <c r="H236" i="26"/>
  <c r="J236" i="26"/>
  <c r="J207" i="26"/>
  <c r="H207" i="26"/>
  <c r="H183" i="26"/>
  <c r="I183" i="26"/>
  <c r="V53" i="1"/>
  <c r="U54" i="1"/>
  <c r="U52" i="1"/>
  <c r="U51" i="1"/>
  <c r="U50" i="1"/>
  <c r="U49" i="1"/>
  <c r="F61" i="26"/>
  <c r="F60" i="26"/>
  <c r="F59" i="26"/>
  <c r="F58" i="26"/>
  <c r="F57" i="26"/>
  <c r="F76" i="26"/>
  <c r="F75" i="26"/>
  <c r="F74" i="26"/>
  <c r="F73" i="26"/>
  <c r="F72" i="26"/>
  <c r="F71" i="26"/>
  <c r="C231" i="28" l="1"/>
  <c r="A231" i="28"/>
  <c r="A232" i="28"/>
  <c r="C217" i="28"/>
  <c r="A217" i="28"/>
  <c r="A218" i="28"/>
  <c r="C184" i="28"/>
  <c r="A184" i="28"/>
  <c r="C169" i="28"/>
  <c r="A168" i="28"/>
  <c r="A169" i="28" s="1"/>
  <c r="A170" i="28" s="1"/>
  <c r="A171" i="28" s="1"/>
  <c r="A167" i="28"/>
  <c r="C137" i="28"/>
  <c r="A137" i="28"/>
  <c r="A138" i="28"/>
  <c r="A120" i="28"/>
  <c r="A121" i="28"/>
  <c r="C86" i="28"/>
  <c r="A86" i="28"/>
  <c r="A87" i="28"/>
  <c r="A88" i="28"/>
  <c r="A81" i="28"/>
  <c r="E31" i="28"/>
  <c r="E17" i="28"/>
  <c r="C215" i="28" l="1"/>
  <c r="C166" i="28"/>
  <c r="C19" i="28"/>
  <c r="C65" i="28"/>
  <c r="D139" i="28"/>
  <c r="D137" i="28"/>
  <c r="D136" i="28"/>
  <c r="C136" i="28"/>
  <c r="C135" i="28" s="1"/>
  <c r="C119" i="28"/>
  <c r="C118" i="28" s="1"/>
  <c r="D122" i="28"/>
  <c r="D120" i="28"/>
  <c r="D119" i="28"/>
  <c r="D118" i="28"/>
  <c r="D117" i="28"/>
  <c r="E117" i="28" s="1"/>
  <c r="D116" i="28"/>
  <c r="E116" i="28" s="1"/>
  <c r="D115" i="28"/>
  <c r="E111" i="28"/>
  <c r="D121" i="28"/>
  <c r="D138" i="28" s="1"/>
  <c r="A111" i="28"/>
  <c r="A112" i="28" s="1"/>
  <c r="A113" i="28" s="1"/>
  <c r="A115" i="28" s="1"/>
  <c r="E118" i="28" l="1"/>
  <c r="C121" i="28"/>
  <c r="E121" i="28" s="1"/>
  <c r="C120" i="28"/>
  <c r="E120" i="28" s="1"/>
  <c r="E119" i="28"/>
  <c r="C122" i="28"/>
  <c r="A119" i="28"/>
  <c r="A122" i="28" s="1"/>
  <c r="A124" i="28" s="1"/>
  <c r="A126" i="28" s="1"/>
  <c r="A128" i="28" s="1"/>
  <c r="A129" i="28" s="1"/>
  <c r="A130" i="28" s="1"/>
  <c r="A132" i="28" s="1"/>
  <c r="A133" i="28" s="1"/>
  <c r="A134" i="28" s="1"/>
  <c r="A135" i="28" s="1"/>
  <c r="A136" i="28" s="1"/>
  <c r="A139" i="28" s="1"/>
  <c r="A141" i="28" s="1"/>
  <c r="A143" i="28" s="1"/>
  <c r="A145" i="28" s="1"/>
  <c r="A116" i="28"/>
  <c r="A117" i="28" s="1"/>
  <c r="A118" i="28" s="1"/>
  <c r="E115" i="28"/>
  <c r="H111" i="26"/>
  <c r="H105" i="26"/>
  <c r="V48" i="1"/>
  <c r="V47" i="1"/>
  <c r="V46" i="1"/>
  <c r="V45" i="1"/>
  <c r="V44" i="1"/>
  <c r="D206" i="26"/>
  <c r="G206" i="26" s="1"/>
  <c r="J206" i="26"/>
  <c r="H206" i="26"/>
  <c r="H235" i="26"/>
  <c r="J235" i="26"/>
  <c r="H277" i="26"/>
  <c r="J277" i="26"/>
  <c r="E122" i="28" l="1"/>
  <c r="C124" i="28"/>
  <c r="K206" i="26"/>
  <c r="H135" i="26"/>
  <c r="G135" i="26"/>
  <c r="F135" i="26"/>
  <c r="E135" i="26"/>
  <c r="E124" i="28" l="1"/>
  <c r="D51" i="14"/>
  <c r="E136" i="28" l="1"/>
  <c r="D218" i="28"/>
  <c r="D170" i="28"/>
  <c r="D22" i="28"/>
  <c r="D16" i="23"/>
  <c r="D233" i="28" l="1"/>
  <c r="D231" i="28"/>
  <c r="D230" i="28"/>
  <c r="E227" i="28"/>
  <c r="E226" i="28"/>
  <c r="D219" i="28"/>
  <c r="D217" i="28"/>
  <c r="D216" i="28"/>
  <c r="E213" i="28"/>
  <c r="E212" i="28"/>
  <c r="D215" i="28"/>
  <c r="E211" i="28"/>
  <c r="E137" i="28" l="1"/>
  <c r="C138" i="28"/>
  <c r="D186" i="28"/>
  <c r="D184" i="28"/>
  <c r="D183" i="28"/>
  <c r="C182" i="28"/>
  <c r="E179" i="28"/>
  <c r="E178" i="28"/>
  <c r="D171" i="28"/>
  <c r="D169" i="28"/>
  <c r="D168" i="28"/>
  <c r="D167" i="28"/>
  <c r="E167" i="28" s="1"/>
  <c r="D166" i="28"/>
  <c r="E164" i="28"/>
  <c r="E163" i="28"/>
  <c r="E162" i="28"/>
  <c r="D88" i="28"/>
  <c r="D86" i="28"/>
  <c r="D85" i="28"/>
  <c r="E79" i="28"/>
  <c r="D72" i="28"/>
  <c r="D71" i="28"/>
  <c r="D70" i="28"/>
  <c r="D69" i="28"/>
  <c r="D68" i="28"/>
  <c r="E68" i="28" s="1"/>
  <c r="D67" i="28"/>
  <c r="E67" i="28" s="1"/>
  <c r="D66" i="28"/>
  <c r="E66" i="28" s="1"/>
  <c r="D65" i="28"/>
  <c r="E63" i="28"/>
  <c r="E62" i="28"/>
  <c r="D37" i="28"/>
  <c r="D35" i="28"/>
  <c r="D34" i="28"/>
  <c r="E30" i="28"/>
  <c r="E138" i="28" l="1"/>
  <c r="C139" i="28"/>
  <c r="D23" i="28"/>
  <c r="D36" i="28"/>
  <c r="D21" i="28"/>
  <c r="D20" i="28"/>
  <c r="D19" i="28"/>
  <c r="E16" i="28"/>
  <c r="E15" i="28"/>
  <c r="D232" i="28"/>
  <c r="A211" i="28"/>
  <c r="A212" i="28" s="1"/>
  <c r="D185" i="28"/>
  <c r="A162" i="28"/>
  <c r="A163" i="28" s="1"/>
  <c r="A166" i="28" s="1"/>
  <c r="A173" i="28" s="1"/>
  <c r="A175" i="28" s="1"/>
  <c r="A177" i="28" s="1"/>
  <c r="A178" i="28" s="1"/>
  <c r="D87" i="28"/>
  <c r="A62" i="28"/>
  <c r="A63" i="28" s="1"/>
  <c r="A65" i="28" s="1"/>
  <c r="A15" i="28"/>
  <c r="A16" i="28" s="1"/>
  <c r="A19" i="28" l="1"/>
  <c r="A20" i="28" s="1"/>
  <c r="A17" i="28"/>
  <c r="C141" i="28"/>
  <c r="E139" i="28"/>
  <c r="A213" i="28"/>
  <c r="A215" i="28" s="1"/>
  <c r="A216" i="28" s="1"/>
  <c r="A219" i="28" s="1"/>
  <c r="A221" i="28" s="1"/>
  <c r="A223" i="28" s="1"/>
  <c r="A225" i="28" s="1"/>
  <c r="A226" i="28" s="1"/>
  <c r="A179" i="28"/>
  <c r="A180" i="28" s="1"/>
  <c r="A181" i="28" s="1"/>
  <c r="A182" i="28" s="1"/>
  <c r="A183" i="28" s="1"/>
  <c r="A185" i="28" s="1"/>
  <c r="A186" i="28" s="1"/>
  <c r="A188" i="28" s="1"/>
  <c r="A190" i="28" s="1"/>
  <c r="A192" i="28" s="1"/>
  <c r="A66" i="28"/>
  <c r="A67" i="28" s="1"/>
  <c r="A68" i="28" s="1"/>
  <c r="A69" i="28" s="1"/>
  <c r="A70" i="28" s="1"/>
  <c r="A71" i="28" s="1"/>
  <c r="A72" i="28" s="1"/>
  <c r="A21" i="28" l="1"/>
  <c r="A22" i="28" s="1"/>
  <c r="A23" i="28" s="1"/>
  <c r="A25" i="28" s="1"/>
  <c r="A27" i="28" s="1"/>
  <c r="A29" i="28" s="1"/>
  <c r="A30" i="28" s="1"/>
  <c r="A227" i="28"/>
  <c r="A229" i="28" s="1"/>
  <c r="A230" i="28" s="1"/>
  <c r="A233" i="28" s="1"/>
  <c r="A235" i="28" s="1"/>
  <c r="A237" i="28" s="1"/>
  <c r="A239" i="28" s="1"/>
  <c r="A74" i="28"/>
  <c r="A76" i="28" s="1"/>
  <c r="A78" i="28" s="1"/>
  <c r="A79" i="28" s="1"/>
  <c r="A31" i="28" l="1"/>
  <c r="A33" i="28" s="1"/>
  <c r="A34" i="28" s="1"/>
  <c r="A82" i="28"/>
  <c r="A83" i="28" s="1"/>
  <c r="A84" i="28" s="1"/>
  <c r="A85" i="28" s="1"/>
  <c r="A90" i="28" l="1"/>
  <c r="A92" i="28" s="1"/>
  <c r="A94" i="28" s="1"/>
  <c r="A35" i="28"/>
  <c r="A36" i="28" s="1"/>
  <c r="A37" i="28" s="1"/>
  <c r="A39" i="28" s="1"/>
  <c r="A41" i="28" s="1"/>
  <c r="A43" i="28" s="1"/>
  <c r="F1327" i="8"/>
  <c r="G1327" i="8"/>
  <c r="H1327" i="8"/>
  <c r="I1327" i="8"/>
  <c r="J1327" i="8"/>
  <c r="K1327" i="8"/>
  <c r="L1327" i="8"/>
  <c r="M1327" i="8"/>
  <c r="N1327" i="8"/>
  <c r="O1327" i="8"/>
  <c r="P1327" i="8"/>
  <c r="Q1327" i="8"/>
  <c r="E1327" i="8"/>
  <c r="F1263" i="8"/>
  <c r="G1263" i="8"/>
  <c r="H1263" i="8"/>
  <c r="I1263" i="8"/>
  <c r="J1263" i="8"/>
  <c r="K1263" i="8"/>
  <c r="L1263" i="8"/>
  <c r="M1263" i="8"/>
  <c r="N1263" i="8"/>
  <c r="O1263" i="8"/>
  <c r="P1263" i="8"/>
  <c r="Q1263" i="8"/>
  <c r="F1264" i="8"/>
  <c r="G1264" i="8"/>
  <c r="H1264" i="8"/>
  <c r="I1264" i="8"/>
  <c r="J1264" i="8"/>
  <c r="K1264" i="8"/>
  <c r="L1264" i="8"/>
  <c r="M1264" i="8"/>
  <c r="N1264" i="8"/>
  <c r="O1264" i="8"/>
  <c r="P1264" i="8"/>
  <c r="Q1264" i="8"/>
  <c r="F1265" i="8"/>
  <c r="G1265" i="8"/>
  <c r="H1265" i="8"/>
  <c r="I1265" i="8"/>
  <c r="J1265" i="8"/>
  <c r="K1265" i="8"/>
  <c r="L1265" i="8"/>
  <c r="M1265" i="8"/>
  <c r="N1265" i="8"/>
  <c r="O1265" i="8"/>
  <c r="P1265" i="8"/>
  <c r="Q1265" i="8"/>
  <c r="F1267" i="8"/>
  <c r="G1267" i="8"/>
  <c r="H1267" i="8"/>
  <c r="I1267" i="8"/>
  <c r="J1267" i="8"/>
  <c r="K1267" i="8"/>
  <c r="L1267" i="8"/>
  <c r="M1267" i="8"/>
  <c r="N1267" i="8"/>
  <c r="O1267" i="8"/>
  <c r="P1267" i="8"/>
  <c r="Q1267" i="8"/>
  <c r="E1265" i="8"/>
  <c r="E1263" i="8"/>
  <c r="AA37" i="1" l="1"/>
  <c r="AA36" i="1"/>
  <c r="AA31" i="1"/>
  <c r="AA30" i="1"/>
  <c r="A189" i="26" l="1"/>
  <c r="A218" i="26" l="1"/>
  <c r="A123" i="26"/>
  <c r="A247" i="26"/>
  <c r="A44" i="26"/>
  <c r="A159" i="26"/>
  <c r="A82" i="26"/>
  <c r="F30" i="14"/>
  <c r="F31" i="14"/>
  <c r="F32" i="14"/>
  <c r="F29" i="14"/>
  <c r="F19" i="14"/>
  <c r="H56" i="14" l="1"/>
  <c r="H57" i="14"/>
  <c r="H58" i="14"/>
  <c r="H59" i="14"/>
  <c r="F1231" i="20"/>
  <c r="G1231" i="20"/>
  <c r="H1231" i="20"/>
  <c r="I1231" i="20"/>
  <c r="J1231" i="20"/>
  <c r="K1231" i="20"/>
  <c r="L1231" i="20"/>
  <c r="M1231" i="20"/>
  <c r="N1231" i="20"/>
  <c r="O1231" i="20"/>
  <c r="P1231" i="20"/>
  <c r="F1232" i="20"/>
  <c r="G1232" i="20"/>
  <c r="H1232" i="20"/>
  <c r="I1232" i="20"/>
  <c r="J1232" i="20"/>
  <c r="K1232" i="20"/>
  <c r="L1232" i="20"/>
  <c r="M1232" i="20"/>
  <c r="N1232" i="20"/>
  <c r="O1232" i="20"/>
  <c r="P1232" i="20"/>
  <c r="E1232" i="20"/>
  <c r="E1231" i="20"/>
  <c r="D84" i="22"/>
  <c r="E84" i="22"/>
  <c r="F84" i="22"/>
  <c r="G84" i="22"/>
  <c r="H84" i="22"/>
  <c r="I84" i="22"/>
  <c r="J84" i="22"/>
  <c r="K84" i="22"/>
  <c r="L84" i="22"/>
  <c r="M84" i="22"/>
  <c r="N84" i="22"/>
  <c r="C84" i="22"/>
  <c r="A126" i="20"/>
  <c r="P163" i="3"/>
  <c r="E163" i="3"/>
  <c r="F163" i="3"/>
  <c r="G163" i="3"/>
  <c r="H163" i="3"/>
  <c r="I163" i="3"/>
  <c r="J163" i="3"/>
  <c r="K163" i="3"/>
  <c r="L163" i="3"/>
  <c r="M163" i="3"/>
  <c r="N163" i="3"/>
  <c r="O163" i="3"/>
  <c r="D163" i="3"/>
  <c r="A34" i="3"/>
  <c r="P884" i="8"/>
  <c r="O884" i="8"/>
  <c r="N884" i="8"/>
  <c r="M884" i="8"/>
  <c r="L884" i="8"/>
  <c r="K884" i="8"/>
  <c r="J884" i="8"/>
  <c r="I884" i="8"/>
  <c r="H884" i="8"/>
  <c r="G884" i="8"/>
  <c r="F884" i="8"/>
  <c r="E884" i="8"/>
  <c r="Q880" i="8"/>
  <c r="A880" i="8"/>
  <c r="A879" i="8"/>
  <c r="Q878" i="8"/>
  <c r="A878" i="8"/>
  <c r="A877" i="8"/>
  <c r="A875" i="8"/>
  <c r="A873" i="8"/>
  <c r="A872" i="8"/>
  <c r="A333" i="8"/>
  <c r="A332" i="8"/>
  <c r="A351" i="8"/>
  <c r="P346" i="8"/>
  <c r="O346" i="8"/>
  <c r="N346" i="8"/>
  <c r="M346" i="8"/>
  <c r="L346" i="8"/>
  <c r="K346" i="8"/>
  <c r="J346" i="8"/>
  <c r="I346" i="8"/>
  <c r="H346" i="8"/>
  <c r="G346" i="8"/>
  <c r="F346" i="8"/>
  <c r="E346" i="8"/>
  <c r="Q342" i="8"/>
  <c r="A342" i="8"/>
  <c r="A341" i="8"/>
  <c r="Q340" i="8"/>
  <c r="A340" i="8"/>
  <c r="A339" i="8"/>
  <c r="A337" i="8"/>
  <c r="A335" i="8"/>
  <c r="A334" i="8"/>
  <c r="A289" i="8"/>
  <c r="A185" i="8"/>
  <c r="A166" i="8"/>
  <c r="A165" i="8"/>
  <c r="P180" i="8"/>
  <c r="O180" i="8"/>
  <c r="N180" i="8"/>
  <c r="M180" i="8"/>
  <c r="L180" i="8"/>
  <c r="K180" i="8"/>
  <c r="J180" i="8"/>
  <c r="I180" i="8"/>
  <c r="H180" i="8"/>
  <c r="G180" i="8"/>
  <c r="F180" i="8"/>
  <c r="E180" i="8"/>
  <c r="Q175" i="8"/>
  <c r="A175" i="8"/>
  <c r="A174" i="8"/>
  <c r="Q173" i="8"/>
  <c r="A173" i="8"/>
  <c r="A172" i="8"/>
  <c r="A170" i="8"/>
  <c r="A168" i="8"/>
  <c r="A167" i="8"/>
  <c r="B185" i="8"/>
  <c r="A129" i="8"/>
  <c r="C310" i="2"/>
  <c r="E79" i="2"/>
  <c r="E126" i="2" s="1"/>
  <c r="F79" i="2"/>
  <c r="F126" i="2" s="1"/>
  <c r="G79" i="2"/>
  <c r="G126" i="2" s="1"/>
  <c r="H79" i="2"/>
  <c r="H126" i="2" s="1"/>
  <c r="I79" i="2"/>
  <c r="I126" i="2" s="1"/>
  <c r="J79" i="2"/>
  <c r="J126" i="2" s="1"/>
  <c r="K79" i="2"/>
  <c r="K126" i="2" s="1"/>
  <c r="L79" i="2"/>
  <c r="L126" i="2" s="1"/>
  <c r="M79" i="2"/>
  <c r="M126" i="2" s="1"/>
  <c r="N79" i="2"/>
  <c r="N126" i="2" s="1"/>
  <c r="O79" i="2"/>
  <c r="O126" i="2" s="1"/>
  <c r="D79" i="2"/>
  <c r="D126" i="2" s="1"/>
  <c r="A150" i="2"/>
  <c r="O158" i="2"/>
  <c r="N158" i="2"/>
  <c r="M158" i="2"/>
  <c r="L158" i="2"/>
  <c r="K158" i="2"/>
  <c r="J158" i="2"/>
  <c r="I158" i="2"/>
  <c r="H158" i="2"/>
  <c r="G158" i="2"/>
  <c r="F158" i="2"/>
  <c r="E158" i="2"/>
  <c r="D158" i="2"/>
  <c r="A155" i="2"/>
  <c r="P154" i="2"/>
  <c r="A154" i="2"/>
  <c r="A153" i="2"/>
  <c r="A152" i="2"/>
  <c r="E125" i="2"/>
  <c r="F125" i="2"/>
  <c r="G125" i="2"/>
  <c r="H125" i="2"/>
  <c r="I125" i="2"/>
  <c r="J125" i="2"/>
  <c r="K125" i="2"/>
  <c r="L125" i="2"/>
  <c r="M125" i="2"/>
  <c r="N125" i="2"/>
  <c r="O125" i="2"/>
  <c r="E127" i="2"/>
  <c r="F127" i="2"/>
  <c r="G127" i="2"/>
  <c r="H127" i="2"/>
  <c r="I127" i="2"/>
  <c r="J127" i="2"/>
  <c r="K127" i="2"/>
  <c r="L127" i="2"/>
  <c r="M127" i="2"/>
  <c r="N127" i="2"/>
  <c r="O127" i="2"/>
  <c r="D127" i="2"/>
  <c r="D125" i="2"/>
  <c r="N259" i="3"/>
  <c r="P79" i="2" l="1"/>
  <c r="P126" i="2" s="1"/>
  <c r="H84" i="3"/>
  <c r="D310" i="2"/>
  <c r="A347" i="20" l="1"/>
  <c r="A285" i="20"/>
  <c r="A181" i="20"/>
  <c r="A49" i="19" l="1"/>
  <c r="A50" i="19" s="1"/>
  <c r="A51" i="19" s="1"/>
  <c r="F754" i="20" l="1"/>
  <c r="G754" i="20"/>
  <c r="H754" i="20"/>
  <c r="I754" i="20"/>
  <c r="J754" i="20"/>
  <c r="K754" i="20"/>
  <c r="L754" i="20"/>
  <c r="M754" i="20"/>
  <c r="N754" i="20"/>
  <c r="O754" i="20"/>
  <c r="P754" i="20"/>
  <c r="F755" i="20"/>
  <c r="G755" i="20"/>
  <c r="H755" i="20"/>
  <c r="I755" i="20"/>
  <c r="J755" i="20"/>
  <c r="K755" i="20"/>
  <c r="L755" i="20"/>
  <c r="M755" i="20"/>
  <c r="N755" i="20"/>
  <c r="O755" i="20"/>
  <c r="P755" i="20"/>
  <c r="E755" i="20"/>
  <c r="E754" i="20"/>
  <c r="F597" i="20"/>
  <c r="G597" i="20"/>
  <c r="H597" i="20"/>
  <c r="I597" i="20"/>
  <c r="K597" i="20"/>
  <c r="L597" i="20"/>
  <c r="M597" i="20"/>
  <c r="N597" i="20"/>
  <c r="O597" i="20"/>
  <c r="P597" i="20"/>
  <c r="F598" i="20"/>
  <c r="G598" i="20"/>
  <c r="H598" i="20"/>
  <c r="I598" i="20"/>
  <c r="J598" i="20"/>
  <c r="K598" i="20"/>
  <c r="L598" i="20"/>
  <c r="M598" i="20"/>
  <c r="N598" i="20"/>
  <c r="O598" i="20"/>
  <c r="P598" i="20"/>
  <c r="E598" i="20"/>
  <c r="E597" i="20"/>
  <c r="Q598" i="20" l="1"/>
  <c r="K249" i="26" l="1"/>
  <c r="K247" i="26"/>
  <c r="A256" i="26"/>
  <c r="A257" i="26" s="1"/>
  <c r="A258" i="26" s="1"/>
  <c r="A259" i="26" s="1"/>
  <c r="A249" i="26"/>
  <c r="A272" i="26"/>
  <c r="A273" i="26" s="1"/>
  <c r="A227" i="26"/>
  <c r="A228" i="26" s="1"/>
  <c r="K220" i="26"/>
  <c r="K218" i="26"/>
  <c r="A220" i="26"/>
  <c r="K191" i="26"/>
  <c r="K189" i="26"/>
  <c r="J161" i="26"/>
  <c r="J159" i="26"/>
  <c r="A191" i="26"/>
  <c r="A161" i="26"/>
  <c r="A125" i="26"/>
  <c r="A274" i="26" l="1"/>
  <c r="A275" i="26" s="1"/>
  <c r="A229" i="26"/>
  <c r="A230" i="26" s="1"/>
  <c r="A231" i="26" s="1"/>
  <c r="A232" i="26" s="1"/>
  <c r="A233" i="26" s="1"/>
  <c r="A260" i="26"/>
  <c r="A261" i="26" s="1"/>
  <c r="A262" i="26" l="1"/>
  <c r="A263" i="26" s="1"/>
  <c r="A265" i="26" s="1"/>
  <c r="A266" i="26" s="1"/>
  <c r="A268" i="26" s="1"/>
  <c r="A276" i="26"/>
  <c r="A234" i="26"/>
  <c r="A235" i="26" l="1"/>
  <c r="A277" i="26"/>
  <c r="A278" i="26" s="1"/>
  <c r="A280" i="26" s="1"/>
  <c r="A281" i="26" s="1"/>
  <c r="A283" i="26" s="1"/>
  <c r="A236" i="26" l="1"/>
  <c r="A237" i="26" s="1"/>
  <c r="A239" i="26" s="1"/>
  <c r="A240" i="26" s="1"/>
  <c r="A241" i="26" s="1"/>
  <c r="A243" i="26" s="1"/>
  <c r="D141" i="26"/>
  <c r="A84" i="26"/>
  <c r="A46" i="26"/>
  <c r="C111" i="26" l="1"/>
  <c r="C105" i="26"/>
  <c r="C96" i="26"/>
  <c r="C97" i="26"/>
  <c r="C98" i="26"/>
  <c r="C95" i="26"/>
  <c r="C58" i="26" l="1"/>
  <c r="C118" i="26" s="1"/>
  <c r="C59" i="26"/>
  <c r="C60" i="26"/>
  <c r="C61" i="26"/>
  <c r="C119" i="26" s="1"/>
  <c r="C62" i="26"/>
  <c r="C63" i="26"/>
  <c r="C64" i="26"/>
  <c r="C65" i="26"/>
  <c r="C66" i="26"/>
  <c r="C67" i="26"/>
  <c r="C68" i="26"/>
  <c r="C69" i="26"/>
  <c r="C70" i="26"/>
  <c r="C71" i="26"/>
  <c r="C72" i="26"/>
  <c r="C73" i="26"/>
  <c r="C74" i="26"/>
  <c r="C75" i="26"/>
  <c r="C76" i="26"/>
  <c r="C57" i="26"/>
  <c r="C117" i="26" s="1"/>
  <c r="E85" i="2" l="1"/>
  <c r="F85" i="2"/>
  <c r="G85" i="2"/>
  <c r="H85" i="2"/>
  <c r="I85" i="2"/>
  <c r="J85" i="2"/>
  <c r="K85" i="2"/>
  <c r="L85" i="2"/>
  <c r="M85" i="2"/>
  <c r="N85" i="2"/>
  <c r="O85" i="2"/>
  <c r="D85" i="2"/>
  <c r="D133" i="26" l="1"/>
  <c r="I139" i="26" l="1"/>
  <c r="I140" i="26" s="1"/>
  <c r="I142" i="26" s="1"/>
  <c r="I143" i="26"/>
  <c r="I137" i="26"/>
  <c r="A917" i="8"/>
  <c r="A918" i="8"/>
  <c r="A920" i="8"/>
  <c r="A922" i="8"/>
  <c r="A923" i="8"/>
  <c r="Q923" i="8"/>
  <c r="A924" i="8"/>
  <c r="A925" i="8"/>
  <c r="Q925" i="8"/>
  <c r="E929" i="8"/>
  <c r="F929" i="8"/>
  <c r="G929" i="8"/>
  <c r="H929" i="8"/>
  <c r="I929" i="8"/>
  <c r="J929" i="8"/>
  <c r="K929" i="8"/>
  <c r="L929" i="8"/>
  <c r="M929" i="8"/>
  <c r="N929" i="8"/>
  <c r="O929" i="8"/>
  <c r="P929" i="8"/>
  <c r="Q371" i="8"/>
  <c r="F38" i="26" s="1"/>
  <c r="I144" i="26" l="1"/>
  <c r="R51" i="15" l="1"/>
  <c r="E62" i="5"/>
  <c r="E389" i="3" s="1"/>
  <c r="F62" i="5"/>
  <c r="F389" i="3" s="1"/>
  <c r="G62" i="5"/>
  <c r="G389" i="3" s="1"/>
  <c r="H62" i="5"/>
  <c r="H389" i="3" s="1"/>
  <c r="I62" i="5"/>
  <c r="I389" i="3" s="1"/>
  <c r="J62" i="5"/>
  <c r="J389" i="3" s="1"/>
  <c r="K62" i="5"/>
  <c r="K389" i="3" s="1"/>
  <c r="L62" i="5"/>
  <c r="L389" i="3" s="1"/>
  <c r="M62" i="5"/>
  <c r="M389" i="3" s="1"/>
  <c r="N62" i="5"/>
  <c r="N389" i="3" s="1"/>
  <c r="O62" i="5"/>
  <c r="O389" i="3" s="1"/>
  <c r="E63" i="5"/>
  <c r="E390" i="3" s="1"/>
  <c r="E394" i="3" s="1"/>
  <c r="F1234" i="8" s="1"/>
  <c r="F63" i="5"/>
  <c r="F390" i="3" s="1"/>
  <c r="F394" i="3" s="1"/>
  <c r="G63" i="5"/>
  <c r="G390" i="3" s="1"/>
  <c r="H63" i="5"/>
  <c r="H390" i="3" s="1"/>
  <c r="I63" i="5"/>
  <c r="I390" i="3" s="1"/>
  <c r="J63" i="5"/>
  <c r="J390" i="3" s="1"/>
  <c r="K63" i="5"/>
  <c r="K390" i="3" s="1"/>
  <c r="L63" i="5"/>
  <c r="L390" i="3" s="1"/>
  <c r="M63" i="5"/>
  <c r="M390" i="3" s="1"/>
  <c r="N63" i="5"/>
  <c r="N390" i="3" s="1"/>
  <c r="O63" i="5"/>
  <c r="O390" i="3" s="1"/>
  <c r="D63" i="5"/>
  <c r="D390" i="3" s="1"/>
  <c r="D62" i="5"/>
  <c r="D389" i="3" s="1"/>
  <c r="A56" i="15"/>
  <c r="A50" i="15"/>
  <c r="A51" i="15" s="1"/>
  <c r="A53" i="15" s="1"/>
  <c r="A54" i="15" s="1"/>
  <c r="E36" i="5"/>
  <c r="F36" i="5"/>
  <c r="G36" i="5"/>
  <c r="H36" i="5"/>
  <c r="I36" i="5"/>
  <c r="J36" i="5"/>
  <c r="K36" i="5"/>
  <c r="L36" i="5"/>
  <c r="M36" i="5"/>
  <c r="N36" i="5"/>
  <c r="O36" i="5"/>
  <c r="E37" i="5"/>
  <c r="F37" i="5"/>
  <c r="G37" i="5"/>
  <c r="H37" i="5"/>
  <c r="I37" i="5"/>
  <c r="J37" i="5"/>
  <c r="K37" i="5"/>
  <c r="L37" i="5"/>
  <c r="M37" i="5"/>
  <c r="N37" i="5"/>
  <c r="O37" i="5"/>
  <c r="E38" i="5"/>
  <c r="F38" i="5"/>
  <c r="G38" i="5"/>
  <c r="H38" i="5"/>
  <c r="I38" i="5"/>
  <c r="J38" i="5"/>
  <c r="K38" i="5"/>
  <c r="L38" i="5"/>
  <c r="M38" i="5"/>
  <c r="N38" i="5"/>
  <c r="O38" i="5"/>
  <c r="E39" i="5"/>
  <c r="F39" i="5"/>
  <c r="G39" i="5"/>
  <c r="H39" i="5"/>
  <c r="I39" i="5"/>
  <c r="J39" i="5"/>
  <c r="K39" i="5"/>
  <c r="L39" i="5"/>
  <c r="M39" i="5"/>
  <c r="N39" i="5"/>
  <c r="O39" i="5"/>
  <c r="D37" i="5"/>
  <c r="D38" i="5"/>
  <c r="D39" i="5"/>
  <c r="D36" i="5"/>
  <c r="A48" i="15"/>
  <c r="E29" i="5"/>
  <c r="E86" i="3" s="1"/>
  <c r="F29" i="5"/>
  <c r="F86" i="3" s="1"/>
  <c r="G29" i="5"/>
  <c r="G86" i="3" s="1"/>
  <c r="H29" i="5"/>
  <c r="H86" i="3" s="1"/>
  <c r="I29" i="5"/>
  <c r="I86" i="3" s="1"/>
  <c r="J29" i="5"/>
  <c r="J86" i="3" s="1"/>
  <c r="K29" i="5"/>
  <c r="K86" i="3" s="1"/>
  <c r="L29" i="5"/>
  <c r="L86" i="3" s="1"/>
  <c r="M29" i="5"/>
  <c r="M86" i="3" s="1"/>
  <c r="N29" i="5"/>
  <c r="N86" i="3" s="1"/>
  <c r="O29" i="5"/>
  <c r="O86" i="3" s="1"/>
  <c r="E30" i="5"/>
  <c r="E87" i="3" s="1"/>
  <c r="F30" i="5"/>
  <c r="F87" i="3" s="1"/>
  <c r="G30" i="5"/>
  <c r="G87" i="3" s="1"/>
  <c r="H30" i="5"/>
  <c r="H87" i="3" s="1"/>
  <c r="I30" i="5"/>
  <c r="I87" i="3" s="1"/>
  <c r="J30" i="5"/>
  <c r="J87" i="3" s="1"/>
  <c r="K30" i="5"/>
  <c r="K87" i="3" s="1"/>
  <c r="L30" i="5"/>
  <c r="L87" i="3" s="1"/>
  <c r="M30" i="5"/>
  <c r="M87" i="3" s="1"/>
  <c r="N30" i="5"/>
  <c r="N87" i="3" s="1"/>
  <c r="O30" i="5"/>
  <c r="O87" i="3" s="1"/>
  <c r="E31" i="5"/>
  <c r="E88" i="3" s="1"/>
  <c r="F31" i="5"/>
  <c r="F88" i="3" s="1"/>
  <c r="G31" i="5"/>
  <c r="G88" i="3" s="1"/>
  <c r="H31" i="5"/>
  <c r="H88" i="3" s="1"/>
  <c r="I31" i="5"/>
  <c r="I88" i="3" s="1"/>
  <c r="J31" i="5"/>
  <c r="J88" i="3" s="1"/>
  <c r="K31" i="5"/>
  <c r="K88" i="3" s="1"/>
  <c r="L31" i="5"/>
  <c r="L88" i="3" s="1"/>
  <c r="M31" i="5"/>
  <c r="M88" i="3" s="1"/>
  <c r="N31" i="5"/>
  <c r="N88" i="3" s="1"/>
  <c r="O31" i="5"/>
  <c r="O88" i="3" s="1"/>
  <c r="E32" i="5"/>
  <c r="E89" i="3" s="1"/>
  <c r="F32" i="5"/>
  <c r="F89" i="3" s="1"/>
  <c r="G32" i="5"/>
  <c r="G89" i="3" s="1"/>
  <c r="H32" i="5"/>
  <c r="H89" i="3" s="1"/>
  <c r="I32" i="5"/>
  <c r="I89" i="3" s="1"/>
  <c r="J32" i="5"/>
  <c r="J89" i="3" s="1"/>
  <c r="K32" i="5"/>
  <c r="K89" i="3" s="1"/>
  <c r="L32" i="5"/>
  <c r="L89" i="3" s="1"/>
  <c r="M32" i="5"/>
  <c r="M89" i="3" s="1"/>
  <c r="N32" i="5"/>
  <c r="N89" i="3" s="1"/>
  <c r="O32" i="5"/>
  <c r="O89" i="3" s="1"/>
  <c r="D30" i="5"/>
  <c r="D87" i="3" s="1"/>
  <c r="D31" i="5"/>
  <c r="D88" i="3" s="1"/>
  <c r="D32" i="5"/>
  <c r="D89" i="3" s="1"/>
  <c r="D29" i="5"/>
  <c r="E57" i="5" l="1"/>
  <c r="F57" i="5"/>
  <c r="G57" i="5"/>
  <c r="H57" i="5"/>
  <c r="I57" i="5"/>
  <c r="J57" i="5"/>
  <c r="K57" i="5"/>
  <c r="L57" i="5"/>
  <c r="M57" i="5"/>
  <c r="N57" i="5"/>
  <c r="O57" i="5"/>
  <c r="E58" i="5"/>
  <c r="F58" i="5"/>
  <c r="G58" i="5"/>
  <c r="H58" i="5"/>
  <c r="I58" i="5"/>
  <c r="J58" i="5"/>
  <c r="K58" i="5"/>
  <c r="L58" i="5"/>
  <c r="M58" i="5"/>
  <c r="N58" i="5"/>
  <c r="O58" i="5"/>
  <c r="D58" i="5"/>
  <c r="D57" i="5"/>
  <c r="R36" i="15"/>
  <c r="F757" i="8"/>
  <c r="G757" i="8"/>
  <c r="H757" i="8"/>
  <c r="I757" i="8"/>
  <c r="J757" i="8"/>
  <c r="K757" i="8"/>
  <c r="L757" i="8"/>
  <c r="M757" i="8"/>
  <c r="N757" i="8"/>
  <c r="O757" i="8"/>
  <c r="P757" i="8"/>
  <c r="F758" i="8"/>
  <c r="G758" i="8"/>
  <c r="H758" i="8"/>
  <c r="I758" i="8"/>
  <c r="J758" i="8"/>
  <c r="K758" i="8"/>
  <c r="L758" i="8"/>
  <c r="M758" i="8"/>
  <c r="N758" i="8"/>
  <c r="O758" i="8"/>
  <c r="P758" i="8"/>
  <c r="E758" i="8"/>
  <c r="E757" i="8"/>
  <c r="F599" i="8"/>
  <c r="G599" i="8"/>
  <c r="H599" i="8"/>
  <c r="I599" i="8"/>
  <c r="K599" i="8"/>
  <c r="L599" i="8"/>
  <c r="M599" i="8"/>
  <c r="N599" i="8"/>
  <c r="O599" i="8"/>
  <c r="P599" i="8"/>
  <c r="F600" i="8"/>
  <c r="G600" i="8"/>
  <c r="H600" i="8"/>
  <c r="I600" i="8"/>
  <c r="J600" i="8"/>
  <c r="K600" i="8"/>
  <c r="L600" i="8"/>
  <c r="M600" i="8"/>
  <c r="N600" i="8"/>
  <c r="O600" i="8"/>
  <c r="P600" i="8"/>
  <c r="E600" i="8"/>
  <c r="E599" i="8"/>
  <c r="R35" i="15" l="1"/>
  <c r="R34" i="15"/>
  <c r="R33" i="15"/>
  <c r="R31" i="15"/>
  <c r="R27" i="15"/>
  <c r="R26" i="15"/>
  <c r="R25" i="15"/>
  <c r="R28" i="15"/>
  <c r="A14" i="15"/>
  <c r="P328" i="3" l="1"/>
  <c r="P190" i="3"/>
  <c r="J117" i="3"/>
  <c r="I69" i="3"/>
  <c r="E159" i="3"/>
  <c r="F159" i="3"/>
  <c r="G159" i="3"/>
  <c r="H159" i="3"/>
  <c r="I159" i="3"/>
  <c r="J159" i="3"/>
  <c r="K159" i="3"/>
  <c r="L159" i="3"/>
  <c r="M159" i="3"/>
  <c r="N159" i="3"/>
  <c r="O159" i="3"/>
  <c r="D159" i="3"/>
  <c r="H15" i="3"/>
  <c r="G15" i="3"/>
  <c r="F15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A276" i="3"/>
  <c r="A275" i="3"/>
  <c r="A274" i="3"/>
  <c r="P273" i="3"/>
  <c r="A273" i="3"/>
  <c r="A271" i="3"/>
  <c r="A269" i="3"/>
  <c r="J15" i="2"/>
  <c r="I15" i="2"/>
  <c r="H15" i="2"/>
  <c r="G15" i="2"/>
  <c r="F15" i="2"/>
  <c r="J597" i="20" l="1"/>
  <c r="Q597" i="20" s="1"/>
  <c r="J599" i="8"/>
  <c r="D449" i="3"/>
  <c r="E131" i="2"/>
  <c r="F131" i="2"/>
  <c r="G131" i="2"/>
  <c r="H131" i="2"/>
  <c r="I131" i="2"/>
  <c r="J131" i="2"/>
  <c r="K131" i="2"/>
  <c r="L131" i="2"/>
  <c r="M131" i="2"/>
  <c r="N131" i="2"/>
  <c r="O131" i="2"/>
  <c r="E133" i="2"/>
  <c r="F133" i="2"/>
  <c r="G133" i="2"/>
  <c r="H133" i="2"/>
  <c r="I133" i="2"/>
  <c r="J133" i="2"/>
  <c r="K133" i="2"/>
  <c r="L133" i="2"/>
  <c r="M133" i="2"/>
  <c r="N133" i="2"/>
  <c r="O133" i="2"/>
  <c r="D133" i="2"/>
  <c r="D131" i="2"/>
  <c r="D313" i="2" l="1"/>
  <c r="C12" i="1"/>
  <c r="O57" i="22" l="1"/>
  <c r="A3" i="26"/>
  <c r="A168" i="26"/>
  <c r="A169" i="26" s="1"/>
  <c r="A170" i="26" s="1"/>
  <c r="A171" i="26" s="1"/>
  <c r="A172" i="26" s="1"/>
  <c r="A173" i="26" s="1"/>
  <c r="A174" i="26" s="1"/>
  <c r="A175" i="26" s="1"/>
  <c r="A176" i="26" s="1"/>
  <c r="H143" i="26"/>
  <c r="G143" i="26"/>
  <c r="F143" i="26"/>
  <c r="E143" i="26"/>
  <c r="H139" i="26"/>
  <c r="H140" i="26" s="1"/>
  <c r="H142" i="26" s="1"/>
  <c r="G139" i="26"/>
  <c r="G140" i="26" s="1"/>
  <c r="G142" i="26" s="1"/>
  <c r="F139" i="26"/>
  <c r="F140" i="26" s="1"/>
  <c r="F142" i="26" s="1"/>
  <c r="E139" i="26"/>
  <c r="E140" i="26" s="1"/>
  <c r="E142" i="26" s="1"/>
  <c r="D137" i="26"/>
  <c r="H137" i="26"/>
  <c r="G137" i="26"/>
  <c r="E137" i="26"/>
  <c r="D140" i="26"/>
  <c r="A133" i="26"/>
  <c r="A136" i="26" s="1"/>
  <c r="A137" i="26" s="1"/>
  <c r="A139" i="26" s="1"/>
  <c r="J125" i="26"/>
  <c r="J123" i="26"/>
  <c r="A95" i="26"/>
  <c r="A96" i="26" s="1"/>
  <c r="A13" i="26"/>
  <c r="A14" i="26" s="1"/>
  <c r="A15" i="26" s="1"/>
  <c r="A16" i="26" s="1"/>
  <c r="A17" i="26" s="1"/>
  <c r="A18" i="26" s="1"/>
  <c r="A19" i="26" s="1"/>
  <c r="A20" i="26" s="1"/>
  <c r="A21" i="26" s="1"/>
  <c r="F137" i="26" l="1"/>
  <c r="M140" i="26"/>
  <c r="A97" i="26"/>
  <c r="A98" i="26" s="1"/>
  <c r="A99" i="26" s="1"/>
  <c r="A101" i="26" s="1"/>
  <c r="G144" i="26"/>
  <c r="A22" i="26"/>
  <c r="A23" i="26" s="1"/>
  <c r="A24" i="26" s="1"/>
  <c r="A25" i="26" s="1"/>
  <c r="A26" i="26" s="1"/>
  <c r="A27" i="26" s="1"/>
  <c r="A28" i="26" s="1"/>
  <c r="A29" i="26" s="1"/>
  <c r="A30" i="26" s="1"/>
  <c r="A31" i="26" s="1"/>
  <c r="E144" i="26"/>
  <c r="F144" i="26"/>
  <c r="H144" i="26"/>
  <c r="H113" i="26"/>
  <c r="D142" i="26"/>
  <c r="C140" i="26"/>
  <c r="A140" i="26"/>
  <c r="D144" i="26" l="1"/>
  <c r="A177" i="26"/>
  <c r="A178" i="26" s="1"/>
  <c r="A179" i="26" s="1"/>
  <c r="A180" i="26" s="1"/>
  <c r="A181" i="26" s="1"/>
  <c r="A182" i="26" s="1"/>
  <c r="A103" i="26"/>
  <c r="A105" i="26" s="1"/>
  <c r="A107" i="26" s="1"/>
  <c r="A109" i="26" s="1"/>
  <c r="A111" i="26" s="1"/>
  <c r="A113" i="26" s="1"/>
  <c r="A115" i="26" s="1"/>
  <c r="A117" i="26" s="1"/>
  <c r="A118" i="26" s="1"/>
  <c r="A119" i="26" s="1"/>
  <c r="A121" i="26" s="1"/>
  <c r="A32" i="26"/>
  <c r="A34" i="26" s="1"/>
  <c r="A36" i="26" s="1"/>
  <c r="A37" i="26" s="1"/>
  <c r="A38" i="26" s="1"/>
  <c r="A39" i="26" s="1"/>
  <c r="A40" i="26" s="1"/>
  <c r="A42" i="26" s="1"/>
  <c r="A57" i="26" s="1"/>
  <c r="I145" i="26"/>
  <c r="A141" i="26"/>
  <c r="A142" i="26" s="1"/>
  <c r="A143" i="26" s="1"/>
  <c r="A144" i="26" s="1"/>
  <c r="A145" i="26" s="1"/>
  <c r="A147" i="26" s="1"/>
  <c r="A183" i="26" l="1"/>
  <c r="A184" i="26" s="1"/>
  <c r="A186" i="26" s="1"/>
  <c r="A187" i="26" s="1"/>
  <c r="A198" i="26" s="1"/>
  <c r="A199" i="26" s="1"/>
  <c r="A200" i="26" s="1"/>
  <c r="A201" i="26" s="1"/>
  <c r="A202" i="26" s="1"/>
  <c r="A203" i="26" s="1"/>
  <c r="M143" i="26"/>
  <c r="A148" i="26"/>
  <c r="F145" i="26"/>
  <c r="H145" i="26"/>
  <c r="A58" i="26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8" i="26" s="1"/>
  <c r="G145" i="26"/>
  <c r="C142" i="26"/>
  <c r="A149" i="26" l="1"/>
  <c r="A150" i="26" s="1"/>
  <c r="A151" i="26" s="1"/>
  <c r="A153" i="26" s="1"/>
  <c r="A154" i="26" s="1"/>
  <c r="A156" i="26" s="1"/>
  <c r="A157" i="26" s="1"/>
  <c r="A204" i="26"/>
  <c r="A205" i="26" s="1"/>
  <c r="E145" i="26"/>
  <c r="D145" i="26" s="1"/>
  <c r="A206" i="26" l="1"/>
  <c r="J16" i="23"/>
  <c r="N16" i="23"/>
  <c r="G16" i="23"/>
  <c r="K19" i="1"/>
  <c r="A207" i="26" l="1"/>
  <c r="A208" i="26" s="1"/>
  <c r="A210" i="26" s="1"/>
  <c r="A211" i="26" s="1"/>
  <c r="A212" i="26" s="1"/>
  <c r="A213" i="26" s="1"/>
  <c r="A214" i="26" s="1"/>
  <c r="A216" i="26" s="1"/>
  <c r="F16" i="23"/>
  <c r="M16" i="23"/>
  <c r="I16" i="23"/>
  <c r="E16" i="23"/>
  <c r="L16" i="23"/>
  <c r="H16" i="23"/>
  <c r="O16" i="23"/>
  <c r="K16" i="23"/>
  <c r="O264" i="2"/>
  <c r="N264" i="2"/>
  <c r="M264" i="2"/>
  <c r="L264" i="2"/>
  <c r="K264" i="2"/>
  <c r="J264" i="2"/>
  <c r="I264" i="2"/>
  <c r="H264" i="2"/>
  <c r="G264" i="2"/>
  <c r="F264" i="2"/>
  <c r="E264" i="2"/>
  <c r="D264" i="2"/>
  <c r="O215" i="2"/>
  <c r="N215" i="2"/>
  <c r="M215" i="2"/>
  <c r="L215" i="2"/>
  <c r="K215" i="2"/>
  <c r="J215" i="2"/>
  <c r="I215" i="2"/>
  <c r="H215" i="2"/>
  <c r="G215" i="2"/>
  <c r="F215" i="2"/>
  <c r="E215" i="2"/>
  <c r="D215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O64" i="2"/>
  <c r="N64" i="2"/>
  <c r="M64" i="2"/>
  <c r="L64" i="2"/>
  <c r="K64" i="2"/>
  <c r="J64" i="2"/>
  <c r="I64" i="2"/>
  <c r="H64" i="2"/>
  <c r="G64" i="2"/>
  <c r="F64" i="2"/>
  <c r="E64" i="2"/>
  <c r="D64" i="2"/>
  <c r="P1194" i="20" l="1"/>
  <c r="P1135" i="20"/>
  <c r="P1065" i="20"/>
  <c r="P992" i="20"/>
  <c r="P926" i="20"/>
  <c r="P882" i="20"/>
  <c r="P813" i="20"/>
  <c r="P742" i="20"/>
  <c r="P692" i="20"/>
  <c r="P641" i="20"/>
  <c r="P586" i="20"/>
  <c r="P519" i="20"/>
  <c r="P450" i="20"/>
  <c r="P389" i="20"/>
  <c r="P342" i="20"/>
  <c r="P279" i="20"/>
  <c r="P217" i="20"/>
  <c r="P176" i="20"/>
  <c r="P121" i="20"/>
  <c r="P59" i="20"/>
  <c r="P13" i="20"/>
  <c r="P1197" i="8"/>
  <c r="P1139" i="8"/>
  <c r="P1069" i="8"/>
  <c r="P995" i="8"/>
  <c r="P814" i="8"/>
  <c r="P745" i="8"/>
  <c r="P694" i="8"/>
  <c r="P644" i="8"/>
  <c r="P588" i="8"/>
  <c r="P521" i="8"/>
  <c r="P453" i="8"/>
  <c r="P393" i="8"/>
  <c r="P284" i="8"/>
  <c r="P222" i="8"/>
  <c r="P124" i="8"/>
  <c r="P60" i="8"/>
  <c r="P13" i="8"/>
  <c r="N14" i="22"/>
  <c r="H47" i="1"/>
  <c r="F47" i="1"/>
  <c r="E47" i="1"/>
  <c r="D47" i="1"/>
  <c r="C47" i="1"/>
  <c r="H45" i="1"/>
  <c r="D45" i="1"/>
  <c r="C45" i="1"/>
  <c r="H42" i="1"/>
  <c r="F42" i="1"/>
  <c r="E42" i="1"/>
  <c r="D42" i="1"/>
  <c r="C42" i="1"/>
  <c r="H41" i="1"/>
  <c r="C41" i="1"/>
  <c r="H31" i="1"/>
  <c r="H43" i="1" s="1"/>
  <c r="F31" i="1"/>
  <c r="F43" i="1" s="1"/>
  <c r="E31" i="1"/>
  <c r="E43" i="1" s="1"/>
  <c r="D31" i="1"/>
  <c r="D43" i="1" s="1"/>
  <c r="C31" i="1"/>
  <c r="C43" i="1" s="1"/>
  <c r="J53" i="1"/>
  <c r="J47" i="1"/>
  <c r="J46" i="1"/>
  <c r="J45" i="1"/>
  <c r="J44" i="1"/>
  <c r="J43" i="1"/>
  <c r="J42" i="1"/>
  <c r="L41" i="1"/>
  <c r="K41" i="1"/>
  <c r="J41" i="1"/>
  <c r="M53" i="1"/>
  <c r="M42" i="1"/>
  <c r="M43" i="1"/>
  <c r="M44" i="1"/>
  <c r="M45" i="1"/>
  <c r="M46" i="1"/>
  <c r="M47" i="1"/>
  <c r="M48" i="1"/>
  <c r="M41" i="1"/>
  <c r="N37" i="1"/>
  <c r="N36" i="1"/>
  <c r="N31" i="1"/>
  <c r="N30" i="1"/>
  <c r="M37" i="1"/>
  <c r="M36" i="1"/>
  <c r="M31" i="1"/>
  <c r="M30" i="1"/>
  <c r="M25" i="1"/>
  <c r="M24" i="1"/>
  <c r="M23" i="1"/>
  <c r="M22" i="1"/>
  <c r="A52" i="22" l="1"/>
  <c r="F61" i="14" l="1"/>
  <c r="X19" i="1"/>
  <c r="Y19" i="1"/>
  <c r="Z19" i="1"/>
  <c r="P20" i="1"/>
  <c r="U20" i="1"/>
  <c r="P21" i="1"/>
  <c r="D462" i="20" s="1"/>
  <c r="U21" i="1"/>
  <c r="D459" i="20" s="1"/>
  <c r="P22" i="1"/>
  <c r="U22" i="1"/>
  <c r="Z22" i="1"/>
  <c r="P23" i="1"/>
  <c r="U23" i="1"/>
  <c r="Z23" i="1"/>
  <c r="P24" i="1"/>
  <c r="D496" i="20" s="1"/>
  <c r="U24" i="1"/>
  <c r="D493" i="20" s="1"/>
  <c r="Z24" i="1"/>
  <c r="P25" i="1"/>
  <c r="U25" i="1"/>
  <c r="D527" i="20" s="1"/>
  <c r="Z25" i="1"/>
  <c r="P26" i="1"/>
  <c r="U26" i="1"/>
  <c r="P27" i="1"/>
  <c r="D564" i="20" s="1"/>
  <c r="U27" i="1"/>
  <c r="D561" i="20" s="1"/>
  <c r="P28" i="1"/>
  <c r="Q28" i="1"/>
  <c r="U28" i="1"/>
  <c r="D594" i="20" s="1"/>
  <c r="P29" i="1"/>
  <c r="D619" i="20" s="1"/>
  <c r="U29" i="1"/>
  <c r="Z30" i="1"/>
  <c r="Z31" i="1"/>
  <c r="Z37" i="1"/>
  <c r="X41" i="1"/>
  <c r="D834" i="20" s="1"/>
  <c r="Y41" i="1"/>
  <c r="Z41" i="1"/>
  <c r="Z42" i="1"/>
  <c r="Z43" i="1"/>
  <c r="Z44" i="1"/>
  <c r="Z45" i="1"/>
  <c r="D1001" i="20"/>
  <c r="Z46" i="1"/>
  <c r="D1029" i="20"/>
  <c r="Z47" i="1"/>
  <c r="Z48" i="1"/>
  <c r="P49" i="1"/>
  <c r="D1095" i="20" s="1"/>
  <c r="P50" i="1"/>
  <c r="D1113" i="20" s="1"/>
  <c r="P51" i="1"/>
  <c r="D1143" i="20"/>
  <c r="P52" i="1"/>
  <c r="Q52" i="1"/>
  <c r="D1161" i="20"/>
  <c r="D1203" i="20"/>
  <c r="Z53" i="1"/>
  <c r="P54" i="1"/>
  <c r="D1235" i="20" s="1"/>
  <c r="Q54" i="1"/>
  <c r="D1227" i="20"/>
  <c r="E261" i="3"/>
  <c r="E265" i="3" s="1"/>
  <c r="F967" i="8" s="1"/>
  <c r="F261" i="3"/>
  <c r="F265" i="3" s="1"/>
  <c r="G964" i="20" s="1"/>
  <c r="H261" i="3"/>
  <c r="H265" i="3" s="1"/>
  <c r="I261" i="3"/>
  <c r="I265" i="3" s="1"/>
  <c r="J964" i="20" s="1"/>
  <c r="J261" i="3"/>
  <c r="K261" i="3"/>
  <c r="K265" i="3" s="1"/>
  <c r="L964" i="20" s="1"/>
  <c r="M261" i="3"/>
  <c r="M265" i="3" s="1"/>
  <c r="N967" i="8" s="1"/>
  <c r="N261" i="3"/>
  <c r="N265" i="3" s="1"/>
  <c r="O261" i="3"/>
  <c r="O265" i="3" s="1"/>
  <c r="P967" i="8" s="1"/>
  <c r="G262" i="3"/>
  <c r="G266" i="3" s="1"/>
  <c r="H968" i="8" s="1"/>
  <c r="H262" i="3"/>
  <c r="H266" i="3" s="1"/>
  <c r="I965" i="20" s="1"/>
  <c r="J262" i="3"/>
  <c r="J266" i="3" s="1"/>
  <c r="K262" i="3"/>
  <c r="L262" i="3"/>
  <c r="L266" i="3" s="1"/>
  <c r="M262" i="3"/>
  <c r="N262" i="3"/>
  <c r="N266" i="3" s="1"/>
  <c r="O262" i="3"/>
  <c r="O266" i="3" s="1"/>
  <c r="P968" i="8" s="1"/>
  <c r="D262" i="3"/>
  <c r="D266" i="3" s="1"/>
  <c r="B51" i="5"/>
  <c r="B52" i="5"/>
  <c r="B53" i="5"/>
  <c r="B50" i="5"/>
  <c r="B44" i="5"/>
  <c r="B45" i="5"/>
  <c r="B46" i="5"/>
  <c r="B43" i="5"/>
  <c r="B58" i="5"/>
  <c r="B57" i="5"/>
  <c r="B37" i="5"/>
  <c r="B38" i="5"/>
  <c r="B39" i="5"/>
  <c r="B36" i="5"/>
  <c r="B30" i="5"/>
  <c r="B31" i="5"/>
  <c r="B32" i="5"/>
  <c r="B29" i="5"/>
  <c r="E198" i="2"/>
  <c r="E200" i="2" s="1"/>
  <c r="F198" i="2"/>
  <c r="F200" i="2" s="1"/>
  <c r="G1030" i="8" s="1"/>
  <c r="G290" i="8" s="1"/>
  <c r="G198" i="2"/>
  <c r="G200" i="2" s="1"/>
  <c r="H198" i="2"/>
  <c r="I198" i="2"/>
  <c r="I200" i="2" s="1"/>
  <c r="J198" i="2"/>
  <c r="J200" i="2" s="1"/>
  <c r="K198" i="2"/>
  <c r="K200" i="2" s="1"/>
  <c r="L198" i="2"/>
  <c r="M198" i="2"/>
  <c r="M200" i="2" s="1"/>
  <c r="N1030" i="8" s="1"/>
  <c r="N198" i="2"/>
  <c r="O198" i="2"/>
  <c r="O200" i="2" s="1"/>
  <c r="D198" i="2"/>
  <c r="E192" i="2"/>
  <c r="F192" i="2"/>
  <c r="G192" i="2"/>
  <c r="G194" i="2" s="1"/>
  <c r="H192" i="2"/>
  <c r="I192" i="2"/>
  <c r="I194" i="2" s="1"/>
  <c r="J999" i="20" s="1"/>
  <c r="J192" i="2"/>
  <c r="J194" i="2" s="1"/>
  <c r="K192" i="2"/>
  <c r="K194" i="2" s="1"/>
  <c r="L192" i="2"/>
  <c r="M192" i="2"/>
  <c r="M194" i="2" s="1"/>
  <c r="N192" i="2"/>
  <c r="N194" i="2" s="1"/>
  <c r="O1002" i="8" s="1"/>
  <c r="O192" i="2"/>
  <c r="O194" i="2" s="1"/>
  <c r="P999" i="20" s="1"/>
  <c r="D192" i="2"/>
  <c r="D194" i="2" s="1"/>
  <c r="F132" i="2"/>
  <c r="H132" i="2"/>
  <c r="J132" i="2"/>
  <c r="L132" i="2"/>
  <c r="M132" i="2"/>
  <c r="N132" i="2"/>
  <c r="D132" i="2"/>
  <c r="A16" i="5"/>
  <c r="A17" i="5" s="1"/>
  <c r="A18" i="5" s="1"/>
  <c r="A19" i="5" s="1"/>
  <c r="A20" i="5" s="1"/>
  <c r="A21" i="5" s="1"/>
  <c r="A22" i="5" s="1"/>
  <c r="A24" i="5" s="1"/>
  <c r="A26" i="5" s="1"/>
  <c r="A28" i="5" s="1"/>
  <c r="A29" i="5" s="1"/>
  <c r="A30" i="5" s="1"/>
  <c r="A31" i="5" s="1"/>
  <c r="A32" i="5" s="1"/>
  <c r="A33" i="5" s="1"/>
  <c r="A35" i="5" s="1"/>
  <c r="A36" i="5" s="1"/>
  <c r="A37" i="5" s="1"/>
  <c r="A38" i="5" s="1"/>
  <c r="A39" i="5" s="1"/>
  <c r="A40" i="5" s="1"/>
  <c r="A42" i="5" s="1"/>
  <c r="A43" i="5" s="1"/>
  <c r="A44" i="5" s="1"/>
  <c r="A45" i="5" s="1"/>
  <c r="A46" i="5" s="1"/>
  <c r="A47" i="5" s="1"/>
  <c r="A49" i="5" s="1"/>
  <c r="A50" i="5" s="1"/>
  <c r="A51" i="5" s="1"/>
  <c r="A52" i="5" s="1"/>
  <c r="A53" i="5" s="1"/>
  <c r="A54" i="5" s="1"/>
  <c r="A56" i="5" s="1"/>
  <c r="A57" i="5" s="1"/>
  <c r="A58" i="5" s="1"/>
  <c r="A59" i="5" s="1"/>
  <c r="A61" i="5" s="1"/>
  <c r="A62" i="5" s="1"/>
  <c r="A63" i="5" s="1"/>
  <c r="A64" i="5" s="1"/>
  <c r="A66" i="5" s="1"/>
  <c r="E22" i="5"/>
  <c r="E24" i="5" s="1"/>
  <c r="F22" i="5"/>
  <c r="F24" i="5" s="1"/>
  <c r="N22" i="5"/>
  <c r="N24" i="5" s="1"/>
  <c r="O22" i="5"/>
  <c r="O24" i="5" s="1"/>
  <c r="D22" i="5"/>
  <c r="D24" i="5" s="1"/>
  <c r="E393" i="3"/>
  <c r="F1233" i="8" s="1"/>
  <c r="F393" i="3"/>
  <c r="G1233" i="8" s="1"/>
  <c r="G393" i="3"/>
  <c r="H1233" i="8" s="1"/>
  <c r="H393" i="3"/>
  <c r="I1233" i="8" s="1"/>
  <c r="I393" i="3"/>
  <c r="J1233" i="8" s="1"/>
  <c r="J393" i="3"/>
  <c r="K1233" i="8" s="1"/>
  <c r="K393" i="3"/>
  <c r="L1233" i="8" s="1"/>
  <c r="L393" i="3"/>
  <c r="M1233" i="8" s="1"/>
  <c r="M393" i="3"/>
  <c r="N1233" i="8" s="1"/>
  <c r="N393" i="3"/>
  <c r="O1233" i="8" s="1"/>
  <c r="O393" i="3"/>
  <c r="P1233" i="8" s="1"/>
  <c r="G1234" i="8"/>
  <c r="G394" i="3"/>
  <c r="H1234" i="8" s="1"/>
  <c r="H394" i="3"/>
  <c r="I1234" i="8" s="1"/>
  <c r="I394" i="3"/>
  <c r="J1234" i="8" s="1"/>
  <c r="J394" i="3"/>
  <c r="K1234" i="8" s="1"/>
  <c r="K394" i="3"/>
  <c r="L1234" i="8" s="1"/>
  <c r="L394" i="3"/>
  <c r="M1234" i="8" s="1"/>
  <c r="M394" i="3"/>
  <c r="N1234" i="8" s="1"/>
  <c r="N394" i="3"/>
  <c r="O1234" i="8" s="1"/>
  <c r="O394" i="3"/>
  <c r="P1234" i="8" s="1"/>
  <c r="D394" i="3"/>
  <c r="D393" i="3"/>
  <c r="B390" i="3"/>
  <c r="B394" i="3" s="1"/>
  <c r="B389" i="3"/>
  <c r="B393" i="3" s="1"/>
  <c r="B376" i="3"/>
  <c r="B380" i="3" s="1"/>
  <c r="B375" i="3"/>
  <c r="B379" i="3" s="1"/>
  <c r="E365" i="3"/>
  <c r="F365" i="3"/>
  <c r="G1165" i="20" s="1"/>
  <c r="G365" i="3"/>
  <c r="H365" i="3"/>
  <c r="I1165" i="20" s="1"/>
  <c r="I365" i="3"/>
  <c r="J1169" i="8" s="1"/>
  <c r="J365" i="3"/>
  <c r="K1165" i="20" s="1"/>
  <c r="K365" i="3"/>
  <c r="L365" i="3"/>
  <c r="M1165" i="20" s="1"/>
  <c r="M365" i="3"/>
  <c r="N1169" i="8" s="1"/>
  <c r="N365" i="3"/>
  <c r="O1165" i="20" s="1"/>
  <c r="O365" i="3"/>
  <c r="P1165" i="20" s="1"/>
  <c r="E366" i="3"/>
  <c r="F1170" i="8" s="1"/>
  <c r="F366" i="3"/>
  <c r="G1170" i="8" s="1"/>
  <c r="G366" i="3"/>
  <c r="H1166" i="20" s="1"/>
  <c r="H366" i="3"/>
  <c r="I1170" i="8" s="1"/>
  <c r="I366" i="3"/>
  <c r="J1170" i="8" s="1"/>
  <c r="J366" i="3"/>
  <c r="K1166" i="20" s="1"/>
  <c r="K366" i="3"/>
  <c r="L1166" i="20" s="1"/>
  <c r="L366" i="3"/>
  <c r="M1166" i="20" s="1"/>
  <c r="M366" i="3"/>
  <c r="N1166" i="20" s="1"/>
  <c r="N366" i="3"/>
  <c r="O366" i="3"/>
  <c r="P1170" i="8" s="1"/>
  <c r="D366" i="3"/>
  <c r="D365" i="3"/>
  <c r="E1165" i="20" s="1"/>
  <c r="B366" i="3"/>
  <c r="B365" i="3"/>
  <c r="B362" i="3"/>
  <c r="B361" i="3"/>
  <c r="B317" i="3"/>
  <c r="B318" i="3"/>
  <c r="B319" i="3"/>
  <c r="B316" i="3"/>
  <c r="B311" i="3"/>
  <c r="B312" i="3"/>
  <c r="B313" i="3"/>
  <c r="B310" i="3"/>
  <c r="B297" i="3"/>
  <c r="B298" i="3"/>
  <c r="B299" i="3"/>
  <c r="B296" i="3"/>
  <c r="B291" i="3"/>
  <c r="B292" i="3"/>
  <c r="B293" i="3"/>
  <c r="B290" i="3"/>
  <c r="B266" i="3"/>
  <c r="B265" i="3"/>
  <c r="B262" i="3"/>
  <c r="B261" i="3"/>
  <c r="E251" i="3"/>
  <c r="F251" i="3"/>
  <c r="G939" i="20" s="1"/>
  <c r="G251" i="3"/>
  <c r="H939" i="20" s="1"/>
  <c r="H251" i="3"/>
  <c r="I942" i="8" s="1"/>
  <c r="I251" i="3"/>
  <c r="J251" i="3"/>
  <c r="K942" i="8" s="1"/>
  <c r="K251" i="3"/>
  <c r="L939" i="20" s="1"/>
  <c r="L251" i="3"/>
  <c r="M942" i="8" s="1"/>
  <c r="M251" i="3"/>
  <c r="N939" i="20" s="1"/>
  <c r="N251" i="3"/>
  <c r="O251" i="3"/>
  <c r="E252" i="3"/>
  <c r="F252" i="3"/>
  <c r="G940" i="20" s="1"/>
  <c r="G252" i="3"/>
  <c r="H252" i="3"/>
  <c r="I940" i="20" s="1"/>
  <c r="I252" i="3"/>
  <c r="J940" i="20" s="1"/>
  <c r="J252" i="3"/>
  <c r="K940" i="20" s="1"/>
  <c r="K252" i="3"/>
  <c r="L252" i="3"/>
  <c r="M940" i="20" s="1"/>
  <c r="M252" i="3"/>
  <c r="N940" i="20" s="1"/>
  <c r="N252" i="3"/>
  <c r="O252" i="3"/>
  <c r="P940" i="20" s="1"/>
  <c r="D252" i="3"/>
  <c r="E943" i="8" s="1"/>
  <c r="D251" i="3"/>
  <c r="B252" i="3"/>
  <c r="B251" i="3"/>
  <c r="B248" i="3"/>
  <c r="B247" i="3"/>
  <c r="O235" i="3"/>
  <c r="P896" i="8" s="1"/>
  <c r="O236" i="3"/>
  <c r="O237" i="3"/>
  <c r="P896" i="20" s="1"/>
  <c r="O238" i="3"/>
  <c r="E235" i="3"/>
  <c r="F235" i="3"/>
  <c r="G896" i="8" s="1"/>
  <c r="G235" i="3"/>
  <c r="H894" i="20" s="1"/>
  <c r="H235" i="3"/>
  <c r="I896" i="8" s="1"/>
  <c r="I235" i="3"/>
  <c r="J235" i="3"/>
  <c r="K894" i="20" s="1"/>
  <c r="K235" i="3"/>
  <c r="L896" i="8" s="1"/>
  <c r="L235" i="3"/>
  <c r="M894" i="20" s="1"/>
  <c r="M235" i="3"/>
  <c r="N894" i="20" s="1"/>
  <c r="N235" i="3"/>
  <c r="O896" i="8" s="1"/>
  <c r="E236" i="3"/>
  <c r="F897" i="8" s="1"/>
  <c r="F236" i="3"/>
  <c r="G895" i="20" s="1"/>
  <c r="G236" i="3"/>
  <c r="H236" i="3"/>
  <c r="I236" i="3"/>
  <c r="J895" i="20" s="1"/>
  <c r="J236" i="3"/>
  <c r="K236" i="3"/>
  <c r="L236" i="3"/>
  <c r="M236" i="3"/>
  <c r="N897" i="8" s="1"/>
  <c r="N236" i="3"/>
  <c r="E237" i="3"/>
  <c r="F898" i="8" s="1"/>
  <c r="F237" i="3"/>
  <c r="G898" i="8" s="1"/>
  <c r="G237" i="3"/>
  <c r="H896" i="20" s="1"/>
  <c r="H237" i="3"/>
  <c r="I237" i="3"/>
  <c r="J898" i="8" s="1"/>
  <c r="J237" i="3"/>
  <c r="K898" i="8" s="1"/>
  <c r="K237" i="3"/>
  <c r="L898" i="8" s="1"/>
  <c r="L237" i="3"/>
  <c r="M237" i="3"/>
  <c r="N237" i="3"/>
  <c r="E238" i="3"/>
  <c r="F897" i="20" s="1"/>
  <c r="F238" i="3"/>
  <c r="G238" i="3"/>
  <c r="H899" i="8" s="1"/>
  <c r="H238" i="3"/>
  <c r="I899" i="8" s="1"/>
  <c r="I238" i="3"/>
  <c r="J899" i="8" s="1"/>
  <c r="J238" i="3"/>
  <c r="K899" i="8" s="1"/>
  <c r="K238" i="3"/>
  <c r="L238" i="3"/>
  <c r="M897" i="20" s="1"/>
  <c r="M238" i="3"/>
  <c r="N897" i="20" s="1"/>
  <c r="N238" i="3"/>
  <c r="O897" i="20" s="1"/>
  <c r="D236" i="3"/>
  <c r="D237" i="3"/>
  <c r="E896" i="20" s="1"/>
  <c r="D238" i="3"/>
  <c r="E899" i="8" s="1"/>
  <c r="D235" i="3"/>
  <c r="B236" i="3"/>
  <c r="B237" i="3"/>
  <c r="B238" i="3"/>
  <c r="B235" i="3"/>
  <c r="B230" i="3"/>
  <c r="B231" i="3"/>
  <c r="B232" i="3"/>
  <c r="B229" i="3"/>
  <c r="E202" i="3"/>
  <c r="F202" i="3"/>
  <c r="G851" i="8" s="1"/>
  <c r="G202" i="3"/>
  <c r="H851" i="8" s="1"/>
  <c r="H202" i="3"/>
  <c r="I850" i="20" s="1"/>
  <c r="I202" i="3"/>
  <c r="J202" i="3"/>
  <c r="K850" i="20" s="1"/>
  <c r="K202" i="3"/>
  <c r="L850" i="20" s="1"/>
  <c r="L202" i="3"/>
  <c r="M202" i="3"/>
  <c r="N202" i="3"/>
  <c r="O850" i="20" s="1"/>
  <c r="O202" i="3"/>
  <c r="P850" i="20" s="1"/>
  <c r="E203" i="3"/>
  <c r="F203" i="3"/>
  <c r="G203" i="3"/>
  <c r="H851" i="20" s="1"/>
  <c r="H203" i="3"/>
  <c r="I851" i="20" s="1"/>
  <c r="I203" i="3"/>
  <c r="J203" i="3"/>
  <c r="K203" i="3"/>
  <c r="L852" i="8" s="1"/>
  <c r="L203" i="3"/>
  <c r="M851" i="20" s="1"/>
  <c r="M203" i="3"/>
  <c r="N852" i="8" s="1"/>
  <c r="N203" i="3"/>
  <c r="O852" i="8" s="1"/>
  <c r="O203" i="3"/>
  <c r="E204" i="3"/>
  <c r="F852" i="20" s="1"/>
  <c r="F204" i="3"/>
  <c r="G204" i="3"/>
  <c r="H204" i="3"/>
  <c r="I852" i="20" s="1"/>
  <c r="I204" i="3"/>
  <c r="J853" i="8" s="1"/>
  <c r="J204" i="3"/>
  <c r="K852" i="20" s="1"/>
  <c r="K204" i="3"/>
  <c r="L853" i="8" s="1"/>
  <c r="L204" i="3"/>
  <c r="M204" i="3"/>
  <c r="N853" i="8" s="1"/>
  <c r="N204" i="3"/>
  <c r="O853" i="8" s="1"/>
  <c r="O204" i="3"/>
  <c r="E205" i="3"/>
  <c r="F205" i="3"/>
  <c r="G854" i="8" s="1"/>
  <c r="G205" i="3"/>
  <c r="H205" i="3"/>
  <c r="I853" i="20" s="1"/>
  <c r="I205" i="3"/>
  <c r="J854" i="8" s="1"/>
  <c r="J205" i="3"/>
  <c r="K853" i="20" s="1"/>
  <c r="K205" i="3"/>
  <c r="L205" i="3"/>
  <c r="M205" i="3"/>
  <c r="N853" i="20" s="1"/>
  <c r="N205" i="3"/>
  <c r="O205" i="3"/>
  <c r="P854" i="8" s="1"/>
  <c r="D203" i="3"/>
  <c r="E852" i="8" s="1"/>
  <c r="D204" i="3"/>
  <c r="E853" i="8" s="1"/>
  <c r="D205" i="3"/>
  <c r="E854" i="8" s="1"/>
  <c r="D202" i="3"/>
  <c r="B203" i="3"/>
  <c r="B204" i="3"/>
  <c r="B205" i="3"/>
  <c r="B202" i="3"/>
  <c r="B199" i="3"/>
  <c r="B197" i="3"/>
  <c r="B198" i="3"/>
  <c r="B196" i="3"/>
  <c r="B126" i="3"/>
  <c r="B127" i="3"/>
  <c r="B128" i="3"/>
  <c r="B125" i="3"/>
  <c r="B120" i="3"/>
  <c r="B121" i="3"/>
  <c r="B122" i="3"/>
  <c r="B119" i="3"/>
  <c r="B93" i="3"/>
  <c r="B94" i="3"/>
  <c r="B95" i="3"/>
  <c r="B92" i="3"/>
  <c r="B87" i="3"/>
  <c r="B88" i="3"/>
  <c r="B89" i="3"/>
  <c r="B86" i="3"/>
  <c r="A259" i="2"/>
  <c r="A210" i="2"/>
  <c r="D424" i="20"/>
  <c r="D544" i="20"/>
  <c r="D602" i="20"/>
  <c r="D1091" i="20"/>
  <c r="D1110" i="20"/>
  <c r="D1169" i="20"/>
  <c r="G1358" i="8"/>
  <c r="H1358" i="8"/>
  <c r="I1358" i="8"/>
  <c r="J1358" i="8"/>
  <c r="K1358" i="8"/>
  <c r="L1358" i="8"/>
  <c r="M1358" i="8"/>
  <c r="N1358" i="8"/>
  <c r="O1358" i="8"/>
  <c r="P1358" i="8"/>
  <c r="Q1358" i="8"/>
  <c r="F1358" i="8"/>
  <c r="G1357" i="8"/>
  <c r="H1357" i="8"/>
  <c r="I1357" i="8"/>
  <c r="J1357" i="8"/>
  <c r="K1357" i="8"/>
  <c r="L1357" i="8"/>
  <c r="M1357" i="8"/>
  <c r="N1357" i="8"/>
  <c r="O1357" i="8"/>
  <c r="P1357" i="8"/>
  <c r="Q1357" i="8"/>
  <c r="F1357" i="8"/>
  <c r="R1348" i="8"/>
  <c r="R1340" i="8"/>
  <c r="E22" i="23"/>
  <c r="E28" i="23" s="1"/>
  <c r="E34" i="23" s="1"/>
  <c r="E40" i="23" s="1"/>
  <c r="E46" i="23" s="1"/>
  <c r="E52" i="23" s="1"/>
  <c r="F22" i="23"/>
  <c r="F28" i="23" s="1"/>
  <c r="F34" i="23" s="1"/>
  <c r="F40" i="23" s="1"/>
  <c r="F46" i="23" s="1"/>
  <c r="F52" i="23" s="1"/>
  <c r="G22" i="23"/>
  <c r="G28" i="23" s="1"/>
  <c r="G34" i="23" s="1"/>
  <c r="G40" i="23" s="1"/>
  <c r="G46" i="23" s="1"/>
  <c r="G52" i="23" s="1"/>
  <c r="H22" i="23"/>
  <c r="H28" i="23" s="1"/>
  <c r="H34" i="23" s="1"/>
  <c r="H40" i="23" s="1"/>
  <c r="H46" i="23" s="1"/>
  <c r="H52" i="23" s="1"/>
  <c r="I22" i="23"/>
  <c r="I28" i="23" s="1"/>
  <c r="I34" i="23" s="1"/>
  <c r="I40" i="23" s="1"/>
  <c r="I46" i="23" s="1"/>
  <c r="I52" i="23" s="1"/>
  <c r="J22" i="23"/>
  <c r="J28" i="23" s="1"/>
  <c r="J34" i="23" s="1"/>
  <c r="J40" i="23" s="1"/>
  <c r="J46" i="23" s="1"/>
  <c r="J52" i="23" s="1"/>
  <c r="K22" i="23"/>
  <c r="K28" i="23" s="1"/>
  <c r="K34" i="23" s="1"/>
  <c r="K40" i="23" s="1"/>
  <c r="K46" i="23" s="1"/>
  <c r="K52" i="23" s="1"/>
  <c r="L22" i="23"/>
  <c r="L28" i="23" s="1"/>
  <c r="L34" i="23" s="1"/>
  <c r="L40" i="23" s="1"/>
  <c r="L46" i="23" s="1"/>
  <c r="L52" i="23" s="1"/>
  <c r="M22" i="23"/>
  <c r="M28" i="23" s="1"/>
  <c r="M34" i="23" s="1"/>
  <c r="M40" i="23" s="1"/>
  <c r="M46" i="23" s="1"/>
  <c r="M52" i="23" s="1"/>
  <c r="N22" i="23"/>
  <c r="N28" i="23" s="1"/>
  <c r="N34" i="23" s="1"/>
  <c r="N40" i="23" s="1"/>
  <c r="N46" i="23" s="1"/>
  <c r="N52" i="23" s="1"/>
  <c r="O22" i="23"/>
  <c r="O28" i="23" s="1"/>
  <c r="O34" i="23" s="1"/>
  <c r="O40" i="23" s="1"/>
  <c r="O46" i="23" s="1"/>
  <c r="O52" i="23" s="1"/>
  <c r="D22" i="23"/>
  <c r="D28" i="23" s="1"/>
  <c r="D34" i="23" s="1"/>
  <c r="D40" i="23" s="1"/>
  <c r="D46" i="23" s="1"/>
  <c r="D52" i="23" s="1"/>
  <c r="C11" i="1"/>
  <c r="D795" i="8"/>
  <c r="G1353" i="8"/>
  <c r="H1353" i="8"/>
  <c r="I1353" i="8"/>
  <c r="J1353" i="8"/>
  <c r="K1353" i="8"/>
  <c r="L1353" i="8"/>
  <c r="M1353" i="8"/>
  <c r="N1353" i="8"/>
  <c r="O1353" i="8"/>
  <c r="P1353" i="8"/>
  <c r="Q1353" i="8"/>
  <c r="G1345" i="8"/>
  <c r="H1345" i="8"/>
  <c r="I1345" i="8"/>
  <c r="J1345" i="8"/>
  <c r="K1345" i="8"/>
  <c r="L1345" i="8"/>
  <c r="M1345" i="8"/>
  <c r="N1345" i="8"/>
  <c r="O1345" i="8"/>
  <c r="P1345" i="8"/>
  <c r="Q1345" i="8"/>
  <c r="R1343" i="8"/>
  <c r="R1351" i="8"/>
  <c r="R1352" i="8"/>
  <c r="R1350" i="8"/>
  <c r="R1349" i="8"/>
  <c r="R1347" i="8"/>
  <c r="R1341" i="8"/>
  <c r="R1342" i="8"/>
  <c r="R1344" i="8"/>
  <c r="R1339" i="8"/>
  <c r="F1353" i="8"/>
  <c r="F1345" i="8"/>
  <c r="N281" i="2"/>
  <c r="I170" i="2"/>
  <c r="A403" i="3"/>
  <c r="A402" i="3"/>
  <c r="A401" i="3"/>
  <c r="A400" i="3"/>
  <c r="A339" i="3"/>
  <c r="A338" i="3"/>
  <c r="A337" i="3"/>
  <c r="A336" i="3"/>
  <c r="A215" i="3"/>
  <c r="A214" i="3"/>
  <c r="A213" i="3"/>
  <c r="A212" i="3"/>
  <c r="A149" i="3"/>
  <c r="A148" i="3"/>
  <c r="A147" i="3"/>
  <c r="A146" i="3"/>
  <c r="A105" i="3"/>
  <c r="A104" i="3"/>
  <c r="A103" i="3"/>
  <c r="A102" i="3"/>
  <c r="A60" i="3"/>
  <c r="A59" i="3"/>
  <c r="A58" i="3"/>
  <c r="A261" i="2"/>
  <c r="A260" i="2"/>
  <c r="A258" i="2"/>
  <c r="A212" i="2"/>
  <c r="A211" i="2"/>
  <c r="A209" i="2"/>
  <c r="A111" i="2"/>
  <c r="A110" i="2"/>
  <c r="A109" i="2"/>
  <c r="A108" i="2"/>
  <c r="A60" i="2"/>
  <c r="A59" i="2"/>
  <c r="A58" i="2"/>
  <c r="A1189" i="20"/>
  <c r="A1188" i="20"/>
  <c r="A1187" i="20"/>
  <c r="A1186" i="20"/>
  <c r="A1131" i="20"/>
  <c r="A1130" i="20"/>
  <c r="A1129" i="20"/>
  <c r="A1128" i="20"/>
  <c r="A1061" i="20"/>
  <c r="A1060" i="20"/>
  <c r="A1059" i="20"/>
  <c r="A1058" i="20"/>
  <c r="A988" i="20"/>
  <c r="A987" i="20"/>
  <c r="A986" i="20"/>
  <c r="A985" i="20"/>
  <c r="A922" i="20"/>
  <c r="A921" i="20"/>
  <c r="A920" i="20"/>
  <c r="A919" i="20"/>
  <c r="A878" i="20"/>
  <c r="A877" i="20"/>
  <c r="A876" i="20"/>
  <c r="A875" i="20"/>
  <c r="A807" i="20"/>
  <c r="A806" i="20"/>
  <c r="A805" i="20"/>
  <c r="A804" i="20"/>
  <c r="A738" i="20"/>
  <c r="A737" i="20"/>
  <c r="A736" i="20"/>
  <c r="A735" i="20"/>
  <c r="A688" i="20"/>
  <c r="A687" i="20"/>
  <c r="A686" i="20"/>
  <c r="A685" i="20"/>
  <c r="A637" i="20"/>
  <c r="A636" i="20"/>
  <c r="A635" i="20"/>
  <c r="A634" i="20"/>
  <c r="A582" i="20"/>
  <c r="A581" i="20"/>
  <c r="A580" i="20"/>
  <c r="A579" i="20"/>
  <c r="A515" i="20"/>
  <c r="A514" i="20"/>
  <c r="A513" i="20"/>
  <c r="A512" i="20"/>
  <c r="A446" i="20"/>
  <c r="A445" i="20"/>
  <c r="A444" i="20"/>
  <c r="A443" i="20"/>
  <c r="A385" i="20"/>
  <c r="A384" i="20"/>
  <c r="A383" i="20"/>
  <c r="A382" i="20"/>
  <c r="A9" i="20"/>
  <c r="A8" i="20"/>
  <c r="A7" i="20"/>
  <c r="A6" i="20"/>
  <c r="A338" i="20"/>
  <c r="A337" i="20"/>
  <c r="A336" i="20"/>
  <c r="A335" i="20"/>
  <c r="A275" i="20"/>
  <c r="A274" i="20"/>
  <c r="A273" i="20"/>
  <c r="A272" i="20"/>
  <c r="A213" i="20"/>
  <c r="A212" i="20"/>
  <c r="A211" i="20"/>
  <c r="A210" i="20"/>
  <c r="A172" i="20"/>
  <c r="A171" i="20"/>
  <c r="A170" i="20"/>
  <c r="A169" i="20"/>
  <c r="A116" i="20"/>
  <c r="A115" i="20"/>
  <c r="A114" i="20"/>
  <c r="A1193" i="8"/>
  <c r="A1192" i="8"/>
  <c r="A1191" i="8"/>
  <c r="A1190" i="8"/>
  <c r="A1135" i="8"/>
  <c r="A1134" i="8"/>
  <c r="A1133" i="8"/>
  <c r="A1132" i="8"/>
  <c r="A1065" i="8"/>
  <c r="A1064" i="8"/>
  <c r="A1063" i="8"/>
  <c r="A1062" i="8"/>
  <c r="A991" i="8"/>
  <c r="A990" i="8"/>
  <c r="A989" i="8"/>
  <c r="A988" i="8"/>
  <c r="A810" i="8"/>
  <c r="A809" i="8"/>
  <c r="A808" i="8"/>
  <c r="A807" i="8"/>
  <c r="A741" i="8"/>
  <c r="A740" i="8"/>
  <c r="A739" i="8"/>
  <c r="A738" i="8"/>
  <c r="A690" i="8"/>
  <c r="A689" i="8"/>
  <c r="A688" i="8"/>
  <c r="A687" i="8"/>
  <c r="A640" i="8"/>
  <c r="A639" i="8"/>
  <c r="A638" i="8"/>
  <c r="A637" i="8"/>
  <c r="A584" i="8"/>
  <c r="A583" i="8"/>
  <c r="A582" i="8"/>
  <c r="A581" i="8"/>
  <c r="A517" i="8"/>
  <c r="A516" i="8"/>
  <c r="A515" i="8"/>
  <c r="A514" i="8"/>
  <c r="A449" i="8"/>
  <c r="A448" i="8"/>
  <c r="A447" i="8"/>
  <c r="A446" i="8"/>
  <c r="A389" i="8"/>
  <c r="A388" i="8"/>
  <c r="A387" i="8"/>
  <c r="A386" i="8"/>
  <c r="A9" i="8"/>
  <c r="A8" i="8"/>
  <c r="A7" i="8"/>
  <c r="A6" i="8"/>
  <c r="A280" i="8"/>
  <c r="A279" i="8"/>
  <c r="A278" i="8"/>
  <c r="A277" i="8"/>
  <c r="A217" i="8"/>
  <c r="A216" i="8"/>
  <c r="A215" i="8"/>
  <c r="A214" i="8"/>
  <c r="A118" i="8"/>
  <c r="A117" i="8"/>
  <c r="A116" i="8"/>
  <c r="P366" i="20"/>
  <c r="P30" i="20" s="1"/>
  <c r="P367" i="20"/>
  <c r="P31" i="20" s="1"/>
  <c r="P368" i="20"/>
  <c r="P32" i="20" s="1"/>
  <c r="P369" i="20"/>
  <c r="P33" i="20" s="1"/>
  <c r="O250" i="2"/>
  <c r="O252" i="2" s="1"/>
  <c r="O186" i="2"/>
  <c r="O188" i="2" s="1"/>
  <c r="P961" i="8" s="1"/>
  <c r="H22" i="5"/>
  <c r="H24" i="5" s="1"/>
  <c r="J22" i="5"/>
  <c r="J24" i="5" s="1"/>
  <c r="G180" i="2"/>
  <c r="G182" i="2" s="1"/>
  <c r="O310" i="3"/>
  <c r="O316" i="3" s="1"/>
  <c r="O311" i="3"/>
  <c r="O317" i="3" s="1"/>
  <c r="P1037" i="8" s="1"/>
  <c r="O312" i="3"/>
  <c r="O313" i="3"/>
  <c r="O319" i="3" s="1"/>
  <c r="P1036" i="20" s="1"/>
  <c r="O290" i="3"/>
  <c r="O296" i="3" s="1"/>
  <c r="P1008" i="8" s="1"/>
  <c r="O291" i="3"/>
  <c r="O297" i="3" s="1"/>
  <c r="P1006" i="20" s="1"/>
  <c r="O293" i="3"/>
  <c r="O299" i="3" s="1"/>
  <c r="O120" i="3"/>
  <c r="O121" i="3"/>
  <c r="O127" i="3" s="1"/>
  <c r="P708" i="8" s="1"/>
  <c r="O122" i="3"/>
  <c r="O128" i="3" s="1"/>
  <c r="P709" i="8" s="1"/>
  <c r="Q1241" i="20"/>
  <c r="Q1217" i="20"/>
  <c r="Q1189" i="20"/>
  <c r="Q1187" i="20"/>
  <c r="Q1175" i="20"/>
  <c r="Q1151" i="20"/>
  <c r="Q1131" i="20"/>
  <c r="Q1129" i="20"/>
  <c r="Q1117" i="20"/>
  <c r="Q1099" i="20"/>
  <c r="Q1081" i="20"/>
  <c r="Q1061" i="20"/>
  <c r="Q1059" i="20"/>
  <c r="Q1047" i="20"/>
  <c r="Q1019" i="20"/>
  <c r="Q988" i="20"/>
  <c r="Q986" i="20"/>
  <c r="Q974" i="20"/>
  <c r="Q949" i="20"/>
  <c r="Q922" i="20"/>
  <c r="Q920" i="20"/>
  <c r="Q908" i="20"/>
  <c r="Q878" i="20"/>
  <c r="Q876" i="20"/>
  <c r="Q864" i="20"/>
  <c r="Q829" i="20"/>
  <c r="Q807" i="20"/>
  <c r="Q805" i="20"/>
  <c r="Q738" i="20"/>
  <c r="Q736" i="20"/>
  <c r="Q688" i="20"/>
  <c r="Q686" i="20"/>
  <c r="Q637" i="20"/>
  <c r="Q635" i="20"/>
  <c r="Q623" i="20"/>
  <c r="Q607" i="20"/>
  <c r="Q568" i="20"/>
  <c r="Q582" i="20"/>
  <c r="Q580" i="20"/>
  <c r="Q551" i="20"/>
  <c r="Q534" i="20"/>
  <c r="Q500" i="20"/>
  <c r="Q515" i="20"/>
  <c r="Q513" i="20"/>
  <c r="Q483" i="20"/>
  <c r="Q446" i="20"/>
  <c r="Q444" i="20"/>
  <c r="Q385" i="20"/>
  <c r="Q383" i="20"/>
  <c r="Q9" i="20"/>
  <c r="Q7" i="20"/>
  <c r="Q338" i="20"/>
  <c r="Q336" i="20"/>
  <c r="Q275" i="20"/>
  <c r="Q273" i="20"/>
  <c r="Q213" i="20"/>
  <c r="Q211" i="20"/>
  <c r="Q172" i="20"/>
  <c r="Q170" i="20"/>
  <c r="Q117" i="20"/>
  <c r="Q115" i="20"/>
  <c r="Q55" i="20"/>
  <c r="P1146" i="20"/>
  <c r="P358" i="20"/>
  <c r="P351" i="20"/>
  <c r="P324" i="20"/>
  <c r="P317" i="20"/>
  <c r="P310" i="20"/>
  <c r="P303" i="20"/>
  <c r="P296" i="20"/>
  <c r="P289" i="20"/>
  <c r="P261" i="20"/>
  <c r="P254" i="20"/>
  <c r="P247" i="20"/>
  <c r="P240" i="20"/>
  <c r="P233" i="20"/>
  <c r="P226" i="20"/>
  <c r="P151" i="20"/>
  <c r="P144" i="20"/>
  <c r="P137" i="20"/>
  <c r="P130" i="20"/>
  <c r="P103" i="20"/>
  <c r="P96" i="20"/>
  <c r="P89" i="20"/>
  <c r="O1197" i="8"/>
  <c r="N1197" i="8"/>
  <c r="M1197" i="8"/>
  <c r="L1197" i="8"/>
  <c r="K1197" i="8"/>
  <c r="J1197" i="8"/>
  <c r="I1197" i="8"/>
  <c r="H1197" i="8"/>
  <c r="G1197" i="8"/>
  <c r="F1197" i="8"/>
  <c r="E1197" i="8"/>
  <c r="O1139" i="8"/>
  <c r="N1139" i="8"/>
  <c r="M1139" i="8"/>
  <c r="L1139" i="8"/>
  <c r="K1139" i="8"/>
  <c r="J1139" i="8"/>
  <c r="I1139" i="8"/>
  <c r="H1139" i="8"/>
  <c r="G1139" i="8"/>
  <c r="F1139" i="8"/>
  <c r="E1139" i="8"/>
  <c r="O1069" i="8"/>
  <c r="N1069" i="8"/>
  <c r="M1069" i="8"/>
  <c r="L1069" i="8"/>
  <c r="K1069" i="8"/>
  <c r="J1069" i="8"/>
  <c r="I1069" i="8"/>
  <c r="H1069" i="8"/>
  <c r="G1069" i="8"/>
  <c r="F1069" i="8"/>
  <c r="E1069" i="8"/>
  <c r="O995" i="8"/>
  <c r="N995" i="8"/>
  <c r="M995" i="8"/>
  <c r="L995" i="8"/>
  <c r="K995" i="8"/>
  <c r="J995" i="8"/>
  <c r="I995" i="8"/>
  <c r="H995" i="8"/>
  <c r="G995" i="8"/>
  <c r="F995" i="8"/>
  <c r="E995" i="8"/>
  <c r="O814" i="8"/>
  <c r="N814" i="8"/>
  <c r="M814" i="8"/>
  <c r="L814" i="8"/>
  <c r="K814" i="8"/>
  <c r="J814" i="8"/>
  <c r="I814" i="8"/>
  <c r="H814" i="8"/>
  <c r="G814" i="8"/>
  <c r="F814" i="8"/>
  <c r="E814" i="8"/>
  <c r="O745" i="8"/>
  <c r="N745" i="8"/>
  <c r="M745" i="8"/>
  <c r="L745" i="8"/>
  <c r="K745" i="8"/>
  <c r="J745" i="8"/>
  <c r="I745" i="8"/>
  <c r="H745" i="8"/>
  <c r="G745" i="8"/>
  <c r="F745" i="8"/>
  <c r="E745" i="8"/>
  <c r="O694" i="8"/>
  <c r="N694" i="8"/>
  <c r="M694" i="8"/>
  <c r="L694" i="8"/>
  <c r="K694" i="8"/>
  <c r="J694" i="8"/>
  <c r="I694" i="8"/>
  <c r="H694" i="8"/>
  <c r="G694" i="8"/>
  <c r="F694" i="8"/>
  <c r="E694" i="8"/>
  <c r="O644" i="8"/>
  <c r="N644" i="8"/>
  <c r="M644" i="8"/>
  <c r="L644" i="8"/>
  <c r="K644" i="8"/>
  <c r="J644" i="8"/>
  <c r="I644" i="8"/>
  <c r="H644" i="8"/>
  <c r="G644" i="8"/>
  <c r="F644" i="8"/>
  <c r="E644" i="8"/>
  <c r="O588" i="8"/>
  <c r="N588" i="8"/>
  <c r="M588" i="8"/>
  <c r="L588" i="8"/>
  <c r="K588" i="8"/>
  <c r="J588" i="8"/>
  <c r="I588" i="8"/>
  <c r="H588" i="8"/>
  <c r="G588" i="8"/>
  <c r="F588" i="8"/>
  <c r="E588" i="8"/>
  <c r="O521" i="8"/>
  <c r="N521" i="8"/>
  <c r="M521" i="8"/>
  <c r="L521" i="8"/>
  <c r="K521" i="8"/>
  <c r="J521" i="8"/>
  <c r="I521" i="8"/>
  <c r="H521" i="8"/>
  <c r="G521" i="8"/>
  <c r="F521" i="8"/>
  <c r="E521" i="8"/>
  <c r="O453" i="8"/>
  <c r="N453" i="8"/>
  <c r="M453" i="8"/>
  <c r="L453" i="8"/>
  <c r="K453" i="8"/>
  <c r="J453" i="8"/>
  <c r="I453" i="8"/>
  <c r="H453" i="8"/>
  <c r="G453" i="8"/>
  <c r="F453" i="8"/>
  <c r="E453" i="8"/>
  <c r="O393" i="8"/>
  <c r="N393" i="8"/>
  <c r="M393" i="8"/>
  <c r="L393" i="8"/>
  <c r="K393" i="8"/>
  <c r="J393" i="8"/>
  <c r="I393" i="8"/>
  <c r="H393" i="8"/>
  <c r="G393" i="8"/>
  <c r="F393" i="8"/>
  <c r="E393" i="8"/>
  <c r="O13" i="8"/>
  <c r="N13" i="8"/>
  <c r="M13" i="8"/>
  <c r="L13" i="8"/>
  <c r="K13" i="8"/>
  <c r="J13" i="8"/>
  <c r="I13" i="8"/>
  <c r="H13" i="8"/>
  <c r="G13" i="8"/>
  <c r="F13" i="8"/>
  <c r="E13" i="8"/>
  <c r="O284" i="8"/>
  <c r="N284" i="8"/>
  <c r="M284" i="8"/>
  <c r="L284" i="8"/>
  <c r="K284" i="8"/>
  <c r="J284" i="8"/>
  <c r="I284" i="8"/>
  <c r="H284" i="8"/>
  <c r="G284" i="8"/>
  <c r="F284" i="8"/>
  <c r="E284" i="8"/>
  <c r="O222" i="8"/>
  <c r="N222" i="8"/>
  <c r="M222" i="8"/>
  <c r="L222" i="8"/>
  <c r="K222" i="8"/>
  <c r="J222" i="8"/>
  <c r="I222" i="8"/>
  <c r="H222" i="8"/>
  <c r="G222" i="8"/>
  <c r="F222" i="8"/>
  <c r="E222" i="8"/>
  <c r="O124" i="8"/>
  <c r="N124" i="8"/>
  <c r="M124" i="8"/>
  <c r="L124" i="8"/>
  <c r="K124" i="8"/>
  <c r="J124" i="8"/>
  <c r="I124" i="8"/>
  <c r="H124" i="8"/>
  <c r="G124" i="8"/>
  <c r="F124" i="8"/>
  <c r="E124" i="8"/>
  <c r="P1150" i="8"/>
  <c r="P319" i="8" s="1"/>
  <c r="Q1243" i="8"/>
  <c r="Q1220" i="8"/>
  <c r="Q1193" i="8"/>
  <c r="Q1191" i="8"/>
  <c r="Q1179" i="8"/>
  <c r="Q1155" i="8"/>
  <c r="Q1135" i="8"/>
  <c r="Q1133" i="8"/>
  <c r="Q1121" i="8"/>
  <c r="Q1103" i="8"/>
  <c r="Q1085" i="8"/>
  <c r="Q1065" i="8"/>
  <c r="Q1063" i="8"/>
  <c r="Q1050" i="8"/>
  <c r="Q1022" i="8"/>
  <c r="Q991" i="8"/>
  <c r="Q989" i="8"/>
  <c r="Q977" i="8"/>
  <c r="Q952" i="8"/>
  <c r="Q910" i="8"/>
  <c r="Q865" i="8"/>
  <c r="Q830" i="8"/>
  <c r="Q810" i="8"/>
  <c r="Q808" i="8"/>
  <c r="Q741" i="8"/>
  <c r="Q739" i="8"/>
  <c r="Q690" i="8"/>
  <c r="Q688" i="8"/>
  <c r="Q626" i="8"/>
  <c r="Q640" i="8"/>
  <c r="Q638" i="8"/>
  <c r="Q609" i="8"/>
  <c r="Q570" i="8"/>
  <c r="Q584" i="8"/>
  <c r="Q582" i="8"/>
  <c r="Q553" i="8"/>
  <c r="Q536" i="8"/>
  <c r="Q517" i="8"/>
  <c r="Q515" i="8"/>
  <c r="Q502" i="8"/>
  <c r="Q485" i="8"/>
  <c r="Q449" i="8"/>
  <c r="Q447" i="8"/>
  <c r="Q389" i="8"/>
  <c r="Q387" i="8"/>
  <c r="Q9" i="8"/>
  <c r="Q7" i="8"/>
  <c r="Q373" i="8"/>
  <c r="Q372" i="8"/>
  <c r="Q370" i="8"/>
  <c r="Q369" i="8"/>
  <c r="Q280" i="8"/>
  <c r="Q278" i="8"/>
  <c r="Q217" i="8"/>
  <c r="Q215" i="8"/>
  <c r="Q119" i="8"/>
  <c r="Q117" i="8"/>
  <c r="Q55" i="8"/>
  <c r="P33" i="8"/>
  <c r="P32" i="8"/>
  <c r="P31" i="8"/>
  <c r="P30" i="8"/>
  <c r="P29" i="8"/>
  <c r="P375" i="8"/>
  <c r="N25" i="22" s="1"/>
  <c r="P362" i="8"/>
  <c r="P355" i="8"/>
  <c r="P328" i="8"/>
  <c r="P321" i="8"/>
  <c r="P314" i="8"/>
  <c r="P307" i="8"/>
  <c r="P300" i="8"/>
  <c r="P293" i="8"/>
  <c r="P266" i="8"/>
  <c r="P259" i="8"/>
  <c r="P252" i="8"/>
  <c r="P245" i="8"/>
  <c r="P238" i="8"/>
  <c r="P231" i="8"/>
  <c r="P154" i="8"/>
  <c r="P147" i="8"/>
  <c r="P140" i="8"/>
  <c r="P133" i="8"/>
  <c r="P104" i="8"/>
  <c r="P97" i="8"/>
  <c r="P90" i="8"/>
  <c r="R60" i="15"/>
  <c r="R59" i="15"/>
  <c r="R57" i="15"/>
  <c r="R46" i="15"/>
  <c r="R45" i="15"/>
  <c r="R44" i="15"/>
  <c r="R43" i="15"/>
  <c r="R41" i="15"/>
  <c r="R23" i="15"/>
  <c r="R20" i="15"/>
  <c r="R19" i="15"/>
  <c r="R18" i="15"/>
  <c r="R17" i="15"/>
  <c r="R15" i="15"/>
  <c r="Q9" i="15"/>
  <c r="P32" i="5"/>
  <c r="O95" i="3" s="1"/>
  <c r="P31" i="5"/>
  <c r="O94" i="3" s="1"/>
  <c r="P655" i="20" s="1"/>
  <c r="P30" i="5"/>
  <c r="O93" i="3" s="1"/>
  <c r="P29" i="5"/>
  <c r="O33" i="5"/>
  <c r="P21" i="5"/>
  <c r="P20" i="5"/>
  <c r="P19" i="5"/>
  <c r="P18" i="5"/>
  <c r="P16" i="5"/>
  <c r="O11" i="5"/>
  <c r="O406" i="3"/>
  <c r="N406" i="3"/>
  <c r="M406" i="3"/>
  <c r="L406" i="3"/>
  <c r="K406" i="3"/>
  <c r="J406" i="3"/>
  <c r="I406" i="3"/>
  <c r="H406" i="3"/>
  <c r="G406" i="3"/>
  <c r="F406" i="3"/>
  <c r="E406" i="3"/>
  <c r="D406" i="3"/>
  <c r="O342" i="3"/>
  <c r="N342" i="3"/>
  <c r="M342" i="3"/>
  <c r="L342" i="3"/>
  <c r="K342" i="3"/>
  <c r="J342" i="3"/>
  <c r="I342" i="3"/>
  <c r="H342" i="3"/>
  <c r="G342" i="3"/>
  <c r="F342" i="3"/>
  <c r="E342" i="3"/>
  <c r="D342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O64" i="3"/>
  <c r="N64" i="3"/>
  <c r="M64" i="3"/>
  <c r="L64" i="3"/>
  <c r="K64" i="3"/>
  <c r="J64" i="3"/>
  <c r="I64" i="3"/>
  <c r="H64" i="3"/>
  <c r="G64" i="3"/>
  <c r="F64" i="3"/>
  <c r="E64" i="3"/>
  <c r="D64" i="3"/>
  <c r="O413" i="3"/>
  <c r="O412" i="3"/>
  <c r="P390" i="3"/>
  <c r="P389" i="3"/>
  <c r="P386" i="3"/>
  <c r="P385" i="3"/>
  <c r="O391" i="3"/>
  <c r="O387" i="3"/>
  <c r="P372" i="3"/>
  <c r="P371" i="3"/>
  <c r="O373" i="3"/>
  <c r="P362" i="3"/>
  <c r="P361" i="3"/>
  <c r="P358" i="3"/>
  <c r="P357" i="3"/>
  <c r="O363" i="3"/>
  <c r="O359" i="3"/>
  <c r="P352" i="3"/>
  <c r="P351" i="3"/>
  <c r="P347" i="3"/>
  <c r="P346" i="3"/>
  <c r="P329" i="3"/>
  <c r="O330" i="3"/>
  <c r="O348" i="3"/>
  <c r="P1112" i="20" s="1"/>
  <c r="P308" i="20" s="1"/>
  <c r="O353" i="3"/>
  <c r="P324" i="3"/>
  <c r="P323" i="3"/>
  <c r="O325" i="3"/>
  <c r="P307" i="3"/>
  <c r="P306" i="3"/>
  <c r="P305" i="3"/>
  <c r="P304" i="3"/>
  <c r="O308" i="3"/>
  <c r="P287" i="3"/>
  <c r="P286" i="3"/>
  <c r="P285" i="3"/>
  <c r="P284" i="3"/>
  <c r="O288" i="3"/>
  <c r="P258" i="3"/>
  <c r="P257" i="3"/>
  <c r="O259" i="3"/>
  <c r="P248" i="3"/>
  <c r="P247" i="3"/>
  <c r="P244" i="3"/>
  <c r="P243" i="3"/>
  <c r="O249" i="3"/>
  <c r="O245" i="3"/>
  <c r="P232" i="3"/>
  <c r="P231" i="3"/>
  <c r="P230" i="3"/>
  <c r="P229" i="3"/>
  <c r="P226" i="3"/>
  <c r="P225" i="3"/>
  <c r="P224" i="3"/>
  <c r="P223" i="3"/>
  <c r="O233" i="3"/>
  <c r="O227" i="3"/>
  <c r="P199" i="3"/>
  <c r="P198" i="3"/>
  <c r="P197" i="3"/>
  <c r="P196" i="3"/>
  <c r="P193" i="3"/>
  <c r="P192" i="3"/>
  <c r="P191" i="3"/>
  <c r="P185" i="3"/>
  <c r="P184" i="3"/>
  <c r="C445" i="3" s="1"/>
  <c r="E445" i="3" s="1"/>
  <c r="O200" i="3"/>
  <c r="O194" i="3"/>
  <c r="O186" i="3"/>
  <c r="P824" i="20" s="1"/>
  <c r="P224" i="20" s="1"/>
  <c r="O174" i="3"/>
  <c r="O173" i="3"/>
  <c r="P139" i="3"/>
  <c r="P138" i="3"/>
  <c r="P134" i="3"/>
  <c r="P133" i="3"/>
  <c r="O140" i="3"/>
  <c r="O135" i="3"/>
  <c r="O35" i="23" s="1"/>
  <c r="P83" i="3"/>
  <c r="P82" i="3"/>
  <c r="P81" i="3"/>
  <c r="P80" i="3"/>
  <c r="P75" i="3"/>
  <c r="P74" i="3"/>
  <c r="O84" i="3"/>
  <c r="O76" i="3"/>
  <c r="P70" i="3"/>
  <c r="P69" i="3"/>
  <c r="P51" i="3"/>
  <c r="P50" i="3"/>
  <c r="P46" i="3"/>
  <c r="P45" i="3"/>
  <c r="P41" i="3"/>
  <c r="P40" i="3"/>
  <c r="O71" i="3"/>
  <c r="O158" i="3" s="1"/>
  <c r="O52" i="3"/>
  <c r="P565" i="8" s="1"/>
  <c r="P138" i="8" s="1"/>
  <c r="O47" i="3"/>
  <c r="O42" i="3"/>
  <c r="P36" i="3"/>
  <c r="P35" i="3"/>
  <c r="P31" i="3"/>
  <c r="P30" i="3"/>
  <c r="P26" i="3"/>
  <c r="P25" i="3"/>
  <c r="P21" i="3"/>
  <c r="P20" i="3"/>
  <c r="P16" i="3"/>
  <c r="P15" i="3"/>
  <c r="O37" i="3"/>
  <c r="O32" i="3"/>
  <c r="P478" i="20" s="1"/>
  <c r="P87" i="20" s="1"/>
  <c r="O27" i="3"/>
  <c r="O22" i="3"/>
  <c r="O53" i="23" s="1"/>
  <c r="O11" i="3"/>
  <c r="O289" i="2"/>
  <c r="O287" i="2"/>
  <c r="O283" i="2"/>
  <c r="O277" i="2"/>
  <c r="O276" i="2"/>
  <c r="P270" i="2"/>
  <c r="P269" i="2"/>
  <c r="P268" i="2"/>
  <c r="P251" i="2"/>
  <c r="P249" i="2"/>
  <c r="P245" i="2"/>
  <c r="P244" i="2"/>
  <c r="P243" i="2"/>
  <c r="P239" i="2"/>
  <c r="P238" i="2"/>
  <c r="P237" i="2"/>
  <c r="O271" i="2"/>
  <c r="O246" i="2"/>
  <c r="O240" i="2"/>
  <c r="O234" i="2"/>
  <c r="P1112" i="8" s="1"/>
  <c r="P311" i="8" s="1"/>
  <c r="P233" i="2"/>
  <c r="P232" i="2"/>
  <c r="P231" i="2"/>
  <c r="P227" i="2"/>
  <c r="P226" i="2"/>
  <c r="P225" i="2"/>
  <c r="P221" i="2"/>
  <c r="P220" i="2"/>
  <c r="P219" i="2"/>
  <c r="P199" i="2"/>
  <c r="P197" i="2"/>
  <c r="P193" i="2"/>
  <c r="P191" i="2"/>
  <c r="O228" i="2"/>
  <c r="O222" i="2"/>
  <c r="P1076" i="8" s="1"/>
  <c r="P187" i="2"/>
  <c r="P185" i="2"/>
  <c r="P181" i="2"/>
  <c r="P179" i="2"/>
  <c r="P175" i="2"/>
  <c r="P174" i="2"/>
  <c r="P173" i="2"/>
  <c r="P169" i="2"/>
  <c r="P168" i="2"/>
  <c r="P163" i="2"/>
  <c r="P162" i="2"/>
  <c r="C309" i="2" s="1"/>
  <c r="E309" i="2" s="1"/>
  <c r="O176" i="2"/>
  <c r="O164" i="2"/>
  <c r="O120" i="2"/>
  <c r="O121" i="2"/>
  <c r="O137" i="2"/>
  <c r="O138" i="2"/>
  <c r="O139" i="2"/>
  <c r="P98" i="2"/>
  <c r="P97" i="2"/>
  <c r="P96" i="2"/>
  <c r="P92" i="2"/>
  <c r="P91" i="2"/>
  <c r="P90" i="2"/>
  <c r="O99" i="2"/>
  <c r="P778" i="20" s="1"/>
  <c r="O93" i="2"/>
  <c r="P86" i="2"/>
  <c r="P84" i="2"/>
  <c r="P80" i="2"/>
  <c r="P74" i="2"/>
  <c r="P73" i="2"/>
  <c r="O75" i="2"/>
  <c r="P69" i="2"/>
  <c r="P68" i="2"/>
  <c r="P51" i="2"/>
  <c r="P50" i="2"/>
  <c r="P46" i="2"/>
  <c r="P45" i="2"/>
  <c r="P41" i="2"/>
  <c r="P40" i="2"/>
  <c r="P36" i="2"/>
  <c r="P35" i="2"/>
  <c r="O70" i="2"/>
  <c r="O52" i="2"/>
  <c r="P562" i="8" s="1"/>
  <c r="O47" i="2"/>
  <c r="P545" i="8" s="1"/>
  <c r="P130" i="8" s="1"/>
  <c r="O42" i="2"/>
  <c r="O37" i="2"/>
  <c r="P31" i="2"/>
  <c r="P30" i="2"/>
  <c r="P26" i="2"/>
  <c r="P25" i="2"/>
  <c r="P21" i="2"/>
  <c r="P20" i="2"/>
  <c r="P16" i="2"/>
  <c r="P15" i="2"/>
  <c r="O22" i="2"/>
  <c r="O27" i="2"/>
  <c r="O32" i="2"/>
  <c r="R5" i="15"/>
  <c r="P400" i="3"/>
  <c r="P336" i="3"/>
  <c r="P212" i="3"/>
  <c r="P146" i="3"/>
  <c r="P102" i="3"/>
  <c r="P58" i="3"/>
  <c r="P260" i="2"/>
  <c r="P211" i="2"/>
  <c r="P110" i="2"/>
  <c r="P60" i="2"/>
  <c r="B354" i="20"/>
  <c r="B1222" i="20" s="1"/>
  <c r="B347" i="20"/>
  <c r="B1197" i="20" s="1"/>
  <c r="B320" i="20"/>
  <c r="B1156" i="20" s="1"/>
  <c r="B313" i="20"/>
  <c r="B1138" i="20" s="1"/>
  <c r="B306" i="20"/>
  <c r="B1104" i="20" s="1"/>
  <c r="B299" i="20"/>
  <c r="B1086" i="20" s="1"/>
  <c r="B292" i="20"/>
  <c r="B1068" i="20" s="1"/>
  <c r="B285" i="20"/>
  <c r="B1023" i="20" s="1"/>
  <c r="B257" i="20"/>
  <c r="B995" i="20" s="1"/>
  <c r="B250" i="20"/>
  <c r="B954" i="20" s="1"/>
  <c r="B243" i="20"/>
  <c r="B929" i="20" s="1"/>
  <c r="B236" i="20"/>
  <c r="B885" i="20" s="1"/>
  <c r="B229" i="20"/>
  <c r="B841" i="20" s="1"/>
  <c r="B222" i="20"/>
  <c r="B816" i="20" s="1"/>
  <c r="B195" i="20"/>
  <c r="B774" i="20" s="1"/>
  <c r="B188" i="20"/>
  <c r="B745" i="20" s="1"/>
  <c r="B181" i="20"/>
  <c r="B695" i="20" s="1"/>
  <c r="B154" i="20"/>
  <c r="B644" i="20" s="1"/>
  <c r="B147" i="20"/>
  <c r="B611" i="20" s="1"/>
  <c r="B140" i="20"/>
  <c r="B589" i="20" s="1"/>
  <c r="B133" i="20"/>
  <c r="B556" i="20" s="1"/>
  <c r="B126" i="20"/>
  <c r="B539" i="20" s="1"/>
  <c r="B99" i="20"/>
  <c r="B522" i="20" s="1"/>
  <c r="B92" i="20"/>
  <c r="B488" i="20" s="1"/>
  <c r="B85" i="20"/>
  <c r="B471" i="20" s="1"/>
  <c r="B78" i="20"/>
  <c r="B454" i="20" s="1"/>
  <c r="B71" i="20"/>
  <c r="B419" i="20" s="1"/>
  <c r="B64" i="20"/>
  <c r="B393" i="20" s="1"/>
  <c r="B358" i="8"/>
  <c r="B1224" i="8" s="1"/>
  <c r="B351" i="8"/>
  <c r="B1200" i="8" s="1"/>
  <c r="B324" i="8"/>
  <c r="B1160" i="8" s="1"/>
  <c r="B317" i="8"/>
  <c r="B1142" i="8" s="1"/>
  <c r="B310" i="8"/>
  <c r="B1108" i="8" s="1"/>
  <c r="B303" i="8"/>
  <c r="B296" i="8"/>
  <c r="B289" i="8"/>
  <c r="B1026" i="8" s="1"/>
  <c r="B262" i="8"/>
  <c r="B998" i="8" s="1"/>
  <c r="B255" i="8"/>
  <c r="B957" i="8" s="1"/>
  <c r="B248" i="8"/>
  <c r="B932" i="8" s="1"/>
  <c r="B241" i="8"/>
  <c r="B887" i="8" s="1"/>
  <c r="B234" i="8"/>
  <c r="B842" i="8" s="1"/>
  <c r="B227" i="8"/>
  <c r="B817" i="8" s="1"/>
  <c r="B199" i="8"/>
  <c r="B777" i="8" s="1"/>
  <c r="B192" i="8"/>
  <c r="B748" i="8" s="1"/>
  <c r="B697" i="8"/>
  <c r="B157" i="8"/>
  <c r="B647" i="8" s="1"/>
  <c r="B150" i="8"/>
  <c r="B614" i="8" s="1"/>
  <c r="B143" i="8"/>
  <c r="B591" i="8" s="1"/>
  <c r="B136" i="8"/>
  <c r="B558" i="8" s="1"/>
  <c r="B129" i="8"/>
  <c r="B541" i="8" s="1"/>
  <c r="B100" i="8"/>
  <c r="B524" i="8" s="1"/>
  <c r="B93" i="8"/>
  <c r="B490" i="8" s="1"/>
  <c r="B86" i="8"/>
  <c r="B473" i="8" s="1"/>
  <c r="B79" i="8"/>
  <c r="B456" i="8" s="1"/>
  <c r="B72" i="8"/>
  <c r="B422" i="8" s="1"/>
  <c r="B65" i="8"/>
  <c r="B396" i="8" s="1"/>
  <c r="B37" i="14"/>
  <c r="C25" i="19" s="1"/>
  <c r="B38" i="14"/>
  <c r="C241" i="8" s="1"/>
  <c r="C887" i="8" s="1"/>
  <c r="B39" i="14"/>
  <c r="C243" i="20" s="1"/>
  <c r="C929" i="20" s="1"/>
  <c r="B40" i="14"/>
  <c r="C28" i="19" s="1"/>
  <c r="B41" i="14"/>
  <c r="C29" i="19" s="1"/>
  <c r="B42" i="14"/>
  <c r="C285" i="20" s="1"/>
  <c r="C1023" i="20" s="1"/>
  <c r="B43" i="14"/>
  <c r="C31" i="19" s="1"/>
  <c r="B44" i="14"/>
  <c r="C32" i="19" s="1"/>
  <c r="B45" i="14"/>
  <c r="C306" i="20" s="1"/>
  <c r="C1104" i="20" s="1"/>
  <c r="B46" i="14"/>
  <c r="C34" i="19" s="1"/>
  <c r="B47" i="14"/>
  <c r="C35" i="19" s="1"/>
  <c r="B48" i="14"/>
  <c r="C36" i="19" s="1"/>
  <c r="B49" i="14"/>
  <c r="C358" i="8" s="1"/>
  <c r="C1224" i="8" s="1"/>
  <c r="B36" i="14"/>
  <c r="C24" i="19" s="1"/>
  <c r="B20" i="14"/>
  <c r="C18" i="19" s="1"/>
  <c r="B21" i="14"/>
  <c r="C78" i="20" s="1"/>
  <c r="C454" i="20" s="1"/>
  <c r="B22" i="14"/>
  <c r="C86" i="8" s="1"/>
  <c r="C473" i="8" s="1"/>
  <c r="B23" i="14"/>
  <c r="C92" i="20" s="1"/>
  <c r="C488" i="20" s="1"/>
  <c r="B24" i="14"/>
  <c r="C99" i="20" s="1"/>
  <c r="C522" i="20" s="1"/>
  <c r="B25" i="14"/>
  <c r="C126" i="20" s="1"/>
  <c r="C539" i="20" s="1"/>
  <c r="B26" i="14"/>
  <c r="C133" i="20" s="1"/>
  <c r="C556" i="20" s="1"/>
  <c r="B27" i="14"/>
  <c r="C140" i="20" s="1"/>
  <c r="C589" i="20" s="1"/>
  <c r="B28" i="14"/>
  <c r="C150" i="8" s="1"/>
  <c r="C614" i="8" s="1"/>
  <c r="B29" i="14"/>
  <c r="C20" i="19" s="1"/>
  <c r="B30" i="14"/>
  <c r="C21" i="19" s="1"/>
  <c r="B31" i="14"/>
  <c r="C192" i="8" s="1"/>
  <c r="C748" i="8" s="1"/>
  <c r="B32" i="14"/>
  <c r="C23" i="19" s="1"/>
  <c r="B19" i="14"/>
  <c r="C65" i="8" s="1"/>
  <c r="C396" i="8" s="1"/>
  <c r="A66" i="22"/>
  <c r="A67" i="22"/>
  <c r="A68" i="22" s="1"/>
  <c r="A69" i="22" s="1"/>
  <c r="A70" i="22" s="1"/>
  <c r="A72" i="22" s="1"/>
  <c r="A73" i="22" s="1"/>
  <c r="A75" i="22" s="1"/>
  <c r="A76" i="22" s="1"/>
  <c r="A78" i="22" s="1"/>
  <c r="A81" i="22" s="1"/>
  <c r="A83" i="22" s="1"/>
  <c r="A84" i="22" s="1"/>
  <c r="A85" i="22" s="1"/>
  <c r="A86" i="22" s="1"/>
  <c r="A87" i="22" s="1"/>
  <c r="A89" i="22" s="1"/>
  <c r="A91" i="22" s="1"/>
  <c r="M62" i="22"/>
  <c r="L62" i="22"/>
  <c r="K62" i="22"/>
  <c r="J62" i="22"/>
  <c r="I62" i="22"/>
  <c r="H62" i="22"/>
  <c r="G62" i="22"/>
  <c r="F62" i="22"/>
  <c r="E62" i="22"/>
  <c r="D62" i="22"/>
  <c r="C62" i="22"/>
  <c r="E96" i="20"/>
  <c r="F96" i="20"/>
  <c r="G96" i="20"/>
  <c r="H96" i="20"/>
  <c r="I96" i="20"/>
  <c r="J96" i="20"/>
  <c r="K96" i="20"/>
  <c r="L96" i="20"/>
  <c r="M96" i="20"/>
  <c r="N96" i="20"/>
  <c r="O96" i="20"/>
  <c r="E97" i="8"/>
  <c r="F97" i="8"/>
  <c r="G97" i="8"/>
  <c r="H97" i="8"/>
  <c r="I97" i="8"/>
  <c r="J97" i="8"/>
  <c r="K97" i="8"/>
  <c r="L97" i="8"/>
  <c r="M97" i="8"/>
  <c r="N97" i="8"/>
  <c r="O97" i="8"/>
  <c r="E366" i="20"/>
  <c r="E30" i="20" s="1"/>
  <c r="F366" i="20"/>
  <c r="F30" i="20" s="1"/>
  <c r="G366" i="20"/>
  <c r="G30" i="20" s="1"/>
  <c r="H366" i="20"/>
  <c r="H30" i="20" s="1"/>
  <c r="I366" i="20"/>
  <c r="I30" i="20" s="1"/>
  <c r="J366" i="20"/>
  <c r="J30" i="20" s="1"/>
  <c r="K366" i="20"/>
  <c r="K30" i="20" s="1"/>
  <c r="L366" i="20"/>
  <c r="L30" i="20" s="1"/>
  <c r="M366" i="20"/>
  <c r="M30" i="20" s="1"/>
  <c r="N366" i="20"/>
  <c r="N30" i="20" s="1"/>
  <c r="O366" i="20"/>
  <c r="O30" i="20" s="1"/>
  <c r="E367" i="20"/>
  <c r="E31" i="20" s="1"/>
  <c r="F367" i="20"/>
  <c r="F31" i="20" s="1"/>
  <c r="G367" i="20"/>
  <c r="G31" i="20" s="1"/>
  <c r="H367" i="20"/>
  <c r="H31" i="20" s="1"/>
  <c r="I367" i="20"/>
  <c r="I31" i="20" s="1"/>
  <c r="J367" i="20"/>
  <c r="J31" i="20" s="1"/>
  <c r="K367" i="20"/>
  <c r="K31" i="20" s="1"/>
  <c r="L367" i="20"/>
  <c r="L31" i="20" s="1"/>
  <c r="M367" i="20"/>
  <c r="M31" i="20" s="1"/>
  <c r="N367" i="20"/>
  <c r="N31" i="20" s="1"/>
  <c r="O367" i="20"/>
  <c r="O31" i="20" s="1"/>
  <c r="E368" i="20"/>
  <c r="F368" i="20"/>
  <c r="F32" i="20" s="1"/>
  <c r="G368" i="20"/>
  <c r="G32" i="20" s="1"/>
  <c r="H368" i="20"/>
  <c r="H32" i="20" s="1"/>
  <c r="I368" i="20"/>
  <c r="I32" i="20" s="1"/>
  <c r="J368" i="20"/>
  <c r="J32" i="20" s="1"/>
  <c r="K368" i="20"/>
  <c r="K32" i="20" s="1"/>
  <c r="L368" i="20"/>
  <c r="L32" i="20" s="1"/>
  <c r="M368" i="20"/>
  <c r="M32" i="20" s="1"/>
  <c r="N368" i="20"/>
  <c r="N32" i="20" s="1"/>
  <c r="O368" i="20"/>
  <c r="O32" i="20" s="1"/>
  <c r="E369" i="20"/>
  <c r="E33" i="20" s="1"/>
  <c r="F369" i="20"/>
  <c r="F33" i="20" s="1"/>
  <c r="G369" i="20"/>
  <c r="G33" i="20" s="1"/>
  <c r="H369" i="20"/>
  <c r="H33" i="20" s="1"/>
  <c r="I369" i="20"/>
  <c r="I33" i="20" s="1"/>
  <c r="J369" i="20"/>
  <c r="J33" i="20" s="1"/>
  <c r="K369" i="20"/>
  <c r="K33" i="20" s="1"/>
  <c r="L369" i="20"/>
  <c r="L33" i="20" s="1"/>
  <c r="M369" i="20"/>
  <c r="M33" i="20" s="1"/>
  <c r="N369" i="20"/>
  <c r="N33" i="20" s="1"/>
  <c r="O369" i="20"/>
  <c r="O33" i="20" s="1"/>
  <c r="A16" i="23"/>
  <c r="A17" i="23" s="1"/>
  <c r="A18" i="23" s="1"/>
  <c r="A20" i="23" s="1"/>
  <c r="A22" i="23" s="1"/>
  <c r="A23" i="23" s="1"/>
  <c r="A24" i="23" s="1"/>
  <c r="A26" i="23" s="1"/>
  <c r="A28" i="23" s="1"/>
  <c r="A29" i="23" s="1"/>
  <c r="A30" i="23" s="1"/>
  <c r="A32" i="23" s="1"/>
  <c r="A34" i="23" s="1"/>
  <c r="A35" i="23" s="1"/>
  <c r="A36" i="23" s="1"/>
  <c r="A38" i="23" s="1"/>
  <c r="A40" i="23" s="1"/>
  <c r="A41" i="23" s="1"/>
  <c r="A42" i="23" s="1"/>
  <c r="A44" i="23" s="1"/>
  <c r="A46" i="23" s="1"/>
  <c r="A47" i="23" s="1"/>
  <c r="A48" i="23" s="1"/>
  <c r="A50" i="23" s="1"/>
  <c r="A52" i="23" s="1"/>
  <c r="A53" i="23" s="1"/>
  <c r="A54" i="23" s="1"/>
  <c r="A56" i="23" s="1"/>
  <c r="O31" i="8"/>
  <c r="N31" i="8"/>
  <c r="M31" i="8"/>
  <c r="L31" i="8"/>
  <c r="K31" i="8"/>
  <c r="J31" i="8"/>
  <c r="I31" i="8"/>
  <c r="H31" i="8"/>
  <c r="G31" i="8"/>
  <c r="F31" i="8"/>
  <c r="E31" i="8"/>
  <c r="M14" i="22"/>
  <c r="L14" i="22"/>
  <c r="K14" i="22"/>
  <c r="J14" i="22"/>
  <c r="I14" i="22"/>
  <c r="H14" i="22"/>
  <c r="G14" i="22"/>
  <c r="F14" i="22"/>
  <c r="E14" i="22"/>
  <c r="D14" i="22"/>
  <c r="C14" i="22"/>
  <c r="A18" i="22"/>
  <c r="A19" i="22" s="1"/>
  <c r="A20" i="22" s="1"/>
  <c r="A21" i="22"/>
  <c r="A22" i="22" s="1"/>
  <c r="A24" i="22" s="1"/>
  <c r="A25" i="22" s="1"/>
  <c r="A27" i="22" s="1"/>
  <c r="A28" i="22" s="1"/>
  <c r="A30" i="22" s="1"/>
  <c r="A33" i="22" s="1"/>
  <c r="A35" i="22" s="1"/>
  <c r="A36" i="22" s="1"/>
  <c r="A37" i="22" s="1"/>
  <c r="A38" i="22" s="1"/>
  <c r="A39" i="22" s="1"/>
  <c r="A41" i="22" s="1"/>
  <c r="A43" i="22" s="1"/>
  <c r="D310" i="3"/>
  <c r="D316" i="3" s="1"/>
  <c r="E310" i="3"/>
  <c r="E316" i="3" s="1"/>
  <c r="F1036" i="8" s="1"/>
  <c r="G310" i="3"/>
  <c r="G316" i="3" s="1"/>
  <c r="H1036" i="8" s="1"/>
  <c r="H310" i="3"/>
  <c r="H316" i="3" s="1"/>
  <c r="I1033" i="20" s="1"/>
  <c r="I310" i="3"/>
  <c r="I316" i="3" s="1"/>
  <c r="J1033" i="20" s="1"/>
  <c r="L310" i="3"/>
  <c r="L316" i="3" s="1"/>
  <c r="N310" i="3"/>
  <c r="N316" i="3" s="1"/>
  <c r="D311" i="3"/>
  <c r="G311" i="3"/>
  <c r="G317" i="3" s="1"/>
  <c r="H1034" i="20" s="1"/>
  <c r="H311" i="3"/>
  <c r="H317" i="3" s="1"/>
  <c r="I1034" i="20" s="1"/>
  <c r="I311" i="3"/>
  <c r="J311" i="3"/>
  <c r="J317" i="3" s="1"/>
  <c r="K1037" i="8" s="1"/>
  <c r="K311" i="3"/>
  <c r="K317" i="3" s="1"/>
  <c r="L1034" i="20" s="1"/>
  <c r="L311" i="3"/>
  <c r="L317" i="3" s="1"/>
  <c r="M311" i="3"/>
  <c r="M317" i="3" s="1"/>
  <c r="N311" i="3"/>
  <c r="N317" i="3" s="1"/>
  <c r="O1037" i="8" s="1"/>
  <c r="D312" i="3"/>
  <c r="D318" i="3" s="1"/>
  <c r="E312" i="3"/>
  <c r="E318" i="3" s="1"/>
  <c r="F1035" i="20" s="1"/>
  <c r="F312" i="3"/>
  <c r="F318" i="3" s="1"/>
  <c r="G1038" i="8" s="1"/>
  <c r="G312" i="3"/>
  <c r="G318" i="3" s="1"/>
  <c r="H1038" i="8" s="1"/>
  <c r="H312" i="3"/>
  <c r="H318" i="3" s="1"/>
  <c r="I1038" i="8" s="1"/>
  <c r="I312" i="3"/>
  <c r="I318" i="3" s="1"/>
  <c r="J1035" i="20" s="1"/>
  <c r="J312" i="3"/>
  <c r="J318" i="3" s="1"/>
  <c r="K1035" i="20" s="1"/>
  <c r="K312" i="3"/>
  <c r="K318" i="3" s="1"/>
  <c r="L312" i="3"/>
  <c r="L318" i="3" s="1"/>
  <c r="M1038" i="8" s="1"/>
  <c r="M312" i="3"/>
  <c r="M318" i="3" s="1"/>
  <c r="N1035" i="20" s="1"/>
  <c r="D313" i="3"/>
  <c r="D319" i="3" s="1"/>
  <c r="E313" i="3"/>
  <c r="E319" i="3" s="1"/>
  <c r="F1039" i="8" s="1"/>
  <c r="F313" i="3"/>
  <c r="F319" i="3" s="1"/>
  <c r="G1036" i="20" s="1"/>
  <c r="H313" i="3"/>
  <c r="H319" i="3" s="1"/>
  <c r="I1039" i="8" s="1"/>
  <c r="I313" i="3"/>
  <c r="I319" i="3" s="1"/>
  <c r="J1039" i="8" s="1"/>
  <c r="J313" i="3"/>
  <c r="J319" i="3" s="1"/>
  <c r="K1039" i="8" s="1"/>
  <c r="K313" i="3"/>
  <c r="K319" i="3" s="1"/>
  <c r="L1039" i="8" s="1"/>
  <c r="L313" i="3"/>
  <c r="L319" i="3" s="1"/>
  <c r="M1036" i="20" s="1"/>
  <c r="M313" i="3"/>
  <c r="M319" i="3" s="1"/>
  <c r="N313" i="3"/>
  <c r="N319" i="3" s="1"/>
  <c r="D379" i="3"/>
  <c r="E1210" i="8" s="1"/>
  <c r="E379" i="3"/>
  <c r="F1210" i="8" s="1"/>
  <c r="K379" i="3"/>
  <c r="L1207" i="20" s="1"/>
  <c r="D380" i="3"/>
  <c r="E1208" i="20" s="1"/>
  <c r="F380" i="3"/>
  <c r="G1211" i="8" s="1"/>
  <c r="G380" i="3"/>
  <c r="H380" i="3"/>
  <c r="I1211" i="8" s="1"/>
  <c r="I380" i="3"/>
  <c r="J1211" i="8" s="1"/>
  <c r="J380" i="3"/>
  <c r="K1211" i="8" s="1"/>
  <c r="L380" i="3"/>
  <c r="M1211" i="8" s="1"/>
  <c r="M380" i="3"/>
  <c r="F262" i="3"/>
  <c r="F266" i="3" s="1"/>
  <c r="F84" i="3"/>
  <c r="D250" i="2"/>
  <c r="D252" i="2" s="1"/>
  <c r="E1204" i="8" s="1"/>
  <c r="E352" i="8" s="1"/>
  <c r="E250" i="2"/>
  <c r="E252" i="2" s="1"/>
  <c r="F1201" i="20" s="1"/>
  <c r="F250" i="2"/>
  <c r="F252" i="2" s="1"/>
  <c r="G250" i="2"/>
  <c r="G252" i="2" s="1"/>
  <c r="H1201" i="20" s="1"/>
  <c r="H250" i="2"/>
  <c r="H252" i="2" s="1"/>
  <c r="I250" i="2"/>
  <c r="I252" i="2" s="1"/>
  <c r="J1201" i="20" s="1"/>
  <c r="J250" i="2"/>
  <c r="J252" i="2" s="1"/>
  <c r="K250" i="2"/>
  <c r="K252" i="2" s="1"/>
  <c r="L1201" i="20" s="1"/>
  <c r="L250" i="2"/>
  <c r="L252" i="2" s="1"/>
  <c r="M1201" i="20" s="1"/>
  <c r="M348" i="20" s="1"/>
  <c r="M250" i="2"/>
  <c r="M252" i="2" s="1"/>
  <c r="N250" i="2"/>
  <c r="N252" i="2" s="1"/>
  <c r="O1201" i="20" s="1"/>
  <c r="O348" i="20" s="1"/>
  <c r="N194" i="3"/>
  <c r="O1194" i="20"/>
  <c r="N1194" i="20"/>
  <c r="M1194" i="20"/>
  <c r="L1194" i="20"/>
  <c r="K1194" i="20"/>
  <c r="J1194" i="20"/>
  <c r="I1194" i="20"/>
  <c r="H1194" i="20"/>
  <c r="G1194" i="20"/>
  <c r="F1194" i="20"/>
  <c r="E1194" i="20"/>
  <c r="O1135" i="20"/>
  <c r="N1135" i="20"/>
  <c r="M1135" i="20"/>
  <c r="L1135" i="20"/>
  <c r="K1135" i="20"/>
  <c r="J1135" i="20"/>
  <c r="I1135" i="20"/>
  <c r="H1135" i="20"/>
  <c r="G1135" i="20"/>
  <c r="F1135" i="20"/>
  <c r="E1135" i="20"/>
  <c r="O1065" i="20"/>
  <c r="N1065" i="20"/>
  <c r="M1065" i="20"/>
  <c r="L1065" i="20"/>
  <c r="K1065" i="20"/>
  <c r="J1065" i="20"/>
  <c r="I1065" i="20"/>
  <c r="H1065" i="20"/>
  <c r="G1065" i="20"/>
  <c r="F1065" i="20"/>
  <c r="E1065" i="20"/>
  <c r="O992" i="20"/>
  <c r="N992" i="20"/>
  <c r="M992" i="20"/>
  <c r="L992" i="20"/>
  <c r="K992" i="20"/>
  <c r="J992" i="20"/>
  <c r="I992" i="20"/>
  <c r="H992" i="20"/>
  <c r="G992" i="20"/>
  <c r="F992" i="20"/>
  <c r="E992" i="20"/>
  <c r="O926" i="20"/>
  <c r="N926" i="20"/>
  <c r="M926" i="20"/>
  <c r="L926" i="20"/>
  <c r="K926" i="20"/>
  <c r="J926" i="20"/>
  <c r="I926" i="20"/>
  <c r="H926" i="20"/>
  <c r="G926" i="20"/>
  <c r="F926" i="20"/>
  <c r="E926" i="20"/>
  <c r="O882" i="20"/>
  <c r="N882" i="20"/>
  <c r="M882" i="20"/>
  <c r="L882" i="20"/>
  <c r="K882" i="20"/>
  <c r="J882" i="20"/>
  <c r="I882" i="20"/>
  <c r="H882" i="20"/>
  <c r="G882" i="20"/>
  <c r="F882" i="20"/>
  <c r="E882" i="20"/>
  <c r="O813" i="20"/>
  <c r="N813" i="20"/>
  <c r="M813" i="20"/>
  <c r="L813" i="20"/>
  <c r="K813" i="20"/>
  <c r="J813" i="20"/>
  <c r="I813" i="20"/>
  <c r="H813" i="20"/>
  <c r="G813" i="20"/>
  <c r="F813" i="20"/>
  <c r="E813" i="20"/>
  <c r="O742" i="20"/>
  <c r="N742" i="20"/>
  <c r="M742" i="20"/>
  <c r="L742" i="20"/>
  <c r="K742" i="20"/>
  <c r="J742" i="20"/>
  <c r="I742" i="20"/>
  <c r="H742" i="20"/>
  <c r="G742" i="20"/>
  <c r="F742" i="20"/>
  <c r="E742" i="20"/>
  <c r="O692" i="20"/>
  <c r="N692" i="20"/>
  <c r="M692" i="20"/>
  <c r="L692" i="20"/>
  <c r="K692" i="20"/>
  <c r="J692" i="20"/>
  <c r="I692" i="20"/>
  <c r="H692" i="20"/>
  <c r="G692" i="20"/>
  <c r="F692" i="20"/>
  <c r="E692" i="20"/>
  <c r="O641" i="20"/>
  <c r="N641" i="20"/>
  <c r="M641" i="20"/>
  <c r="L641" i="20"/>
  <c r="K641" i="20"/>
  <c r="J641" i="20"/>
  <c r="I641" i="20"/>
  <c r="H641" i="20"/>
  <c r="G641" i="20"/>
  <c r="F641" i="20"/>
  <c r="E641" i="20"/>
  <c r="O586" i="20"/>
  <c r="N586" i="20"/>
  <c r="M586" i="20"/>
  <c r="L586" i="20"/>
  <c r="K586" i="20"/>
  <c r="J586" i="20"/>
  <c r="I586" i="20"/>
  <c r="H586" i="20"/>
  <c r="G586" i="20"/>
  <c r="F586" i="20"/>
  <c r="E586" i="20"/>
  <c r="O519" i="20"/>
  <c r="N519" i="20"/>
  <c r="M519" i="20"/>
  <c r="L519" i="20"/>
  <c r="K519" i="20"/>
  <c r="J519" i="20"/>
  <c r="I519" i="20"/>
  <c r="H519" i="20"/>
  <c r="G519" i="20"/>
  <c r="F519" i="20"/>
  <c r="E519" i="20"/>
  <c r="O450" i="20"/>
  <c r="N450" i="20"/>
  <c r="M450" i="20"/>
  <c r="L450" i="20"/>
  <c r="K450" i="20"/>
  <c r="J450" i="20"/>
  <c r="I450" i="20"/>
  <c r="H450" i="20"/>
  <c r="G450" i="20"/>
  <c r="F450" i="20"/>
  <c r="E450" i="20"/>
  <c r="O389" i="20"/>
  <c r="N389" i="20"/>
  <c r="M389" i="20"/>
  <c r="L389" i="20"/>
  <c r="K389" i="20"/>
  <c r="J389" i="20"/>
  <c r="I389" i="20"/>
  <c r="H389" i="20"/>
  <c r="G389" i="20"/>
  <c r="F389" i="20"/>
  <c r="E389" i="20"/>
  <c r="O13" i="20"/>
  <c r="N13" i="20"/>
  <c r="M13" i="20"/>
  <c r="L13" i="20"/>
  <c r="K13" i="20"/>
  <c r="J13" i="20"/>
  <c r="I13" i="20"/>
  <c r="H13" i="20"/>
  <c r="G13" i="20"/>
  <c r="F13" i="20"/>
  <c r="E13" i="20"/>
  <c r="O342" i="20"/>
  <c r="N342" i="20"/>
  <c r="M342" i="20"/>
  <c r="L342" i="20"/>
  <c r="K342" i="20"/>
  <c r="J342" i="20"/>
  <c r="I342" i="20"/>
  <c r="H342" i="20"/>
  <c r="G342" i="20"/>
  <c r="F342" i="20"/>
  <c r="E342" i="20"/>
  <c r="O279" i="20"/>
  <c r="N279" i="20"/>
  <c r="M279" i="20"/>
  <c r="L279" i="20"/>
  <c r="K279" i="20"/>
  <c r="J279" i="20"/>
  <c r="I279" i="20"/>
  <c r="H279" i="20"/>
  <c r="G279" i="20"/>
  <c r="F279" i="20"/>
  <c r="E279" i="20"/>
  <c r="O217" i="20"/>
  <c r="N217" i="20"/>
  <c r="M217" i="20"/>
  <c r="L217" i="20"/>
  <c r="K217" i="20"/>
  <c r="J217" i="20"/>
  <c r="I217" i="20"/>
  <c r="H217" i="20"/>
  <c r="G217" i="20"/>
  <c r="F217" i="20"/>
  <c r="E217" i="20"/>
  <c r="O176" i="20"/>
  <c r="N176" i="20"/>
  <c r="M176" i="20"/>
  <c r="L176" i="20"/>
  <c r="K176" i="20"/>
  <c r="J176" i="20"/>
  <c r="I176" i="20"/>
  <c r="H176" i="20"/>
  <c r="G176" i="20"/>
  <c r="F176" i="20"/>
  <c r="E176" i="20"/>
  <c r="O121" i="20"/>
  <c r="N121" i="20"/>
  <c r="M121" i="20"/>
  <c r="L121" i="20"/>
  <c r="K121" i="20"/>
  <c r="J121" i="20"/>
  <c r="I121" i="20"/>
  <c r="H121" i="20"/>
  <c r="G121" i="20"/>
  <c r="F121" i="20"/>
  <c r="E121" i="20"/>
  <c r="O59" i="20"/>
  <c r="N59" i="20"/>
  <c r="M59" i="20"/>
  <c r="L59" i="20"/>
  <c r="K59" i="20"/>
  <c r="J59" i="20"/>
  <c r="I59" i="20"/>
  <c r="H59" i="20"/>
  <c r="G59" i="20"/>
  <c r="F59" i="20"/>
  <c r="E59" i="20"/>
  <c r="O60" i="8"/>
  <c r="N60" i="8"/>
  <c r="M60" i="8"/>
  <c r="L60" i="8"/>
  <c r="K60" i="8"/>
  <c r="J60" i="8"/>
  <c r="I60" i="8"/>
  <c r="H60" i="8"/>
  <c r="G60" i="8"/>
  <c r="F60" i="8"/>
  <c r="E60" i="8"/>
  <c r="P9" i="15"/>
  <c r="O9" i="15"/>
  <c r="N9" i="15"/>
  <c r="M9" i="15"/>
  <c r="L9" i="15"/>
  <c r="K9" i="15"/>
  <c r="J9" i="15"/>
  <c r="I9" i="15"/>
  <c r="H9" i="15"/>
  <c r="G9" i="15"/>
  <c r="F9" i="15"/>
  <c r="N11" i="5"/>
  <c r="M11" i="5"/>
  <c r="L11" i="5"/>
  <c r="K11" i="5"/>
  <c r="J11" i="5"/>
  <c r="I11" i="5"/>
  <c r="H11" i="5"/>
  <c r="G11" i="5"/>
  <c r="F11" i="5"/>
  <c r="E11" i="5"/>
  <c r="D11" i="5"/>
  <c r="N11" i="3"/>
  <c r="M11" i="3"/>
  <c r="L11" i="3"/>
  <c r="K11" i="3"/>
  <c r="J11" i="3"/>
  <c r="I11" i="3"/>
  <c r="H11" i="3"/>
  <c r="G11" i="3"/>
  <c r="F11" i="3"/>
  <c r="E11" i="3"/>
  <c r="D11" i="3"/>
  <c r="D290" i="3"/>
  <c r="D296" i="3" s="1"/>
  <c r="E1008" i="8" s="1"/>
  <c r="E290" i="3"/>
  <c r="E296" i="3" s="1"/>
  <c r="F290" i="3"/>
  <c r="F296" i="3" s="1"/>
  <c r="G1005" i="20" s="1"/>
  <c r="G290" i="3"/>
  <c r="H290" i="3"/>
  <c r="H296" i="3" s="1"/>
  <c r="I1008" i="8" s="1"/>
  <c r="I290" i="3"/>
  <c r="I296" i="3" s="1"/>
  <c r="L290" i="3"/>
  <c r="L296" i="3" s="1"/>
  <c r="M1005" i="20" s="1"/>
  <c r="M290" i="3"/>
  <c r="M296" i="3" s="1"/>
  <c r="N1005" i="20" s="1"/>
  <c r="E291" i="3"/>
  <c r="E297" i="3" s="1"/>
  <c r="F1006" i="20" s="1"/>
  <c r="F291" i="3"/>
  <c r="F297" i="3" s="1"/>
  <c r="G1006" i="20" s="1"/>
  <c r="G291" i="3"/>
  <c r="G297" i="3" s="1"/>
  <c r="H1009" i="8" s="1"/>
  <c r="H291" i="3"/>
  <c r="H297" i="3" s="1"/>
  <c r="I1009" i="8" s="1"/>
  <c r="I291" i="3"/>
  <c r="I297" i="3" s="1"/>
  <c r="J1009" i="8" s="1"/>
  <c r="J291" i="3"/>
  <c r="J297" i="3" s="1"/>
  <c r="K291" i="3"/>
  <c r="K297" i="3" s="1"/>
  <c r="L1009" i="8" s="1"/>
  <c r="L291" i="3"/>
  <c r="L297" i="3" s="1"/>
  <c r="M1009" i="8" s="1"/>
  <c r="M291" i="3"/>
  <c r="M297" i="3" s="1"/>
  <c r="N1009" i="8" s="1"/>
  <c r="N291" i="3"/>
  <c r="N297" i="3" s="1"/>
  <c r="E292" i="3"/>
  <c r="E298" i="3" s="1"/>
  <c r="F1007" i="20" s="1"/>
  <c r="F292" i="3"/>
  <c r="F298" i="3" s="1"/>
  <c r="G1007" i="20" s="1"/>
  <c r="G292" i="3"/>
  <c r="G298" i="3" s="1"/>
  <c r="H1010" i="8" s="1"/>
  <c r="I292" i="3"/>
  <c r="I298" i="3" s="1"/>
  <c r="J1007" i="20" s="1"/>
  <c r="J292" i="3"/>
  <c r="J298" i="3" s="1"/>
  <c r="K1007" i="20" s="1"/>
  <c r="K292" i="3"/>
  <c r="K298" i="3" s="1"/>
  <c r="L1007" i="20" s="1"/>
  <c r="L292" i="3"/>
  <c r="M292" i="3"/>
  <c r="M298" i="3" s="1"/>
  <c r="N1010" i="8" s="1"/>
  <c r="N292" i="3"/>
  <c r="N298" i="3" s="1"/>
  <c r="O1010" i="8" s="1"/>
  <c r="D293" i="3"/>
  <c r="D299" i="3" s="1"/>
  <c r="F293" i="3"/>
  <c r="F299" i="3" s="1"/>
  <c r="G1011" i="8" s="1"/>
  <c r="G293" i="3"/>
  <c r="G299" i="3" s="1"/>
  <c r="H1011" i="8" s="1"/>
  <c r="H293" i="3"/>
  <c r="H299" i="3" s="1"/>
  <c r="I1008" i="20" s="1"/>
  <c r="I293" i="3"/>
  <c r="I299" i="3" s="1"/>
  <c r="J1011" i="8" s="1"/>
  <c r="J293" i="3"/>
  <c r="J299" i="3" s="1"/>
  <c r="K1008" i="20" s="1"/>
  <c r="K293" i="3"/>
  <c r="K299" i="3" s="1"/>
  <c r="L1008" i="20" s="1"/>
  <c r="L293" i="3"/>
  <c r="L299" i="3" s="1"/>
  <c r="M1008" i="20" s="1"/>
  <c r="M293" i="3"/>
  <c r="M299" i="3" s="1"/>
  <c r="N1011" i="8" s="1"/>
  <c r="N293" i="3"/>
  <c r="N299" i="3" s="1"/>
  <c r="D119" i="3"/>
  <c r="F119" i="3"/>
  <c r="G119" i="3"/>
  <c r="J119" i="3"/>
  <c r="K119" i="3"/>
  <c r="M119" i="3"/>
  <c r="M125" i="3" s="1"/>
  <c r="N706" i="8" s="1"/>
  <c r="N119" i="3"/>
  <c r="E120" i="3"/>
  <c r="F120" i="3"/>
  <c r="G120" i="3"/>
  <c r="H120" i="3"/>
  <c r="I120" i="3"/>
  <c r="J120" i="3"/>
  <c r="K120" i="3"/>
  <c r="L120" i="3"/>
  <c r="M120" i="3"/>
  <c r="M126" i="3" s="1"/>
  <c r="N707" i="8" s="1"/>
  <c r="E121" i="3"/>
  <c r="F121" i="3"/>
  <c r="G121" i="3"/>
  <c r="H121" i="3"/>
  <c r="I121" i="3"/>
  <c r="J121" i="3"/>
  <c r="K121" i="3"/>
  <c r="L121" i="3"/>
  <c r="M121" i="3"/>
  <c r="M127" i="3" s="1"/>
  <c r="N708" i="8" s="1"/>
  <c r="N121" i="3"/>
  <c r="D122" i="3"/>
  <c r="E122" i="3"/>
  <c r="F122" i="3"/>
  <c r="G122" i="3"/>
  <c r="H122" i="3"/>
  <c r="I122" i="3"/>
  <c r="J122" i="3"/>
  <c r="K122" i="3"/>
  <c r="L122" i="3"/>
  <c r="L128" i="3" s="1"/>
  <c r="M122" i="3"/>
  <c r="M128" i="3" s="1"/>
  <c r="N122" i="3"/>
  <c r="N128" i="3" s="1"/>
  <c r="O709" i="8" s="1"/>
  <c r="L22" i="5"/>
  <c r="L24" i="5" s="1"/>
  <c r="K22" i="5"/>
  <c r="K24" i="5" s="1"/>
  <c r="D287" i="2"/>
  <c r="E287" i="2"/>
  <c r="F287" i="2"/>
  <c r="G287" i="2"/>
  <c r="H287" i="2"/>
  <c r="I287" i="2"/>
  <c r="J287" i="2"/>
  <c r="K287" i="2"/>
  <c r="L287" i="2"/>
  <c r="M287" i="2"/>
  <c r="N287" i="2"/>
  <c r="D289" i="2"/>
  <c r="E289" i="2"/>
  <c r="F289" i="2"/>
  <c r="G289" i="2"/>
  <c r="H289" i="2"/>
  <c r="I289" i="2"/>
  <c r="J289" i="2"/>
  <c r="K289" i="2"/>
  <c r="L289" i="2"/>
  <c r="M289" i="2"/>
  <c r="N289" i="2"/>
  <c r="A333" i="20"/>
  <c r="A331" i="20"/>
  <c r="A330" i="20"/>
  <c r="A329" i="20"/>
  <c r="A328" i="20"/>
  <c r="A266" i="20"/>
  <c r="A265" i="20"/>
  <c r="A204" i="20"/>
  <c r="A203" i="20"/>
  <c r="A167" i="20"/>
  <c r="A165" i="20"/>
  <c r="A164" i="20"/>
  <c r="A163" i="20"/>
  <c r="A162" i="20"/>
  <c r="A380" i="8"/>
  <c r="A379" i="8"/>
  <c r="A271" i="8"/>
  <c r="A270" i="8"/>
  <c r="A870" i="8" s="1"/>
  <c r="A208" i="8"/>
  <c r="A207" i="8"/>
  <c r="A4" i="8"/>
  <c r="A2" i="8"/>
  <c r="A1" i="8"/>
  <c r="A144" i="3"/>
  <c r="A142" i="3"/>
  <c r="D835" i="20"/>
  <c r="D1147" i="20"/>
  <c r="D772" i="8"/>
  <c r="D530" i="20"/>
  <c r="D547" i="20"/>
  <c r="D601" i="20"/>
  <c r="D1162" i="20"/>
  <c r="D1236" i="20"/>
  <c r="D936" i="20"/>
  <c r="D616" i="20"/>
  <c r="D1170" i="20"/>
  <c r="D1228" i="20"/>
  <c r="D1204" i="20"/>
  <c r="D1144" i="20"/>
  <c r="D1109" i="20"/>
  <c r="D1092" i="20"/>
  <c r="D1030" i="20"/>
  <c r="D1002" i="20"/>
  <c r="D961" i="20"/>
  <c r="D891" i="20"/>
  <c r="D847" i="20"/>
  <c r="D822" i="20"/>
  <c r="D780" i="20"/>
  <c r="D751" i="20"/>
  <c r="D701" i="20"/>
  <c r="D650" i="20"/>
  <c r="D479" i="20"/>
  <c r="D476" i="20"/>
  <c r="D427" i="20"/>
  <c r="D399" i="20"/>
  <c r="D411" i="20"/>
  <c r="C1232" i="20"/>
  <c r="C1236" i="20" s="1"/>
  <c r="C1231" i="20"/>
  <c r="C1235" i="20" s="1"/>
  <c r="C1208" i="20"/>
  <c r="C1212" i="20" s="1"/>
  <c r="C1207" i="20"/>
  <c r="C1211" i="20" s="1"/>
  <c r="A1199" i="20"/>
  <c r="A1201" i="20" s="1"/>
  <c r="A1202" i="20" s="1"/>
  <c r="A1203" i="20" s="1"/>
  <c r="A1204" i="20" s="1"/>
  <c r="A1206" i="20" s="1"/>
  <c r="A1207" i="20" s="1"/>
  <c r="A1208" i="20" s="1"/>
  <c r="A1210" i="20" s="1"/>
  <c r="A1211" i="20" s="1"/>
  <c r="A1212" i="20" s="1"/>
  <c r="A1215" i="20" s="1"/>
  <c r="A1217" i="20" s="1"/>
  <c r="A1219" i="20" s="1"/>
  <c r="A1222" i="20" s="1"/>
  <c r="A1224" i="20" s="1"/>
  <c r="A1226" i="20" s="1"/>
  <c r="A1227" i="20" s="1"/>
  <c r="A1228" i="20" s="1"/>
  <c r="A1230" i="20" s="1"/>
  <c r="A1231" i="20" s="1"/>
  <c r="A1232" i="20" s="1"/>
  <c r="A1234" i="20" s="1"/>
  <c r="A1235" i="20" s="1"/>
  <c r="A1236" i="20" s="1"/>
  <c r="A1239" i="20" s="1"/>
  <c r="A1241" i="20" s="1"/>
  <c r="A1243" i="20" s="1"/>
  <c r="A1184" i="20"/>
  <c r="A1182" i="20"/>
  <c r="A1181" i="20"/>
  <c r="C1166" i="20"/>
  <c r="C1170" i="20" s="1"/>
  <c r="C1165" i="20"/>
  <c r="C1169" i="20" s="1"/>
  <c r="O1146" i="20"/>
  <c r="N1146" i="20"/>
  <c r="M1146" i="20"/>
  <c r="L1146" i="20"/>
  <c r="K1146" i="20"/>
  <c r="J1146" i="20"/>
  <c r="I1146" i="20"/>
  <c r="H1146" i="20"/>
  <c r="G1146" i="20"/>
  <c r="F1146" i="20"/>
  <c r="E1146" i="20"/>
  <c r="A1140" i="20"/>
  <c r="A1142" i="20" s="1"/>
  <c r="A1143" i="20" s="1"/>
  <c r="A1144" i="20" s="1"/>
  <c r="A1146" i="20" s="1"/>
  <c r="A1147" i="20" s="1"/>
  <c r="A1149" i="20" s="1"/>
  <c r="A1151" i="20" s="1"/>
  <c r="A1153" i="20" s="1"/>
  <c r="A1156" i="20" s="1"/>
  <c r="A1158" i="20" s="1"/>
  <c r="A1160" i="20" s="1"/>
  <c r="A1161" i="20" s="1"/>
  <c r="A1162" i="20" s="1"/>
  <c r="A1164" i="20" s="1"/>
  <c r="A1165" i="20" s="1"/>
  <c r="A1166" i="20" s="1"/>
  <c r="A1168" i="20" s="1"/>
  <c r="A1169" i="20" s="1"/>
  <c r="A1170" i="20" s="1"/>
  <c r="A1173" i="20" s="1"/>
  <c r="A1175" i="20" s="1"/>
  <c r="A1177" i="20" s="1"/>
  <c r="A1126" i="20"/>
  <c r="A1124" i="20"/>
  <c r="A1123" i="20"/>
  <c r="A1070" i="20"/>
  <c r="A1072" i="20" s="1"/>
  <c r="A1073" i="20" s="1"/>
  <c r="A1074" i="20" s="1"/>
  <c r="A1076" i="20" s="1"/>
  <c r="A1077" i="20" s="1"/>
  <c r="A1079" i="20" s="1"/>
  <c r="A1081" i="20" s="1"/>
  <c r="A1083" i="20" s="1"/>
  <c r="A1086" i="20" s="1"/>
  <c r="A1088" i="20" s="1"/>
  <c r="A1090" i="20" s="1"/>
  <c r="A1091" i="20" s="1"/>
  <c r="A1092" i="20" s="1"/>
  <c r="A1094" i="20" s="1"/>
  <c r="A1095" i="20" s="1"/>
  <c r="A1097" i="20" s="1"/>
  <c r="A1099" i="20" s="1"/>
  <c r="A1101" i="20" s="1"/>
  <c r="A1104" i="20" s="1"/>
  <c r="A1106" i="20" s="1"/>
  <c r="A1108" i="20" s="1"/>
  <c r="A1109" i="20" s="1"/>
  <c r="A1110" i="20" s="1"/>
  <c r="A1112" i="20" s="1"/>
  <c r="A1113" i="20" s="1"/>
  <c r="A1115" i="20" s="1"/>
  <c r="A1117" i="20" s="1"/>
  <c r="A1119" i="20" s="1"/>
  <c r="A1056" i="20"/>
  <c r="A1054" i="20"/>
  <c r="A1053" i="20"/>
  <c r="C1036" i="20"/>
  <c r="C1042" i="20" s="1"/>
  <c r="C1035" i="20"/>
  <c r="C1041" i="20" s="1"/>
  <c r="C1034" i="20"/>
  <c r="C1040" i="20" s="1"/>
  <c r="C1033" i="20"/>
  <c r="C1039" i="20" s="1"/>
  <c r="C1008" i="20"/>
  <c r="C1014" i="20" s="1"/>
  <c r="C1007" i="20"/>
  <c r="C1013" i="20" s="1"/>
  <c r="C1006" i="20"/>
  <c r="C1012" i="20" s="1"/>
  <c r="C1005" i="20"/>
  <c r="C1011" i="20" s="1"/>
  <c r="A997" i="20"/>
  <c r="A999" i="20" s="1"/>
  <c r="A1000" i="20" s="1"/>
  <c r="A1001" i="20" s="1"/>
  <c r="A1002" i="20" s="1"/>
  <c r="A1004" i="20" s="1"/>
  <c r="A1005" i="20" s="1"/>
  <c r="A1006" i="20" s="1"/>
  <c r="A1007" i="20" s="1"/>
  <c r="A1008" i="20" s="1"/>
  <c r="A1010" i="20" s="1"/>
  <c r="A1011" i="20" s="1"/>
  <c r="A1012" i="20" s="1"/>
  <c r="A1013" i="20" s="1"/>
  <c r="A1014" i="20" s="1"/>
  <c r="A1017" i="20" s="1"/>
  <c r="A1019" i="20" s="1"/>
  <c r="A1021" i="20" s="1"/>
  <c r="A1023" i="20" s="1"/>
  <c r="A1025" i="20" s="1"/>
  <c r="A1027" i="20" s="1"/>
  <c r="A1028" i="20" s="1"/>
  <c r="A1029" i="20" s="1"/>
  <c r="A1030" i="20" s="1"/>
  <c r="A1032" i="20" s="1"/>
  <c r="A1033" i="20" s="1"/>
  <c r="A1034" i="20" s="1"/>
  <c r="A1035" i="20" s="1"/>
  <c r="A1036" i="20" s="1"/>
  <c r="A1038" i="20" s="1"/>
  <c r="A1039" i="20" s="1"/>
  <c r="A1040" i="20" s="1"/>
  <c r="A1041" i="20" s="1"/>
  <c r="A1042" i="20" s="1"/>
  <c r="A1045" i="20" s="1"/>
  <c r="A1047" i="20" s="1"/>
  <c r="A1049" i="20" s="1"/>
  <c r="A983" i="20"/>
  <c r="A981" i="20"/>
  <c r="A980" i="20"/>
  <c r="C965" i="20"/>
  <c r="C969" i="20" s="1"/>
  <c r="C964" i="20"/>
  <c r="C968" i="20" s="1"/>
  <c r="C940" i="20"/>
  <c r="C944" i="20" s="1"/>
  <c r="C939" i="20"/>
  <c r="C943" i="20" s="1"/>
  <c r="A931" i="20"/>
  <c r="A933" i="20" s="1"/>
  <c r="A934" i="20" s="1"/>
  <c r="A935" i="20" s="1"/>
  <c r="A936" i="20" s="1"/>
  <c r="A938" i="20" s="1"/>
  <c r="A939" i="20" s="1"/>
  <c r="A940" i="20" s="1"/>
  <c r="A942" i="20" s="1"/>
  <c r="A943" i="20" s="1"/>
  <c r="A944" i="20" s="1"/>
  <c r="A947" i="20" s="1"/>
  <c r="A949" i="20" s="1"/>
  <c r="A951" i="20" s="1"/>
  <c r="A954" i="20" s="1"/>
  <c r="A956" i="20" s="1"/>
  <c r="A958" i="20" s="1"/>
  <c r="A959" i="20" s="1"/>
  <c r="A960" i="20" s="1"/>
  <c r="A961" i="20" s="1"/>
  <c r="A963" i="20" s="1"/>
  <c r="A964" i="20" s="1"/>
  <c r="A965" i="20" s="1"/>
  <c r="A967" i="20" s="1"/>
  <c r="A968" i="20" s="1"/>
  <c r="A969" i="20" s="1"/>
  <c r="A972" i="20" s="1"/>
  <c r="A974" i="20" s="1"/>
  <c r="A976" i="20" s="1"/>
  <c r="A917" i="20"/>
  <c r="A915" i="20"/>
  <c r="A914" i="20"/>
  <c r="C897" i="20"/>
  <c r="C903" i="20" s="1"/>
  <c r="C896" i="20"/>
  <c r="C902" i="20" s="1"/>
  <c r="C895" i="20"/>
  <c r="C901" i="20" s="1"/>
  <c r="C894" i="20"/>
  <c r="C900" i="20" s="1"/>
  <c r="A887" i="20"/>
  <c r="A889" i="20" s="1"/>
  <c r="A890" i="20" s="1"/>
  <c r="A891" i="20" s="1"/>
  <c r="A893" i="20" s="1"/>
  <c r="A894" i="20" s="1"/>
  <c r="A895" i="20" s="1"/>
  <c r="A896" i="20" s="1"/>
  <c r="A897" i="20" s="1"/>
  <c r="A899" i="20" s="1"/>
  <c r="A900" i="20" s="1"/>
  <c r="A901" i="20" s="1"/>
  <c r="A902" i="20" s="1"/>
  <c r="A903" i="20" s="1"/>
  <c r="A906" i="20" s="1"/>
  <c r="A908" i="20" s="1"/>
  <c r="A910" i="20" s="1"/>
  <c r="A873" i="20"/>
  <c r="A871" i="20"/>
  <c r="A870" i="20"/>
  <c r="C853" i="20"/>
  <c r="C859" i="20" s="1"/>
  <c r="C852" i="20"/>
  <c r="C858" i="20" s="1"/>
  <c r="C851" i="20"/>
  <c r="C857" i="20" s="1"/>
  <c r="C850" i="20"/>
  <c r="C856" i="20" s="1"/>
  <c r="A818" i="20"/>
  <c r="A820" i="20" s="1"/>
  <c r="A821" i="20" s="1"/>
  <c r="A822" i="20" s="1"/>
  <c r="A824" i="20" s="1"/>
  <c r="A825" i="20" s="1"/>
  <c r="A827" i="20" s="1"/>
  <c r="A829" i="20" s="1"/>
  <c r="A831" i="20" s="1"/>
  <c r="A833" i="20" s="1"/>
  <c r="A834" i="20" s="1"/>
  <c r="A835" i="20" s="1"/>
  <c r="A836" i="20" s="1"/>
  <c r="A838" i="20" s="1"/>
  <c r="A841" i="20" s="1"/>
  <c r="A843" i="20" s="1"/>
  <c r="A845" i="20" s="1"/>
  <c r="A846" i="20" s="1"/>
  <c r="A847" i="20" s="1"/>
  <c r="A849" i="20" s="1"/>
  <c r="A850" i="20" s="1"/>
  <c r="A851" i="20" s="1"/>
  <c r="A852" i="20" s="1"/>
  <c r="A853" i="20" s="1"/>
  <c r="A855" i="20" s="1"/>
  <c r="A856" i="20" s="1"/>
  <c r="A857" i="20" s="1"/>
  <c r="A858" i="20" s="1"/>
  <c r="A859" i="20" s="1"/>
  <c r="A862" i="20" s="1"/>
  <c r="A864" i="20" s="1"/>
  <c r="A866" i="20" s="1"/>
  <c r="A802" i="20"/>
  <c r="A800" i="20"/>
  <c r="A799" i="20"/>
  <c r="A798" i="20"/>
  <c r="C755" i="20"/>
  <c r="C759" i="20" s="1"/>
  <c r="C754" i="20"/>
  <c r="C758" i="20" s="1"/>
  <c r="A751" i="20"/>
  <c r="A753" i="20" s="1"/>
  <c r="A754" i="20" s="1"/>
  <c r="A755" i="20" s="1"/>
  <c r="A757" i="20" s="1"/>
  <c r="A758" i="20" s="1"/>
  <c r="A759" i="20" s="1"/>
  <c r="A762" i="20" s="1"/>
  <c r="A764" i="20" s="1"/>
  <c r="A766" i="20" s="1"/>
  <c r="A768" i="20" s="1"/>
  <c r="A769" i="20" s="1"/>
  <c r="A771" i="20" s="1"/>
  <c r="A774" i="20" s="1"/>
  <c r="A776" i="20" s="1"/>
  <c r="A778" i="20" s="1"/>
  <c r="A779" i="20" s="1"/>
  <c r="A780" i="20" s="1"/>
  <c r="A782" i="20" s="1"/>
  <c r="A783" i="20" s="1"/>
  <c r="A784" i="20" s="1"/>
  <c r="A785" i="20" s="1"/>
  <c r="A787" i="20" s="1"/>
  <c r="A789" i="20" s="1"/>
  <c r="A791" i="20" s="1"/>
  <c r="A792" i="20" s="1"/>
  <c r="A794" i="20" s="1"/>
  <c r="A733" i="20"/>
  <c r="A731" i="20"/>
  <c r="A730" i="20"/>
  <c r="A729" i="20"/>
  <c r="C707" i="20"/>
  <c r="C713" i="20" s="1"/>
  <c r="C706" i="20"/>
  <c r="C712" i="20" s="1"/>
  <c r="C705" i="20"/>
  <c r="C711" i="20" s="1"/>
  <c r="C704" i="20"/>
  <c r="C710" i="20" s="1"/>
  <c r="A697" i="20"/>
  <c r="A699" i="20" s="1"/>
  <c r="A700" i="20" s="1"/>
  <c r="A701" i="20" s="1"/>
  <c r="A703" i="20" s="1"/>
  <c r="A704" i="20" s="1"/>
  <c r="A705" i="20" s="1"/>
  <c r="A706" i="20" s="1"/>
  <c r="A707" i="20" s="1"/>
  <c r="A709" i="20" s="1"/>
  <c r="A710" i="20" s="1"/>
  <c r="A711" i="20" s="1"/>
  <c r="A712" i="20" s="1"/>
  <c r="A713" i="20" s="1"/>
  <c r="A716" i="20" s="1"/>
  <c r="A718" i="20" s="1"/>
  <c r="A720" i="20" s="1"/>
  <c r="A722" i="20" s="1"/>
  <c r="A723" i="20" s="1"/>
  <c r="A725" i="20" s="1"/>
  <c r="A683" i="20"/>
  <c r="A681" i="20"/>
  <c r="A680" i="20"/>
  <c r="A679" i="20"/>
  <c r="C656" i="20"/>
  <c r="C662" i="20" s="1"/>
  <c r="C655" i="20"/>
  <c r="C661" i="20" s="1"/>
  <c r="C654" i="20"/>
  <c r="C660" i="20" s="1"/>
  <c r="C653" i="20"/>
  <c r="C659" i="20" s="1"/>
  <c r="A646" i="20"/>
  <c r="A648" i="20" s="1"/>
  <c r="A649" i="20" s="1"/>
  <c r="A650" i="20" s="1"/>
  <c r="A652" i="20" s="1"/>
  <c r="A653" i="20" s="1"/>
  <c r="A654" i="20" s="1"/>
  <c r="A655" i="20" s="1"/>
  <c r="A656" i="20" s="1"/>
  <c r="A658" i="20" s="1"/>
  <c r="A659" i="20" s="1"/>
  <c r="A660" i="20" s="1"/>
  <c r="A661" i="20" s="1"/>
  <c r="A662" i="20" s="1"/>
  <c r="A665" i="20" s="1"/>
  <c r="A667" i="20" s="1"/>
  <c r="A669" i="20" s="1"/>
  <c r="A671" i="20" s="1"/>
  <c r="A672" i="20" s="1"/>
  <c r="A674" i="20" s="1"/>
  <c r="A632" i="20"/>
  <c r="A630" i="20"/>
  <c r="A629" i="20"/>
  <c r="C598" i="20"/>
  <c r="C602" i="20" s="1"/>
  <c r="C597" i="20"/>
  <c r="C601" i="20" s="1"/>
  <c r="A577" i="20"/>
  <c r="A575" i="20"/>
  <c r="A574" i="20"/>
  <c r="A510" i="20"/>
  <c r="A508" i="20"/>
  <c r="A507" i="20"/>
  <c r="A456" i="20"/>
  <c r="A458" i="20" s="1"/>
  <c r="A459" i="20" s="1"/>
  <c r="A461" i="20" s="1"/>
  <c r="A462" i="20" s="1"/>
  <c r="A464" i="20" s="1"/>
  <c r="A466" i="20" s="1"/>
  <c r="A468" i="20" s="1"/>
  <c r="A471" i="20" s="1"/>
  <c r="A473" i="20" s="1"/>
  <c r="A475" i="20" s="1"/>
  <c r="A476" i="20" s="1"/>
  <c r="A478" i="20" s="1"/>
  <c r="A479" i="20" s="1"/>
  <c r="A481" i="20" s="1"/>
  <c r="A483" i="20" s="1"/>
  <c r="A485" i="20" s="1"/>
  <c r="A490" i="20" s="1"/>
  <c r="A492" i="20" s="1"/>
  <c r="A493" i="20" s="1"/>
  <c r="A495" i="20" s="1"/>
  <c r="A496" i="20" s="1"/>
  <c r="A498" i="20" s="1"/>
  <c r="A500" i="20" s="1"/>
  <c r="A502" i="20" s="1"/>
  <c r="A524" i="20" s="1"/>
  <c r="A526" i="20" s="1"/>
  <c r="A527" i="20" s="1"/>
  <c r="A529" i="20" s="1"/>
  <c r="A530" i="20" s="1"/>
  <c r="A532" i="20" s="1"/>
  <c r="A534" i="20" s="1"/>
  <c r="A536" i="20" s="1"/>
  <c r="A539" i="20" s="1"/>
  <c r="A541" i="20" s="1"/>
  <c r="A543" i="20" s="1"/>
  <c r="A544" i="20" s="1"/>
  <c r="A546" i="20" s="1"/>
  <c r="A547" i="20" s="1"/>
  <c r="A549" i="20" s="1"/>
  <c r="A551" i="20" s="1"/>
  <c r="A553" i="20" s="1"/>
  <c r="A556" i="20" s="1"/>
  <c r="A558" i="20" s="1"/>
  <c r="A560" i="20" s="1"/>
  <c r="A561" i="20" s="1"/>
  <c r="A563" i="20" s="1"/>
  <c r="A564" i="20" s="1"/>
  <c r="A566" i="20" s="1"/>
  <c r="A568" i="20" s="1"/>
  <c r="A570" i="20" s="1"/>
  <c r="A591" i="20" s="1"/>
  <c r="A593" i="20" s="1"/>
  <c r="A594" i="20" s="1"/>
  <c r="A596" i="20" s="1"/>
  <c r="A597" i="20" s="1"/>
  <c r="A598" i="20" s="1"/>
  <c r="A600" i="20" s="1"/>
  <c r="A601" i="20" s="1"/>
  <c r="A602" i="20" s="1"/>
  <c r="A605" i="20" s="1"/>
  <c r="A607" i="20" s="1"/>
  <c r="A609" i="20" s="1"/>
  <c r="A611" i="20" s="1"/>
  <c r="A613" i="20" s="1"/>
  <c r="A615" i="20" s="1"/>
  <c r="A616" i="20" s="1"/>
  <c r="A618" i="20" s="1"/>
  <c r="A619" i="20" s="1"/>
  <c r="A621" i="20" s="1"/>
  <c r="A623" i="20" s="1"/>
  <c r="A625" i="20" s="1"/>
  <c r="A441" i="20"/>
  <c r="A439" i="20"/>
  <c r="A438" i="20"/>
  <c r="A437" i="20"/>
  <c r="A506" i="20" s="1"/>
  <c r="A395" i="20"/>
  <c r="A397" i="20" s="1"/>
  <c r="A398" i="20" s="1"/>
  <c r="A399" i="20" s="1"/>
  <c r="A401" i="20" s="1"/>
  <c r="A402" i="20" s="1"/>
  <c r="A404" i="20" s="1"/>
  <c r="A406" i="20" s="1"/>
  <c r="A408" i="20" s="1"/>
  <c r="A410" i="20" s="1"/>
  <c r="A411" i="20" s="1"/>
  <c r="A412" i="20" s="1"/>
  <c r="A413" i="20" s="1"/>
  <c r="A414" i="20" s="1"/>
  <c r="A416" i="20" s="1"/>
  <c r="A419" i="20" s="1"/>
  <c r="A421" i="20" s="1"/>
  <c r="A423" i="20" s="1"/>
  <c r="A424" i="20" s="1"/>
  <c r="A426" i="20" s="1"/>
  <c r="A427" i="20" s="1"/>
  <c r="A429" i="20" s="1"/>
  <c r="A431" i="20" s="1"/>
  <c r="A433" i="20" s="1"/>
  <c r="A380" i="20"/>
  <c r="A378" i="20"/>
  <c r="A377" i="20"/>
  <c r="A18" i="20"/>
  <c r="A19" i="20" s="1"/>
  <c r="A20" i="20" s="1"/>
  <c r="A21" i="20" s="1"/>
  <c r="A23" i="20" s="1"/>
  <c r="A25" i="20" s="1"/>
  <c r="A22" i="20" s="1"/>
  <c r="A26" i="20" s="1"/>
  <c r="A27" i="20" s="1"/>
  <c r="A28" i="20" s="1"/>
  <c r="A29" i="20" s="1"/>
  <c r="A30" i="20" s="1"/>
  <c r="A31" i="20" s="1"/>
  <c r="A32" i="20" s="1"/>
  <c r="A33" i="20" s="1"/>
  <c r="A34" i="20" s="1"/>
  <c r="A36" i="20" s="1"/>
  <c r="A4" i="20"/>
  <c r="A2" i="20"/>
  <c r="A1" i="20"/>
  <c r="O358" i="20"/>
  <c r="N358" i="20"/>
  <c r="M358" i="20"/>
  <c r="L358" i="20"/>
  <c r="K358" i="20"/>
  <c r="J358" i="20"/>
  <c r="I358" i="20"/>
  <c r="H358" i="20"/>
  <c r="G358" i="20"/>
  <c r="F358" i="20"/>
  <c r="E358" i="20"/>
  <c r="O351" i="20"/>
  <c r="N351" i="20"/>
  <c r="M351" i="20"/>
  <c r="L351" i="20"/>
  <c r="K351" i="20"/>
  <c r="J351" i="20"/>
  <c r="I351" i="20"/>
  <c r="H351" i="20"/>
  <c r="G351" i="20"/>
  <c r="F351" i="20"/>
  <c r="E351" i="20"/>
  <c r="O324" i="20"/>
  <c r="N324" i="20"/>
  <c r="M324" i="20"/>
  <c r="L324" i="20"/>
  <c r="K324" i="20"/>
  <c r="J324" i="20"/>
  <c r="I324" i="20"/>
  <c r="H324" i="20"/>
  <c r="G324" i="20"/>
  <c r="F324" i="20"/>
  <c r="E324" i="20"/>
  <c r="O317" i="20"/>
  <c r="N317" i="20"/>
  <c r="M317" i="20"/>
  <c r="L317" i="20"/>
  <c r="K317" i="20"/>
  <c r="J317" i="20"/>
  <c r="I317" i="20"/>
  <c r="H317" i="20"/>
  <c r="G317" i="20"/>
  <c r="F317" i="20"/>
  <c r="E317" i="20"/>
  <c r="O310" i="20"/>
  <c r="N310" i="20"/>
  <c r="M310" i="20"/>
  <c r="L310" i="20"/>
  <c r="K310" i="20"/>
  <c r="J310" i="20"/>
  <c r="I310" i="20"/>
  <c r="H310" i="20"/>
  <c r="G310" i="20"/>
  <c r="F310" i="20"/>
  <c r="E310" i="20"/>
  <c r="A306" i="20"/>
  <c r="A307" i="20" s="1"/>
  <c r="A308" i="20" s="1"/>
  <c r="A309" i="20" s="1"/>
  <c r="A310" i="20" s="1"/>
  <c r="A311" i="20" s="1"/>
  <c r="A313" i="20" s="1"/>
  <c r="A314" i="20" s="1"/>
  <c r="A315" i="20" s="1"/>
  <c r="A316" i="20" s="1"/>
  <c r="A317" i="20" s="1"/>
  <c r="A318" i="20" s="1"/>
  <c r="A320" i="20" s="1"/>
  <c r="A321" i="20" s="1"/>
  <c r="A322" i="20" s="1"/>
  <c r="A323" i="20" s="1"/>
  <c r="A324" i="20" s="1"/>
  <c r="A325" i="20" s="1"/>
  <c r="A348" i="20" s="1"/>
  <c r="A349" i="20" s="1"/>
  <c r="A350" i="20" s="1"/>
  <c r="A351" i="20" s="1"/>
  <c r="A352" i="20" s="1"/>
  <c r="A354" i="20" s="1"/>
  <c r="A355" i="20" s="1"/>
  <c r="A356" i="20" s="1"/>
  <c r="A357" i="20" s="1"/>
  <c r="A358" i="20" s="1"/>
  <c r="A359" i="20" s="1"/>
  <c r="A361" i="20" s="1"/>
  <c r="A363" i="20" s="1"/>
  <c r="A365" i="20" s="1"/>
  <c r="A366" i="20" s="1"/>
  <c r="A367" i="20" s="1"/>
  <c r="A368" i="20" s="1"/>
  <c r="A369" i="20" s="1"/>
  <c r="A371" i="20" s="1"/>
  <c r="A373" i="20" s="1"/>
  <c r="A270" i="20"/>
  <c r="A268" i="20"/>
  <c r="A267" i="20"/>
  <c r="O303" i="20"/>
  <c r="N303" i="20"/>
  <c r="M303" i="20"/>
  <c r="L303" i="20"/>
  <c r="K303" i="20"/>
  <c r="J303" i="20"/>
  <c r="I303" i="20"/>
  <c r="H303" i="20"/>
  <c r="G303" i="20"/>
  <c r="F303" i="20"/>
  <c r="E303" i="20"/>
  <c r="O296" i="20"/>
  <c r="N296" i="20"/>
  <c r="M296" i="20"/>
  <c r="L296" i="20"/>
  <c r="K296" i="20"/>
  <c r="J296" i="20"/>
  <c r="I296" i="20"/>
  <c r="H296" i="20"/>
  <c r="G296" i="20"/>
  <c r="F296" i="20"/>
  <c r="E296" i="20"/>
  <c r="O289" i="20"/>
  <c r="N289" i="20"/>
  <c r="M289" i="20"/>
  <c r="L289" i="20"/>
  <c r="K289" i="20"/>
  <c r="J289" i="20"/>
  <c r="I289" i="20"/>
  <c r="H289" i="20"/>
  <c r="G289" i="20"/>
  <c r="F289" i="20"/>
  <c r="E289" i="20"/>
  <c r="O261" i="20"/>
  <c r="N261" i="20"/>
  <c r="M261" i="20"/>
  <c r="L261" i="20"/>
  <c r="K261" i="20"/>
  <c r="J261" i="20"/>
  <c r="I261" i="20"/>
  <c r="H261" i="20"/>
  <c r="G261" i="20"/>
  <c r="F261" i="20"/>
  <c r="E261" i="20"/>
  <c r="O254" i="20"/>
  <c r="N254" i="20"/>
  <c r="M254" i="20"/>
  <c r="L254" i="20"/>
  <c r="K254" i="20"/>
  <c r="J254" i="20"/>
  <c r="I254" i="20"/>
  <c r="H254" i="20"/>
  <c r="G254" i="20"/>
  <c r="F254" i="20"/>
  <c r="E254" i="20"/>
  <c r="O247" i="20"/>
  <c r="N247" i="20"/>
  <c r="M247" i="20"/>
  <c r="L247" i="20"/>
  <c r="K247" i="20"/>
  <c r="J247" i="20"/>
  <c r="I247" i="20"/>
  <c r="H247" i="20"/>
  <c r="G247" i="20"/>
  <c r="F247" i="20"/>
  <c r="E247" i="20"/>
  <c r="O240" i="20"/>
  <c r="N240" i="20"/>
  <c r="M240" i="20"/>
  <c r="L240" i="20"/>
  <c r="K240" i="20"/>
  <c r="J240" i="20"/>
  <c r="I240" i="20"/>
  <c r="H240" i="20"/>
  <c r="G240" i="20"/>
  <c r="F240" i="20"/>
  <c r="E240" i="20"/>
  <c r="O233" i="20"/>
  <c r="N233" i="20"/>
  <c r="M233" i="20"/>
  <c r="L233" i="20"/>
  <c r="K233" i="20"/>
  <c r="J233" i="20"/>
  <c r="I233" i="20"/>
  <c r="H233" i="20"/>
  <c r="G233" i="20"/>
  <c r="F233" i="20"/>
  <c r="E233" i="20"/>
  <c r="O226" i="20"/>
  <c r="N226" i="20"/>
  <c r="M226" i="20"/>
  <c r="L226" i="20"/>
  <c r="K226" i="20"/>
  <c r="J226" i="20"/>
  <c r="I226" i="20"/>
  <c r="H226" i="20"/>
  <c r="G226" i="20"/>
  <c r="F226" i="20"/>
  <c r="E226" i="20"/>
  <c r="A222" i="20"/>
  <c r="A223" i="20" s="1"/>
  <c r="A224" i="20" s="1"/>
  <c r="A225" i="20" s="1"/>
  <c r="A226" i="20" s="1"/>
  <c r="A227" i="20" s="1"/>
  <c r="A229" i="20" s="1"/>
  <c r="A230" i="20" s="1"/>
  <c r="A231" i="20" s="1"/>
  <c r="A232" i="20" s="1"/>
  <c r="A233" i="20" s="1"/>
  <c r="A234" i="20" s="1"/>
  <c r="A236" i="20" s="1"/>
  <c r="A237" i="20" s="1"/>
  <c r="A238" i="20" s="1"/>
  <c r="A239" i="20" s="1"/>
  <c r="A240" i="20" s="1"/>
  <c r="A241" i="20" s="1"/>
  <c r="A243" i="20" s="1"/>
  <c r="A244" i="20" s="1"/>
  <c r="A245" i="20" s="1"/>
  <c r="A246" i="20" s="1"/>
  <c r="A247" i="20" s="1"/>
  <c r="A248" i="20" s="1"/>
  <c r="A250" i="20" s="1"/>
  <c r="A251" i="20" s="1"/>
  <c r="A252" i="20" s="1"/>
  <c r="A253" i="20" s="1"/>
  <c r="A254" i="20" s="1"/>
  <c r="A255" i="20" s="1"/>
  <c r="A257" i="20" s="1"/>
  <c r="A258" i="20" s="1"/>
  <c r="A259" i="20" s="1"/>
  <c r="A260" i="20" s="1"/>
  <c r="A261" i="20" s="1"/>
  <c r="A262" i="20" s="1"/>
  <c r="A286" i="20" s="1"/>
  <c r="A287" i="20" s="1"/>
  <c r="A288" i="20" s="1"/>
  <c r="A289" i="20" s="1"/>
  <c r="A290" i="20" s="1"/>
  <c r="A292" i="20" s="1"/>
  <c r="A293" i="20" s="1"/>
  <c r="A294" i="20" s="1"/>
  <c r="A295" i="20" s="1"/>
  <c r="A296" i="20" s="1"/>
  <c r="A297" i="20" s="1"/>
  <c r="A299" i="20" s="1"/>
  <c r="A300" i="20" s="1"/>
  <c r="A301" i="20" s="1"/>
  <c r="A302" i="20" s="1"/>
  <c r="A303" i="20" s="1"/>
  <c r="A304" i="20" s="1"/>
  <c r="A208" i="20"/>
  <c r="A206" i="20"/>
  <c r="A205" i="20"/>
  <c r="O151" i="20"/>
  <c r="N151" i="20"/>
  <c r="M151" i="20"/>
  <c r="L151" i="20"/>
  <c r="K151" i="20"/>
  <c r="J151" i="20"/>
  <c r="I151" i="20"/>
  <c r="H151" i="20"/>
  <c r="G151" i="20"/>
  <c r="F151" i="20"/>
  <c r="E151" i="20"/>
  <c r="O144" i="20"/>
  <c r="N144" i="20"/>
  <c r="M144" i="20"/>
  <c r="L144" i="20"/>
  <c r="K144" i="20"/>
  <c r="J144" i="20"/>
  <c r="I144" i="20"/>
  <c r="H144" i="20"/>
  <c r="G144" i="20"/>
  <c r="F144" i="20"/>
  <c r="E144" i="20"/>
  <c r="A140" i="20"/>
  <c r="A141" i="20" s="1"/>
  <c r="A142" i="20" s="1"/>
  <c r="A143" i="20" s="1"/>
  <c r="A144" i="20" s="1"/>
  <c r="A145" i="20" s="1"/>
  <c r="A147" i="20" s="1"/>
  <c r="A148" i="20" s="1"/>
  <c r="A149" i="20" s="1"/>
  <c r="A150" i="20" s="1"/>
  <c r="A151" i="20" s="1"/>
  <c r="A152" i="20" s="1"/>
  <c r="A154" i="20" s="1"/>
  <c r="A155" i="20" s="1"/>
  <c r="A156" i="20" s="1"/>
  <c r="A157" i="20" s="1"/>
  <c r="A158" i="20" s="1"/>
  <c r="A159" i="20" s="1"/>
  <c r="A182" i="20" s="1"/>
  <c r="A183" i="20" s="1"/>
  <c r="A184" i="20" s="1"/>
  <c r="A185" i="20" s="1"/>
  <c r="A186" i="20" s="1"/>
  <c r="A188" i="20" s="1"/>
  <c r="A189" i="20" s="1"/>
  <c r="A190" i="20" s="1"/>
  <c r="A191" i="20" s="1"/>
  <c r="A192" i="20" s="1"/>
  <c r="A193" i="20" s="1"/>
  <c r="A195" i="20" s="1"/>
  <c r="A196" i="20" s="1"/>
  <c r="A197" i="20" s="1"/>
  <c r="A198" i="20" s="1"/>
  <c r="A199" i="20" s="1"/>
  <c r="A200" i="20" s="1"/>
  <c r="A117" i="20"/>
  <c r="A112" i="20"/>
  <c r="A110" i="20"/>
  <c r="A109" i="20"/>
  <c r="O137" i="20"/>
  <c r="N137" i="20"/>
  <c r="M137" i="20"/>
  <c r="L137" i="20"/>
  <c r="K137" i="20"/>
  <c r="J137" i="20"/>
  <c r="I137" i="20"/>
  <c r="H137" i="20"/>
  <c r="G137" i="20"/>
  <c r="F137" i="20"/>
  <c r="E137" i="20"/>
  <c r="O130" i="20"/>
  <c r="N130" i="20"/>
  <c r="M130" i="20"/>
  <c r="L130" i="20"/>
  <c r="K130" i="20"/>
  <c r="J130" i="20"/>
  <c r="I130" i="20"/>
  <c r="H130" i="20"/>
  <c r="G130" i="20"/>
  <c r="F130" i="20"/>
  <c r="E130" i="20"/>
  <c r="O103" i="20"/>
  <c r="N103" i="20"/>
  <c r="M103" i="20"/>
  <c r="L103" i="20"/>
  <c r="K103" i="20"/>
  <c r="J103" i="20"/>
  <c r="I103" i="20"/>
  <c r="H103" i="20"/>
  <c r="G103" i="20"/>
  <c r="F103" i="20"/>
  <c r="E103" i="20"/>
  <c r="O89" i="20"/>
  <c r="N89" i="20"/>
  <c r="M89" i="20"/>
  <c r="L89" i="20"/>
  <c r="K89" i="20"/>
  <c r="J89" i="20"/>
  <c r="I89" i="20"/>
  <c r="H89" i="20"/>
  <c r="G89" i="20"/>
  <c r="F89" i="20"/>
  <c r="E89" i="20"/>
  <c r="A64" i="20"/>
  <c r="A65" i="20" s="1"/>
  <c r="A66" i="20" s="1"/>
  <c r="A67" i="20" s="1"/>
  <c r="A68" i="20" s="1"/>
  <c r="A69" i="20" s="1"/>
  <c r="A71" i="20" s="1"/>
  <c r="A72" i="20" s="1"/>
  <c r="A73" i="20" s="1"/>
  <c r="A74" i="20" s="1"/>
  <c r="A75" i="20" s="1"/>
  <c r="A76" i="20" s="1"/>
  <c r="A78" i="20" s="1"/>
  <c r="A79" i="20" s="1"/>
  <c r="A80" i="20" s="1"/>
  <c r="A81" i="20" s="1"/>
  <c r="A82" i="20" s="1"/>
  <c r="A83" i="20" s="1"/>
  <c r="A85" i="20" s="1"/>
  <c r="A86" i="20" s="1"/>
  <c r="A87" i="20" s="1"/>
  <c r="A88" i="20" s="1"/>
  <c r="A89" i="20" s="1"/>
  <c r="A90" i="20" s="1"/>
  <c r="A50" i="20"/>
  <c r="A48" i="20"/>
  <c r="A47" i="20"/>
  <c r="D283" i="2"/>
  <c r="E283" i="2"/>
  <c r="F283" i="2"/>
  <c r="G283" i="2"/>
  <c r="H283" i="2"/>
  <c r="I283" i="2"/>
  <c r="J283" i="2"/>
  <c r="K283" i="2"/>
  <c r="L283" i="2"/>
  <c r="M283" i="2"/>
  <c r="N283" i="2"/>
  <c r="D276" i="2"/>
  <c r="E276" i="2"/>
  <c r="F276" i="2"/>
  <c r="G276" i="2"/>
  <c r="H276" i="2"/>
  <c r="I276" i="2"/>
  <c r="J276" i="2"/>
  <c r="K276" i="2"/>
  <c r="L276" i="2"/>
  <c r="M276" i="2"/>
  <c r="N276" i="2"/>
  <c r="D277" i="2"/>
  <c r="E277" i="2"/>
  <c r="F277" i="2"/>
  <c r="G277" i="2"/>
  <c r="H277" i="2"/>
  <c r="I277" i="2"/>
  <c r="J277" i="2"/>
  <c r="K277" i="2"/>
  <c r="L277" i="2"/>
  <c r="M277" i="2"/>
  <c r="N277" i="2"/>
  <c r="A256" i="2"/>
  <c r="N271" i="2"/>
  <c r="M271" i="2"/>
  <c r="L271" i="2"/>
  <c r="K271" i="2"/>
  <c r="L1228" i="8" s="1"/>
  <c r="L359" i="8" s="1"/>
  <c r="J271" i="2"/>
  <c r="K1228" i="8" s="1"/>
  <c r="I271" i="2"/>
  <c r="H271" i="2"/>
  <c r="G271" i="2"/>
  <c r="H1228" i="8" s="1"/>
  <c r="F271" i="2"/>
  <c r="G1228" i="8" s="1"/>
  <c r="E271" i="2"/>
  <c r="D271" i="2"/>
  <c r="E1228" i="8" s="1"/>
  <c r="N246" i="2"/>
  <c r="O1160" i="20" s="1"/>
  <c r="O321" i="20" s="1"/>
  <c r="M246" i="2"/>
  <c r="L246" i="2"/>
  <c r="M1160" i="20" s="1"/>
  <c r="M321" i="20" s="1"/>
  <c r="K246" i="2"/>
  <c r="J246" i="2"/>
  <c r="I246" i="2"/>
  <c r="H246" i="2"/>
  <c r="G246" i="2"/>
  <c r="F246" i="2"/>
  <c r="G1160" i="20" s="1"/>
  <c r="E246" i="2"/>
  <c r="D246" i="2"/>
  <c r="N240" i="2"/>
  <c r="M240" i="2"/>
  <c r="L240" i="2"/>
  <c r="K240" i="2"/>
  <c r="J240" i="2"/>
  <c r="I240" i="2"/>
  <c r="J1142" i="20" s="1"/>
  <c r="H240" i="2"/>
  <c r="G240" i="2"/>
  <c r="H1142" i="20" s="1"/>
  <c r="F240" i="2"/>
  <c r="E240" i="2"/>
  <c r="F1146" i="8" s="1"/>
  <c r="D240" i="2"/>
  <c r="E1142" i="20" s="1"/>
  <c r="E314" i="20" s="1"/>
  <c r="N234" i="2"/>
  <c r="M234" i="2"/>
  <c r="L234" i="2"/>
  <c r="K234" i="2"/>
  <c r="L1108" i="20" s="1"/>
  <c r="J234" i="2"/>
  <c r="I234" i="2"/>
  <c r="H234" i="2"/>
  <c r="G234" i="2"/>
  <c r="H1112" i="8" s="1"/>
  <c r="F234" i="2"/>
  <c r="E234" i="2"/>
  <c r="D234" i="2"/>
  <c r="E1108" i="20" s="1"/>
  <c r="N228" i="2"/>
  <c r="M228" i="2"/>
  <c r="N1094" i="8" s="1"/>
  <c r="N304" i="8" s="1"/>
  <c r="L228" i="2"/>
  <c r="K228" i="2"/>
  <c r="L1094" i="8" s="1"/>
  <c r="J228" i="2"/>
  <c r="K1090" i="20" s="1"/>
  <c r="I228" i="2"/>
  <c r="J1094" i="8" s="1"/>
  <c r="J304" i="8" s="1"/>
  <c r="H228" i="2"/>
  <c r="G228" i="2"/>
  <c r="F228" i="2"/>
  <c r="E228" i="2"/>
  <c r="F1090" i="20" s="1"/>
  <c r="D228" i="2"/>
  <c r="N222" i="2"/>
  <c r="O1076" i="8" s="1"/>
  <c r="M222" i="2"/>
  <c r="H222" i="2"/>
  <c r="I1072" i="20" s="1"/>
  <c r="J222" i="2"/>
  <c r="F222" i="2"/>
  <c r="L222" i="2"/>
  <c r="M1076" i="8" s="1"/>
  <c r="K222" i="2"/>
  <c r="I222" i="2"/>
  <c r="G222" i="2"/>
  <c r="H1072" i="20" s="1"/>
  <c r="E222" i="2"/>
  <c r="F1076" i="8" s="1"/>
  <c r="D222" i="2"/>
  <c r="A207" i="2"/>
  <c r="D186" i="2"/>
  <c r="D188" i="2" s="1"/>
  <c r="E961" i="8" s="1"/>
  <c r="E186" i="2"/>
  <c r="E188" i="2" s="1"/>
  <c r="F186" i="2"/>
  <c r="F188" i="2" s="1"/>
  <c r="G961" i="8" s="1"/>
  <c r="G186" i="2"/>
  <c r="G188" i="2" s="1"/>
  <c r="H961" i="8" s="1"/>
  <c r="H186" i="2"/>
  <c r="H188" i="2" s="1"/>
  <c r="I961" i="8" s="1"/>
  <c r="I186" i="2"/>
  <c r="I188" i="2" s="1"/>
  <c r="J186" i="2"/>
  <c r="K186" i="2"/>
  <c r="L186" i="2"/>
  <c r="L188" i="2" s="1"/>
  <c r="M186" i="2"/>
  <c r="M188" i="2" s="1"/>
  <c r="N186" i="2"/>
  <c r="N188" i="2" s="1"/>
  <c r="O958" i="20" s="1"/>
  <c r="D180" i="2"/>
  <c r="E180" i="2"/>
  <c r="E182" i="2" s="1"/>
  <c r="F933" i="20" s="1"/>
  <c r="F244" i="20" s="1"/>
  <c r="F180" i="2"/>
  <c r="F182" i="2" s="1"/>
  <c r="H180" i="2"/>
  <c r="H182" i="2" s="1"/>
  <c r="N180" i="2"/>
  <c r="N182" i="2" s="1"/>
  <c r="N176" i="2"/>
  <c r="O891" i="8" s="1"/>
  <c r="M176" i="2"/>
  <c r="L176" i="2"/>
  <c r="K176" i="2"/>
  <c r="J176" i="2"/>
  <c r="K891" i="8" s="1"/>
  <c r="I176" i="2"/>
  <c r="H176" i="2"/>
  <c r="G176" i="2"/>
  <c r="H889" i="20" s="1"/>
  <c r="F176" i="2"/>
  <c r="G889" i="20" s="1"/>
  <c r="G237" i="20" s="1"/>
  <c r="E176" i="2"/>
  <c r="D176" i="2"/>
  <c r="E891" i="8" s="1"/>
  <c r="N164" i="2"/>
  <c r="O821" i="8" s="1"/>
  <c r="M164" i="2"/>
  <c r="N821" i="8" s="1"/>
  <c r="L164" i="2"/>
  <c r="K164" i="2"/>
  <c r="J164" i="2"/>
  <c r="I164" i="2"/>
  <c r="H164" i="2"/>
  <c r="I820" i="20" s="1"/>
  <c r="G164" i="2"/>
  <c r="H820" i="20" s="1"/>
  <c r="F164" i="2"/>
  <c r="G821" i="8" s="1"/>
  <c r="G228" i="8" s="1"/>
  <c r="E164" i="2"/>
  <c r="F820" i="20" s="1"/>
  <c r="D164" i="2"/>
  <c r="E820" i="20" s="1"/>
  <c r="A162" i="2"/>
  <c r="D138" i="2"/>
  <c r="E138" i="2"/>
  <c r="F138" i="2"/>
  <c r="G138" i="2"/>
  <c r="H138" i="2"/>
  <c r="I138" i="2"/>
  <c r="J138" i="2"/>
  <c r="K138" i="2"/>
  <c r="L138" i="2"/>
  <c r="M138" i="2"/>
  <c r="N138" i="2"/>
  <c r="D139" i="2"/>
  <c r="E139" i="2"/>
  <c r="F139" i="2"/>
  <c r="G139" i="2"/>
  <c r="H139" i="2"/>
  <c r="I139" i="2"/>
  <c r="J139" i="2"/>
  <c r="K139" i="2"/>
  <c r="L139" i="2"/>
  <c r="M139" i="2"/>
  <c r="N139" i="2"/>
  <c r="D137" i="2"/>
  <c r="E137" i="2"/>
  <c r="F137" i="2"/>
  <c r="G137" i="2"/>
  <c r="H137" i="2"/>
  <c r="I137" i="2"/>
  <c r="J137" i="2"/>
  <c r="K137" i="2"/>
  <c r="L137" i="2"/>
  <c r="M137" i="2"/>
  <c r="N137" i="2"/>
  <c r="D121" i="2"/>
  <c r="E121" i="2"/>
  <c r="F121" i="2"/>
  <c r="G121" i="2"/>
  <c r="H121" i="2"/>
  <c r="I121" i="2"/>
  <c r="J121" i="2"/>
  <c r="K121" i="2"/>
  <c r="L121" i="2"/>
  <c r="M121" i="2"/>
  <c r="N121" i="2"/>
  <c r="D120" i="2"/>
  <c r="E120" i="2"/>
  <c r="F120" i="2"/>
  <c r="G120" i="2"/>
  <c r="H120" i="2"/>
  <c r="I120" i="2"/>
  <c r="J120" i="2"/>
  <c r="K120" i="2"/>
  <c r="L120" i="2"/>
  <c r="M120" i="2"/>
  <c r="N120" i="2"/>
  <c r="A106" i="2"/>
  <c r="A56" i="2"/>
  <c r="N99" i="2"/>
  <c r="O778" i="20" s="1"/>
  <c r="M99" i="2"/>
  <c r="N778" i="20" s="1"/>
  <c r="L99" i="2"/>
  <c r="M778" i="20" s="1"/>
  <c r="M196" i="20" s="1"/>
  <c r="K99" i="2"/>
  <c r="L781" i="8" s="1"/>
  <c r="L200" i="8" s="1"/>
  <c r="J99" i="2"/>
  <c r="K778" i="20" s="1"/>
  <c r="K196" i="20" s="1"/>
  <c r="I99" i="2"/>
  <c r="H99" i="2"/>
  <c r="I778" i="20" s="1"/>
  <c r="G99" i="2"/>
  <c r="H778" i="20" s="1"/>
  <c r="F99" i="2"/>
  <c r="G781" i="8" s="1"/>
  <c r="E99" i="2"/>
  <c r="F781" i="8" s="1"/>
  <c r="F200" i="8" s="1"/>
  <c r="D99" i="2"/>
  <c r="E781" i="8" s="1"/>
  <c r="N93" i="2"/>
  <c r="O749" i="20" s="1"/>
  <c r="O189" i="20" s="1"/>
  <c r="M93" i="2"/>
  <c r="N752" i="8" s="1"/>
  <c r="L93" i="2"/>
  <c r="M749" i="20" s="1"/>
  <c r="K93" i="2"/>
  <c r="L749" i="20" s="1"/>
  <c r="L189" i="20" s="1"/>
  <c r="J93" i="2"/>
  <c r="K749" i="20" s="1"/>
  <c r="K189" i="20" s="1"/>
  <c r="I93" i="2"/>
  <c r="H93" i="2"/>
  <c r="G93" i="2"/>
  <c r="H752" i="8" s="1"/>
  <c r="F93" i="2"/>
  <c r="G749" i="20" s="1"/>
  <c r="E93" i="2"/>
  <c r="F752" i="8" s="1"/>
  <c r="D93" i="2"/>
  <c r="N75" i="2"/>
  <c r="M75" i="2"/>
  <c r="L75" i="2"/>
  <c r="M618" i="8" s="1"/>
  <c r="K75" i="2"/>
  <c r="J75" i="2"/>
  <c r="I75" i="2"/>
  <c r="J618" i="8" s="1"/>
  <c r="H75" i="2"/>
  <c r="I615" i="20" s="1"/>
  <c r="G75" i="2"/>
  <c r="H615" i="20" s="1"/>
  <c r="F75" i="2"/>
  <c r="E75" i="2"/>
  <c r="F615" i="20" s="1"/>
  <c r="D75" i="2"/>
  <c r="E615" i="20" s="1"/>
  <c r="N70" i="2"/>
  <c r="M70" i="2"/>
  <c r="L70" i="2"/>
  <c r="M595" i="8" s="1"/>
  <c r="M144" i="8" s="1"/>
  <c r="K70" i="2"/>
  <c r="L595" i="8" s="1"/>
  <c r="L144" i="8" s="1"/>
  <c r="J70" i="2"/>
  <c r="I70" i="2"/>
  <c r="H70" i="2"/>
  <c r="G70" i="2"/>
  <c r="H595" i="8" s="1"/>
  <c r="F70" i="2"/>
  <c r="G593" i="20" s="1"/>
  <c r="G141" i="20" s="1"/>
  <c r="E70" i="2"/>
  <c r="D70" i="2"/>
  <c r="N52" i="2"/>
  <c r="O562" i="8" s="1"/>
  <c r="M52" i="2"/>
  <c r="L52" i="2"/>
  <c r="K52" i="2"/>
  <c r="J52" i="2"/>
  <c r="K560" i="20" s="1"/>
  <c r="I52" i="2"/>
  <c r="H52" i="2"/>
  <c r="G52" i="2"/>
  <c r="F52" i="2"/>
  <c r="E52" i="2"/>
  <c r="F560" i="20" s="1"/>
  <c r="F134" i="20" s="1"/>
  <c r="D52" i="2"/>
  <c r="N47" i="2"/>
  <c r="M47" i="2"/>
  <c r="L47" i="2"/>
  <c r="M545" i="8" s="1"/>
  <c r="K47" i="2"/>
  <c r="J47" i="2"/>
  <c r="K543" i="20" s="1"/>
  <c r="I47" i="2"/>
  <c r="H47" i="2"/>
  <c r="G47" i="2"/>
  <c r="F47" i="2"/>
  <c r="E47" i="2"/>
  <c r="F543" i="20" s="1"/>
  <c r="D47" i="2"/>
  <c r="N42" i="2"/>
  <c r="M42" i="2"/>
  <c r="N528" i="8" s="1"/>
  <c r="L42" i="2"/>
  <c r="M528" i="8" s="1"/>
  <c r="M101" i="8" s="1"/>
  <c r="K42" i="2"/>
  <c r="J42" i="2"/>
  <c r="I42" i="2"/>
  <c r="J528" i="8" s="1"/>
  <c r="J101" i="8" s="1"/>
  <c r="H42" i="2"/>
  <c r="G42" i="2"/>
  <c r="F42" i="2"/>
  <c r="E42" i="2"/>
  <c r="D42" i="2"/>
  <c r="E526" i="20" s="1"/>
  <c r="E100" i="20" s="1"/>
  <c r="A61" i="2"/>
  <c r="N37" i="2"/>
  <c r="M37" i="2"/>
  <c r="N494" i="8" s="1"/>
  <c r="N94" i="8" s="1"/>
  <c r="L37" i="2"/>
  <c r="M494" i="8" s="1"/>
  <c r="K37" i="2"/>
  <c r="J37" i="2"/>
  <c r="K492" i="20" s="1"/>
  <c r="I37" i="2"/>
  <c r="J494" i="8" s="1"/>
  <c r="J94" i="8" s="1"/>
  <c r="H37" i="2"/>
  <c r="I494" i="8" s="1"/>
  <c r="G37" i="2"/>
  <c r="H492" i="20" s="1"/>
  <c r="F37" i="2"/>
  <c r="E37" i="2"/>
  <c r="F494" i="8" s="1"/>
  <c r="F94" i="8" s="1"/>
  <c r="D37" i="2"/>
  <c r="E494" i="8" s="1"/>
  <c r="N32" i="2"/>
  <c r="O475" i="20" s="1"/>
  <c r="O86" i="20" s="1"/>
  <c r="M32" i="2"/>
  <c r="L32" i="2"/>
  <c r="K32" i="2"/>
  <c r="L475" i="20" s="1"/>
  <c r="L86" i="20" s="1"/>
  <c r="J32" i="2"/>
  <c r="I32" i="2"/>
  <c r="H32" i="2"/>
  <c r="I475" i="20" s="1"/>
  <c r="I86" i="20" s="1"/>
  <c r="G32" i="2"/>
  <c r="F32" i="2"/>
  <c r="G477" i="8" s="1"/>
  <c r="E32" i="2"/>
  <c r="D32" i="2"/>
  <c r="E475" i="20" s="1"/>
  <c r="E86" i="20" s="1"/>
  <c r="N27" i="2"/>
  <c r="M27" i="2"/>
  <c r="L27" i="2"/>
  <c r="K27" i="2"/>
  <c r="L458" i="20" s="1"/>
  <c r="L79" i="20" s="1"/>
  <c r="J27" i="2"/>
  <c r="K460" i="8" s="1"/>
  <c r="K80" i="8" s="1"/>
  <c r="I27" i="2"/>
  <c r="J460" i="8" s="1"/>
  <c r="H27" i="2"/>
  <c r="G27" i="2"/>
  <c r="H458" i="20" s="1"/>
  <c r="H79" i="20" s="1"/>
  <c r="F27" i="2"/>
  <c r="E27" i="2"/>
  <c r="D27" i="2"/>
  <c r="E458" i="20" s="1"/>
  <c r="E79" i="20" s="1"/>
  <c r="N22" i="2"/>
  <c r="M22" i="2"/>
  <c r="N426" i="8" s="1"/>
  <c r="N73" i="8" s="1"/>
  <c r="J22" i="2"/>
  <c r="I22" i="2"/>
  <c r="J423" i="20" s="1"/>
  <c r="J72" i="20" s="1"/>
  <c r="F22" i="2"/>
  <c r="E22" i="2"/>
  <c r="L22" i="2"/>
  <c r="M423" i="20" s="1"/>
  <c r="M72" i="20" s="1"/>
  <c r="K22" i="2"/>
  <c r="H22" i="2"/>
  <c r="I426" i="8" s="1"/>
  <c r="I73" i="8" s="1"/>
  <c r="G22" i="2"/>
  <c r="D22" i="2"/>
  <c r="E426" i="8" s="1"/>
  <c r="E73" i="8" s="1"/>
  <c r="A15" i="2"/>
  <c r="E1150" i="8"/>
  <c r="F1150" i="8"/>
  <c r="F319" i="8" s="1"/>
  <c r="G1150" i="8"/>
  <c r="H1150" i="8"/>
  <c r="I1150" i="8"/>
  <c r="J1150" i="8"/>
  <c r="K1150" i="8"/>
  <c r="K319" i="8" s="1"/>
  <c r="L1150" i="8"/>
  <c r="M1150" i="8"/>
  <c r="M319" i="8" s="1"/>
  <c r="N1150" i="8"/>
  <c r="N319" i="8" s="1"/>
  <c r="O1150" i="8"/>
  <c r="D412" i="3"/>
  <c r="E412" i="3"/>
  <c r="F412" i="3"/>
  <c r="G412" i="3"/>
  <c r="H412" i="3"/>
  <c r="I412" i="3"/>
  <c r="J412" i="3"/>
  <c r="K412" i="3"/>
  <c r="L412" i="3"/>
  <c r="M412" i="3"/>
  <c r="N412" i="3"/>
  <c r="D413" i="3"/>
  <c r="E413" i="3"/>
  <c r="F413" i="3"/>
  <c r="G413" i="3"/>
  <c r="H413" i="3"/>
  <c r="I413" i="3"/>
  <c r="J413" i="3"/>
  <c r="K413" i="3"/>
  <c r="L413" i="3"/>
  <c r="M413" i="3"/>
  <c r="N413" i="3"/>
  <c r="D173" i="3"/>
  <c r="E173" i="3"/>
  <c r="F173" i="3"/>
  <c r="G173" i="3"/>
  <c r="H173" i="3"/>
  <c r="I173" i="3"/>
  <c r="J173" i="3"/>
  <c r="K173" i="3"/>
  <c r="L173" i="3"/>
  <c r="M173" i="3"/>
  <c r="N173" i="3"/>
  <c r="D174" i="3"/>
  <c r="E174" i="3"/>
  <c r="F174" i="3"/>
  <c r="G174" i="3"/>
  <c r="H174" i="3"/>
  <c r="I174" i="3"/>
  <c r="J174" i="3"/>
  <c r="K174" i="3"/>
  <c r="L174" i="3"/>
  <c r="M174" i="3"/>
  <c r="N174" i="3"/>
  <c r="N391" i="3"/>
  <c r="M391" i="3"/>
  <c r="L391" i="3"/>
  <c r="K391" i="3"/>
  <c r="J391" i="3"/>
  <c r="I391" i="3"/>
  <c r="H391" i="3"/>
  <c r="G391" i="3"/>
  <c r="F391" i="3"/>
  <c r="E391" i="3"/>
  <c r="D391" i="3"/>
  <c r="D387" i="3"/>
  <c r="E387" i="3"/>
  <c r="F387" i="3"/>
  <c r="G387" i="3"/>
  <c r="H387" i="3"/>
  <c r="I387" i="3"/>
  <c r="J387" i="3"/>
  <c r="K387" i="3"/>
  <c r="L387" i="3"/>
  <c r="M387" i="3"/>
  <c r="N387" i="3"/>
  <c r="D373" i="3"/>
  <c r="E373" i="3"/>
  <c r="F373" i="3"/>
  <c r="G373" i="3"/>
  <c r="H373" i="3"/>
  <c r="I373" i="3"/>
  <c r="J373" i="3"/>
  <c r="K373" i="3"/>
  <c r="L373" i="3"/>
  <c r="M373" i="3"/>
  <c r="N373" i="3"/>
  <c r="N363" i="3"/>
  <c r="M363" i="3"/>
  <c r="L363" i="3"/>
  <c r="K363" i="3"/>
  <c r="J363" i="3"/>
  <c r="I363" i="3"/>
  <c r="H363" i="3"/>
  <c r="G363" i="3"/>
  <c r="F363" i="3"/>
  <c r="E363" i="3"/>
  <c r="D363" i="3"/>
  <c r="D359" i="3"/>
  <c r="E359" i="3"/>
  <c r="F359" i="3"/>
  <c r="G359" i="3"/>
  <c r="H359" i="3"/>
  <c r="I359" i="3"/>
  <c r="J359" i="3"/>
  <c r="K359" i="3"/>
  <c r="L359" i="3"/>
  <c r="M359" i="3"/>
  <c r="N359" i="3"/>
  <c r="D308" i="3"/>
  <c r="E308" i="3"/>
  <c r="F308" i="3"/>
  <c r="G308" i="3"/>
  <c r="H308" i="3"/>
  <c r="I308" i="3"/>
  <c r="J308" i="3"/>
  <c r="K308" i="3"/>
  <c r="L308" i="3"/>
  <c r="M308" i="3"/>
  <c r="N308" i="3"/>
  <c r="D288" i="3"/>
  <c r="E288" i="3"/>
  <c r="F288" i="3"/>
  <c r="G288" i="3"/>
  <c r="H288" i="3"/>
  <c r="I288" i="3"/>
  <c r="J288" i="3"/>
  <c r="K288" i="3"/>
  <c r="L288" i="3"/>
  <c r="M288" i="3"/>
  <c r="N288" i="3"/>
  <c r="D259" i="3"/>
  <c r="E259" i="3"/>
  <c r="F259" i="3"/>
  <c r="G259" i="3"/>
  <c r="H259" i="3"/>
  <c r="I259" i="3"/>
  <c r="J259" i="3"/>
  <c r="K259" i="3"/>
  <c r="L259" i="3"/>
  <c r="M259" i="3"/>
  <c r="D245" i="3"/>
  <c r="E245" i="3"/>
  <c r="F245" i="3"/>
  <c r="G245" i="3"/>
  <c r="H245" i="3"/>
  <c r="I245" i="3"/>
  <c r="J245" i="3"/>
  <c r="K245" i="3"/>
  <c r="L245" i="3"/>
  <c r="M245" i="3"/>
  <c r="N245" i="3"/>
  <c r="N233" i="3"/>
  <c r="M233" i="3"/>
  <c r="L233" i="3"/>
  <c r="K233" i="3"/>
  <c r="J233" i="3"/>
  <c r="I233" i="3"/>
  <c r="H233" i="3"/>
  <c r="G233" i="3"/>
  <c r="F233" i="3"/>
  <c r="E233" i="3"/>
  <c r="D233" i="3"/>
  <c r="D227" i="3"/>
  <c r="D422" i="3" s="1"/>
  <c r="E227" i="3"/>
  <c r="F227" i="3"/>
  <c r="G227" i="3"/>
  <c r="H227" i="3"/>
  <c r="I227" i="3"/>
  <c r="J227" i="3"/>
  <c r="K227" i="3"/>
  <c r="L227" i="3"/>
  <c r="M227" i="3"/>
  <c r="N227" i="3"/>
  <c r="N200" i="3"/>
  <c r="M200" i="3"/>
  <c r="L200" i="3"/>
  <c r="K200" i="3"/>
  <c r="J200" i="3"/>
  <c r="I200" i="3"/>
  <c r="H200" i="3"/>
  <c r="G200" i="3"/>
  <c r="F200" i="3"/>
  <c r="E200" i="3"/>
  <c r="D200" i="3"/>
  <c r="D194" i="3"/>
  <c r="E194" i="3"/>
  <c r="F194" i="3"/>
  <c r="G194" i="3"/>
  <c r="H194" i="3"/>
  <c r="I194" i="3"/>
  <c r="J194" i="3"/>
  <c r="K194" i="3"/>
  <c r="L194" i="3"/>
  <c r="M194" i="3"/>
  <c r="D135" i="3"/>
  <c r="D35" i="23" s="1"/>
  <c r="E135" i="3"/>
  <c r="E35" i="23" s="1"/>
  <c r="F135" i="3"/>
  <c r="F35" i="23" s="1"/>
  <c r="G135" i="3"/>
  <c r="G35" i="23" s="1"/>
  <c r="H135" i="3"/>
  <c r="H35" i="23" s="1"/>
  <c r="I135" i="3"/>
  <c r="I35" i="23" s="1"/>
  <c r="J135" i="3"/>
  <c r="J35" i="23" s="1"/>
  <c r="K135" i="3"/>
  <c r="K35" i="23" s="1"/>
  <c r="L135" i="3"/>
  <c r="L35" i="23" s="1"/>
  <c r="M135" i="3"/>
  <c r="M35" i="23" s="1"/>
  <c r="N135" i="3"/>
  <c r="N35" i="23" s="1"/>
  <c r="D71" i="3"/>
  <c r="D158" i="3" s="1"/>
  <c r="E71" i="3"/>
  <c r="F71" i="3"/>
  <c r="F158" i="3" s="1"/>
  <c r="G71" i="3"/>
  <c r="H71" i="3"/>
  <c r="I71" i="3"/>
  <c r="I158" i="3" s="1"/>
  <c r="J71" i="3"/>
  <c r="J158" i="3" s="1"/>
  <c r="K71" i="3"/>
  <c r="K158" i="3" s="1"/>
  <c r="L71" i="3"/>
  <c r="M71" i="3"/>
  <c r="M158" i="3" s="1"/>
  <c r="N71" i="3"/>
  <c r="N158" i="3" s="1"/>
  <c r="C1234" i="8"/>
  <c r="C1238" i="8" s="1"/>
  <c r="C1233" i="8"/>
  <c r="C1237" i="8" s="1"/>
  <c r="C1211" i="8"/>
  <c r="C1215" i="8" s="1"/>
  <c r="C1210" i="8"/>
  <c r="C1214" i="8" s="1"/>
  <c r="C1170" i="8"/>
  <c r="C1174" i="8" s="1"/>
  <c r="C1169" i="8"/>
  <c r="C1173" i="8" s="1"/>
  <c r="C1037" i="8"/>
  <c r="C1043" i="8" s="1"/>
  <c r="C1038" i="8"/>
  <c r="C1044" i="8" s="1"/>
  <c r="C1039" i="8"/>
  <c r="C1045" i="8" s="1"/>
  <c r="C1036" i="8"/>
  <c r="C1042" i="8" s="1"/>
  <c r="C1009" i="8"/>
  <c r="C1015" i="8" s="1"/>
  <c r="C1010" i="8"/>
  <c r="C1016" i="8" s="1"/>
  <c r="C1011" i="8"/>
  <c r="C1017" i="8" s="1"/>
  <c r="C1008" i="8"/>
  <c r="C1014" i="8" s="1"/>
  <c r="C968" i="8"/>
  <c r="C972" i="8" s="1"/>
  <c r="C967" i="8"/>
  <c r="C971" i="8" s="1"/>
  <c r="C943" i="8"/>
  <c r="C947" i="8" s="1"/>
  <c r="C942" i="8"/>
  <c r="C946" i="8" s="1"/>
  <c r="C897" i="8"/>
  <c r="C903" i="8" s="1"/>
  <c r="C898" i="8"/>
  <c r="C904" i="8" s="1"/>
  <c r="C899" i="8"/>
  <c r="C905" i="8" s="1"/>
  <c r="C896" i="8"/>
  <c r="C902" i="8" s="1"/>
  <c r="C852" i="8"/>
  <c r="C858" i="8" s="1"/>
  <c r="C853" i="8"/>
  <c r="C859" i="8" s="1"/>
  <c r="C854" i="8"/>
  <c r="C860" i="8" s="1"/>
  <c r="C851" i="8"/>
  <c r="C857" i="8" s="1"/>
  <c r="C707" i="8"/>
  <c r="C713" i="8" s="1"/>
  <c r="C708" i="8"/>
  <c r="C714" i="8" s="1"/>
  <c r="C709" i="8"/>
  <c r="C715" i="8" s="1"/>
  <c r="C706" i="8"/>
  <c r="C712" i="8" s="1"/>
  <c r="C657" i="8"/>
  <c r="C663" i="8" s="1"/>
  <c r="C658" i="8"/>
  <c r="C664" i="8" s="1"/>
  <c r="C659" i="8"/>
  <c r="C665" i="8" s="1"/>
  <c r="C656" i="8"/>
  <c r="C662" i="8" s="1"/>
  <c r="C600" i="8"/>
  <c r="C604" i="8" s="1"/>
  <c r="C599" i="8"/>
  <c r="C603" i="8" s="1"/>
  <c r="A754" i="8"/>
  <c r="A756" i="8" s="1"/>
  <c r="A757" i="8" s="1"/>
  <c r="A758" i="8" s="1"/>
  <c r="A760" i="8" s="1"/>
  <c r="A761" i="8" s="1"/>
  <c r="A762" i="8" s="1"/>
  <c r="A765" i="8" s="1"/>
  <c r="A767" i="8" s="1"/>
  <c r="A769" i="8" s="1"/>
  <c r="A771" i="8" s="1"/>
  <c r="A772" i="8" s="1"/>
  <c r="A774" i="8" s="1"/>
  <c r="A777" i="8" s="1"/>
  <c r="A779" i="8" s="1"/>
  <c r="A781" i="8" s="1"/>
  <c r="A782" i="8" s="1"/>
  <c r="A783" i="8" s="1"/>
  <c r="A785" i="8" s="1"/>
  <c r="A786" i="8" s="1"/>
  <c r="A787" i="8" s="1"/>
  <c r="A788" i="8" s="1"/>
  <c r="A790" i="8" s="1"/>
  <c r="A792" i="8" s="1"/>
  <c r="A794" i="8" s="1"/>
  <c r="A795" i="8" s="1"/>
  <c r="A797" i="8" s="1"/>
  <c r="D762" i="8"/>
  <c r="D761" i="8"/>
  <c r="C758" i="8"/>
  <c r="C762" i="8" s="1"/>
  <c r="C757" i="8"/>
  <c r="C761" i="8" s="1"/>
  <c r="D754" i="8"/>
  <c r="D753" i="8"/>
  <c r="A119" i="8"/>
  <c r="A399" i="3"/>
  <c r="A397" i="3"/>
  <c r="N353" i="3"/>
  <c r="M353" i="3"/>
  <c r="L353" i="3"/>
  <c r="K353" i="3"/>
  <c r="J353" i="3"/>
  <c r="I353" i="3"/>
  <c r="H353" i="3"/>
  <c r="G353" i="3"/>
  <c r="F353" i="3"/>
  <c r="E353" i="3"/>
  <c r="D353" i="3"/>
  <c r="D348" i="3"/>
  <c r="F348" i="3"/>
  <c r="G1112" i="20" s="1"/>
  <c r="G308" i="20" s="1"/>
  <c r="H348" i="3"/>
  <c r="I348" i="3"/>
  <c r="K348" i="3"/>
  <c r="L1116" i="8" s="1"/>
  <c r="L348" i="3"/>
  <c r="M1116" i="8" s="1"/>
  <c r="M348" i="3"/>
  <c r="N1116" i="8" s="1"/>
  <c r="N312" i="8" s="1"/>
  <c r="N348" i="3"/>
  <c r="O1112" i="20" s="1"/>
  <c r="O308" i="20" s="1"/>
  <c r="H330" i="3"/>
  <c r="I1098" i="8" s="1"/>
  <c r="I330" i="3"/>
  <c r="J1094" i="20" s="1"/>
  <c r="J301" i="20" s="1"/>
  <c r="J330" i="3"/>
  <c r="K1094" i="20" s="1"/>
  <c r="K301" i="20" s="1"/>
  <c r="K330" i="3"/>
  <c r="L1098" i="8" s="1"/>
  <c r="L330" i="3"/>
  <c r="M330" i="3"/>
  <c r="N1098" i="8" s="1"/>
  <c r="N305" i="8" s="1"/>
  <c r="N325" i="3"/>
  <c r="O1080" i="8" s="1"/>
  <c r="M325" i="3"/>
  <c r="J325" i="3"/>
  <c r="I325" i="3"/>
  <c r="J1076" i="20" s="1"/>
  <c r="J294" i="20" s="1"/>
  <c r="F325" i="3"/>
  <c r="E325" i="3"/>
  <c r="F1080" i="8" s="1"/>
  <c r="L325" i="3"/>
  <c r="K325" i="3"/>
  <c r="H325" i="3"/>
  <c r="I1076" i="20" s="1"/>
  <c r="I294" i="20" s="1"/>
  <c r="G325" i="3"/>
  <c r="H1076" i="20" s="1"/>
  <c r="H294" i="20" s="1"/>
  <c r="D325" i="3"/>
  <c r="A334" i="3"/>
  <c r="A332" i="3"/>
  <c r="A61" i="3"/>
  <c r="F186" i="3"/>
  <c r="G825" i="8" s="1"/>
  <c r="G229" i="8" s="1"/>
  <c r="N186" i="3"/>
  <c r="A210" i="3"/>
  <c r="A208" i="3"/>
  <c r="G140" i="3"/>
  <c r="N140" i="3"/>
  <c r="N41" i="23" s="1"/>
  <c r="A111" i="3"/>
  <c r="A112" i="3" s="1"/>
  <c r="A113" i="3" s="1"/>
  <c r="A114" i="3" s="1"/>
  <c r="A115" i="3" s="1"/>
  <c r="A116" i="3" s="1"/>
  <c r="A118" i="3" s="1"/>
  <c r="A119" i="3" s="1"/>
  <c r="A120" i="3" s="1"/>
  <c r="A121" i="3" s="1"/>
  <c r="A122" i="3" s="1"/>
  <c r="A124" i="3" s="1"/>
  <c r="A125" i="3" s="1"/>
  <c r="A126" i="3" s="1"/>
  <c r="A127" i="3" s="1"/>
  <c r="A128" i="3" s="1"/>
  <c r="A129" i="3" s="1"/>
  <c r="A131" i="3" s="1"/>
  <c r="A132" i="3" s="1"/>
  <c r="A133" i="3" s="1"/>
  <c r="A134" i="3" s="1"/>
  <c r="A100" i="3"/>
  <c r="A98" i="3"/>
  <c r="F93" i="3"/>
  <c r="G93" i="3"/>
  <c r="H93" i="3"/>
  <c r="I93" i="3"/>
  <c r="J657" i="8" s="1"/>
  <c r="K93" i="3"/>
  <c r="M93" i="3"/>
  <c r="N657" i="8" s="1"/>
  <c r="D76" i="3"/>
  <c r="F76" i="3"/>
  <c r="G621" i="8" s="1"/>
  <c r="G152" i="8" s="1"/>
  <c r="H76" i="3"/>
  <c r="I618" i="20" s="1"/>
  <c r="I76" i="3"/>
  <c r="J76" i="3"/>
  <c r="K621" i="8" s="1"/>
  <c r="K152" i="8" s="1"/>
  <c r="K76" i="3"/>
  <c r="L621" i="8" s="1"/>
  <c r="L76" i="3"/>
  <c r="M76" i="3"/>
  <c r="N76" i="3"/>
  <c r="O618" i="20" s="1"/>
  <c r="D52" i="3"/>
  <c r="E563" i="20" s="1"/>
  <c r="E135" i="20" s="1"/>
  <c r="F52" i="3"/>
  <c r="G52" i="3"/>
  <c r="H52" i="3"/>
  <c r="I565" i="8" s="1"/>
  <c r="I138" i="8" s="1"/>
  <c r="I52" i="3"/>
  <c r="J563" i="20" s="1"/>
  <c r="J135" i="20" s="1"/>
  <c r="J52" i="3"/>
  <c r="K52" i="3"/>
  <c r="L52" i="3"/>
  <c r="M563" i="20" s="1"/>
  <c r="M135" i="20" s="1"/>
  <c r="M52" i="3"/>
  <c r="N563" i="20" s="1"/>
  <c r="N135" i="20" s="1"/>
  <c r="N52" i="3"/>
  <c r="F47" i="3"/>
  <c r="G546" i="20" s="1"/>
  <c r="G128" i="20" s="1"/>
  <c r="G47" i="3"/>
  <c r="H548" i="8" s="1"/>
  <c r="I47" i="3"/>
  <c r="J47" i="3"/>
  <c r="K47" i="3"/>
  <c r="L546" i="20" s="1"/>
  <c r="L128" i="20" s="1"/>
  <c r="L47" i="3"/>
  <c r="M548" i="8" s="1"/>
  <c r="M131" i="8" s="1"/>
  <c r="M47" i="3"/>
  <c r="N47" i="3"/>
  <c r="O548" i="8" s="1"/>
  <c r="F42" i="3"/>
  <c r="G529" i="20" s="1"/>
  <c r="G42" i="3"/>
  <c r="H531" i="8" s="1"/>
  <c r="H42" i="3"/>
  <c r="I42" i="3"/>
  <c r="J531" i="8" s="1"/>
  <c r="J42" i="3"/>
  <c r="K531" i="8" s="1"/>
  <c r="L42" i="3"/>
  <c r="M529" i="20" s="1"/>
  <c r="M42" i="3"/>
  <c r="N42" i="3"/>
  <c r="O531" i="8" s="1"/>
  <c r="F37" i="3"/>
  <c r="G495" i="20" s="1"/>
  <c r="G94" i="20" s="1"/>
  <c r="G37" i="3"/>
  <c r="H495" i="20" s="1"/>
  <c r="H94" i="20" s="1"/>
  <c r="H37" i="3"/>
  <c r="J37" i="3"/>
  <c r="K497" i="8" s="1"/>
  <c r="K37" i="3"/>
  <c r="L37" i="3"/>
  <c r="N37" i="3"/>
  <c r="O497" i="8" s="1"/>
  <c r="O95" i="8" s="1"/>
  <c r="A56" i="3"/>
  <c r="A54" i="3"/>
  <c r="D32" i="3"/>
  <c r="E478" i="20" s="1"/>
  <c r="E87" i="20" s="1"/>
  <c r="H32" i="3"/>
  <c r="I480" i="8" s="1"/>
  <c r="I88" i="8" s="1"/>
  <c r="I32" i="3"/>
  <c r="K32" i="3"/>
  <c r="L32" i="3"/>
  <c r="M480" i="8" s="1"/>
  <c r="D27" i="3"/>
  <c r="E461" i="20" s="1"/>
  <c r="E80" i="20" s="1"/>
  <c r="E27" i="3"/>
  <c r="E47" i="23" s="1"/>
  <c r="G27" i="3"/>
  <c r="G47" i="23" s="1"/>
  <c r="K27" i="3"/>
  <c r="K47" i="23" s="1"/>
  <c r="M27" i="3"/>
  <c r="N463" i="8" s="1"/>
  <c r="N27" i="3"/>
  <c r="D22" i="3"/>
  <c r="E426" i="20" s="1"/>
  <c r="H22" i="3"/>
  <c r="I426" i="20" s="1"/>
  <c r="I73" i="20" s="1"/>
  <c r="J22" i="3"/>
  <c r="K22" i="3"/>
  <c r="L22" i="3"/>
  <c r="M429" i="8" s="1"/>
  <c r="M74" i="8" s="1"/>
  <c r="M22" i="3"/>
  <c r="N426" i="20" s="1"/>
  <c r="A15" i="3"/>
  <c r="A16" i="3" s="1"/>
  <c r="A17" i="3" s="1"/>
  <c r="A19" i="3" s="1"/>
  <c r="A20" i="3" s="1"/>
  <c r="A21" i="3" s="1"/>
  <c r="A22" i="3" s="1"/>
  <c r="A24" i="3" s="1"/>
  <c r="A25" i="3" s="1"/>
  <c r="A26" i="3" s="1"/>
  <c r="A27" i="3" s="1"/>
  <c r="A29" i="3" s="1"/>
  <c r="A30" i="3" s="1"/>
  <c r="A31" i="3" s="1"/>
  <c r="A32" i="3" s="1"/>
  <c r="A35" i="3" s="1"/>
  <c r="A36" i="3" s="1"/>
  <c r="A37" i="3" s="1"/>
  <c r="A39" i="3" s="1"/>
  <c r="A40" i="3" s="1"/>
  <c r="A41" i="3" s="1"/>
  <c r="A42" i="3" s="1"/>
  <c r="A44" i="3" s="1"/>
  <c r="A45" i="3" s="1"/>
  <c r="A46" i="3" s="1"/>
  <c r="A47" i="3" s="1"/>
  <c r="A49" i="3" s="1"/>
  <c r="A50" i="3" s="1"/>
  <c r="A51" i="3" s="1"/>
  <c r="A52" i="3" s="1"/>
  <c r="E29" i="8"/>
  <c r="F29" i="8"/>
  <c r="G29" i="8"/>
  <c r="H29" i="8"/>
  <c r="I29" i="8"/>
  <c r="J29" i="8"/>
  <c r="K29" i="8"/>
  <c r="L29" i="8"/>
  <c r="M29" i="8"/>
  <c r="N29" i="8"/>
  <c r="O29" i="8"/>
  <c r="E30" i="8"/>
  <c r="F30" i="8"/>
  <c r="G30" i="8"/>
  <c r="H30" i="8"/>
  <c r="I30" i="8"/>
  <c r="J30" i="8"/>
  <c r="K30" i="8"/>
  <c r="L30" i="8"/>
  <c r="M30" i="8"/>
  <c r="N30" i="8"/>
  <c r="O30" i="8"/>
  <c r="E32" i="8"/>
  <c r="F32" i="8"/>
  <c r="G32" i="8"/>
  <c r="H32" i="8"/>
  <c r="I32" i="8"/>
  <c r="J32" i="8"/>
  <c r="K32" i="8"/>
  <c r="L32" i="8"/>
  <c r="M32" i="8"/>
  <c r="N32" i="8"/>
  <c r="O32" i="8"/>
  <c r="E33" i="8"/>
  <c r="F33" i="8"/>
  <c r="G33" i="8"/>
  <c r="H33" i="8"/>
  <c r="I33" i="8"/>
  <c r="J33" i="8"/>
  <c r="K33" i="8"/>
  <c r="L33" i="8"/>
  <c r="M33" i="8"/>
  <c r="N33" i="8"/>
  <c r="O33" i="8"/>
  <c r="A18" i="8"/>
  <c r="A19" i="8" s="1"/>
  <c r="A20" i="8" s="1"/>
  <c r="A21" i="8" s="1"/>
  <c r="A23" i="8" s="1"/>
  <c r="A25" i="8" s="1"/>
  <c r="A22" i="8" s="1"/>
  <c r="A26" i="8" s="1"/>
  <c r="A27" i="8" s="1"/>
  <c r="A28" i="8" s="1"/>
  <c r="A29" i="8" s="1"/>
  <c r="A30" i="8" s="1"/>
  <c r="A31" i="8" s="1"/>
  <c r="A32" i="8" s="1"/>
  <c r="A33" i="8" s="1"/>
  <c r="A34" i="8" s="1"/>
  <c r="A36" i="8" s="1"/>
  <c r="E375" i="8"/>
  <c r="F375" i="8"/>
  <c r="D25" i="22" s="1"/>
  <c r="G375" i="8"/>
  <c r="E25" i="22" s="1"/>
  <c r="H375" i="8"/>
  <c r="F25" i="22" s="1"/>
  <c r="I375" i="8"/>
  <c r="G25" i="22" s="1"/>
  <c r="J375" i="8"/>
  <c r="H25" i="22" s="1"/>
  <c r="K375" i="8"/>
  <c r="I25" i="22" s="1"/>
  <c r="L375" i="8"/>
  <c r="J25" i="22" s="1"/>
  <c r="M375" i="8"/>
  <c r="K25" i="22" s="1"/>
  <c r="N375" i="8"/>
  <c r="L25" i="22" s="1"/>
  <c r="O375" i="8"/>
  <c r="M25" i="22" s="1"/>
  <c r="E362" i="8"/>
  <c r="F362" i="8"/>
  <c r="G362" i="8"/>
  <c r="H362" i="8"/>
  <c r="I362" i="8"/>
  <c r="J362" i="8"/>
  <c r="K362" i="8"/>
  <c r="L362" i="8"/>
  <c r="M362" i="8"/>
  <c r="N362" i="8"/>
  <c r="O362" i="8"/>
  <c r="E355" i="8"/>
  <c r="F355" i="8"/>
  <c r="G355" i="8"/>
  <c r="H355" i="8"/>
  <c r="I355" i="8"/>
  <c r="J355" i="8"/>
  <c r="K355" i="8"/>
  <c r="L355" i="8"/>
  <c r="M355" i="8"/>
  <c r="N355" i="8"/>
  <c r="O355" i="8"/>
  <c r="E328" i="8"/>
  <c r="F328" i="8"/>
  <c r="G328" i="8"/>
  <c r="H328" i="8"/>
  <c r="I328" i="8"/>
  <c r="J328" i="8"/>
  <c r="K328" i="8"/>
  <c r="L328" i="8"/>
  <c r="M328" i="8"/>
  <c r="N328" i="8"/>
  <c r="O328" i="8"/>
  <c r="E321" i="8"/>
  <c r="F321" i="8"/>
  <c r="G321" i="8"/>
  <c r="H321" i="8"/>
  <c r="I321" i="8"/>
  <c r="J321" i="8"/>
  <c r="K321" i="8"/>
  <c r="L321" i="8"/>
  <c r="M321" i="8"/>
  <c r="N321" i="8"/>
  <c r="O321" i="8"/>
  <c r="E314" i="8"/>
  <c r="F314" i="8"/>
  <c r="G314" i="8"/>
  <c r="H314" i="8"/>
  <c r="I314" i="8"/>
  <c r="J314" i="8"/>
  <c r="K314" i="8"/>
  <c r="L314" i="8"/>
  <c r="M314" i="8"/>
  <c r="N314" i="8"/>
  <c r="O314" i="8"/>
  <c r="E307" i="8"/>
  <c r="F307" i="8"/>
  <c r="G307" i="8"/>
  <c r="H307" i="8"/>
  <c r="I307" i="8"/>
  <c r="J307" i="8"/>
  <c r="K307" i="8"/>
  <c r="L307" i="8"/>
  <c r="M307" i="8"/>
  <c r="N307" i="8"/>
  <c r="O307" i="8"/>
  <c r="E300" i="8"/>
  <c r="F300" i="8"/>
  <c r="G300" i="8"/>
  <c r="H300" i="8"/>
  <c r="I300" i="8"/>
  <c r="J300" i="8"/>
  <c r="K300" i="8"/>
  <c r="L300" i="8"/>
  <c r="M300" i="8"/>
  <c r="N300" i="8"/>
  <c r="O300" i="8"/>
  <c r="E293" i="8"/>
  <c r="F293" i="8"/>
  <c r="G293" i="8"/>
  <c r="H293" i="8"/>
  <c r="I293" i="8"/>
  <c r="J293" i="8"/>
  <c r="K293" i="8"/>
  <c r="L293" i="8"/>
  <c r="M293" i="8"/>
  <c r="N293" i="8"/>
  <c r="O293" i="8"/>
  <c r="E266" i="8"/>
  <c r="F266" i="8"/>
  <c r="G266" i="8"/>
  <c r="H266" i="8"/>
  <c r="I266" i="8"/>
  <c r="J266" i="8"/>
  <c r="K266" i="8"/>
  <c r="L266" i="8"/>
  <c r="M266" i="8"/>
  <c r="N266" i="8"/>
  <c r="O266" i="8"/>
  <c r="E259" i="8"/>
  <c r="F259" i="8"/>
  <c r="G259" i="8"/>
  <c r="H259" i="8"/>
  <c r="I259" i="8"/>
  <c r="J259" i="8"/>
  <c r="K259" i="8"/>
  <c r="L259" i="8"/>
  <c r="M259" i="8"/>
  <c r="N259" i="8"/>
  <c r="O259" i="8"/>
  <c r="E252" i="8"/>
  <c r="F252" i="8"/>
  <c r="G252" i="8"/>
  <c r="H252" i="8"/>
  <c r="I252" i="8"/>
  <c r="J252" i="8"/>
  <c r="K252" i="8"/>
  <c r="L252" i="8"/>
  <c r="M252" i="8"/>
  <c r="N252" i="8"/>
  <c r="O252" i="8"/>
  <c r="E245" i="8"/>
  <c r="F245" i="8"/>
  <c r="G245" i="8"/>
  <c r="H245" i="8"/>
  <c r="I245" i="8"/>
  <c r="J245" i="8"/>
  <c r="K245" i="8"/>
  <c r="L245" i="8"/>
  <c r="M245" i="8"/>
  <c r="N245" i="8"/>
  <c r="O245" i="8"/>
  <c r="E238" i="8"/>
  <c r="F238" i="8"/>
  <c r="G238" i="8"/>
  <c r="H238" i="8"/>
  <c r="I238" i="8"/>
  <c r="J238" i="8"/>
  <c r="K238" i="8"/>
  <c r="L238" i="8"/>
  <c r="M238" i="8"/>
  <c r="N238" i="8"/>
  <c r="O238" i="8"/>
  <c r="E231" i="8"/>
  <c r="F231" i="8"/>
  <c r="G231" i="8"/>
  <c r="H231" i="8"/>
  <c r="I231" i="8"/>
  <c r="J231" i="8"/>
  <c r="K231" i="8"/>
  <c r="L231" i="8"/>
  <c r="M231" i="8"/>
  <c r="N231" i="8"/>
  <c r="O231" i="8"/>
  <c r="A227" i="8"/>
  <c r="A228" i="8" s="1"/>
  <c r="A229" i="8" s="1"/>
  <c r="A230" i="8" s="1"/>
  <c r="A231" i="8" s="1"/>
  <c r="A232" i="8" s="1"/>
  <c r="A234" i="8" s="1"/>
  <c r="A235" i="8" s="1"/>
  <c r="A236" i="8" s="1"/>
  <c r="A237" i="8" s="1"/>
  <c r="A238" i="8" s="1"/>
  <c r="A239" i="8" s="1"/>
  <c r="A241" i="8" s="1"/>
  <c r="A242" i="8" s="1"/>
  <c r="A243" i="8" s="1"/>
  <c r="A244" i="8" s="1"/>
  <c r="A245" i="8" s="1"/>
  <c r="A246" i="8" s="1"/>
  <c r="A248" i="8" s="1"/>
  <c r="A249" i="8" s="1"/>
  <c r="A250" i="8" s="1"/>
  <c r="A251" i="8" s="1"/>
  <c r="A252" i="8" s="1"/>
  <c r="A253" i="8" s="1"/>
  <c r="A255" i="8" s="1"/>
  <c r="A256" i="8" s="1"/>
  <c r="A257" i="8" s="1"/>
  <c r="A258" i="8" s="1"/>
  <c r="A259" i="8" s="1"/>
  <c r="A260" i="8" s="1"/>
  <c r="A262" i="8" s="1"/>
  <c r="A263" i="8" s="1"/>
  <c r="A264" i="8" s="1"/>
  <c r="A265" i="8" s="1"/>
  <c r="A266" i="8" s="1"/>
  <c r="A267" i="8" s="1"/>
  <c r="A290" i="8" s="1"/>
  <c r="A291" i="8" s="1"/>
  <c r="A292" i="8" s="1"/>
  <c r="A293" i="8" s="1"/>
  <c r="A294" i="8" s="1"/>
  <c r="A296" i="8" s="1"/>
  <c r="A297" i="8" s="1"/>
  <c r="A298" i="8" s="1"/>
  <c r="A299" i="8" s="1"/>
  <c r="A300" i="8" s="1"/>
  <c r="A301" i="8" s="1"/>
  <c r="A212" i="8"/>
  <c r="A210" i="8"/>
  <c r="A209" i="8"/>
  <c r="E154" i="8"/>
  <c r="F154" i="8"/>
  <c r="G154" i="8"/>
  <c r="H154" i="8"/>
  <c r="I154" i="8"/>
  <c r="J154" i="8"/>
  <c r="K154" i="8"/>
  <c r="L154" i="8"/>
  <c r="M154" i="8"/>
  <c r="N154" i="8"/>
  <c r="O154" i="8"/>
  <c r="E147" i="8"/>
  <c r="F147" i="8"/>
  <c r="G147" i="8"/>
  <c r="H147" i="8"/>
  <c r="I147" i="8"/>
  <c r="J147" i="8"/>
  <c r="K147" i="8"/>
  <c r="L147" i="8"/>
  <c r="M147" i="8"/>
  <c r="N147" i="8"/>
  <c r="O147" i="8"/>
  <c r="E140" i="8"/>
  <c r="F140" i="8"/>
  <c r="G140" i="8"/>
  <c r="H140" i="8"/>
  <c r="I140" i="8"/>
  <c r="J140" i="8"/>
  <c r="K140" i="8"/>
  <c r="L140" i="8"/>
  <c r="M140" i="8"/>
  <c r="N140" i="8"/>
  <c r="O140" i="8"/>
  <c r="A114" i="8"/>
  <c r="A112" i="8"/>
  <c r="A111" i="8"/>
  <c r="E133" i="8"/>
  <c r="F133" i="8"/>
  <c r="G133" i="8"/>
  <c r="H133" i="8"/>
  <c r="I133" i="8"/>
  <c r="J133" i="8"/>
  <c r="K133" i="8"/>
  <c r="L133" i="8"/>
  <c r="M133" i="8"/>
  <c r="N133" i="8"/>
  <c r="O133" i="8"/>
  <c r="E104" i="8"/>
  <c r="F104" i="8"/>
  <c r="G104" i="8"/>
  <c r="H104" i="8"/>
  <c r="I104" i="8"/>
  <c r="J104" i="8"/>
  <c r="K104" i="8"/>
  <c r="L104" i="8"/>
  <c r="M104" i="8"/>
  <c r="N104" i="8"/>
  <c r="O104" i="8"/>
  <c r="E90" i="8"/>
  <c r="F90" i="8"/>
  <c r="G90" i="8"/>
  <c r="H90" i="8"/>
  <c r="I90" i="8"/>
  <c r="J90" i="8"/>
  <c r="K90" i="8"/>
  <c r="L90" i="8"/>
  <c r="M90" i="8"/>
  <c r="N90" i="8"/>
  <c r="O90" i="8"/>
  <c r="A801" i="8"/>
  <c r="A681" i="8"/>
  <c r="A699" i="8"/>
  <c r="A701" i="8" s="1"/>
  <c r="A702" i="8" s="1"/>
  <c r="A703" i="8" s="1"/>
  <c r="A705" i="8" s="1"/>
  <c r="A706" i="8" s="1"/>
  <c r="A707" i="8" s="1"/>
  <c r="A708" i="8" s="1"/>
  <c r="A709" i="8" s="1"/>
  <c r="A711" i="8" s="1"/>
  <c r="A712" i="8" s="1"/>
  <c r="A713" i="8" s="1"/>
  <c r="A714" i="8" s="1"/>
  <c r="A715" i="8" s="1"/>
  <c r="A718" i="8" s="1"/>
  <c r="A720" i="8" s="1"/>
  <c r="A722" i="8" s="1"/>
  <c r="A724" i="8" s="1"/>
  <c r="A725" i="8" s="1"/>
  <c r="A727" i="8" s="1"/>
  <c r="A731" i="8"/>
  <c r="A526" i="8"/>
  <c r="A528" i="8" s="1"/>
  <c r="A529" i="8" s="1"/>
  <c r="A531" i="8" s="1"/>
  <c r="A532" i="8" s="1"/>
  <c r="A534" i="8" s="1"/>
  <c r="A536" i="8" s="1"/>
  <c r="A538" i="8" s="1"/>
  <c r="A541" i="8" s="1"/>
  <c r="A543" i="8" s="1"/>
  <c r="A545" i="8" s="1"/>
  <c r="A546" i="8" s="1"/>
  <c r="A548" i="8" s="1"/>
  <c r="A549" i="8" s="1"/>
  <c r="A551" i="8" s="1"/>
  <c r="A553" i="8" s="1"/>
  <c r="A555" i="8" s="1"/>
  <c r="A558" i="8" s="1"/>
  <c r="A560" i="8" s="1"/>
  <c r="A562" i="8" s="1"/>
  <c r="A563" i="8" s="1"/>
  <c r="A565" i="8" s="1"/>
  <c r="A566" i="8" s="1"/>
  <c r="A568" i="8" s="1"/>
  <c r="A570" i="8" s="1"/>
  <c r="A572" i="8" s="1"/>
  <c r="A593" i="8" s="1"/>
  <c r="A595" i="8" s="1"/>
  <c r="A596" i="8" s="1"/>
  <c r="A598" i="8" s="1"/>
  <c r="A599" i="8" s="1"/>
  <c r="A600" i="8" s="1"/>
  <c r="A602" i="8" s="1"/>
  <c r="A603" i="8" s="1"/>
  <c r="A604" i="8" s="1"/>
  <c r="A607" i="8" s="1"/>
  <c r="A609" i="8" s="1"/>
  <c r="A611" i="8" s="1"/>
  <c r="A614" i="8" s="1"/>
  <c r="D415" i="8"/>
  <c r="A508" i="8"/>
  <c r="A440" i="8"/>
  <c r="A398" i="8"/>
  <c r="A400" i="8" s="1"/>
  <c r="A401" i="8" s="1"/>
  <c r="A402" i="8" s="1"/>
  <c r="A404" i="8" s="1"/>
  <c r="A405" i="8" s="1"/>
  <c r="A407" i="8" s="1"/>
  <c r="A409" i="8" s="1"/>
  <c r="A411" i="8" s="1"/>
  <c r="A413" i="8" s="1"/>
  <c r="A414" i="8" s="1"/>
  <c r="A415" i="8" s="1"/>
  <c r="A416" i="8" s="1"/>
  <c r="A417" i="8" s="1"/>
  <c r="A419" i="8" s="1"/>
  <c r="A422" i="8" s="1"/>
  <c r="A424" i="8" s="1"/>
  <c r="A426" i="8" s="1"/>
  <c r="A427" i="8" s="1"/>
  <c r="A429" i="8" s="1"/>
  <c r="A430" i="8" s="1"/>
  <c r="A432" i="8" s="1"/>
  <c r="A434" i="8" s="1"/>
  <c r="A436" i="8" s="1"/>
  <c r="D652" i="8"/>
  <c r="J205" i="26" s="1"/>
  <c r="C16" i="27" s="1"/>
  <c r="D662" i="8"/>
  <c r="D663" i="8"/>
  <c r="D664" i="8"/>
  <c r="D665" i="8"/>
  <c r="D653" i="8"/>
  <c r="D675" i="8"/>
  <c r="D1207" i="8"/>
  <c r="D1033" i="8"/>
  <c r="D1005" i="8"/>
  <c r="D964" i="8"/>
  <c r="D939" i="8"/>
  <c r="D893" i="8"/>
  <c r="D848" i="8"/>
  <c r="D823" i="8"/>
  <c r="D835" i="8"/>
  <c r="D783" i="8"/>
  <c r="D703" i="8"/>
  <c r="D402" i="8"/>
  <c r="D782" i="8"/>
  <c r="J261" i="26" s="1"/>
  <c r="C29" i="27" s="1"/>
  <c r="D786" i="8"/>
  <c r="J265" i="26" s="1"/>
  <c r="C30" i="27" s="1"/>
  <c r="D937" i="8"/>
  <c r="D938" i="8"/>
  <c r="D946" i="8"/>
  <c r="J239" i="26" s="1"/>
  <c r="C24" i="27" s="1"/>
  <c r="D947" i="8"/>
  <c r="J240" i="26" s="1"/>
  <c r="C25" i="27" s="1"/>
  <c r="D962" i="8"/>
  <c r="J234" i="26" s="1"/>
  <c r="C23" i="27" s="1"/>
  <c r="D963" i="8"/>
  <c r="D971" i="8"/>
  <c r="D972" i="8"/>
  <c r="D1205" i="8"/>
  <c r="D1206" i="8"/>
  <c r="D1214" i="8"/>
  <c r="D1215" i="8"/>
  <c r="D401" i="8"/>
  <c r="I182" i="26" s="1"/>
  <c r="D405" i="8"/>
  <c r="I186" i="26" s="1"/>
  <c r="C13" i="27" s="1"/>
  <c r="D416" i="8"/>
  <c r="D822" i="8"/>
  <c r="D826" i="8"/>
  <c r="D836" i="8"/>
  <c r="D702" i="8"/>
  <c r="D712" i="8"/>
  <c r="D713" i="8"/>
  <c r="D714" i="8"/>
  <c r="D715" i="8"/>
  <c r="D725" i="8"/>
  <c r="D847" i="8"/>
  <c r="D857" i="8"/>
  <c r="D858" i="8"/>
  <c r="D859" i="8"/>
  <c r="D860" i="8"/>
  <c r="D892" i="8"/>
  <c r="D902" i="8"/>
  <c r="J210" i="26" s="1"/>
  <c r="C17" i="27" s="1"/>
  <c r="D903" i="8"/>
  <c r="J211" i="26" s="1"/>
  <c r="C18" i="27" s="1"/>
  <c r="D904" i="8"/>
  <c r="J212" i="26" s="1"/>
  <c r="C19" i="27" s="1"/>
  <c r="D905" i="8"/>
  <c r="J213" i="26" s="1"/>
  <c r="C20" i="27" s="1"/>
  <c r="D1003" i="8"/>
  <c r="D1004" i="8"/>
  <c r="D1014" i="8"/>
  <c r="D1015" i="8"/>
  <c r="D1016" i="8"/>
  <c r="D1017" i="8"/>
  <c r="D1031" i="8"/>
  <c r="D1032" i="8"/>
  <c r="D1042" i="8"/>
  <c r="D1043" i="8"/>
  <c r="D1044" i="8"/>
  <c r="D1045" i="8"/>
  <c r="D1077" i="8"/>
  <c r="J276" i="26" s="1"/>
  <c r="C33" i="27" s="1"/>
  <c r="D1078" i="8"/>
  <c r="D1081" i="8"/>
  <c r="J280" i="26" s="1"/>
  <c r="C34" i="27" s="1"/>
  <c r="A13" i="19"/>
  <c r="A15" i="19"/>
  <c r="A17" i="19" s="1"/>
  <c r="A18" i="19" s="1"/>
  <c r="A19" i="19" s="1"/>
  <c r="A20" i="19" s="1"/>
  <c r="A6" i="19"/>
  <c r="A4" i="19"/>
  <c r="D1074" i="20"/>
  <c r="A15" i="15"/>
  <c r="A17" i="15" s="1"/>
  <c r="A18" i="15" s="1"/>
  <c r="A19" i="15" s="1"/>
  <c r="A20" i="15" s="1"/>
  <c r="A22" i="15" s="1"/>
  <c r="A23" i="15" s="1"/>
  <c r="D563" i="8"/>
  <c r="D566" i="8"/>
  <c r="D718" i="20"/>
  <c r="D1095" i="8"/>
  <c r="D1096" i="8"/>
  <c r="D1099" i="8"/>
  <c r="D1113" i="8"/>
  <c r="D1114" i="8"/>
  <c r="D1117" i="8"/>
  <c r="D1147" i="8"/>
  <c r="D1148" i="8"/>
  <c r="D1151" i="8"/>
  <c r="D1165" i="8"/>
  <c r="D1166" i="8"/>
  <c r="D1173" i="8"/>
  <c r="D1174" i="8"/>
  <c r="D1229" i="8"/>
  <c r="D1230" i="8"/>
  <c r="D1237" i="8"/>
  <c r="D1238" i="8"/>
  <c r="A1000" i="8"/>
  <c r="A1002" i="8" s="1"/>
  <c r="A1003" i="8" s="1"/>
  <c r="A1004" i="8" s="1"/>
  <c r="A1005" i="8" s="1"/>
  <c r="A1007" i="8" s="1"/>
  <c r="A1008" i="8" s="1"/>
  <c r="A1009" i="8" s="1"/>
  <c r="A1010" i="8" s="1"/>
  <c r="A1011" i="8" s="1"/>
  <c r="A1013" i="8" s="1"/>
  <c r="A1014" i="8" s="1"/>
  <c r="A1015" i="8" s="1"/>
  <c r="A1016" i="8" s="1"/>
  <c r="A1017" i="8" s="1"/>
  <c r="A1020" i="8" s="1"/>
  <c r="A1022" i="8" s="1"/>
  <c r="A1024" i="8" s="1"/>
  <c r="A1026" i="8" s="1"/>
  <c r="A1028" i="8" s="1"/>
  <c r="A1030" i="8" s="1"/>
  <c r="A1031" i="8" s="1"/>
  <c r="A1032" i="8" s="1"/>
  <c r="A1033" i="8" s="1"/>
  <c r="A1035" i="8" s="1"/>
  <c r="A1036" i="8" s="1"/>
  <c r="A1037" i="8" s="1"/>
  <c r="A1038" i="8" s="1"/>
  <c r="A1039" i="8" s="1"/>
  <c r="A1041" i="8" s="1"/>
  <c r="A1042" i="8" s="1"/>
  <c r="A1043" i="8" s="1"/>
  <c r="A1044" i="8" s="1"/>
  <c r="A1045" i="8" s="1"/>
  <c r="A1048" i="8" s="1"/>
  <c r="A1050" i="8" s="1"/>
  <c r="A1052" i="8" s="1"/>
  <c r="A819" i="8"/>
  <c r="A821" i="8" s="1"/>
  <c r="A822" i="8" s="1"/>
  <c r="A823" i="8" s="1"/>
  <c r="A825" i="8" s="1"/>
  <c r="A826" i="8" s="1"/>
  <c r="A828" i="8" s="1"/>
  <c r="A830" i="8" s="1"/>
  <c r="A832" i="8" s="1"/>
  <c r="A834" i="8" s="1"/>
  <c r="A835" i="8" s="1"/>
  <c r="A836" i="8" s="1"/>
  <c r="A837" i="8" s="1"/>
  <c r="A839" i="8" s="1"/>
  <c r="A65" i="8"/>
  <c r="A66" i="8" s="1"/>
  <c r="A67" i="8" s="1"/>
  <c r="A68" i="8" s="1"/>
  <c r="A69" i="8" s="1"/>
  <c r="A70" i="8" s="1"/>
  <c r="A72" i="8" s="1"/>
  <c r="A73" i="8" s="1"/>
  <c r="A74" i="8" s="1"/>
  <c r="A75" i="8" s="1"/>
  <c r="A76" i="8" s="1"/>
  <c r="A77" i="8" s="1"/>
  <c r="A79" i="8" s="1"/>
  <c r="A80" i="8" s="1"/>
  <c r="A81" i="8" s="1"/>
  <c r="A82" i="8" s="1"/>
  <c r="A83" i="8" s="1"/>
  <c r="A84" i="8" s="1"/>
  <c r="A86" i="8" s="1"/>
  <c r="A87" i="8" s="1"/>
  <c r="A88" i="8" s="1"/>
  <c r="A89" i="8" s="1"/>
  <c r="A90" i="8" s="1"/>
  <c r="A91" i="8" s="1"/>
  <c r="A649" i="8"/>
  <c r="A651" i="8" s="1"/>
  <c r="A652" i="8" s="1"/>
  <c r="A653" i="8" s="1"/>
  <c r="A655" i="8" s="1"/>
  <c r="A656" i="8" s="1"/>
  <c r="A657" i="8" s="1"/>
  <c r="A658" i="8" s="1"/>
  <c r="A659" i="8" s="1"/>
  <c r="A661" i="8" s="1"/>
  <c r="A662" i="8" s="1"/>
  <c r="A663" i="8" s="1"/>
  <c r="A664" i="8" s="1"/>
  <c r="A665" i="8" s="1"/>
  <c r="A668" i="8" s="1"/>
  <c r="A670" i="8" s="1"/>
  <c r="A672" i="8" s="1"/>
  <c r="A674" i="8" s="1"/>
  <c r="A675" i="8" s="1"/>
  <c r="A677" i="8" s="1"/>
  <c r="A1202" i="8"/>
  <c r="A1204" i="8" s="1"/>
  <c r="A1205" i="8" s="1"/>
  <c r="A1206" i="8" s="1"/>
  <c r="A1207" i="8" s="1"/>
  <c r="A1209" i="8" s="1"/>
  <c r="A1210" i="8" s="1"/>
  <c r="A1211" i="8" s="1"/>
  <c r="A1213" i="8" s="1"/>
  <c r="A1214" i="8" s="1"/>
  <c r="A1215" i="8" s="1"/>
  <c r="A1218" i="8" s="1"/>
  <c r="A1220" i="8" s="1"/>
  <c r="A1222" i="8" s="1"/>
  <c r="A1224" i="8" s="1"/>
  <c r="A1226" i="8" s="1"/>
  <c r="A1228" i="8" s="1"/>
  <c r="A1229" i="8" s="1"/>
  <c r="A1230" i="8" s="1"/>
  <c r="A1232" i="8" s="1"/>
  <c r="A1233" i="8" s="1"/>
  <c r="A1234" i="8" s="1"/>
  <c r="A1236" i="8" s="1"/>
  <c r="A1237" i="8" s="1"/>
  <c r="A1238" i="8" s="1"/>
  <c r="A1241" i="8" s="1"/>
  <c r="A1243" i="8" s="1"/>
  <c r="A1245" i="8" s="1"/>
  <c r="A1144" i="8"/>
  <c r="A1146" i="8" s="1"/>
  <c r="A1147" i="8" s="1"/>
  <c r="A1148" i="8" s="1"/>
  <c r="A1150" i="8" s="1"/>
  <c r="A1151" i="8" s="1"/>
  <c r="A1153" i="8" s="1"/>
  <c r="A1155" i="8" s="1"/>
  <c r="A1157" i="8" s="1"/>
  <c r="A1160" i="8" s="1"/>
  <c r="A1162" i="8" s="1"/>
  <c r="A1164" i="8" s="1"/>
  <c r="A1165" i="8" s="1"/>
  <c r="A1166" i="8" s="1"/>
  <c r="A1168" i="8" s="1"/>
  <c r="A1169" i="8" s="1"/>
  <c r="A1170" i="8" s="1"/>
  <c r="A1172" i="8" s="1"/>
  <c r="A1173" i="8" s="1"/>
  <c r="A1174" i="8" s="1"/>
  <c r="A1177" i="8" s="1"/>
  <c r="A1179" i="8" s="1"/>
  <c r="A1181" i="8" s="1"/>
  <c r="A1074" i="8"/>
  <c r="A1076" i="8" s="1"/>
  <c r="A1077" i="8" s="1"/>
  <c r="A1078" i="8" s="1"/>
  <c r="A1080" i="8" s="1"/>
  <c r="A1081" i="8" s="1"/>
  <c r="A1083" i="8" s="1"/>
  <c r="A1085" i="8" s="1"/>
  <c r="A1087" i="8" s="1"/>
  <c r="A1090" i="8" s="1"/>
  <c r="A1092" i="8" s="1"/>
  <c r="A1094" i="8" s="1"/>
  <c r="A1095" i="8" s="1"/>
  <c r="A1096" i="8" s="1"/>
  <c r="A1098" i="8" s="1"/>
  <c r="A1099" i="8" s="1"/>
  <c r="A1101" i="8" s="1"/>
  <c r="A1103" i="8" s="1"/>
  <c r="A1105" i="8" s="1"/>
  <c r="A1108" i="8" s="1"/>
  <c r="A1110" i="8" s="1"/>
  <c r="A1112" i="8" s="1"/>
  <c r="A1113" i="8" s="1"/>
  <c r="A1114" i="8" s="1"/>
  <c r="A1116" i="8" s="1"/>
  <c r="A1117" i="8" s="1"/>
  <c r="A1119" i="8" s="1"/>
  <c r="A1121" i="8" s="1"/>
  <c r="A1123" i="8" s="1"/>
  <c r="D532" i="8"/>
  <c r="D498" i="8"/>
  <c r="D481" i="8"/>
  <c r="A19" i="14"/>
  <c r="A20" i="14" s="1"/>
  <c r="A21" i="14" s="1"/>
  <c r="A22" i="14" s="1"/>
  <c r="A1" i="3"/>
  <c r="A3" i="3"/>
  <c r="A1" i="5"/>
  <c r="A3" i="5"/>
  <c r="A1" i="15"/>
  <c r="A3" i="15"/>
  <c r="AD86" i="1"/>
  <c r="A4" i="14"/>
  <c r="J10" i="14"/>
  <c r="A2" i="14"/>
  <c r="A2" i="22" s="1"/>
  <c r="A50" i="22" s="1"/>
  <c r="A1" i="14"/>
  <c r="D622" i="8"/>
  <c r="D619" i="8"/>
  <c r="D604" i="8"/>
  <c r="D603" i="8"/>
  <c r="D596" i="8"/>
  <c r="D549" i="8"/>
  <c r="D546" i="8"/>
  <c r="D529" i="8"/>
  <c r="D495" i="8"/>
  <c r="D478" i="8"/>
  <c r="D464" i="8"/>
  <c r="D461" i="8"/>
  <c r="D430" i="8"/>
  <c r="D427" i="8"/>
  <c r="A632" i="8"/>
  <c r="A633" i="8"/>
  <c r="A1188" i="8"/>
  <c r="A1186" i="8"/>
  <c r="A1185" i="8"/>
  <c r="A1130" i="8"/>
  <c r="A1128" i="8"/>
  <c r="A1127" i="8"/>
  <c r="A1060" i="8"/>
  <c r="A1058" i="8"/>
  <c r="A1057" i="8"/>
  <c r="A986" i="8"/>
  <c r="A984" i="8"/>
  <c r="A983" i="8"/>
  <c r="A805" i="8"/>
  <c r="A803" i="8"/>
  <c r="A802" i="8"/>
  <c r="A736" i="8"/>
  <c r="A734" i="8"/>
  <c r="A733" i="8"/>
  <c r="A685" i="8"/>
  <c r="A683" i="8"/>
  <c r="A682" i="8"/>
  <c r="A635" i="8"/>
  <c r="A579" i="8"/>
  <c r="A577" i="8"/>
  <c r="A576" i="8"/>
  <c r="A512" i="8"/>
  <c r="A510" i="8"/>
  <c r="A509" i="8"/>
  <c r="A458" i="8"/>
  <c r="A460" i="8" s="1"/>
  <c r="A461" i="8" s="1"/>
  <c r="A463" i="8" s="1"/>
  <c r="A464" i="8" s="1"/>
  <c r="A466" i="8" s="1"/>
  <c r="A468" i="8" s="1"/>
  <c r="A470" i="8" s="1"/>
  <c r="A473" i="8" s="1"/>
  <c r="A475" i="8" s="1"/>
  <c r="A477" i="8" s="1"/>
  <c r="A478" i="8" s="1"/>
  <c r="A480" i="8" s="1"/>
  <c r="A481" i="8" s="1"/>
  <c r="A483" i="8" s="1"/>
  <c r="A485" i="8" s="1"/>
  <c r="A487" i="8" s="1"/>
  <c r="A490" i="8" s="1"/>
  <c r="A492" i="8" s="1"/>
  <c r="A494" i="8" s="1"/>
  <c r="A495" i="8" s="1"/>
  <c r="A497" i="8" s="1"/>
  <c r="A498" i="8" s="1"/>
  <c r="A500" i="8" s="1"/>
  <c r="A502" i="8" s="1"/>
  <c r="A504" i="8" s="1"/>
  <c r="A444" i="8"/>
  <c r="A442" i="8"/>
  <c r="A441" i="8"/>
  <c r="A384" i="8"/>
  <c r="A382" i="8"/>
  <c r="A381" i="8"/>
  <c r="A275" i="8"/>
  <c r="A273" i="8"/>
  <c r="A272" i="8"/>
  <c r="A48" i="8"/>
  <c r="A47" i="8"/>
  <c r="A50" i="8"/>
  <c r="K95" i="3"/>
  <c r="L659" i="8" s="1"/>
  <c r="G95" i="3"/>
  <c r="N94" i="3"/>
  <c r="O655" i="20" s="1"/>
  <c r="J94" i="3"/>
  <c r="F94" i="3"/>
  <c r="N95" i="3"/>
  <c r="O656" i="20" s="1"/>
  <c r="J95" i="3"/>
  <c r="F95" i="3"/>
  <c r="I94" i="3"/>
  <c r="E94" i="3"/>
  <c r="F655" i="20" s="1"/>
  <c r="M95" i="3"/>
  <c r="E95" i="3"/>
  <c r="F656" i="20" s="1"/>
  <c r="L94" i="3"/>
  <c r="M655" i="20" s="1"/>
  <c r="H94" i="3"/>
  <c r="L95" i="3"/>
  <c r="M656" i="20" s="1"/>
  <c r="H95" i="3"/>
  <c r="I659" i="8" s="1"/>
  <c r="D95" i="3"/>
  <c r="K94" i="3"/>
  <c r="L658" i="8" s="1"/>
  <c r="G94" i="3"/>
  <c r="L92" i="3"/>
  <c r="M656" i="8" s="1"/>
  <c r="L33" i="5"/>
  <c r="H33" i="5"/>
  <c r="D86" i="3"/>
  <c r="D92" i="3" s="1"/>
  <c r="E656" i="8" s="1"/>
  <c r="D33" i="5"/>
  <c r="K92" i="3"/>
  <c r="K33" i="5"/>
  <c r="G92" i="3"/>
  <c r="H656" i="8" s="1"/>
  <c r="G33" i="5"/>
  <c r="N92" i="3"/>
  <c r="N33" i="5"/>
  <c r="J92" i="3"/>
  <c r="K656" i="8" s="1"/>
  <c r="J33" i="5"/>
  <c r="F92" i="3"/>
  <c r="G653" i="20" s="1"/>
  <c r="F33" i="5"/>
  <c r="M92" i="3"/>
  <c r="N653" i="20" s="1"/>
  <c r="M33" i="5"/>
  <c r="I92" i="3"/>
  <c r="I33" i="5"/>
  <c r="E92" i="3"/>
  <c r="F656" i="8" s="1"/>
  <c r="E33" i="5"/>
  <c r="M117" i="3"/>
  <c r="M168" i="3" s="1"/>
  <c r="D84" i="3"/>
  <c r="E84" i="3"/>
  <c r="G84" i="3"/>
  <c r="I84" i="3"/>
  <c r="J84" i="3"/>
  <c r="K84" i="3"/>
  <c r="L84" i="3"/>
  <c r="M84" i="3"/>
  <c r="N84" i="3"/>
  <c r="D409" i="8"/>
  <c r="D434" i="8"/>
  <c r="D414" i="8"/>
  <c r="D670" i="8"/>
  <c r="D468" i="8"/>
  <c r="D720" i="8"/>
  <c r="D767" i="8"/>
  <c r="D790" i="8"/>
  <c r="D764" i="20"/>
  <c r="D787" i="20"/>
  <c r="D406" i="20"/>
  <c r="D431" i="20"/>
  <c r="D466" i="20"/>
  <c r="D667" i="20"/>
  <c r="J348" i="3"/>
  <c r="K1112" i="20" s="1"/>
  <c r="K308" i="20" s="1"/>
  <c r="E52" i="3"/>
  <c r="G330" i="3"/>
  <c r="H1098" i="8" s="1"/>
  <c r="H305" i="8" s="1"/>
  <c r="K42" i="3"/>
  <c r="L531" i="8" s="1"/>
  <c r="L102" i="8" s="1"/>
  <c r="E76" i="3"/>
  <c r="F618" i="20" s="1"/>
  <c r="F149" i="20" s="1"/>
  <c r="N22" i="3"/>
  <c r="O426" i="20" s="1"/>
  <c r="O73" i="20" s="1"/>
  <c r="I27" i="3"/>
  <c r="E140" i="3"/>
  <c r="F22" i="3"/>
  <c r="D330" i="3"/>
  <c r="K186" i="3"/>
  <c r="L824" i="20" s="1"/>
  <c r="L224" i="20" s="1"/>
  <c r="I186" i="3"/>
  <c r="J824" i="20" s="1"/>
  <c r="J224" i="20" s="1"/>
  <c r="I140" i="3"/>
  <c r="N330" i="3"/>
  <c r="D47" i="3"/>
  <c r="I37" i="3"/>
  <c r="J497" i="8" s="1"/>
  <c r="J95" i="8" s="1"/>
  <c r="D37" i="3"/>
  <c r="E497" i="8" s="1"/>
  <c r="E95" i="8" s="1"/>
  <c r="N32" i="3"/>
  <c r="L27" i="3"/>
  <c r="L47" i="23" s="1"/>
  <c r="J27" i="3"/>
  <c r="J47" i="23" s="1"/>
  <c r="H27" i="3"/>
  <c r="H47" i="23" s="1"/>
  <c r="F27" i="3"/>
  <c r="F47" i="23" s="1"/>
  <c r="L140" i="3"/>
  <c r="L41" i="23" s="1"/>
  <c r="F330" i="3"/>
  <c r="E330" i="3"/>
  <c r="J186" i="3"/>
  <c r="K825" i="8" s="1"/>
  <c r="K229" i="8" s="1"/>
  <c r="G186" i="3"/>
  <c r="H825" i="8" s="1"/>
  <c r="M32" i="3"/>
  <c r="N480" i="8" s="1"/>
  <c r="N88" i="8" s="1"/>
  <c r="G32" i="3"/>
  <c r="F32" i="3"/>
  <c r="G480" i="8" s="1"/>
  <c r="G88" i="8" s="1"/>
  <c r="I22" i="3"/>
  <c r="I53" i="23" s="1"/>
  <c r="E22" i="3"/>
  <c r="E53" i="23" s="1"/>
  <c r="E54" i="23" s="1"/>
  <c r="M140" i="3"/>
  <c r="D42" i="3"/>
  <c r="E531" i="8" s="1"/>
  <c r="H47" i="3"/>
  <c r="I546" i="20" s="1"/>
  <c r="I128" i="20" s="1"/>
  <c r="M37" i="3"/>
  <c r="J32" i="3"/>
  <c r="K478" i="20" s="1"/>
  <c r="K87" i="20" s="1"/>
  <c r="E42" i="3"/>
  <c r="M186" i="3"/>
  <c r="G22" i="3"/>
  <c r="G53" i="23" s="1"/>
  <c r="D186" i="3"/>
  <c r="E824" i="20" s="1"/>
  <c r="J140" i="3"/>
  <c r="F140" i="3"/>
  <c r="L186" i="3"/>
  <c r="M825" i="8" s="1"/>
  <c r="M229" i="8" s="1"/>
  <c r="G76" i="3"/>
  <c r="H621" i="8" s="1"/>
  <c r="E348" i="3"/>
  <c r="E37" i="3"/>
  <c r="F497" i="8" s="1"/>
  <c r="F95" i="8" s="1"/>
  <c r="E186" i="3"/>
  <c r="E47" i="3"/>
  <c r="G348" i="3"/>
  <c r="H1116" i="8" s="1"/>
  <c r="H312" i="8" s="1"/>
  <c r="K140" i="3"/>
  <c r="L782" i="20" s="1"/>
  <c r="L197" i="20" s="1"/>
  <c r="J86" i="22" s="1"/>
  <c r="H140" i="3"/>
  <c r="I782" i="20" s="1"/>
  <c r="N249" i="3"/>
  <c r="J249" i="3"/>
  <c r="I249" i="3"/>
  <c r="L249" i="3"/>
  <c r="J17" i="2"/>
  <c r="K400" i="8" s="1"/>
  <c r="D17" i="2"/>
  <c r="E400" i="8" s="1"/>
  <c r="H186" i="3"/>
  <c r="I824" i="20" s="1"/>
  <c r="I224" i="20" s="1"/>
  <c r="E32" i="3"/>
  <c r="D140" i="3"/>
  <c r="D41" i="23" s="1"/>
  <c r="K249" i="3"/>
  <c r="G249" i="3"/>
  <c r="E249" i="3"/>
  <c r="D249" i="3"/>
  <c r="M249" i="3"/>
  <c r="H249" i="3"/>
  <c r="F249" i="3"/>
  <c r="N17" i="2"/>
  <c r="K17" i="2"/>
  <c r="L397" i="20" s="1"/>
  <c r="I17" i="2"/>
  <c r="J400" i="8" s="1"/>
  <c r="J66" i="8" s="1"/>
  <c r="M17" i="2"/>
  <c r="L17" i="2"/>
  <c r="H17" i="2"/>
  <c r="I397" i="20" s="1"/>
  <c r="F17" i="2"/>
  <c r="E17" i="2"/>
  <c r="A21" i="19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40" i="19" s="1"/>
  <c r="A42" i="19" s="1"/>
  <c r="A44" i="19" s="1"/>
  <c r="A45" i="19" s="1"/>
  <c r="A46" i="19" s="1"/>
  <c r="A47" i="19" s="1"/>
  <c r="A48" i="19" s="1"/>
  <c r="A52" i="19" s="1"/>
  <c r="A53" i="19" s="1"/>
  <c r="A54" i="19" s="1"/>
  <c r="A55" i="19" s="1"/>
  <c r="A57" i="19" s="1"/>
  <c r="A59" i="19" s="1"/>
  <c r="P58" i="5"/>
  <c r="H17" i="3"/>
  <c r="I404" i="8" s="1"/>
  <c r="O17" i="2"/>
  <c r="D17" i="3"/>
  <c r="E401" i="20" s="1"/>
  <c r="E66" i="20" s="1"/>
  <c r="K17" i="3"/>
  <c r="L404" i="8" s="1"/>
  <c r="J17" i="3"/>
  <c r="K401" i="20" s="1"/>
  <c r="I17" i="3"/>
  <c r="J404" i="8" s="1"/>
  <c r="L17" i="3"/>
  <c r="L17" i="23" s="1"/>
  <c r="L18" i="23" s="1"/>
  <c r="M17" i="3"/>
  <c r="N404" i="8" s="1"/>
  <c r="F17" i="3"/>
  <c r="F17" i="23" s="1"/>
  <c r="F18" i="23" s="1"/>
  <c r="G17" i="3"/>
  <c r="N17" i="3"/>
  <c r="E17" i="3"/>
  <c r="F401" i="20" s="1"/>
  <c r="O17" i="3"/>
  <c r="P404" i="8" s="1"/>
  <c r="G17" i="2"/>
  <c r="L180" i="2"/>
  <c r="L182" i="2" s="1"/>
  <c r="K59" i="5"/>
  <c r="J180" i="2"/>
  <c r="J182" i="2" s="1"/>
  <c r="K933" i="20" s="1"/>
  <c r="K180" i="2"/>
  <c r="N59" i="5"/>
  <c r="O851" i="8"/>
  <c r="A68" i="3"/>
  <c r="A69" i="3" s="1"/>
  <c r="A70" i="3" s="1"/>
  <c r="E57" i="14"/>
  <c r="G57" i="14" s="1"/>
  <c r="C292" i="20"/>
  <c r="C1068" i="20" s="1"/>
  <c r="D960" i="20"/>
  <c r="D935" i="20"/>
  <c r="D672" i="20"/>
  <c r="D723" i="20"/>
  <c r="D792" i="20"/>
  <c r="D769" i="20"/>
  <c r="D412" i="20"/>
  <c r="C12" i="27" l="1"/>
  <c r="E48" i="23"/>
  <c r="N42" i="23"/>
  <c r="F48" i="23"/>
  <c r="O54" i="23"/>
  <c r="C222" i="20"/>
  <c r="C816" i="20" s="1"/>
  <c r="C236" i="20"/>
  <c r="C885" i="20" s="1"/>
  <c r="C26" i="19"/>
  <c r="C234" i="8"/>
  <c r="C842" i="8" s="1"/>
  <c r="C195" i="20"/>
  <c r="C774" i="20" s="1"/>
  <c r="C129" i="8"/>
  <c r="C541" i="8" s="1"/>
  <c r="C64" i="20"/>
  <c r="C393" i="20" s="1"/>
  <c r="C255" i="8"/>
  <c r="C957" i="8" s="1"/>
  <c r="C188" i="20"/>
  <c r="C745" i="20" s="1"/>
  <c r="C227" i="8"/>
  <c r="C817" i="8" s="1"/>
  <c r="C250" i="20"/>
  <c r="C954" i="20" s="1"/>
  <c r="C93" i="8"/>
  <c r="C490" i="8" s="1"/>
  <c r="C317" i="8"/>
  <c r="C1142" i="8" s="1"/>
  <c r="C22" i="19"/>
  <c r="C229" i="20"/>
  <c r="C841" i="20" s="1"/>
  <c r="C296" i="8"/>
  <c r="C1072" i="8" s="1"/>
  <c r="C157" i="8"/>
  <c r="C647" i="8" s="1"/>
  <c r="C347" i="20"/>
  <c r="C1197" i="20" s="1"/>
  <c r="C262" i="8"/>
  <c r="C998" i="8" s="1"/>
  <c r="C313" i="20"/>
  <c r="C1138" i="20" s="1"/>
  <c r="C143" i="8"/>
  <c r="C591" i="8" s="1"/>
  <c r="C85" i="20"/>
  <c r="C471" i="20" s="1"/>
  <c r="C248" i="8"/>
  <c r="C932" i="8" s="1"/>
  <c r="C303" i="8"/>
  <c r="C1090" i="8" s="1"/>
  <c r="C299" i="20"/>
  <c r="C1086" i="20" s="1"/>
  <c r="C33" i="19"/>
  <c r="C17" i="19"/>
  <c r="C71" i="20"/>
  <c r="C419" i="20" s="1"/>
  <c r="C147" i="20"/>
  <c r="C611" i="20" s="1"/>
  <c r="A23" i="14"/>
  <c r="A24" i="14" s="1"/>
  <c r="A25" i="14" s="1"/>
  <c r="A26" i="14" s="1"/>
  <c r="A27" i="14" s="1"/>
  <c r="A28" i="14" s="1"/>
  <c r="A29" i="14" s="1"/>
  <c r="A30" i="14" s="1"/>
  <c r="A31" i="14" s="1"/>
  <c r="A32" i="14" s="1"/>
  <c r="A34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1" i="14" s="1"/>
  <c r="A53" i="14" s="1"/>
  <c r="A55" i="14" s="1"/>
  <c r="A56" i="14" s="1"/>
  <c r="A57" i="14" s="1"/>
  <c r="A58" i="14" s="1"/>
  <c r="A59" i="14" s="1"/>
  <c r="A61" i="14" s="1"/>
  <c r="A63" i="14" s="1"/>
  <c r="C324" i="8"/>
  <c r="C1160" i="8" s="1"/>
  <c r="C320" i="20"/>
  <c r="C1156" i="20" s="1"/>
  <c r="C289" i="8"/>
  <c r="C1026" i="8" s="1"/>
  <c r="C72" i="8"/>
  <c r="C422" i="8" s="1"/>
  <c r="C199" i="8"/>
  <c r="C777" i="8" s="1"/>
  <c r="C154" i="20"/>
  <c r="C644" i="20" s="1"/>
  <c r="C181" i="20"/>
  <c r="C695" i="20" s="1"/>
  <c r="C185" i="8"/>
  <c r="C697" i="8" s="1"/>
  <c r="A92" i="20"/>
  <c r="A93" i="20" s="1"/>
  <c r="A94" i="20" s="1"/>
  <c r="A95" i="20" s="1"/>
  <c r="A96" i="20" s="1"/>
  <c r="A97" i="20" s="1"/>
  <c r="P159" i="3"/>
  <c r="A842" i="8"/>
  <c r="A844" i="8" s="1"/>
  <c r="A846" i="8" s="1"/>
  <c r="A847" i="8" s="1"/>
  <c r="A848" i="8" s="1"/>
  <c r="A850" i="8" s="1"/>
  <c r="A851" i="8" s="1"/>
  <c r="A852" i="8" s="1"/>
  <c r="A853" i="8" s="1"/>
  <c r="A854" i="8" s="1"/>
  <c r="A856" i="8" s="1"/>
  <c r="A857" i="8" s="1"/>
  <c r="A858" i="8" s="1"/>
  <c r="A859" i="8" s="1"/>
  <c r="A860" i="8" s="1"/>
  <c r="A863" i="8" s="1"/>
  <c r="A865" i="8" s="1"/>
  <c r="A867" i="8" s="1"/>
  <c r="A889" i="8" s="1"/>
  <c r="A891" i="8" s="1"/>
  <c r="A892" i="8" s="1"/>
  <c r="A893" i="8" s="1"/>
  <c r="A895" i="8" s="1"/>
  <c r="A896" i="8" s="1"/>
  <c r="A897" i="8" s="1"/>
  <c r="A898" i="8" s="1"/>
  <c r="A899" i="8" s="1"/>
  <c r="A901" i="8" s="1"/>
  <c r="A902" i="8" s="1"/>
  <c r="A903" i="8" s="1"/>
  <c r="A904" i="8" s="1"/>
  <c r="A905" i="8" s="1"/>
  <c r="A908" i="8" s="1"/>
  <c r="A910" i="8" s="1"/>
  <c r="A912" i="8" s="1"/>
  <c r="A934" i="8" s="1"/>
  <c r="A936" i="8" s="1"/>
  <c r="A937" i="8" s="1"/>
  <c r="A938" i="8" s="1"/>
  <c r="A939" i="8" s="1"/>
  <c r="A941" i="8" s="1"/>
  <c r="A942" i="8" s="1"/>
  <c r="A943" i="8" s="1"/>
  <c r="A945" i="8" s="1"/>
  <c r="A946" i="8" s="1"/>
  <c r="A947" i="8" s="1"/>
  <c r="A950" i="8" s="1"/>
  <c r="A952" i="8" s="1"/>
  <c r="A954" i="8" s="1"/>
  <c r="A957" i="8" s="1"/>
  <c r="A959" i="8" s="1"/>
  <c r="A961" i="8" s="1"/>
  <c r="A962" i="8" s="1"/>
  <c r="A963" i="8" s="1"/>
  <c r="A964" i="8" s="1"/>
  <c r="A966" i="8" s="1"/>
  <c r="A967" i="8" s="1"/>
  <c r="A968" i="8" s="1"/>
  <c r="A970" i="8" s="1"/>
  <c r="A971" i="8" s="1"/>
  <c r="A972" i="8" s="1"/>
  <c r="A975" i="8" s="1"/>
  <c r="A977" i="8" s="1"/>
  <c r="A979" i="8" s="1"/>
  <c r="A303" i="8"/>
  <c r="A304" i="8" s="1"/>
  <c r="A305" i="8" s="1"/>
  <c r="A306" i="8" s="1"/>
  <c r="A307" i="8" s="1"/>
  <c r="A308" i="8" s="1"/>
  <c r="A310" i="8" s="1"/>
  <c r="A311" i="8" s="1"/>
  <c r="A312" i="8" s="1"/>
  <c r="A313" i="8" s="1"/>
  <c r="A314" i="8" s="1"/>
  <c r="A315" i="8" s="1"/>
  <c r="A317" i="8" s="1"/>
  <c r="A318" i="8" s="1"/>
  <c r="A319" i="8" s="1"/>
  <c r="A320" i="8" s="1"/>
  <c r="A321" i="8" s="1"/>
  <c r="A322" i="8" s="1"/>
  <c r="A324" i="8" s="1"/>
  <c r="A325" i="8" s="1"/>
  <c r="A326" i="8" s="1"/>
  <c r="A327" i="8" s="1"/>
  <c r="A328" i="8" s="1"/>
  <c r="A329" i="8" s="1"/>
  <c r="A352" i="8" s="1"/>
  <c r="A353" i="8" s="1"/>
  <c r="A354" i="8" s="1"/>
  <c r="A355" i="8" s="1"/>
  <c r="A356" i="8" s="1"/>
  <c r="A358" i="8" s="1"/>
  <c r="A359" i="8" s="1"/>
  <c r="A360" i="8" s="1"/>
  <c r="A361" i="8" s="1"/>
  <c r="A362" i="8" s="1"/>
  <c r="A363" i="8" s="1"/>
  <c r="A365" i="8" s="1"/>
  <c r="A367" i="8" s="1"/>
  <c r="A369" i="8" s="1"/>
  <c r="A370" i="8" s="1"/>
  <c r="A371" i="8" s="1"/>
  <c r="A372" i="8" s="1"/>
  <c r="A373" i="8" s="1"/>
  <c r="A375" i="8" s="1"/>
  <c r="A377" i="8" s="1"/>
  <c r="A93" i="8"/>
  <c r="A94" i="8" s="1"/>
  <c r="A95" i="8" s="1"/>
  <c r="A96" i="8" s="1"/>
  <c r="A97" i="8" s="1"/>
  <c r="A98" i="8" s="1"/>
  <c r="A100" i="8" s="1"/>
  <c r="A101" i="8" s="1"/>
  <c r="A102" i="8" s="1"/>
  <c r="A103" i="8" s="1"/>
  <c r="A104" i="8" s="1"/>
  <c r="A105" i="8" s="1"/>
  <c r="A130" i="8" s="1"/>
  <c r="A131" i="8" s="1"/>
  <c r="A132" i="8" s="1"/>
  <c r="A133" i="8" s="1"/>
  <c r="A134" i="8" s="1"/>
  <c r="A163" i="2"/>
  <c r="A164" i="2" s="1"/>
  <c r="A166" i="2" s="1"/>
  <c r="A167" i="2" s="1"/>
  <c r="A168" i="2" s="1"/>
  <c r="A169" i="2" s="1"/>
  <c r="A170" i="2" s="1"/>
  <c r="A172" i="2" s="1"/>
  <c r="A173" i="2" s="1"/>
  <c r="A174" i="2" s="1"/>
  <c r="A175" i="2" s="1"/>
  <c r="A176" i="2" s="1"/>
  <c r="A178" i="2" s="1"/>
  <c r="A179" i="2" s="1"/>
  <c r="A180" i="2" s="1"/>
  <c r="A181" i="2" s="1"/>
  <c r="A182" i="2" s="1"/>
  <c r="A184" i="2" s="1"/>
  <c r="A185" i="2" s="1"/>
  <c r="A186" i="2" s="1"/>
  <c r="A187" i="2" s="1"/>
  <c r="A188" i="2" s="1"/>
  <c r="A190" i="2" s="1"/>
  <c r="A191" i="2" s="1"/>
  <c r="A192" i="2" s="1"/>
  <c r="A193" i="2" s="1"/>
  <c r="A194" i="2" s="1"/>
  <c r="L144" i="2"/>
  <c r="N144" i="2"/>
  <c r="H144" i="2"/>
  <c r="D144" i="2"/>
  <c r="J144" i="2"/>
  <c r="M144" i="2"/>
  <c r="F144" i="2"/>
  <c r="A16" i="2"/>
  <c r="A17" i="2" s="1"/>
  <c r="A19" i="2" s="1"/>
  <c r="A20" i="2" s="1"/>
  <c r="P127" i="2"/>
  <c r="P781" i="8"/>
  <c r="P782" i="8" s="1"/>
  <c r="P1279" i="8" s="1"/>
  <c r="I1074" i="20"/>
  <c r="N526" i="20"/>
  <c r="N527" i="20" s="1"/>
  <c r="J1002" i="8"/>
  <c r="J1004" i="8" s="1"/>
  <c r="J492" i="20"/>
  <c r="J93" i="20" s="1"/>
  <c r="D145" i="2"/>
  <c r="F13" i="19"/>
  <c r="F36" i="26"/>
  <c r="F37" i="26"/>
  <c r="F40" i="26"/>
  <c r="F39" i="26"/>
  <c r="I39" i="26" s="1"/>
  <c r="A678" i="20"/>
  <c r="J1233" i="20"/>
  <c r="J356" i="20" s="1"/>
  <c r="A376" i="20"/>
  <c r="A728" i="20"/>
  <c r="A1248" i="20"/>
  <c r="A573" i="20"/>
  <c r="I780" i="20"/>
  <c r="I1280" i="20" s="1"/>
  <c r="F406" i="20"/>
  <c r="F68" i="20" s="1"/>
  <c r="L1332" i="20"/>
  <c r="Q240" i="20"/>
  <c r="Q358" i="20"/>
  <c r="M751" i="20"/>
  <c r="H1235" i="20"/>
  <c r="J1332" i="20"/>
  <c r="A1122" i="20"/>
  <c r="A797" i="20"/>
  <c r="A869" i="20"/>
  <c r="L399" i="20"/>
  <c r="L1254" i="20" s="1"/>
  <c r="Q130" i="20"/>
  <c r="Q137" i="20"/>
  <c r="O1332" i="20"/>
  <c r="Q233" i="20"/>
  <c r="Q324" i="20"/>
  <c r="Q351" i="20"/>
  <c r="K1236" i="20"/>
  <c r="O1236" i="20"/>
  <c r="Q226" i="20"/>
  <c r="F1332" i="20"/>
  <c r="N1332" i="20"/>
  <c r="Q310" i="20"/>
  <c r="A913" i="20"/>
  <c r="K406" i="20"/>
  <c r="K68" i="20" s="1"/>
  <c r="F544" i="20"/>
  <c r="I1147" i="20"/>
  <c r="E427" i="20"/>
  <c r="Q151" i="20"/>
  <c r="Q254" i="20"/>
  <c r="Q261" i="20"/>
  <c r="Q303" i="20"/>
  <c r="Q317" i="20"/>
  <c r="G1332" i="20"/>
  <c r="Q296" i="20"/>
  <c r="Q96" i="20"/>
  <c r="E1234" i="8"/>
  <c r="Q1234" i="8" s="1"/>
  <c r="P394" i="3"/>
  <c r="E1233" i="8"/>
  <c r="Q1233" i="8" s="1"/>
  <c r="P393" i="3"/>
  <c r="Q103" i="20"/>
  <c r="J1147" i="20"/>
  <c r="J1236" i="20"/>
  <c r="N1236" i="20"/>
  <c r="P1332" i="20"/>
  <c r="P1236" i="20"/>
  <c r="K601" i="20"/>
  <c r="I822" i="20"/>
  <c r="I1299" i="20" s="1"/>
  <c r="K1092" i="20"/>
  <c r="Q89" i="20"/>
  <c r="H1236" i="20"/>
  <c r="L1236" i="20"/>
  <c r="J1002" i="20"/>
  <c r="Q144" i="20"/>
  <c r="K1332" i="20"/>
  <c r="H1332" i="20"/>
  <c r="Q247" i="20"/>
  <c r="Q289" i="20"/>
  <c r="E1236" i="20"/>
  <c r="I1236" i="20"/>
  <c r="M1236" i="20"/>
  <c r="A1052" i="20"/>
  <c r="K544" i="20"/>
  <c r="G1162" i="20"/>
  <c r="A628" i="20"/>
  <c r="M1235" i="20"/>
  <c r="J602" i="20"/>
  <c r="N1170" i="20"/>
  <c r="M1169" i="20"/>
  <c r="G602" i="20"/>
  <c r="M1170" i="20"/>
  <c r="A979" i="20"/>
  <c r="A1180" i="20"/>
  <c r="O961" i="20"/>
  <c r="A375" i="20"/>
  <c r="A436" i="20"/>
  <c r="A505" i="20"/>
  <c r="O1235" i="20"/>
  <c r="H1204" i="20"/>
  <c r="P780" i="20"/>
  <c r="P1280" i="20" s="1"/>
  <c r="P1235" i="20"/>
  <c r="N601" i="20"/>
  <c r="L1170" i="20"/>
  <c r="O1169" i="20"/>
  <c r="K1169" i="20"/>
  <c r="G1169" i="20"/>
  <c r="C30" i="19"/>
  <c r="C100" i="8"/>
  <c r="C524" i="8" s="1"/>
  <c r="C79" i="8"/>
  <c r="C456" i="8" s="1"/>
  <c r="C257" i="20"/>
  <c r="C995" i="20" s="1"/>
  <c r="C136" i="8"/>
  <c r="C558" i="8" s="1"/>
  <c r="C351" i="8"/>
  <c r="C1200" i="8" s="1"/>
  <c r="C27" i="19"/>
  <c r="C310" i="8"/>
  <c r="C1108" i="8" s="1"/>
  <c r="C37" i="19"/>
  <c r="C19" i="19"/>
  <c r="C354" i="20"/>
  <c r="C1222" i="20" s="1"/>
  <c r="A915" i="8"/>
  <c r="K414" i="8"/>
  <c r="K1257" i="8" s="1"/>
  <c r="K1291" i="8" s="1"/>
  <c r="E58" i="14"/>
  <c r="G58" i="14" s="1"/>
  <c r="B1072" i="8"/>
  <c r="E401" i="8"/>
  <c r="F1332" i="8"/>
  <c r="N712" i="8"/>
  <c r="C25" i="22"/>
  <c r="O25" i="22" s="1"/>
  <c r="Q375" i="8"/>
  <c r="R1353" i="8"/>
  <c r="B1090" i="8"/>
  <c r="N416" i="8"/>
  <c r="N1259" i="8" s="1"/>
  <c r="N1293" i="8" s="1"/>
  <c r="L405" i="8"/>
  <c r="M1215" i="8"/>
  <c r="Q367" i="20"/>
  <c r="H38" i="26" s="1"/>
  <c r="E59" i="14"/>
  <c r="G59" i="14" s="1"/>
  <c r="I59" i="14" s="1"/>
  <c r="J59" i="14" s="1"/>
  <c r="E56" i="14"/>
  <c r="G56" i="14" s="1"/>
  <c r="I56" i="14" s="1"/>
  <c r="J56" i="14" s="1"/>
  <c r="Q266" i="8"/>
  <c r="Q307" i="8"/>
  <c r="I1215" i="8"/>
  <c r="H622" i="8"/>
  <c r="P714" i="8"/>
  <c r="A57" i="15"/>
  <c r="A59" i="15" s="1"/>
  <c r="A60" i="15" s="1"/>
  <c r="A25" i="15"/>
  <c r="A26" i="15" s="1"/>
  <c r="A27" i="15" s="1"/>
  <c r="A28" i="15" s="1"/>
  <c r="P416" i="8"/>
  <c r="P1259" i="8" s="1"/>
  <c r="P1293" i="8" s="1"/>
  <c r="E55" i="14"/>
  <c r="G55" i="14" s="1"/>
  <c r="J416" i="8"/>
  <c r="J1259" i="8" s="1"/>
  <c r="J1293" i="8" s="1"/>
  <c r="M1332" i="8"/>
  <c r="E1332" i="8"/>
  <c r="G1151" i="8"/>
  <c r="N1238" i="8"/>
  <c r="J1238" i="8"/>
  <c r="F1238" i="8"/>
  <c r="N822" i="8"/>
  <c r="N1298" i="8" s="1"/>
  <c r="O892" i="8"/>
  <c r="H1230" i="8"/>
  <c r="Q140" i="8"/>
  <c r="K1045" i="8"/>
  <c r="E402" i="8"/>
  <c r="E1254" i="8" s="1"/>
  <c r="Q33" i="20"/>
  <c r="I57" i="14"/>
  <c r="J57" i="14" s="1"/>
  <c r="H1016" i="8"/>
  <c r="H1042" i="8"/>
  <c r="Q31" i="20"/>
  <c r="N762" i="8"/>
  <c r="I762" i="8"/>
  <c r="Q369" i="20"/>
  <c r="H40" i="26" s="1"/>
  <c r="Q366" i="20"/>
  <c r="H37" i="26" s="1"/>
  <c r="N1015" i="8"/>
  <c r="J1015" i="8"/>
  <c r="J1045" i="8"/>
  <c r="Q104" i="8"/>
  <c r="Q133" i="8"/>
  <c r="Q154" i="8"/>
  <c r="Q238" i="8"/>
  <c r="Q245" i="8"/>
  <c r="Q259" i="8"/>
  <c r="Q314" i="8"/>
  <c r="Q321" i="8"/>
  <c r="Q328" i="8"/>
  <c r="Q355" i="8"/>
  <c r="Q362" i="8"/>
  <c r="Q33" i="8"/>
  <c r="Q32" i="8"/>
  <c r="Q30" i="8"/>
  <c r="O1077" i="8"/>
  <c r="L664" i="8"/>
  <c r="J1151" i="8"/>
  <c r="M1238" i="8"/>
  <c r="I1238" i="8"/>
  <c r="Q97" i="8"/>
  <c r="P1332" i="8"/>
  <c r="P715" i="8"/>
  <c r="R1345" i="8"/>
  <c r="O761" i="8"/>
  <c r="H857" i="8"/>
  <c r="E905" i="8"/>
  <c r="L902" i="8"/>
  <c r="N971" i="8"/>
  <c r="F971" i="8"/>
  <c r="A1184" i="8"/>
  <c r="A1126" i="8"/>
  <c r="A1055" i="8"/>
  <c r="A982" i="8"/>
  <c r="A800" i="8"/>
  <c r="A631" i="8"/>
  <c r="A575" i="8"/>
  <c r="A730" i="8"/>
  <c r="A680" i="8"/>
  <c r="A1248" i="8"/>
  <c r="A507" i="8"/>
  <c r="Q90" i="8"/>
  <c r="Q147" i="8"/>
  <c r="O1332" i="8"/>
  <c r="G1332" i="8"/>
  <c r="Q252" i="8"/>
  <c r="Q293" i="8"/>
  <c r="Q300" i="8"/>
  <c r="Q29" i="8"/>
  <c r="Q31" i="8"/>
  <c r="H1332" i="8"/>
  <c r="I1237" i="8"/>
  <c r="F1148" i="8"/>
  <c r="Q231" i="8"/>
  <c r="L665" i="8"/>
  <c r="A439" i="8"/>
  <c r="E32" i="20"/>
  <c r="Q32" i="20" s="1"/>
  <c r="Q368" i="20"/>
  <c r="H39" i="26" s="1"/>
  <c r="N604" i="8"/>
  <c r="E860" i="8"/>
  <c r="G860" i="8"/>
  <c r="N859" i="8"/>
  <c r="J859" i="8"/>
  <c r="L904" i="8"/>
  <c r="F903" i="8"/>
  <c r="E947" i="8"/>
  <c r="N1031" i="8"/>
  <c r="F662" i="8"/>
  <c r="E662" i="8"/>
  <c r="M662" i="8"/>
  <c r="I665" i="8"/>
  <c r="H1237" i="8"/>
  <c r="O822" i="8"/>
  <c r="O1298" i="8" s="1"/>
  <c r="E1229" i="8"/>
  <c r="O715" i="8"/>
  <c r="H1017" i="8"/>
  <c r="O1016" i="8"/>
  <c r="M1044" i="8"/>
  <c r="I1044" i="8"/>
  <c r="P1077" i="8"/>
  <c r="P1043" i="8"/>
  <c r="M604" i="8"/>
  <c r="G603" i="8"/>
  <c r="E859" i="8"/>
  <c r="J860" i="8"/>
  <c r="L858" i="8"/>
  <c r="G857" i="8"/>
  <c r="I905" i="8"/>
  <c r="K904" i="8"/>
  <c r="G904" i="8"/>
  <c r="O902" i="8"/>
  <c r="G902" i="8"/>
  <c r="K946" i="8"/>
  <c r="P1174" i="8"/>
  <c r="H662" i="8"/>
  <c r="I1099" i="8"/>
  <c r="L1237" i="8"/>
  <c r="H753" i="8"/>
  <c r="I1014" i="8"/>
  <c r="K532" i="8"/>
  <c r="L1099" i="8"/>
  <c r="I1151" i="8"/>
  <c r="H1238" i="8"/>
  <c r="O1237" i="8"/>
  <c r="K1237" i="8"/>
  <c r="G1237" i="8"/>
  <c r="G963" i="8"/>
  <c r="G1017" i="8"/>
  <c r="N1016" i="8"/>
  <c r="M1015" i="8"/>
  <c r="I1015" i="8"/>
  <c r="K1215" i="8"/>
  <c r="G1215" i="8"/>
  <c r="F1214" i="8"/>
  <c r="I1045" i="8"/>
  <c r="H1044" i="8"/>
  <c r="O1043" i="8"/>
  <c r="K1043" i="8"/>
  <c r="F1042" i="8"/>
  <c r="P1238" i="8"/>
  <c r="P1014" i="8"/>
  <c r="P964" i="8"/>
  <c r="E858" i="8"/>
  <c r="L859" i="8"/>
  <c r="O858" i="8"/>
  <c r="H905" i="8"/>
  <c r="J904" i="8"/>
  <c r="F904" i="8"/>
  <c r="P902" i="8"/>
  <c r="G1174" i="8"/>
  <c r="N1173" i="8"/>
  <c r="N663" i="8"/>
  <c r="J663" i="8"/>
  <c r="O1081" i="8"/>
  <c r="O1238" i="8"/>
  <c r="N1237" i="8"/>
  <c r="J1237" i="8"/>
  <c r="F1237" i="8"/>
  <c r="E495" i="8"/>
  <c r="M495" i="8"/>
  <c r="M619" i="8"/>
  <c r="N754" i="8"/>
  <c r="G782" i="8"/>
  <c r="G1279" i="8" s="1"/>
  <c r="G1230" i="8"/>
  <c r="N1017" i="8"/>
  <c r="J1017" i="8"/>
  <c r="L1015" i="8"/>
  <c r="H1015" i="8"/>
  <c r="J1215" i="8"/>
  <c r="L1045" i="8"/>
  <c r="P563" i="8"/>
  <c r="K762" i="8"/>
  <c r="G762" i="8"/>
  <c r="P860" i="8"/>
  <c r="O859" i="8"/>
  <c r="N858" i="8"/>
  <c r="K905" i="8"/>
  <c r="M946" i="8"/>
  <c r="I946" i="8"/>
  <c r="J1174" i="8"/>
  <c r="P972" i="8"/>
  <c r="H972" i="8"/>
  <c r="L64" i="5"/>
  <c r="F54" i="5"/>
  <c r="L377" i="3"/>
  <c r="O59" i="5"/>
  <c r="O54" i="5"/>
  <c r="M47" i="5"/>
  <c r="D64" i="5"/>
  <c r="J59" i="5"/>
  <c r="G64" i="5"/>
  <c r="F59" i="5"/>
  <c r="I47" i="5"/>
  <c r="O64" i="5"/>
  <c r="F40" i="5"/>
  <c r="M40" i="5"/>
  <c r="K40" i="5"/>
  <c r="J40" i="5"/>
  <c r="G54" i="5"/>
  <c r="G47" i="5"/>
  <c r="H54" i="5"/>
  <c r="F47" i="5"/>
  <c r="P43" i="5"/>
  <c r="G40" i="5"/>
  <c r="L54" i="5"/>
  <c r="L47" i="5"/>
  <c r="H64" i="5"/>
  <c r="D54" i="5"/>
  <c r="H59" i="5"/>
  <c r="A74" i="3"/>
  <c r="A75" i="3" s="1"/>
  <c r="A76" i="3" s="1"/>
  <c r="A78" i="3" s="1"/>
  <c r="A79" i="3" s="1"/>
  <c r="A80" i="3" s="1"/>
  <c r="A81" i="3" s="1"/>
  <c r="A82" i="3" s="1"/>
  <c r="A83" i="3" s="1"/>
  <c r="A85" i="3" s="1"/>
  <c r="A86" i="3" s="1"/>
  <c r="A87" i="3" s="1"/>
  <c r="A88" i="3" s="1"/>
  <c r="A89" i="3" s="1"/>
  <c r="A91" i="3" s="1"/>
  <c r="A92" i="3" s="1"/>
  <c r="A93" i="3" s="1"/>
  <c r="A94" i="3" s="1"/>
  <c r="A95" i="3" s="1"/>
  <c r="A96" i="3" s="1"/>
  <c r="A71" i="3"/>
  <c r="A73" i="3" s="1"/>
  <c r="A135" i="3"/>
  <c r="A137" i="3" s="1"/>
  <c r="A138" i="3" s="1"/>
  <c r="A139" i="3" s="1"/>
  <c r="A140" i="3" s="1"/>
  <c r="A157" i="3" s="1"/>
  <c r="A158" i="3" s="1"/>
  <c r="A159" i="3" s="1"/>
  <c r="A160" i="3" s="1"/>
  <c r="A162" i="3" s="1"/>
  <c r="A163" i="3" s="1"/>
  <c r="A164" i="3" s="1"/>
  <c r="A165" i="3" s="1"/>
  <c r="A167" i="3" s="1"/>
  <c r="A168" i="3" s="1"/>
  <c r="A169" i="3" s="1"/>
  <c r="A170" i="3" s="1"/>
  <c r="A172" i="3" s="1"/>
  <c r="A173" i="3" s="1"/>
  <c r="A174" i="3" s="1"/>
  <c r="A175" i="3" s="1"/>
  <c r="A177" i="3" s="1"/>
  <c r="A178" i="3" s="1"/>
  <c r="A179" i="3" s="1"/>
  <c r="A180" i="3" s="1"/>
  <c r="A183" i="3" s="1"/>
  <c r="A184" i="3" s="1"/>
  <c r="A185" i="3" s="1"/>
  <c r="A186" i="3" s="1"/>
  <c r="A188" i="3" s="1"/>
  <c r="A189" i="3" s="1"/>
  <c r="A190" i="3" s="1"/>
  <c r="A191" i="3" s="1"/>
  <c r="A192" i="3" s="1"/>
  <c r="A193" i="3" s="1"/>
  <c r="A195" i="3" s="1"/>
  <c r="A196" i="3" s="1"/>
  <c r="A197" i="3" s="1"/>
  <c r="A198" i="3" s="1"/>
  <c r="A199" i="3" s="1"/>
  <c r="A201" i="3" s="1"/>
  <c r="A202" i="3" s="1"/>
  <c r="A203" i="3" s="1"/>
  <c r="A204" i="3" s="1"/>
  <c r="A205" i="3" s="1"/>
  <c r="A206" i="3" s="1"/>
  <c r="A222" i="3" s="1"/>
  <c r="A223" i="3" s="1"/>
  <c r="A224" i="3" s="1"/>
  <c r="A225" i="3" s="1"/>
  <c r="A226" i="3" s="1"/>
  <c r="A228" i="3" s="1"/>
  <c r="A229" i="3" s="1"/>
  <c r="A230" i="3" s="1"/>
  <c r="A231" i="3" s="1"/>
  <c r="A232" i="3" s="1"/>
  <c r="A234" i="3" s="1"/>
  <c r="A235" i="3" s="1"/>
  <c r="A236" i="3" s="1"/>
  <c r="A237" i="3" s="1"/>
  <c r="A238" i="3" s="1"/>
  <c r="A239" i="3" s="1"/>
  <c r="A241" i="3" s="1"/>
  <c r="A242" i="3" s="1"/>
  <c r="A243" i="3" s="1"/>
  <c r="A244" i="3" s="1"/>
  <c r="A246" i="3" s="1"/>
  <c r="A247" i="3" s="1"/>
  <c r="A248" i="3" s="1"/>
  <c r="A250" i="3" s="1"/>
  <c r="A251" i="3" s="1"/>
  <c r="A252" i="3" s="1"/>
  <c r="A253" i="3" s="1"/>
  <c r="A255" i="3" s="1"/>
  <c r="A256" i="3" s="1"/>
  <c r="A257" i="3" s="1"/>
  <c r="A258" i="3" s="1"/>
  <c r="A260" i="3" s="1"/>
  <c r="A261" i="3" s="1"/>
  <c r="A262" i="3" s="1"/>
  <c r="A264" i="3" s="1"/>
  <c r="A265" i="3" s="1"/>
  <c r="A266" i="3" s="1"/>
  <c r="A267" i="3" s="1"/>
  <c r="A283" i="3" s="1"/>
  <c r="A284" i="3" s="1"/>
  <c r="A285" i="3" s="1"/>
  <c r="A286" i="3" s="1"/>
  <c r="A287" i="3" s="1"/>
  <c r="A289" i="3" s="1"/>
  <c r="A290" i="3" s="1"/>
  <c r="A291" i="3" s="1"/>
  <c r="A292" i="3" s="1"/>
  <c r="A293" i="3" s="1"/>
  <c r="A295" i="3" s="1"/>
  <c r="A296" i="3" s="1"/>
  <c r="A297" i="3" s="1"/>
  <c r="A298" i="3" s="1"/>
  <c r="A299" i="3" s="1"/>
  <c r="A300" i="3" s="1"/>
  <c r="A302" i="3" s="1"/>
  <c r="A303" i="3" s="1"/>
  <c r="A304" i="3" s="1"/>
  <c r="A305" i="3" s="1"/>
  <c r="A306" i="3" s="1"/>
  <c r="A307" i="3" s="1"/>
  <c r="A309" i="3" s="1"/>
  <c r="A310" i="3" s="1"/>
  <c r="A311" i="3" s="1"/>
  <c r="A312" i="3" s="1"/>
  <c r="A313" i="3" s="1"/>
  <c r="A315" i="3" s="1"/>
  <c r="A316" i="3" s="1"/>
  <c r="A317" i="3" s="1"/>
  <c r="A318" i="3" s="1"/>
  <c r="A319" i="3" s="1"/>
  <c r="A320" i="3" s="1"/>
  <c r="A322" i="3" s="1"/>
  <c r="A323" i="3" s="1"/>
  <c r="A324" i="3" s="1"/>
  <c r="A325" i="3" s="1"/>
  <c r="A327" i="3" s="1"/>
  <c r="A328" i="3" s="1"/>
  <c r="A329" i="3" s="1"/>
  <c r="A330" i="3" s="1"/>
  <c r="A346" i="3" s="1"/>
  <c r="A347" i="3" s="1"/>
  <c r="A348" i="3" s="1"/>
  <c r="A350" i="3" s="1"/>
  <c r="A351" i="3" s="1"/>
  <c r="A352" i="3" s="1"/>
  <c r="A353" i="3" s="1"/>
  <c r="A355" i="3" s="1"/>
  <c r="A356" i="3" s="1"/>
  <c r="A357" i="3" s="1"/>
  <c r="A358" i="3" s="1"/>
  <c r="A360" i="3" s="1"/>
  <c r="A361" i="3" s="1"/>
  <c r="A362" i="3" s="1"/>
  <c r="A364" i="3" s="1"/>
  <c r="A365" i="3" s="1"/>
  <c r="A366" i="3" s="1"/>
  <c r="A367" i="3" s="1"/>
  <c r="A369" i="3" s="1"/>
  <c r="A370" i="3" s="1"/>
  <c r="A371" i="3" s="1"/>
  <c r="A372" i="3" s="1"/>
  <c r="A374" i="3" s="1"/>
  <c r="A375" i="3" s="1"/>
  <c r="A376" i="3" s="1"/>
  <c r="A378" i="3" s="1"/>
  <c r="A379" i="3" s="1"/>
  <c r="A380" i="3" s="1"/>
  <c r="A381" i="3" s="1"/>
  <c r="A383" i="3" s="1"/>
  <c r="A384" i="3" s="1"/>
  <c r="A385" i="3" s="1"/>
  <c r="A386" i="3" s="1"/>
  <c r="A388" i="3" s="1"/>
  <c r="A389" i="3" s="1"/>
  <c r="A390" i="3" s="1"/>
  <c r="A392" i="3" s="1"/>
  <c r="A393" i="3" s="1"/>
  <c r="A394" i="3" s="1"/>
  <c r="A395" i="3" s="1"/>
  <c r="A411" i="3" s="1"/>
  <c r="A412" i="3" s="1"/>
  <c r="A413" i="3" s="1"/>
  <c r="A414" i="3" s="1"/>
  <c r="A416" i="3" s="1"/>
  <c r="A417" i="3" s="1"/>
  <c r="A418" i="3" s="1"/>
  <c r="A419" i="3" s="1"/>
  <c r="A421" i="3" s="1"/>
  <c r="A422" i="3" s="1"/>
  <c r="A423" i="3" s="1"/>
  <c r="A424" i="3" s="1"/>
  <c r="A426" i="3" s="1"/>
  <c r="A427" i="3" s="1"/>
  <c r="A428" i="3" s="1"/>
  <c r="A429" i="3" s="1"/>
  <c r="A433" i="3" s="1"/>
  <c r="A434" i="3" s="1"/>
  <c r="A435" i="3" s="1"/>
  <c r="A436" i="3" s="1"/>
  <c r="G601" i="20"/>
  <c r="M1112" i="20"/>
  <c r="M308" i="20" s="1"/>
  <c r="G618" i="20"/>
  <c r="G149" i="20" s="1"/>
  <c r="F603" i="8"/>
  <c r="N1094" i="20"/>
  <c r="N301" i="20" s="1"/>
  <c r="M478" i="20"/>
  <c r="M479" i="20" s="1"/>
  <c r="O495" i="20"/>
  <c r="O94" i="20" s="1"/>
  <c r="J1080" i="8"/>
  <c r="J1081" i="8" s="1"/>
  <c r="J565" i="8"/>
  <c r="J138" i="8" s="1"/>
  <c r="K206" i="3"/>
  <c r="G206" i="3"/>
  <c r="H206" i="3"/>
  <c r="L206" i="3"/>
  <c r="M414" i="3"/>
  <c r="P1166" i="20"/>
  <c r="P1170" i="20" s="1"/>
  <c r="J495" i="20"/>
  <c r="J94" i="20" s="1"/>
  <c r="G1116" i="8"/>
  <c r="G312" i="8" s="1"/>
  <c r="E565" i="8"/>
  <c r="E138" i="8" s="1"/>
  <c r="J1098" i="8"/>
  <c r="J305" i="8" s="1"/>
  <c r="D160" i="3"/>
  <c r="H36" i="23"/>
  <c r="K36" i="23"/>
  <c r="J414" i="3"/>
  <c r="J429" i="8"/>
  <c r="J434" i="8" s="1"/>
  <c r="K17" i="23"/>
  <c r="K18" i="23" s="1"/>
  <c r="E756" i="20"/>
  <c r="E190" i="20" s="1"/>
  <c r="D47" i="23"/>
  <c r="D48" i="23" s="1"/>
  <c r="N852" i="20"/>
  <c r="I463" i="8"/>
  <c r="I81" i="8" s="1"/>
  <c r="M785" i="8"/>
  <c r="M201" i="8" s="1"/>
  <c r="K38" i="22" s="1"/>
  <c r="I939" i="20"/>
  <c r="I941" i="20" s="1"/>
  <c r="I245" i="20" s="1"/>
  <c r="F495" i="20"/>
  <c r="F94" i="20" s="1"/>
  <c r="I206" i="3"/>
  <c r="E175" i="3"/>
  <c r="E1169" i="8"/>
  <c r="E1173" i="8" s="1"/>
  <c r="E429" i="8"/>
  <c r="E74" i="8" s="1"/>
  <c r="D128" i="3"/>
  <c r="E707" i="20" s="1"/>
  <c r="H1008" i="20"/>
  <c r="F404" i="8"/>
  <c r="F409" i="8" s="1"/>
  <c r="F69" i="8" s="1"/>
  <c r="M939" i="20"/>
  <c r="M941" i="20" s="1"/>
  <c r="M245" i="20" s="1"/>
  <c r="J943" i="8"/>
  <c r="J947" i="8" s="1"/>
  <c r="M565" i="8"/>
  <c r="M138" i="8" s="1"/>
  <c r="F426" i="20"/>
  <c r="F73" i="20" s="1"/>
  <c r="M17" i="23"/>
  <c r="M18" i="23" s="1"/>
  <c r="H850" i="20"/>
  <c r="H426" i="20"/>
  <c r="H73" i="20" s="1"/>
  <c r="L53" i="23"/>
  <c r="L54" i="23" s="1"/>
  <c r="L401" i="20"/>
  <c r="L412" i="20" s="1"/>
  <c r="J897" i="20"/>
  <c r="G478" i="20"/>
  <c r="G87" i="20" s="1"/>
  <c r="P1169" i="8"/>
  <c r="P1173" i="8" s="1"/>
  <c r="J897" i="8"/>
  <c r="J903" i="8" s="1"/>
  <c r="H529" i="20"/>
  <c r="H530" i="20" s="1"/>
  <c r="O529" i="20"/>
  <c r="O101" i="20" s="1"/>
  <c r="N1151" i="8"/>
  <c r="N478" i="20"/>
  <c r="N87" i="20" s="1"/>
  <c r="N1112" i="20"/>
  <c r="N308" i="20" s="1"/>
  <c r="N401" i="20"/>
  <c r="N412" i="20" s="1"/>
  <c r="E17" i="23"/>
  <c r="E18" i="23" s="1"/>
  <c r="O621" i="8"/>
  <c r="O152" i="8" s="1"/>
  <c r="K824" i="20"/>
  <c r="K224" i="20" s="1"/>
  <c r="P894" i="20"/>
  <c r="K854" i="8"/>
  <c r="K860" i="8" s="1"/>
  <c r="K480" i="8"/>
  <c r="K88" i="8" s="1"/>
  <c r="E404" i="8"/>
  <c r="P426" i="20"/>
  <c r="P427" i="20" s="1"/>
  <c r="M531" i="8"/>
  <c r="M532" i="8" s="1"/>
  <c r="E463" i="8"/>
  <c r="E464" i="8" s="1"/>
  <c r="H239" i="3"/>
  <c r="J253" i="3"/>
  <c r="F422" i="3"/>
  <c r="I417" i="3"/>
  <c r="K414" i="3"/>
  <c r="G481" i="8"/>
  <c r="L529" i="20"/>
  <c r="L530" i="20" s="1"/>
  <c r="G461" i="20"/>
  <c r="G80" i="20" s="1"/>
  <c r="L894" i="20"/>
  <c r="L851" i="8"/>
  <c r="L857" i="8" s="1"/>
  <c r="I1006" i="20"/>
  <c r="L461" i="20"/>
  <c r="L466" i="20" s="1"/>
  <c r="L82" i="20" s="1"/>
  <c r="I1169" i="8"/>
  <c r="I1173" i="8" s="1"/>
  <c r="N899" i="8"/>
  <c r="N905" i="8" s="1"/>
  <c r="G604" i="8"/>
  <c r="N895" i="20"/>
  <c r="M762" i="8"/>
  <c r="P563" i="20"/>
  <c r="P135" i="20" s="1"/>
  <c r="M463" i="8"/>
  <c r="M468" i="8" s="1"/>
  <c r="M83" i="8" s="1"/>
  <c r="N253" i="3"/>
  <c r="J1010" i="8"/>
  <c r="J1016" i="8" s="1"/>
  <c r="G463" i="8"/>
  <c r="G81" i="8" s="1"/>
  <c r="H1080" i="8"/>
  <c r="H298" i="8" s="1"/>
  <c r="M852" i="8"/>
  <c r="M858" i="8" s="1"/>
  <c r="N1170" i="8"/>
  <c r="N1171" i="8" s="1"/>
  <c r="N326" i="8" s="1"/>
  <c r="J825" i="8"/>
  <c r="J229" i="8" s="1"/>
  <c r="H896" i="8"/>
  <c r="H902" i="8" s="1"/>
  <c r="J852" i="20"/>
  <c r="M1233" i="20"/>
  <c r="M356" i="20" s="1"/>
  <c r="O1076" i="20"/>
  <c r="O294" i="20" s="1"/>
  <c r="K422" i="3"/>
  <c r="G422" i="3"/>
  <c r="L367" i="3"/>
  <c r="H367" i="3"/>
  <c r="D367" i="3"/>
  <c r="G367" i="3"/>
  <c r="N175" i="3"/>
  <c r="J175" i="3"/>
  <c r="L414" i="3"/>
  <c r="D414" i="3"/>
  <c r="O395" i="3"/>
  <c r="O117" i="3"/>
  <c r="K943" i="8"/>
  <c r="K944" i="8" s="1"/>
  <c r="K250" i="8" s="1"/>
  <c r="O659" i="8"/>
  <c r="O665" i="8" s="1"/>
  <c r="M546" i="20"/>
  <c r="M128" i="20" s="1"/>
  <c r="M401" i="20"/>
  <c r="M66" i="20" s="1"/>
  <c r="G1169" i="8"/>
  <c r="G1171" i="8" s="1"/>
  <c r="G326" i="8" s="1"/>
  <c r="I1094" i="20"/>
  <c r="I301" i="20" s="1"/>
  <c r="F659" i="8"/>
  <c r="F665" i="8" s="1"/>
  <c r="M659" i="8"/>
  <c r="M665" i="8" s="1"/>
  <c r="I566" i="8"/>
  <c r="K618" i="20"/>
  <c r="K149" i="20" s="1"/>
  <c r="K1169" i="8"/>
  <c r="K1173" i="8" s="1"/>
  <c r="L1094" i="20"/>
  <c r="L301" i="20" s="1"/>
  <c r="O1116" i="8"/>
  <c r="O312" i="8" s="1"/>
  <c r="K603" i="8"/>
  <c r="O1169" i="8"/>
  <c r="O1173" i="8" s="1"/>
  <c r="F429" i="8"/>
  <c r="F74" i="8" s="1"/>
  <c r="H546" i="20"/>
  <c r="H128" i="20" s="1"/>
  <c r="M417" i="3"/>
  <c r="E417" i="3"/>
  <c r="I175" i="3"/>
  <c r="O239" i="3"/>
  <c r="J1208" i="20"/>
  <c r="G497" i="8"/>
  <c r="G95" i="8" s="1"/>
  <c r="J762" i="8"/>
  <c r="P401" i="20"/>
  <c r="P406" i="20" s="1"/>
  <c r="P68" i="20" s="1"/>
  <c r="J1166" i="20"/>
  <c r="J1170" i="20" s="1"/>
  <c r="K853" i="8"/>
  <c r="K859" i="8" s="1"/>
  <c r="J426" i="20"/>
  <c r="J427" i="20" s="1"/>
  <c r="M782" i="20"/>
  <c r="M787" i="20" s="1"/>
  <c r="E940" i="20"/>
  <c r="L896" i="20"/>
  <c r="E853" i="20"/>
  <c r="N603" i="8"/>
  <c r="P898" i="8"/>
  <c r="P904" i="8" s="1"/>
  <c r="P825" i="8"/>
  <c r="P826" i="8" s="1"/>
  <c r="P1300" i="8" s="1"/>
  <c r="M461" i="20"/>
  <c r="M80" i="20" s="1"/>
  <c r="I563" i="20"/>
  <c r="I135" i="20" s="1"/>
  <c r="G128" i="3"/>
  <c r="H707" i="20" s="1"/>
  <c r="J125" i="3"/>
  <c r="K704" i="20" s="1"/>
  <c r="G253" i="3"/>
  <c r="I548" i="8"/>
  <c r="I131" i="8" s="1"/>
  <c r="F1151" i="8"/>
  <c r="G942" i="8"/>
  <c r="G946" i="8" s="1"/>
  <c r="G404" i="8"/>
  <c r="G416" i="8" s="1"/>
  <c r="G1259" i="8" s="1"/>
  <c r="G1293" i="8" s="1"/>
  <c r="K1116" i="8"/>
  <c r="K312" i="8" s="1"/>
  <c r="E480" i="8"/>
  <c r="E481" i="8" s="1"/>
  <c r="K529" i="20"/>
  <c r="K101" i="20" s="1"/>
  <c r="H1094" i="20"/>
  <c r="H301" i="20" s="1"/>
  <c r="G1166" i="20"/>
  <c r="G1170" i="20" s="1"/>
  <c r="H824" i="20"/>
  <c r="H224" i="20" s="1"/>
  <c r="D53" i="23"/>
  <c r="D54" i="23" s="1"/>
  <c r="P851" i="8"/>
  <c r="P857" i="8" s="1"/>
  <c r="H898" i="8"/>
  <c r="H904" i="8" s="1"/>
  <c r="I825" i="8"/>
  <c r="I826" i="8" s="1"/>
  <c r="I1300" i="8" s="1"/>
  <c r="P480" i="8"/>
  <c r="P88" i="8" s="1"/>
  <c r="H461" i="20"/>
  <c r="H466" i="20" s="1"/>
  <c r="H82" i="20" s="1"/>
  <c r="E253" i="3"/>
  <c r="H463" i="8"/>
  <c r="H81" i="8" s="1"/>
  <c r="F895" i="20"/>
  <c r="M160" i="3"/>
  <c r="D239" i="3"/>
  <c r="G239" i="3"/>
  <c r="L395" i="3"/>
  <c r="M175" i="3"/>
  <c r="G414" i="3"/>
  <c r="G1035" i="20"/>
  <c r="I1036" i="8"/>
  <c r="I1042" i="8" s="1"/>
  <c r="J17" i="23"/>
  <c r="J18" i="23" s="1"/>
  <c r="I1080" i="8"/>
  <c r="I298" i="8" s="1"/>
  <c r="I854" i="8"/>
  <c r="I860" i="8" s="1"/>
  <c r="F853" i="8"/>
  <c r="F859" i="8" s="1"/>
  <c r="M943" i="8"/>
  <c r="M944" i="8" s="1"/>
  <c r="M250" i="8" s="1"/>
  <c r="O782" i="20"/>
  <c r="O197" i="20" s="1"/>
  <c r="M86" i="22" s="1"/>
  <c r="H429" i="8"/>
  <c r="H434" i="8" s="1"/>
  <c r="E206" i="3"/>
  <c r="M206" i="3"/>
  <c r="M824" i="20"/>
  <c r="M224" i="20" s="1"/>
  <c r="M602" i="20"/>
  <c r="K1098" i="8"/>
  <c r="K305" i="8" s="1"/>
  <c r="E897" i="20"/>
  <c r="G853" i="20"/>
  <c r="F899" i="8"/>
  <c r="F905" i="8" s="1"/>
  <c r="I852" i="8"/>
  <c r="I858" i="8" s="1"/>
  <c r="P1116" i="8"/>
  <c r="P312" i="8" s="1"/>
  <c r="P429" i="8"/>
  <c r="P74" i="8" s="1"/>
  <c r="M253" i="3"/>
  <c r="D417" i="3"/>
  <c r="N239" i="3"/>
  <c r="J422" i="3"/>
  <c r="H417" i="3"/>
  <c r="D253" i="3"/>
  <c r="L422" i="3"/>
  <c r="F367" i="3"/>
  <c r="D175" i="3"/>
  <c r="F414" i="3"/>
  <c r="I414" i="3"/>
  <c r="N127" i="3"/>
  <c r="O708" i="8" s="1"/>
  <c r="O714" i="8" s="1"/>
  <c r="J126" i="3"/>
  <c r="K707" i="8" s="1"/>
  <c r="K713" i="8" s="1"/>
  <c r="O175" i="3"/>
  <c r="H117" i="3"/>
  <c r="H168" i="3" s="1"/>
  <c r="I1166" i="20"/>
  <c r="I1170" i="20" s="1"/>
  <c r="F1166" i="20"/>
  <c r="F1170" i="20" s="1"/>
  <c r="N17" i="23"/>
  <c r="N18" i="23" s="1"/>
  <c r="O404" i="8"/>
  <c r="O416" i="8" s="1"/>
  <c r="O1259" i="8" s="1"/>
  <c r="O1293" i="8" s="1"/>
  <c r="P529" i="20"/>
  <c r="P101" i="20" s="1"/>
  <c r="P531" i="8"/>
  <c r="P102" i="8" s="1"/>
  <c r="O160" i="3"/>
  <c r="P782" i="20"/>
  <c r="P197" i="20" s="1"/>
  <c r="N86" i="22" s="1"/>
  <c r="P785" i="8"/>
  <c r="P795" i="8" s="1"/>
  <c r="P1283" i="8" s="1"/>
  <c r="O41" i="23"/>
  <c r="O42" i="23" s="1"/>
  <c r="F604" i="8"/>
  <c r="F602" i="20"/>
  <c r="M603" i="8"/>
  <c r="M601" i="20"/>
  <c r="L762" i="8"/>
  <c r="G1009" i="8"/>
  <c r="G1015" i="8" s="1"/>
  <c r="O401" i="20"/>
  <c r="O66" i="20" s="1"/>
  <c r="I853" i="8"/>
  <c r="I859" i="8" s="1"/>
  <c r="K851" i="8"/>
  <c r="K857" i="8" s="1"/>
  <c r="O764" i="20"/>
  <c r="O192" i="20" s="1"/>
  <c r="I943" i="8"/>
  <c r="I947" i="8" s="1"/>
  <c r="F478" i="20"/>
  <c r="F87" i="20" s="1"/>
  <c r="F480" i="8"/>
  <c r="F481" i="8" s="1"/>
  <c r="L253" i="3"/>
  <c r="J782" i="20"/>
  <c r="J792" i="20" s="1"/>
  <c r="J1283" i="20" s="1"/>
  <c r="I41" i="23"/>
  <c r="I42" i="23" s="1"/>
  <c r="E1076" i="20"/>
  <c r="E294" i="20" s="1"/>
  <c r="E1080" i="8"/>
  <c r="E298" i="8" s="1"/>
  <c r="M1076" i="20"/>
  <c r="M294" i="20" s="1"/>
  <c r="M1080" i="8"/>
  <c r="M1081" i="8" s="1"/>
  <c r="M1098" i="8"/>
  <c r="M1099" i="8" s="1"/>
  <c r="M1094" i="20"/>
  <c r="M301" i="20" s="1"/>
  <c r="P348" i="3"/>
  <c r="E29" i="26" s="1"/>
  <c r="E73" i="26" s="1"/>
  <c r="P200" i="3"/>
  <c r="M422" i="3"/>
  <c r="I422" i="3"/>
  <c r="F239" i="3"/>
  <c r="J239" i="3"/>
  <c r="K417" i="3"/>
  <c r="P308" i="3"/>
  <c r="H422" i="3"/>
  <c r="P373" i="3"/>
  <c r="M395" i="3"/>
  <c r="I395" i="3"/>
  <c r="E395" i="3"/>
  <c r="F395" i="3"/>
  <c r="J395" i="3"/>
  <c r="P174" i="3"/>
  <c r="K852" i="8"/>
  <c r="K858" i="8" s="1"/>
  <c r="K851" i="20"/>
  <c r="K854" i="20" s="1"/>
  <c r="K231" i="20" s="1"/>
  <c r="N850" i="20"/>
  <c r="N851" i="8"/>
  <c r="N857" i="8" s="1"/>
  <c r="L897" i="20"/>
  <c r="L899" i="8"/>
  <c r="L905" i="8" s="1"/>
  <c r="H897" i="8"/>
  <c r="H903" i="8" s="1"/>
  <c r="H895" i="20"/>
  <c r="P1034" i="20"/>
  <c r="O1007" i="20"/>
  <c r="L1010" i="8"/>
  <c r="L1016" i="8" s="1"/>
  <c r="M404" i="8"/>
  <c r="M405" i="8" s="1"/>
  <c r="K896" i="20"/>
  <c r="D206" i="3"/>
  <c r="N896" i="8"/>
  <c r="N902" i="8" s="1"/>
  <c r="J785" i="8"/>
  <c r="J786" i="8" s="1"/>
  <c r="J1281" i="8" s="1"/>
  <c r="G548" i="8"/>
  <c r="G131" i="8" s="1"/>
  <c r="N1080" i="8"/>
  <c r="N298" i="8" s="1"/>
  <c r="N1076" i="20"/>
  <c r="N294" i="20" s="1"/>
  <c r="E158" i="3"/>
  <c r="E160" i="3" s="1"/>
  <c r="N160" i="3"/>
  <c r="J160" i="3"/>
  <c r="F160" i="3"/>
  <c r="M36" i="23"/>
  <c r="I36" i="23"/>
  <c r="P135" i="3"/>
  <c r="E16" i="26" s="1"/>
  <c r="E60" i="26" s="1"/>
  <c r="F36" i="23"/>
  <c r="N36" i="23"/>
  <c r="J417" i="3"/>
  <c r="F253" i="3"/>
  <c r="H618" i="20"/>
  <c r="H619" i="20" s="1"/>
  <c r="H1033" i="20"/>
  <c r="E1211" i="8"/>
  <c r="E1215" i="8" s="1"/>
  <c r="M1035" i="20"/>
  <c r="J1008" i="20"/>
  <c r="D17" i="23"/>
  <c r="D18" i="23" s="1"/>
  <c r="I621" i="8"/>
  <c r="I152" i="8" s="1"/>
  <c r="H1112" i="20"/>
  <c r="H308" i="20" s="1"/>
  <c r="H897" i="20"/>
  <c r="L463" i="8"/>
  <c r="L81" i="8" s="1"/>
  <c r="N429" i="8"/>
  <c r="N74" i="8" s="1"/>
  <c r="F531" i="8"/>
  <c r="F102" i="8" s="1"/>
  <c r="F529" i="20"/>
  <c r="F530" i="20" s="1"/>
  <c r="E546" i="20"/>
  <c r="E547" i="20" s="1"/>
  <c r="E548" i="8"/>
  <c r="E549" i="8" s="1"/>
  <c r="G1208" i="20"/>
  <c r="F1010" i="8"/>
  <c r="F1016" i="8" s="1"/>
  <c r="O298" i="8"/>
  <c r="K404" i="8"/>
  <c r="K67" i="8" s="1"/>
  <c r="O17" i="23"/>
  <c r="O18" i="23" s="1"/>
  <c r="G401" i="20"/>
  <c r="G66" i="20" s="1"/>
  <c r="O785" i="8"/>
  <c r="O790" i="8" s="1"/>
  <c r="O1282" i="8" s="1"/>
  <c r="N943" i="8"/>
  <c r="N947" i="8" s="1"/>
  <c r="O601" i="20"/>
  <c r="P22" i="3"/>
  <c r="E21" i="26" s="1"/>
  <c r="E65" i="26" s="1"/>
  <c r="P853" i="20"/>
  <c r="G943" i="8"/>
  <c r="G947" i="8" s="1"/>
  <c r="M426" i="20"/>
  <c r="M73" i="20" s="1"/>
  <c r="L618" i="20"/>
  <c r="L149" i="20" s="1"/>
  <c r="G36" i="23"/>
  <c r="L417" i="3"/>
  <c r="N206" i="3"/>
  <c r="K239" i="3"/>
  <c r="L239" i="3"/>
  <c r="N367" i="3"/>
  <c r="J367" i="3"/>
  <c r="E367" i="3"/>
  <c r="I367" i="3"/>
  <c r="M367" i="3"/>
  <c r="L175" i="3"/>
  <c r="H175" i="3"/>
  <c r="N414" i="3"/>
  <c r="N117" i="3"/>
  <c r="P706" i="20"/>
  <c r="J319" i="8"/>
  <c r="M1011" i="8"/>
  <c r="M1017" i="8" s="1"/>
  <c r="H1037" i="8"/>
  <c r="H1043" i="8" s="1"/>
  <c r="J498" i="8"/>
  <c r="G1010" i="8"/>
  <c r="G1016" i="8" s="1"/>
  <c r="K826" i="8"/>
  <c r="K1300" i="8" s="1"/>
  <c r="E479" i="20"/>
  <c r="E127" i="3"/>
  <c r="F708" i="8" s="1"/>
  <c r="F714" i="8" s="1"/>
  <c r="I1035" i="20"/>
  <c r="P835" i="20"/>
  <c r="P1302" i="20" s="1"/>
  <c r="P1322" i="20" s="1"/>
  <c r="K128" i="3"/>
  <c r="L707" i="20" s="1"/>
  <c r="H1035" i="20"/>
  <c r="N1006" i="20"/>
  <c r="O1034" i="20"/>
  <c r="F1009" i="8"/>
  <c r="F1015" i="8" s="1"/>
  <c r="I315" i="20"/>
  <c r="M41" i="23"/>
  <c r="M42" i="23" s="1"/>
  <c r="N785" i="8"/>
  <c r="N201" i="8" s="1"/>
  <c r="L38" i="22" s="1"/>
  <c r="N782" i="20"/>
  <c r="N197" i="20" s="1"/>
  <c r="L86" i="22" s="1"/>
  <c r="O478" i="20"/>
  <c r="O480" i="8"/>
  <c r="O88" i="8" s="1"/>
  <c r="K426" i="20"/>
  <c r="K73" i="20" s="1"/>
  <c r="J53" i="23"/>
  <c r="J54" i="23" s="1"/>
  <c r="K429" i="8"/>
  <c r="K434" i="8" s="1"/>
  <c r="J478" i="20"/>
  <c r="J479" i="20" s="1"/>
  <c r="J480" i="8"/>
  <c r="J88" i="8" s="1"/>
  <c r="L497" i="8"/>
  <c r="L95" i="8" s="1"/>
  <c r="L495" i="20"/>
  <c r="L94" i="20" s="1"/>
  <c r="F417" i="3"/>
  <c r="F206" i="3"/>
  <c r="E239" i="3"/>
  <c r="P227" i="3"/>
  <c r="P288" i="3"/>
  <c r="P173" i="3"/>
  <c r="P413" i="3"/>
  <c r="P245" i="3"/>
  <c r="O253" i="3"/>
  <c r="P363" i="3"/>
  <c r="E603" i="8"/>
  <c r="E601" i="20"/>
  <c r="P762" i="8"/>
  <c r="F854" i="8"/>
  <c r="F860" i="8" s="1"/>
  <c r="F853" i="20"/>
  <c r="M853" i="8"/>
  <c r="M859" i="8" s="1"/>
  <c r="M852" i="20"/>
  <c r="P851" i="20"/>
  <c r="P852" i="8"/>
  <c r="P858" i="8" s="1"/>
  <c r="O896" i="20"/>
  <c r="O898" i="8"/>
  <c r="O904" i="8" s="1"/>
  <c r="M895" i="20"/>
  <c r="M897" i="8"/>
  <c r="M903" i="8" s="1"/>
  <c r="I895" i="20"/>
  <c r="I897" i="8"/>
  <c r="I903" i="8" s="1"/>
  <c r="P895" i="20"/>
  <c r="P897" i="8"/>
  <c r="P903" i="8" s="1"/>
  <c r="E1166" i="20"/>
  <c r="E1170" i="20" s="1"/>
  <c r="E1170" i="8"/>
  <c r="E1174" i="8" s="1"/>
  <c r="F1169" i="8"/>
  <c r="F1171" i="8" s="1"/>
  <c r="F326" i="8" s="1"/>
  <c r="F1165" i="20"/>
  <c r="F1169" i="20" s="1"/>
  <c r="G824" i="20"/>
  <c r="G224" i="20" s="1"/>
  <c r="N1235" i="8"/>
  <c r="N360" i="8" s="1"/>
  <c r="G417" i="3"/>
  <c r="H852" i="8"/>
  <c r="H858" i="8" s="1"/>
  <c r="N854" i="8"/>
  <c r="N860" i="8" s="1"/>
  <c r="L548" i="8"/>
  <c r="L549" i="8" s="1"/>
  <c r="G894" i="20"/>
  <c r="E898" i="8"/>
  <c r="E904" i="8" s="1"/>
  <c r="G764" i="20"/>
  <c r="G192" i="20" s="1"/>
  <c r="I239" i="3"/>
  <c r="N1165" i="20"/>
  <c r="N1169" i="20" s="1"/>
  <c r="M1170" i="8"/>
  <c r="M1174" i="8" s="1"/>
  <c r="E422" i="3"/>
  <c r="E414" i="3"/>
  <c r="J604" i="8"/>
  <c r="K896" i="8"/>
  <c r="K902" i="8" s="1"/>
  <c r="G850" i="20"/>
  <c r="F785" i="8"/>
  <c r="F786" i="8" s="1"/>
  <c r="F1281" i="8" s="1"/>
  <c r="F782" i="20"/>
  <c r="F197" i="20" s="1"/>
  <c r="D86" i="22" s="1"/>
  <c r="F565" i="8"/>
  <c r="F138" i="8" s="1"/>
  <c r="F563" i="20"/>
  <c r="F135" i="20" s="1"/>
  <c r="E602" i="20"/>
  <c r="E604" i="8"/>
  <c r="P601" i="20"/>
  <c r="P603" i="8"/>
  <c r="L601" i="20"/>
  <c r="L603" i="8"/>
  <c r="N761" i="8"/>
  <c r="N764" i="20"/>
  <c r="N192" i="20" s="1"/>
  <c r="F767" i="8"/>
  <c r="F196" i="8" s="1"/>
  <c r="F764" i="20"/>
  <c r="F192" i="20" s="1"/>
  <c r="M853" i="20"/>
  <c r="M854" i="8"/>
  <c r="M860" i="8" s="1"/>
  <c r="P853" i="8"/>
  <c r="P859" i="8" s="1"/>
  <c r="P852" i="20"/>
  <c r="H853" i="8"/>
  <c r="H859" i="8" s="1"/>
  <c r="H852" i="20"/>
  <c r="G852" i="8"/>
  <c r="G858" i="8" s="1"/>
  <c r="G851" i="20"/>
  <c r="F850" i="20"/>
  <c r="F851" i="8"/>
  <c r="F857" i="8" s="1"/>
  <c r="N898" i="8"/>
  <c r="N904" i="8" s="1"/>
  <c r="N896" i="20"/>
  <c r="L895" i="20"/>
  <c r="L897" i="8"/>
  <c r="L903" i="8" s="1"/>
  <c r="O942" i="8"/>
  <c r="O946" i="8" s="1"/>
  <c r="O939" i="20"/>
  <c r="L655" i="20"/>
  <c r="P1009" i="8"/>
  <c r="P1015" i="8" s="1"/>
  <c r="N67" i="8"/>
  <c r="N409" i="8"/>
  <c r="N69" i="8" s="1"/>
  <c r="I17" i="23"/>
  <c r="I18" i="23" s="1"/>
  <c r="O851" i="20"/>
  <c r="O429" i="8"/>
  <c r="O434" i="8" s="1"/>
  <c r="E495" i="20"/>
  <c r="E94" i="20" s="1"/>
  <c r="L1170" i="8"/>
  <c r="L1174" i="8" s="1"/>
  <c r="M1169" i="8"/>
  <c r="O894" i="20"/>
  <c r="H762" i="8"/>
  <c r="I461" i="20"/>
  <c r="I80" i="20" s="1"/>
  <c r="H414" i="3"/>
  <c r="P387" i="3"/>
  <c r="M239" i="3"/>
  <c r="F896" i="20"/>
  <c r="L852" i="20"/>
  <c r="J896" i="20"/>
  <c r="P943" i="8"/>
  <c r="P947" i="8" s="1"/>
  <c r="P249" i="3"/>
  <c r="G785" i="8"/>
  <c r="G795" i="8" s="1"/>
  <c r="G1283" i="8" s="1"/>
  <c r="F41" i="23"/>
  <c r="F42" i="23" s="1"/>
  <c r="N602" i="20"/>
  <c r="M899" i="8"/>
  <c r="M905" i="8" s="1"/>
  <c r="I897" i="20"/>
  <c r="G1094" i="20"/>
  <c r="G301" i="20" s="1"/>
  <c r="G1098" i="8"/>
  <c r="G305" i="8" s="1"/>
  <c r="K461" i="20"/>
  <c r="K80" i="20" s="1"/>
  <c r="K463" i="8"/>
  <c r="K81" i="8" s="1"/>
  <c r="J853" i="20"/>
  <c r="K1076" i="20"/>
  <c r="K294" i="20" s="1"/>
  <c r="K1080" i="8"/>
  <c r="J1165" i="20"/>
  <c r="J1169" i="20" s="1"/>
  <c r="G158" i="3"/>
  <c r="G160" i="3" s="1"/>
  <c r="G896" i="20"/>
  <c r="O417" i="3"/>
  <c r="O206" i="3"/>
  <c r="L656" i="20"/>
  <c r="O427" i="20"/>
  <c r="K939" i="20"/>
  <c r="K941" i="20" s="1"/>
  <c r="K245" i="20" s="1"/>
  <c r="H942" i="8"/>
  <c r="H946" i="8" s="1"/>
  <c r="G175" i="3"/>
  <c r="N53" i="23"/>
  <c r="N54" i="23" s="1"/>
  <c r="F175" i="3"/>
  <c r="G531" i="8"/>
  <c r="G102" i="8" s="1"/>
  <c r="K759" i="8"/>
  <c r="M178" i="3"/>
  <c r="L851" i="20"/>
  <c r="J206" i="3"/>
  <c r="K253" i="3"/>
  <c r="E851" i="20"/>
  <c r="P391" i="3"/>
  <c r="L942" i="8"/>
  <c r="L946" i="8" s="1"/>
  <c r="G782" i="20"/>
  <c r="G197" i="20" s="1"/>
  <c r="E86" i="22" s="1"/>
  <c r="L1112" i="20"/>
  <c r="L308" i="20" s="1"/>
  <c r="E41" i="23"/>
  <c r="E42" i="23" s="1"/>
  <c r="I603" i="8"/>
  <c r="N824" i="20"/>
  <c r="N224" i="20" s="1"/>
  <c r="N825" i="8"/>
  <c r="N826" i="8" s="1"/>
  <c r="N1300" i="8" s="1"/>
  <c r="E852" i="20"/>
  <c r="E618" i="20"/>
  <c r="E621" i="8"/>
  <c r="E152" i="8" s="1"/>
  <c r="G1147" i="20"/>
  <c r="G315" i="20"/>
  <c r="N709" i="8"/>
  <c r="N715" i="8" s="1"/>
  <c r="N707" i="20"/>
  <c r="J128" i="3"/>
  <c r="K707" i="20" s="1"/>
  <c r="J127" i="3"/>
  <c r="K708" i="8" s="1"/>
  <c r="K714" i="8" s="1"/>
  <c r="F127" i="3"/>
  <c r="G708" i="8" s="1"/>
  <c r="G714" i="8" s="1"/>
  <c r="F126" i="3"/>
  <c r="G707" i="8" s="1"/>
  <c r="G713" i="8" s="1"/>
  <c r="O1006" i="20"/>
  <c r="O1009" i="8"/>
  <c r="O1015" i="8" s="1"/>
  <c r="F294" i="3"/>
  <c r="F300" i="3" s="1"/>
  <c r="P495" i="20"/>
  <c r="P94" i="20" s="1"/>
  <c r="P497" i="8"/>
  <c r="P618" i="20"/>
  <c r="P619" i="20" s="1"/>
  <c r="P621" i="8"/>
  <c r="P152" i="8" s="1"/>
  <c r="K546" i="20"/>
  <c r="K128" i="20" s="1"/>
  <c r="K548" i="8"/>
  <c r="K131" i="8" s="1"/>
  <c r="O563" i="20"/>
  <c r="O135" i="20" s="1"/>
  <c r="O565" i="8"/>
  <c r="O138" i="8" s="1"/>
  <c r="G1076" i="20"/>
  <c r="G294" i="20" s="1"/>
  <c r="G1080" i="8"/>
  <c r="G298" i="8" s="1"/>
  <c r="I1116" i="8"/>
  <c r="I312" i="8" s="1"/>
  <c r="I1112" i="20"/>
  <c r="I308" i="20" s="1"/>
  <c r="P353" i="3"/>
  <c r="E30" i="26" s="1"/>
  <c r="E74" i="26" s="1"/>
  <c r="I1235" i="20"/>
  <c r="I1233" i="20"/>
  <c r="I356" i="20" s="1"/>
  <c r="H127" i="3"/>
  <c r="I706" i="20" s="1"/>
  <c r="H126" i="3"/>
  <c r="D314" i="3"/>
  <c r="D320" i="3" s="1"/>
  <c r="O47" i="23"/>
  <c r="O48" i="23" s="1"/>
  <c r="P463" i="8"/>
  <c r="P81" i="8" s="1"/>
  <c r="H152" i="8"/>
  <c r="I481" i="8"/>
  <c r="N422" i="3"/>
  <c r="J529" i="20"/>
  <c r="J101" i="20" s="1"/>
  <c r="I851" i="8"/>
  <c r="I857" i="8" s="1"/>
  <c r="M53" i="23"/>
  <c r="M54" i="23" s="1"/>
  <c r="O899" i="8"/>
  <c r="O905" i="8" s="1"/>
  <c r="E767" i="8"/>
  <c r="E196" i="8" s="1"/>
  <c r="O546" i="20"/>
  <c r="O547" i="20" s="1"/>
  <c r="P461" i="20"/>
  <c r="P80" i="20" s="1"/>
  <c r="K495" i="20"/>
  <c r="K94" i="20" s="1"/>
  <c r="I478" i="20"/>
  <c r="I87" i="20" s="1"/>
  <c r="I495" i="20"/>
  <c r="I94" i="20" s="1"/>
  <c r="I497" i="8"/>
  <c r="I95" i="8" s="1"/>
  <c r="H253" i="3"/>
  <c r="L1235" i="8"/>
  <c r="L360" i="8" s="1"/>
  <c r="G127" i="3"/>
  <c r="H708" i="8" s="1"/>
  <c r="H714" i="8" s="1"/>
  <c r="G126" i="3"/>
  <c r="H707" i="8" s="1"/>
  <c r="H713" i="8" s="1"/>
  <c r="N125" i="3"/>
  <c r="O704" i="20" s="1"/>
  <c r="P548" i="8"/>
  <c r="P549" i="8" s="1"/>
  <c r="P546" i="20"/>
  <c r="P128" i="20" s="1"/>
  <c r="I253" i="3"/>
  <c r="L36" i="23"/>
  <c r="D36" i="23"/>
  <c r="K367" i="3"/>
  <c r="H395" i="3"/>
  <c r="D395" i="3"/>
  <c r="I1235" i="8"/>
  <c r="I360" i="8" s="1"/>
  <c r="F128" i="3"/>
  <c r="L126" i="3"/>
  <c r="M705" i="20" s="1"/>
  <c r="E126" i="3"/>
  <c r="N417" i="3"/>
  <c r="O414" i="3"/>
  <c r="P113" i="3"/>
  <c r="E117" i="3"/>
  <c r="E168" i="3" s="1"/>
  <c r="F117" i="3"/>
  <c r="G117" i="3"/>
  <c r="I117" i="3"/>
  <c r="J168" i="3"/>
  <c r="K117" i="3"/>
  <c r="K168" i="3" s="1"/>
  <c r="P116" i="3"/>
  <c r="M101" i="20"/>
  <c r="M530" i="20"/>
  <c r="G659" i="8"/>
  <c r="G665" i="8" s="1"/>
  <c r="G656" i="20"/>
  <c r="K658" i="8"/>
  <c r="K664" i="8" s="1"/>
  <c r="K655" i="20"/>
  <c r="K498" i="8"/>
  <c r="K95" i="8"/>
  <c r="J532" i="8"/>
  <c r="J102" i="8"/>
  <c r="K125" i="3"/>
  <c r="L704" i="20" s="1"/>
  <c r="K123" i="3"/>
  <c r="K169" i="3" s="1"/>
  <c r="G123" i="3"/>
  <c r="G169" i="3" s="1"/>
  <c r="E1038" i="8"/>
  <c r="E1044" i="8" s="1"/>
  <c r="E1035" i="20"/>
  <c r="N656" i="20"/>
  <c r="N659" i="8"/>
  <c r="N665" i="8" s="1"/>
  <c r="O549" i="8"/>
  <c r="O131" i="8"/>
  <c r="G657" i="8"/>
  <c r="G663" i="8" s="1"/>
  <c r="G654" i="20"/>
  <c r="H1007" i="20"/>
  <c r="J1036" i="20"/>
  <c r="G1008" i="20"/>
  <c r="G1009" i="20" s="1"/>
  <c r="G259" i="20" s="1"/>
  <c r="M294" i="3"/>
  <c r="M300" i="3" s="1"/>
  <c r="N1008" i="20"/>
  <c r="L67" i="8"/>
  <c r="M653" i="20"/>
  <c r="J123" i="3"/>
  <c r="J169" i="3" s="1"/>
  <c r="I294" i="3"/>
  <c r="I300" i="3" s="1"/>
  <c r="K1034" i="20"/>
  <c r="M123" i="3"/>
  <c r="K1151" i="8"/>
  <c r="F123" i="3"/>
  <c r="F169" i="3" s="1"/>
  <c r="K66" i="20"/>
  <c r="M434" i="8"/>
  <c r="G622" i="8"/>
  <c r="I1169" i="20"/>
  <c r="E73" i="20"/>
  <c r="M430" i="8"/>
  <c r="I305" i="8"/>
  <c r="N405" i="8"/>
  <c r="N704" i="20"/>
  <c r="O1036" i="20"/>
  <c r="O1039" i="8"/>
  <c r="O1045" i="8" s="1"/>
  <c r="M1037" i="8"/>
  <c r="M1043" i="8" s="1"/>
  <c r="M1034" i="20"/>
  <c r="F1008" i="8"/>
  <c r="F1014" i="8" s="1"/>
  <c r="F1005" i="20"/>
  <c r="G90" i="3"/>
  <c r="G164" i="3" s="1"/>
  <c r="H1151" i="8"/>
  <c r="H319" i="8"/>
  <c r="O1235" i="8"/>
  <c r="O360" i="8" s="1"/>
  <c r="G1235" i="8"/>
  <c r="G360" i="8" s="1"/>
  <c r="G101" i="20"/>
  <c r="G530" i="20"/>
  <c r="E319" i="8"/>
  <c r="E1151" i="8"/>
  <c r="L298" i="3"/>
  <c r="L294" i="3"/>
  <c r="L300" i="3" s="1"/>
  <c r="O965" i="20"/>
  <c r="O968" i="8"/>
  <c r="O972" i="8" s="1"/>
  <c r="P654" i="20"/>
  <c r="P657" i="8"/>
  <c r="P663" i="8" s="1"/>
  <c r="M658" i="8"/>
  <c r="M664" i="8" s="1"/>
  <c r="P67" i="8"/>
  <c r="N1008" i="8"/>
  <c r="N1014" i="8" s="1"/>
  <c r="F653" i="20"/>
  <c r="P707" i="20"/>
  <c r="J1038" i="8"/>
  <c r="J1044" i="8" s="1"/>
  <c r="G1039" i="8"/>
  <c r="G1045" i="8" s="1"/>
  <c r="H653" i="20"/>
  <c r="D377" i="3"/>
  <c r="D381" i="3" s="1"/>
  <c r="E498" i="8"/>
  <c r="H1117" i="8"/>
  <c r="K653" i="20"/>
  <c r="E653" i="20"/>
  <c r="I656" i="20"/>
  <c r="F1033" i="20"/>
  <c r="G1008" i="8"/>
  <c r="G1014" i="8" s="1"/>
  <c r="F1038" i="8"/>
  <c r="F1044" i="8" s="1"/>
  <c r="L314" i="3"/>
  <c r="L320" i="3" s="1"/>
  <c r="N1038" i="8"/>
  <c r="N1044" i="8" s="1"/>
  <c r="L1210" i="8"/>
  <c r="L1214" i="8" s="1"/>
  <c r="L1006" i="20"/>
  <c r="F658" i="8"/>
  <c r="F664" i="8" s="1"/>
  <c r="I319" i="8"/>
  <c r="M1151" i="8"/>
  <c r="L532" i="8"/>
  <c r="P965" i="20"/>
  <c r="D317" i="3"/>
  <c r="E1034" i="20" s="1"/>
  <c r="K622" i="8"/>
  <c r="G826" i="8"/>
  <c r="G1300" i="8" s="1"/>
  <c r="G836" i="8"/>
  <c r="G1302" i="8" s="1"/>
  <c r="G1322" i="8" s="1"/>
  <c r="I787" i="20"/>
  <c r="I199" i="20" s="1"/>
  <c r="I197" i="20"/>
  <c r="G86" i="22" s="1"/>
  <c r="J1171" i="8"/>
  <c r="J326" i="8" s="1"/>
  <c r="G658" i="8"/>
  <c r="G664" i="8" s="1"/>
  <c r="G655" i="20"/>
  <c r="H654" i="20"/>
  <c r="H657" i="8"/>
  <c r="H663" i="8" s="1"/>
  <c r="M1235" i="8"/>
  <c r="M360" i="8" s="1"/>
  <c r="M1237" i="8"/>
  <c r="H1006" i="20"/>
  <c r="K1010" i="8"/>
  <c r="K1016" i="8" s="1"/>
  <c r="K1011" i="8"/>
  <c r="K1017" i="8" s="1"/>
  <c r="N1007" i="20"/>
  <c r="L1238" i="8"/>
  <c r="P566" i="8"/>
  <c r="N481" i="8"/>
  <c r="H1235" i="8"/>
  <c r="H360" i="8" s="1"/>
  <c r="L305" i="8"/>
  <c r="K1036" i="20"/>
  <c r="P658" i="8"/>
  <c r="P664" i="8" s="1"/>
  <c r="O658" i="8"/>
  <c r="O664" i="8" s="1"/>
  <c r="F66" i="20"/>
  <c r="Q1232" i="20"/>
  <c r="J315" i="20"/>
  <c r="P1169" i="20"/>
  <c r="G1236" i="20"/>
  <c r="P1151" i="8"/>
  <c r="O149" i="20"/>
  <c r="O619" i="20"/>
  <c r="K756" i="20"/>
  <c r="K190" i="20" s="1"/>
  <c r="O319" i="8"/>
  <c r="O1151" i="8"/>
  <c r="G319" i="8"/>
  <c r="Q1150" i="8"/>
  <c r="H102" i="8"/>
  <c r="H532" i="8"/>
  <c r="I1174" i="8"/>
  <c r="J756" i="20"/>
  <c r="J190" i="20" s="1"/>
  <c r="M1117" i="8"/>
  <c r="M312" i="8"/>
  <c r="H826" i="8"/>
  <c r="H1300" i="8" s="1"/>
  <c r="H229" i="8"/>
  <c r="O102" i="8"/>
  <c r="O532" i="8"/>
  <c r="H131" i="8"/>
  <c r="H549" i="8"/>
  <c r="L152" i="8"/>
  <c r="L622" i="8"/>
  <c r="L312" i="8"/>
  <c r="L1117" i="8"/>
  <c r="E36" i="23"/>
  <c r="L319" i="8"/>
  <c r="L1151" i="8"/>
  <c r="K1235" i="8"/>
  <c r="K360" i="8" s="1"/>
  <c r="K1238" i="8"/>
  <c r="K315" i="20"/>
  <c r="K1147" i="20"/>
  <c r="O315" i="20"/>
  <c r="O1147" i="20"/>
  <c r="G1233" i="20"/>
  <c r="G356" i="20" s="1"/>
  <c r="G1235" i="20"/>
  <c r="K1233" i="20"/>
  <c r="K356" i="20" s="1"/>
  <c r="K1235" i="20"/>
  <c r="E764" i="20"/>
  <c r="E192" i="20" s="1"/>
  <c r="F762" i="8"/>
  <c r="K102" i="8"/>
  <c r="G1238" i="8"/>
  <c r="O498" i="8"/>
  <c r="F1174" i="8"/>
  <c r="M549" i="8"/>
  <c r="E406" i="20"/>
  <c r="E68" i="20" s="1"/>
  <c r="I67" i="8"/>
  <c r="I405" i="8"/>
  <c r="G941" i="20"/>
  <c r="G245" i="20" s="1"/>
  <c r="L1233" i="20"/>
  <c r="L356" i="20" s="1"/>
  <c r="L1235" i="20"/>
  <c r="J599" i="20"/>
  <c r="J142" i="20" s="1"/>
  <c r="J601" i="20"/>
  <c r="P761" i="8"/>
  <c r="I854" i="20"/>
  <c r="I231" i="20" s="1"/>
  <c r="M1167" i="20"/>
  <c r="M322" i="20" s="1"/>
  <c r="N941" i="20"/>
  <c r="N245" i="20" s="1"/>
  <c r="P479" i="20"/>
  <c r="P1233" i="20"/>
  <c r="P356" i="20" s="1"/>
  <c r="P1036" i="8"/>
  <c r="P1042" i="8" s="1"/>
  <c r="P1033" i="20"/>
  <c r="G767" i="8"/>
  <c r="G196" i="8" s="1"/>
  <c r="G761" i="8"/>
  <c r="F298" i="8"/>
  <c r="F1081" i="8"/>
  <c r="I1005" i="20"/>
  <c r="I1036" i="20"/>
  <c r="G759" i="8"/>
  <c r="G194" i="8" s="1"/>
  <c r="O767" i="8"/>
  <c r="O196" i="8" s="1"/>
  <c r="H965" i="20"/>
  <c r="K1006" i="20"/>
  <c r="K1009" i="8"/>
  <c r="K1015" i="8" s="1"/>
  <c r="L409" i="8"/>
  <c r="L69" i="8" s="1"/>
  <c r="L416" i="8"/>
  <c r="L1259" i="8" s="1"/>
  <c r="L1293" i="8" s="1"/>
  <c r="I658" i="8"/>
  <c r="I664" i="8" s="1"/>
  <c r="I655" i="20"/>
  <c r="F601" i="20"/>
  <c r="I657" i="8"/>
  <c r="I663" i="8" s="1"/>
  <c r="I654" i="20"/>
  <c r="N1147" i="20"/>
  <c r="N315" i="20"/>
  <c r="E1233" i="20"/>
  <c r="E356" i="20" s="1"/>
  <c r="C89" i="22" s="1"/>
  <c r="E1235" i="20"/>
  <c r="I416" i="8"/>
  <c r="I1259" i="8" s="1"/>
  <c r="I1293" i="8" s="1"/>
  <c r="I409" i="8"/>
  <c r="I69" i="8" s="1"/>
  <c r="E102" i="8"/>
  <c r="E532" i="8"/>
  <c r="J1006" i="20"/>
  <c r="L1037" i="8"/>
  <c r="L1043" i="8" s="1"/>
  <c r="F263" i="3"/>
  <c r="F267" i="3" s="1"/>
  <c r="N903" i="8"/>
  <c r="M826" i="8"/>
  <c r="M1300" i="8" s="1"/>
  <c r="E762" i="8"/>
  <c r="J1173" i="8"/>
  <c r="E1169" i="20"/>
  <c r="F619" i="20"/>
  <c r="G656" i="8"/>
  <c r="G662" i="8" s="1"/>
  <c r="N73" i="20"/>
  <c r="N431" i="20"/>
  <c r="N75" i="20" s="1"/>
  <c r="L1147" i="20"/>
  <c r="L315" i="20"/>
  <c r="P1235" i="8"/>
  <c r="P360" i="8" s="1"/>
  <c r="Q1146" i="20"/>
  <c r="N263" i="3"/>
  <c r="N267" i="3" s="1"/>
  <c r="E1214" i="8"/>
  <c r="M263" i="3"/>
  <c r="M267" i="3" s="1"/>
  <c r="M266" i="3"/>
  <c r="N968" i="8" s="1"/>
  <c r="N969" i="8" s="1"/>
  <c r="N257" i="8" s="1"/>
  <c r="M1006" i="20"/>
  <c r="E1033" i="20"/>
  <c r="E1036" i="8"/>
  <c r="E1042" i="8" s="1"/>
  <c r="O1033" i="20"/>
  <c r="O1036" i="8"/>
  <c r="O1042" i="8" s="1"/>
  <c r="N1208" i="20"/>
  <c r="N1211" i="8"/>
  <c r="N1215" i="8" s="1"/>
  <c r="H1170" i="20"/>
  <c r="E1005" i="20"/>
  <c r="E1207" i="20"/>
  <c r="E1008" i="20"/>
  <c r="E1011" i="8"/>
  <c r="E1017" i="8" s="1"/>
  <c r="P1011" i="8"/>
  <c r="P1017" i="8" s="1"/>
  <c r="P1008" i="20"/>
  <c r="J967" i="8"/>
  <c r="J971" i="8" s="1"/>
  <c r="N706" i="20"/>
  <c r="H782" i="20"/>
  <c r="H792" i="20" s="1"/>
  <c r="H1283" i="20" s="1"/>
  <c r="P140" i="3"/>
  <c r="E17" i="26" s="1"/>
  <c r="E61" i="26" s="1"/>
  <c r="G41" i="23"/>
  <c r="G42" i="23" s="1"/>
  <c r="H785" i="8"/>
  <c r="H790" i="8" s="1"/>
  <c r="O825" i="8"/>
  <c r="O836" i="8" s="1"/>
  <c r="O824" i="20"/>
  <c r="O224" i="20" s="1"/>
  <c r="L1076" i="20"/>
  <c r="L294" i="20" s="1"/>
  <c r="L1080" i="8"/>
  <c r="O940" i="20"/>
  <c r="O943" i="8"/>
  <c r="H940" i="20"/>
  <c r="H941" i="20" s="1"/>
  <c r="H245" i="20" s="1"/>
  <c r="P252" i="3"/>
  <c r="H943" i="8"/>
  <c r="H263" i="3"/>
  <c r="H267" i="3" s="1"/>
  <c r="J1036" i="8"/>
  <c r="J1042" i="8" s="1"/>
  <c r="M88" i="8"/>
  <c r="M481" i="8"/>
  <c r="O857" i="8"/>
  <c r="I531" i="8"/>
  <c r="P42" i="3"/>
  <c r="E20" i="26" s="1"/>
  <c r="E64" i="26" s="1"/>
  <c r="I529" i="20"/>
  <c r="G563" i="20"/>
  <c r="G565" i="8"/>
  <c r="P52" i="3"/>
  <c r="E24" i="26" s="1"/>
  <c r="E68" i="26" s="1"/>
  <c r="M621" i="8"/>
  <c r="M618" i="20"/>
  <c r="I149" i="20"/>
  <c r="I619" i="20"/>
  <c r="P87" i="3"/>
  <c r="E90" i="3"/>
  <c r="E164" i="3" s="1"/>
  <c r="L158" i="3"/>
  <c r="L160" i="3" s="1"/>
  <c r="H158" i="3"/>
  <c r="P71" i="3"/>
  <c r="E25" i="26" s="1"/>
  <c r="E69" i="26" s="1"/>
  <c r="O603" i="8"/>
  <c r="I761" i="8"/>
  <c r="L853" i="20"/>
  <c r="L854" i="8"/>
  <c r="H853" i="20"/>
  <c r="H854" i="8"/>
  <c r="F852" i="8"/>
  <c r="F851" i="20"/>
  <c r="P203" i="3"/>
  <c r="M850" i="20"/>
  <c r="M851" i="8"/>
  <c r="E896" i="8"/>
  <c r="P235" i="3"/>
  <c r="E894" i="20"/>
  <c r="M896" i="20"/>
  <c r="M898" i="8"/>
  <c r="M904" i="8" s="1"/>
  <c r="O897" i="8"/>
  <c r="O895" i="20"/>
  <c r="K895" i="20"/>
  <c r="K897" i="8"/>
  <c r="I902" i="8"/>
  <c r="F942" i="8"/>
  <c r="F939" i="20"/>
  <c r="H1169" i="8"/>
  <c r="H1165" i="20"/>
  <c r="M965" i="20"/>
  <c r="M968" i="8"/>
  <c r="M972" i="8" s="1"/>
  <c r="P1113" i="20"/>
  <c r="J654" i="20"/>
  <c r="P1039" i="8"/>
  <c r="P1045" i="8" s="1"/>
  <c r="M1208" i="20"/>
  <c r="M1039" i="8"/>
  <c r="M1045" i="8" s="1"/>
  <c r="D125" i="3"/>
  <c r="E706" i="8" s="1"/>
  <c r="E712" i="8" s="1"/>
  <c r="P1237" i="8"/>
  <c r="N654" i="20"/>
  <c r="O852" i="20"/>
  <c r="J401" i="20"/>
  <c r="J412" i="20" s="1"/>
  <c r="M896" i="8"/>
  <c r="K897" i="20"/>
  <c r="P365" i="3"/>
  <c r="F548" i="8"/>
  <c r="F546" i="20"/>
  <c r="F547" i="20" s="1"/>
  <c r="P47" i="3"/>
  <c r="E23" i="26" s="1"/>
  <c r="E67" i="26" s="1"/>
  <c r="J41" i="23"/>
  <c r="J42" i="23" s="1"/>
  <c r="K785" i="8"/>
  <c r="K790" i="8" s="1"/>
  <c r="K782" i="20"/>
  <c r="K197" i="20" s="1"/>
  <c r="I86" i="22" s="1"/>
  <c r="N81" i="8"/>
  <c r="N464" i="8"/>
  <c r="H478" i="20"/>
  <c r="P32" i="3"/>
  <c r="E18" i="26" s="1"/>
  <c r="E62" i="26" s="1"/>
  <c r="H480" i="8"/>
  <c r="F1098" i="8"/>
  <c r="P330" i="3"/>
  <c r="E28" i="26" s="1"/>
  <c r="E72" i="26" s="1"/>
  <c r="F1094" i="20"/>
  <c r="F301" i="20" s="1"/>
  <c r="L426" i="20"/>
  <c r="L73" i="20" s="1"/>
  <c r="K53" i="23"/>
  <c r="K54" i="23" s="1"/>
  <c r="L429" i="8"/>
  <c r="L434" i="8" s="1"/>
  <c r="O463" i="8"/>
  <c r="O81" i="8" s="1"/>
  <c r="N47" i="23"/>
  <c r="N48" i="23" s="1"/>
  <c r="O461" i="20"/>
  <c r="O462" i="20" s="1"/>
  <c r="F463" i="8"/>
  <c r="P27" i="3"/>
  <c r="E22" i="26" s="1"/>
  <c r="E66" i="26" s="1"/>
  <c r="F461" i="20"/>
  <c r="F80" i="20" s="1"/>
  <c r="L478" i="20"/>
  <c r="L480" i="8"/>
  <c r="M497" i="8"/>
  <c r="M495" i="20"/>
  <c r="H497" i="8"/>
  <c r="P37" i="3"/>
  <c r="E19" i="26" s="1"/>
  <c r="E63" i="26" s="1"/>
  <c r="H404" i="8"/>
  <c r="H416" i="8" s="1"/>
  <c r="H1259" i="8" s="1"/>
  <c r="H1293" i="8" s="1"/>
  <c r="P17" i="3"/>
  <c r="H401" i="20"/>
  <c r="H412" i="20" s="1"/>
  <c r="H1258" i="20" s="1"/>
  <c r="G17" i="23"/>
  <c r="G18" i="23" s="1"/>
  <c r="N529" i="20"/>
  <c r="N531" i="8"/>
  <c r="N548" i="8"/>
  <c r="N546" i="20"/>
  <c r="N128" i="20" s="1"/>
  <c r="J548" i="8"/>
  <c r="J546" i="20"/>
  <c r="J128" i="20" s="1"/>
  <c r="K565" i="8"/>
  <c r="K563" i="20"/>
  <c r="K135" i="20" s="1"/>
  <c r="L117" i="3"/>
  <c r="L168" i="3" s="1"/>
  <c r="P115" i="3"/>
  <c r="K968" i="8"/>
  <c r="K972" i="8" s="1"/>
  <c r="K965" i="20"/>
  <c r="E1039" i="8"/>
  <c r="E1045" i="8" s="1"/>
  <c r="E1036" i="20"/>
  <c r="P1076" i="20"/>
  <c r="P294" i="20" s="1"/>
  <c r="P1080" i="8"/>
  <c r="O422" i="3"/>
  <c r="P359" i="3"/>
  <c r="E31" i="26" s="1"/>
  <c r="E75" i="26" s="1"/>
  <c r="O367" i="3"/>
  <c r="P412" i="3"/>
  <c r="P315" i="20"/>
  <c r="P1147" i="20"/>
  <c r="P202" i="3"/>
  <c r="E851" i="8"/>
  <c r="E850" i="20"/>
  <c r="G853" i="8"/>
  <c r="G852" i="20"/>
  <c r="P204" i="3"/>
  <c r="J852" i="8"/>
  <c r="J858" i="8" s="1"/>
  <c r="J851" i="20"/>
  <c r="G897" i="20"/>
  <c r="P238" i="3"/>
  <c r="G899" i="8"/>
  <c r="I898" i="8"/>
  <c r="P237" i="3"/>
  <c r="I896" i="20"/>
  <c r="P236" i="3"/>
  <c r="G897" i="8"/>
  <c r="P897" i="20"/>
  <c r="P899" i="8"/>
  <c r="E939" i="20"/>
  <c r="E942" i="8"/>
  <c r="P251" i="3"/>
  <c r="J939" i="20"/>
  <c r="J941" i="20" s="1"/>
  <c r="J245" i="20" s="1"/>
  <c r="J942" i="8"/>
  <c r="O1170" i="8"/>
  <c r="O1166" i="20"/>
  <c r="K1170" i="20"/>
  <c r="K1167" i="20"/>
  <c r="K322" i="20" s="1"/>
  <c r="H1170" i="8"/>
  <c r="P366" i="3"/>
  <c r="L1169" i="8"/>
  <c r="L1165" i="20"/>
  <c r="O263" i="3"/>
  <c r="O267" i="3" s="1"/>
  <c r="N656" i="8"/>
  <c r="N662" i="8" s="1"/>
  <c r="N942" i="8"/>
  <c r="E93" i="3"/>
  <c r="N851" i="20"/>
  <c r="D117" i="3"/>
  <c r="D168" i="3" s="1"/>
  <c r="I894" i="20"/>
  <c r="K1170" i="8"/>
  <c r="P194" i="3"/>
  <c r="E659" i="8"/>
  <c r="E665" i="8" s="1"/>
  <c r="E656" i="20"/>
  <c r="N565" i="8"/>
  <c r="F825" i="8"/>
  <c r="F836" i="8" s="1"/>
  <c r="F824" i="20"/>
  <c r="F224" i="20" s="1"/>
  <c r="P186" i="3"/>
  <c r="E13" i="26" s="1"/>
  <c r="N495" i="20"/>
  <c r="N497" i="8"/>
  <c r="E1147" i="20"/>
  <c r="E315" i="20"/>
  <c r="H315" i="20"/>
  <c r="H1147" i="20"/>
  <c r="N1233" i="20"/>
  <c r="N356" i="20" s="1"/>
  <c r="N1235" i="20"/>
  <c r="F1233" i="20"/>
  <c r="F356" i="20" s="1"/>
  <c r="F1236" i="20"/>
  <c r="H128" i="3"/>
  <c r="I709" i="8" s="1"/>
  <c r="I715" i="8" s="1"/>
  <c r="L127" i="3"/>
  <c r="K126" i="3"/>
  <c r="O36" i="23"/>
  <c r="P1094" i="20"/>
  <c r="P301" i="20" s="1"/>
  <c r="P1098" i="8"/>
  <c r="P656" i="20"/>
  <c r="P659" i="8"/>
  <c r="P665" i="8" s="1"/>
  <c r="P114" i="3"/>
  <c r="O601" i="8"/>
  <c r="O145" i="8" s="1"/>
  <c r="O602" i="20"/>
  <c r="L761" i="8"/>
  <c r="H764" i="20"/>
  <c r="H192" i="20" s="1"/>
  <c r="P205" i="3"/>
  <c r="O853" i="20"/>
  <c r="O854" i="8"/>
  <c r="O860" i="8" s="1"/>
  <c r="J461" i="20"/>
  <c r="J80" i="20" s="1"/>
  <c r="I47" i="23"/>
  <c r="I48" i="23" s="1"/>
  <c r="J463" i="8"/>
  <c r="J81" i="8" s="1"/>
  <c r="L563" i="20"/>
  <c r="L565" i="8"/>
  <c r="H563" i="20"/>
  <c r="H135" i="20" s="1"/>
  <c r="H565" i="8"/>
  <c r="N618" i="20"/>
  <c r="N621" i="8"/>
  <c r="J621" i="8"/>
  <c r="J618" i="20"/>
  <c r="N93" i="3"/>
  <c r="N90" i="3"/>
  <c r="N164" i="3" s="1"/>
  <c r="J93" i="3"/>
  <c r="J90" i="3"/>
  <c r="J164" i="3" s="1"/>
  <c r="J1112" i="20"/>
  <c r="J308" i="20" s="1"/>
  <c r="J1116" i="8"/>
  <c r="J312" i="8" s="1"/>
  <c r="E782" i="20"/>
  <c r="E792" i="20" s="1"/>
  <c r="E785" i="8"/>
  <c r="E790" i="8" s="1"/>
  <c r="E1282" i="8" s="1"/>
  <c r="L785" i="8"/>
  <c r="L790" i="8" s="1"/>
  <c r="K41" i="23"/>
  <c r="K42" i="23" s="1"/>
  <c r="F621" i="8"/>
  <c r="P76" i="3"/>
  <c r="E26" i="26" s="1"/>
  <c r="E70" i="26" s="1"/>
  <c r="K764" i="20"/>
  <c r="K192" i="20" s="1"/>
  <c r="M47" i="23"/>
  <c r="M48" i="23" s="1"/>
  <c r="N461" i="20"/>
  <c r="N80" i="20" s="1"/>
  <c r="F315" i="20"/>
  <c r="F1147" i="20"/>
  <c r="M315" i="20"/>
  <c r="M1147" i="20"/>
  <c r="Q1231" i="20"/>
  <c r="K127" i="3"/>
  <c r="G125" i="3"/>
  <c r="I601" i="20"/>
  <c r="F943" i="8"/>
  <c r="F940" i="20"/>
  <c r="I401" i="20"/>
  <c r="I406" i="20" s="1"/>
  <c r="H17" i="23"/>
  <c r="H18" i="23" s="1"/>
  <c r="F1116" i="8"/>
  <c r="F1112" i="20"/>
  <c r="F308" i="20" s="1"/>
  <c r="E1098" i="8"/>
  <c r="E1094" i="20"/>
  <c r="E301" i="20" s="1"/>
  <c r="N1099" i="8"/>
  <c r="F1076" i="20"/>
  <c r="P325" i="3"/>
  <c r="E27" i="26" s="1"/>
  <c r="E1112" i="20"/>
  <c r="E308" i="20" s="1"/>
  <c r="E1116" i="8"/>
  <c r="P233" i="3"/>
  <c r="P259" i="3"/>
  <c r="K395" i="3"/>
  <c r="G395" i="3"/>
  <c r="J377" i="3"/>
  <c r="J381" i="3" s="1"/>
  <c r="J379" i="3"/>
  <c r="K1207" i="20" s="1"/>
  <c r="I599" i="20"/>
  <c r="I142" i="20" s="1"/>
  <c r="J850" i="20"/>
  <c r="J851" i="8"/>
  <c r="E897" i="8"/>
  <c r="E895" i="20"/>
  <c r="J894" i="20"/>
  <c r="J896" i="8"/>
  <c r="F894" i="20"/>
  <c r="F896" i="8"/>
  <c r="L940" i="20"/>
  <c r="L941" i="20" s="1"/>
  <c r="L245" i="20" s="1"/>
  <c r="L943" i="8"/>
  <c r="P942" i="8"/>
  <c r="P939" i="20"/>
  <c r="P941" i="20" s="1"/>
  <c r="P245" i="20" s="1"/>
  <c r="F125" i="3"/>
  <c r="J905" i="8"/>
  <c r="J1235" i="20"/>
  <c r="I127" i="3"/>
  <c r="I126" i="3"/>
  <c r="N781" i="8"/>
  <c r="N200" i="8" s="1"/>
  <c r="C312" i="2"/>
  <c r="E312" i="2" s="1"/>
  <c r="F782" i="8"/>
  <c r="F1279" i="8" s="1"/>
  <c r="H821" i="8"/>
  <c r="H835" i="8" s="1"/>
  <c r="H1301" i="8" s="1"/>
  <c r="H1321" i="8" s="1"/>
  <c r="E821" i="8"/>
  <c r="E822" i="8" s="1"/>
  <c r="E1298" i="8" s="1"/>
  <c r="C308" i="2"/>
  <c r="E308" i="2" s="1"/>
  <c r="N1034" i="20"/>
  <c r="N1037" i="8"/>
  <c r="N1043" i="8" s="1"/>
  <c r="H1208" i="20"/>
  <c r="H1211" i="8"/>
  <c r="H1215" i="8" s="1"/>
  <c r="N1036" i="20"/>
  <c r="N1039" i="8"/>
  <c r="N1045" i="8" s="1"/>
  <c r="L653" i="20"/>
  <c r="L656" i="8"/>
  <c r="L662" i="8" s="1"/>
  <c r="M709" i="8"/>
  <c r="M715" i="8" s="1"/>
  <c r="M707" i="20"/>
  <c r="O1008" i="20"/>
  <c r="O1011" i="8"/>
  <c r="O1017" i="8" s="1"/>
  <c r="H292" i="3"/>
  <c r="H47" i="5"/>
  <c r="D292" i="3"/>
  <c r="P45" i="5"/>
  <c r="D291" i="3"/>
  <c r="D47" i="5"/>
  <c r="K290" i="3"/>
  <c r="K47" i="5"/>
  <c r="G296" i="3"/>
  <c r="H1008" i="8" s="1"/>
  <c r="G294" i="3"/>
  <c r="N379" i="3"/>
  <c r="N64" i="5"/>
  <c r="F64" i="5"/>
  <c r="P62" i="5"/>
  <c r="P57" i="5"/>
  <c r="D59" i="5"/>
  <c r="D261" i="3"/>
  <c r="I59" i="5"/>
  <c r="I262" i="3"/>
  <c r="I266" i="3" s="1"/>
  <c r="E59" i="5"/>
  <c r="E262" i="3"/>
  <c r="L261" i="3"/>
  <c r="L59" i="5"/>
  <c r="I1037" i="8"/>
  <c r="I1043" i="8" s="1"/>
  <c r="L1036" i="20"/>
  <c r="I1208" i="20"/>
  <c r="I1011" i="8"/>
  <c r="I1017" i="8" s="1"/>
  <c r="O707" i="20"/>
  <c r="I54" i="5"/>
  <c r="J653" i="20"/>
  <c r="J656" i="8"/>
  <c r="J662" i="8" s="1"/>
  <c r="J64" i="5"/>
  <c r="P44" i="5"/>
  <c r="M59" i="5"/>
  <c r="H90" i="3"/>
  <c r="H164" i="3" s="1"/>
  <c r="H92" i="3"/>
  <c r="D94" i="3"/>
  <c r="P88" i="3"/>
  <c r="I95" i="3"/>
  <c r="P89" i="3"/>
  <c r="I90" i="3"/>
  <c r="I164" i="3" s="1"/>
  <c r="M94" i="3"/>
  <c r="M90" i="3"/>
  <c r="M164" i="3" s="1"/>
  <c r="J265" i="3"/>
  <c r="K967" i="8" s="1"/>
  <c r="J263" i="3"/>
  <c r="P51" i="5"/>
  <c r="F311" i="3"/>
  <c r="F317" i="3" s="1"/>
  <c r="M310" i="3"/>
  <c r="M54" i="5"/>
  <c r="P33" i="5"/>
  <c r="E40" i="5"/>
  <c r="E119" i="3"/>
  <c r="P36" i="5"/>
  <c r="E293" i="3"/>
  <c r="P46" i="5"/>
  <c r="E47" i="5"/>
  <c r="N1204" i="8"/>
  <c r="N1206" i="8" s="1"/>
  <c r="N1201" i="20"/>
  <c r="N348" i="20" s="1"/>
  <c r="P63" i="5"/>
  <c r="O380" i="3" s="1"/>
  <c r="E64" i="5"/>
  <c r="H379" i="3"/>
  <c r="H377" i="3"/>
  <c r="H381" i="3" s="1"/>
  <c r="G313" i="3"/>
  <c r="P53" i="5"/>
  <c r="N312" i="3"/>
  <c r="P312" i="3" s="1"/>
  <c r="N54" i="5"/>
  <c r="I317" i="3"/>
  <c r="I314" i="3"/>
  <c r="I320" i="3" s="1"/>
  <c r="P17" i="5"/>
  <c r="O180" i="2" s="1"/>
  <c r="O182" i="2" s="1"/>
  <c r="P936" i="8" s="1"/>
  <c r="G22" i="5"/>
  <c r="G24" i="5" s="1"/>
  <c r="K1038" i="8"/>
  <c r="K1044" i="8" s="1"/>
  <c r="H314" i="3"/>
  <c r="F1207" i="20"/>
  <c r="P52" i="5"/>
  <c r="L93" i="3"/>
  <c r="M654" i="20" s="1"/>
  <c r="L90" i="3"/>
  <c r="L164" i="3" s="1"/>
  <c r="D93" i="3"/>
  <c r="D90" i="3"/>
  <c r="D164" i="3" s="1"/>
  <c r="M22" i="5"/>
  <c r="M24" i="5" s="1"/>
  <c r="M180" i="2"/>
  <c r="M182" i="2" s="1"/>
  <c r="N933" i="20" s="1"/>
  <c r="E128" i="3"/>
  <c r="P122" i="3"/>
  <c r="D121" i="3"/>
  <c r="P38" i="5"/>
  <c r="D120" i="3"/>
  <c r="P37" i="5"/>
  <c r="D40" i="5"/>
  <c r="L119" i="3"/>
  <c r="L40" i="5"/>
  <c r="H119" i="3"/>
  <c r="H40" i="5"/>
  <c r="K263" i="3"/>
  <c r="K266" i="3"/>
  <c r="K310" i="3"/>
  <c r="K54" i="5"/>
  <c r="O119" i="3"/>
  <c r="O40" i="5"/>
  <c r="O292" i="3"/>
  <c r="O47" i="5"/>
  <c r="O318" i="3"/>
  <c r="O314" i="3"/>
  <c r="P86" i="3"/>
  <c r="F90" i="3"/>
  <c r="F164" i="3" s="1"/>
  <c r="O656" i="8"/>
  <c r="O662" i="8" s="1"/>
  <c r="O653" i="20"/>
  <c r="K90" i="3"/>
  <c r="K164" i="3" s="1"/>
  <c r="H659" i="8"/>
  <c r="H665" i="8" s="1"/>
  <c r="H656" i="20"/>
  <c r="P39" i="5"/>
  <c r="N40" i="5"/>
  <c r="N120" i="3"/>
  <c r="K64" i="5"/>
  <c r="G379" i="3"/>
  <c r="G377" i="3"/>
  <c r="G381" i="3" s="1"/>
  <c r="O92" i="3"/>
  <c r="O90" i="3"/>
  <c r="O164" i="3" s="1"/>
  <c r="P971" i="8"/>
  <c r="P969" i="8"/>
  <c r="P257" i="8" s="1"/>
  <c r="G261" i="3"/>
  <c r="G59" i="5"/>
  <c r="H655" i="20"/>
  <c r="H658" i="8"/>
  <c r="I119" i="3"/>
  <c r="I40" i="5"/>
  <c r="N290" i="3"/>
  <c r="N47" i="5"/>
  <c r="J290" i="3"/>
  <c r="J47" i="5"/>
  <c r="M64" i="5"/>
  <c r="I64" i="5"/>
  <c r="J310" i="3"/>
  <c r="J54" i="5"/>
  <c r="F310" i="3"/>
  <c r="P50" i="5"/>
  <c r="M529" i="8"/>
  <c r="M526" i="20"/>
  <c r="M527" i="20" s="1"/>
  <c r="I492" i="20"/>
  <c r="I93" i="20" s="1"/>
  <c r="E1205" i="8"/>
  <c r="E1146" i="8"/>
  <c r="E1147" i="8" s="1"/>
  <c r="O477" i="8"/>
  <c r="O87" i="8" s="1"/>
  <c r="G1032" i="8"/>
  <c r="E492" i="20"/>
  <c r="E93" i="20" s="1"/>
  <c r="O752" i="8"/>
  <c r="O753" i="8" s="1"/>
  <c r="G891" i="20"/>
  <c r="P297" i="8"/>
  <c r="E477" i="8"/>
  <c r="E478" i="8" s="1"/>
  <c r="O87" i="2"/>
  <c r="O132" i="2"/>
  <c r="O144" i="2" s="1"/>
  <c r="K87" i="2"/>
  <c r="L699" i="20" s="1"/>
  <c r="L182" i="20" s="1"/>
  <c r="K132" i="2"/>
  <c r="G87" i="2"/>
  <c r="G132" i="2"/>
  <c r="G144" i="2" s="1"/>
  <c r="H1204" i="8"/>
  <c r="H1206" i="8" s="1"/>
  <c r="E1112" i="8"/>
  <c r="E311" i="8" s="1"/>
  <c r="H348" i="20"/>
  <c r="O1072" i="20"/>
  <c r="O293" i="20" s="1"/>
  <c r="I140" i="2"/>
  <c r="I87" i="2"/>
  <c r="J699" i="20" s="1"/>
  <c r="I132" i="2"/>
  <c r="E132" i="2"/>
  <c r="I781" i="8"/>
  <c r="I782" i="8" s="1"/>
  <c r="I1279" i="8" s="1"/>
  <c r="M615" i="20"/>
  <c r="M148" i="20" s="1"/>
  <c r="L596" i="8"/>
  <c r="L593" i="20"/>
  <c r="L141" i="20" s="1"/>
  <c r="K562" i="8"/>
  <c r="K563" i="8" s="1"/>
  <c r="L477" i="8"/>
  <c r="L87" i="8" s="1"/>
  <c r="L459" i="20"/>
  <c r="J48" i="23"/>
  <c r="K48" i="23"/>
  <c r="N961" i="8"/>
  <c r="N256" i="8" s="1"/>
  <c r="N958" i="20"/>
  <c r="N251" i="20" s="1"/>
  <c r="P1078" i="8"/>
  <c r="E87" i="2"/>
  <c r="F701" i="8" s="1"/>
  <c r="F186" i="8" s="1"/>
  <c r="L1112" i="8"/>
  <c r="L1114" i="8" s="1"/>
  <c r="H460" i="8"/>
  <c r="H80" i="8" s="1"/>
  <c r="N1033" i="8"/>
  <c r="J258" i="20"/>
  <c r="O1203" i="20"/>
  <c r="L1230" i="8"/>
  <c r="K1094" i="8"/>
  <c r="K1096" i="8" s="1"/>
  <c r="N820" i="20"/>
  <c r="N223" i="20" s="1"/>
  <c r="I423" i="20"/>
  <c r="I72" i="20" s="1"/>
  <c r="L400" i="8"/>
  <c r="L414" i="8" s="1"/>
  <c r="L1257" i="8" s="1"/>
  <c r="L1291" i="8" s="1"/>
  <c r="H1226" i="20"/>
  <c r="H1228" i="20" s="1"/>
  <c r="N290" i="8"/>
  <c r="N1027" i="20"/>
  <c r="N286" i="20" s="1"/>
  <c r="H359" i="8"/>
  <c r="F1072" i="20"/>
  <c r="G1226" i="20"/>
  <c r="G1228" i="20" s="1"/>
  <c r="L778" i="20"/>
  <c r="L196" i="20" s="1"/>
  <c r="H618" i="8"/>
  <c r="H619" i="8" s="1"/>
  <c r="I281" i="2"/>
  <c r="I293" i="2" s="1"/>
  <c r="P1072" i="20"/>
  <c r="D81" i="2"/>
  <c r="O251" i="20"/>
  <c r="G964" i="8"/>
  <c r="H1229" i="8"/>
  <c r="N1096" i="8"/>
  <c r="G321" i="20"/>
  <c r="O889" i="20"/>
  <c r="O891" i="20" s="1"/>
  <c r="I618" i="8"/>
  <c r="I151" i="8" s="1"/>
  <c r="F127" i="20"/>
  <c r="H781" i="8"/>
  <c r="H200" i="8" s="1"/>
  <c r="K494" i="8"/>
  <c r="K94" i="8" s="1"/>
  <c r="I400" i="8"/>
  <c r="I401" i="8" s="1"/>
  <c r="F545" i="8"/>
  <c r="F130" i="8" s="1"/>
  <c r="F1142" i="20"/>
  <c r="F1144" i="20" s="1"/>
  <c r="F778" i="20"/>
  <c r="F196" i="20" s="1"/>
  <c r="L140" i="2"/>
  <c r="H140" i="2"/>
  <c r="E527" i="20"/>
  <c r="O751" i="20"/>
  <c r="H593" i="20"/>
  <c r="H141" i="20" s="1"/>
  <c r="E528" i="8"/>
  <c r="E101" i="8" s="1"/>
  <c r="I477" i="8"/>
  <c r="I87" i="8" s="1"/>
  <c r="L1226" i="20"/>
  <c r="L1228" i="20" s="1"/>
  <c r="O1164" i="8"/>
  <c r="O325" i="8" s="1"/>
  <c r="F140" i="2"/>
  <c r="P138" i="2"/>
  <c r="K402" i="8"/>
  <c r="K1254" i="8" s="1"/>
  <c r="K401" i="8"/>
  <c r="K66" i="8"/>
  <c r="L1229" i="8"/>
  <c r="F318" i="8"/>
  <c r="O1162" i="20"/>
  <c r="K752" i="8"/>
  <c r="K193" i="8" s="1"/>
  <c r="G752" i="8"/>
  <c r="G754" i="8" s="1"/>
  <c r="N1032" i="8"/>
  <c r="O1204" i="20"/>
  <c r="E94" i="8"/>
  <c r="M94" i="8"/>
  <c r="M1203" i="20"/>
  <c r="J495" i="8"/>
  <c r="N495" i="8"/>
  <c r="P958" i="20"/>
  <c r="P961" i="20" s="1"/>
  <c r="P1002" i="8"/>
  <c r="P1004" i="8" s="1"/>
  <c r="O288" i="2"/>
  <c r="O290" i="2" s="1"/>
  <c r="M1204" i="20"/>
  <c r="I196" i="20"/>
  <c r="G822" i="8"/>
  <c r="G1298" i="8" s="1"/>
  <c r="G359" i="8"/>
  <c r="M780" i="20"/>
  <c r="M1280" i="20" s="1"/>
  <c r="M1072" i="20"/>
  <c r="M293" i="20" s="1"/>
  <c r="G778" i="20"/>
  <c r="G196" i="20" s="1"/>
  <c r="F618" i="8"/>
  <c r="F619" i="8" s="1"/>
  <c r="N423" i="20"/>
  <c r="N72" i="20" s="1"/>
  <c r="E397" i="20"/>
  <c r="E411" i="20" s="1"/>
  <c r="E1257" i="20" s="1"/>
  <c r="E1291" i="20" s="1"/>
  <c r="J397" i="20"/>
  <c r="J411" i="20" s="1"/>
  <c r="J1257" i="20" s="1"/>
  <c r="J1291" i="20" s="1"/>
  <c r="J426" i="8"/>
  <c r="J73" i="8" s="1"/>
  <c r="E295" i="2"/>
  <c r="H193" i="8"/>
  <c r="L751" i="20"/>
  <c r="F492" i="20"/>
  <c r="F493" i="20" s="1"/>
  <c r="O820" i="20"/>
  <c r="O223" i="20" s="1"/>
  <c r="L752" i="8"/>
  <c r="L753" i="8" s="1"/>
  <c r="M781" i="8"/>
  <c r="M200" i="8" s="1"/>
  <c r="G823" i="8"/>
  <c r="G1299" i="8" s="1"/>
  <c r="G200" i="8"/>
  <c r="J529" i="8"/>
  <c r="I223" i="20"/>
  <c r="K936" i="8"/>
  <c r="K249" i="8" s="1"/>
  <c r="H1108" i="20"/>
  <c r="H1110" i="20" s="1"/>
  <c r="M593" i="20"/>
  <c r="M141" i="20" s="1"/>
  <c r="H749" i="20"/>
  <c r="L460" i="8"/>
  <c r="N529" i="8"/>
  <c r="N101" i="8"/>
  <c r="F753" i="8"/>
  <c r="F754" i="8"/>
  <c r="F193" i="8"/>
  <c r="M1077" i="8"/>
  <c r="M297" i="8"/>
  <c r="L526" i="20"/>
  <c r="L100" i="20" s="1"/>
  <c r="L528" i="8"/>
  <c r="J749" i="20"/>
  <c r="J752" i="8"/>
  <c r="J193" i="8" s="1"/>
  <c r="I122" i="2"/>
  <c r="P121" i="2"/>
  <c r="E242" i="8"/>
  <c r="E892" i="8"/>
  <c r="F1112" i="8"/>
  <c r="F1108" i="20"/>
  <c r="F1110" i="20" s="1"/>
  <c r="N1108" i="20"/>
  <c r="N1112" i="8"/>
  <c r="N1114" i="8" s="1"/>
  <c r="N128" i="2"/>
  <c r="F936" i="8"/>
  <c r="F249" i="8" s="1"/>
  <c r="K780" i="20"/>
  <c r="K1280" i="20" s="1"/>
  <c r="F561" i="20"/>
  <c r="J1204" i="8"/>
  <c r="J1207" i="8" s="1"/>
  <c r="N749" i="20"/>
  <c r="N751" i="20" s="1"/>
  <c r="K140" i="2"/>
  <c r="H122" i="2"/>
  <c r="K477" i="8"/>
  <c r="K87" i="8" s="1"/>
  <c r="K475" i="20"/>
  <c r="K86" i="20" s="1"/>
  <c r="E1160" i="20"/>
  <c r="E321" i="20" s="1"/>
  <c r="E1164" i="8"/>
  <c r="E325" i="8" s="1"/>
  <c r="L145" i="2"/>
  <c r="H145" i="2"/>
  <c r="P477" i="8"/>
  <c r="P475" i="20"/>
  <c r="P86" i="20" s="1"/>
  <c r="L999" i="20"/>
  <c r="L1002" i="8"/>
  <c r="L1005" i="8" s="1"/>
  <c r="L1030" i="8"/>
  <c r="L1027" i="20"/>
  <c r="L286" i="20" s="1"/>
  <c r="N1095" i="8"/>
  <c r="P546" i="8"/>
  <c r="M1162" i="20"/>
  <c r="P99" i="2"/>
  <c r="D17" i="26" s="1"/>
  <c r="O781" i="8"/>
  <c r="O200" i="8" s="1"/>
  <c r="M426" i="8"/>
  <c r="M73" i="8" s="1"/>
  <c r="E460" i="8"/>
  <c r="E80" i="8" s="1"/>
  <c r="G595" i="8"/>
  <c r="G144" i="8" s="1"/>
  <c r="K820" i="20"/>
  <c r="K834" i="20" s="1"/>
  <c r="K1301" i="20" s="1"/>
  <c r="K1321" i="20" s="1"/>
  <c r="K821" i="8"/>
  <c r="K823" i="8" s="1"/>
  <c r="G936" i="8"/>
  <c r="G939" i="8" s="1"/>
  <c r="G933" i="20"/>
  <c r="G936" i="20" s="1"/>
  <c r="F1164" i="8"/>
  <c r="F325" i="8" s="1"/>
  <c r="F1160" i="20"/>
  <c r="F321" i="20" s="1"/>
  <c r="J1164" i="8"/>
  <c r="J1160" i="20"/>
  <c r="J321" i="20" s="1"/>
  <c r="N1164" i="8"/>
  <c r="N1165" i="8" s="1"/>
  <c r="N1160" i="20"/>
  <c r="N1162" i="20" s="1"/>
  <c r="O145" i="2"/>
  <c r="N81" i="2"/>
  <c r="E1206" i="8"/>
  <c r="H1203" i="20"/>
  <c r="P1114" i="8"/>
  <c r="H754" i="8"/>
  <c r="I427" i="8"/>
  <c r="P196" i="20"/>
  <c r="J128" i="2"/>
  <c r="N193" i="8"/>
  <c r="G282" i="2"/>
  <c r="M1204" i="8"/>
  <c r="M352" i="8" s="1"/>
  <c r="L1204" i="8"/>
  <c r="L352" i="8" s="1"/>
  <c r="M1164" i="8"/>
  <c r="M1165" i="8" s="1"/>
  <c r="I821" i="8"/>
  <c r="I835" i="8" s="1"/>
  <c r="K781" i="8"/>
  <c r="K783" i="8" s="1"/>
  <c r="K1280" i="8" s="1"/>
  <c r="K1226" i="20"/>
  <c r="K1227" i="20" s="1"/>
  <c r="J615" i="20"/>
  <c r="G820" i="20"/>
  <c r="G822" i="20" s="1"/>
  <c r="G1299" i="20" s="1"/>
  <c r="E778" i="20"/>
  <c r="E196" i="20" s="1"/>
  <c r="N170" i="2"/>
  <c r="O845" i="20" s="1"/>
  <c r="P560" i="20"/>
  <c r="P561" i="20" s="1"/>
  <c r="O1204" i="8"/>
  <c r="O1207" i="8" s="1"/>
  <c r="N1090" i="20"/>
  <c r="N1091" i="20" s="1"/>
  <c r="N492" i="20"/>
  <c r="N93" i="20" s="1"/>
  <c r="H891" i="8"/>
  <c r="J122" i="2"/>
  <c r="E122" i="2"/>
  <c r="J593" i="20"/>
  <c r="J141" i="20" s="1"/>
  <c r="J595" i="8"/>
  <c r="D140" i="2"/>
  <c r="L820" i="20"/>
  <c r="L223" i="20" s="1"/>
  <c r="L821" i="8"/>
  <c r="L823" i="8" s="1"/>
  <c r="L1299" i="8" s="1"/>
  <c r="E889" i="20"/>
  <c r="E237" i="20" s="1"/>
  <c r="G835" i="8"/>
  <c r="J145" i="2"/>
  <c r="F961" i="8"/>
  <c r="F964" i="8" s="1"/>
  <c r="F958" i="20"/>
  <c r="E783" i="8"/>
  <c r="E1280" i="8" s="1"/>
  <c r="E782" i="8"/>
  <c r="E1279" i="8" s="1"/>
  <c r="G962" i="8"/>
  <c r="O823" i="8"/>
  <c r="O1299" i="8" s="1"/>
  <c r="M596" i="8"/>
  <c r="G958" i="20"/>
  <c r="F288" i="2"/>
  <c r="F290" i="2" s="1"/>
  <c r="L1110" i="20"/>
  <c r="L307" i="20"/>
  <c r="F423" i="20"/>
  <c r="F72" i="20" s="1"/>
  <c r="F426" i="8"/>
  <c r="L618" i="8"/>
  <c r="L615" i="20"/>
  <c r="H223" i="20"/>
  <c r="H822" i="20"/>
  <c r="H1299" i="20" s="1"/>
  <c r="I256" i="8"/>
  <c r="I962" i="8"/>
  <c r="G1072" i="20"/>
  <c r="G293" i="20" s="1"/>
  <c r="G1076" i="8"/>
  <c r="G297" i="8" s="1"/>
  <c r="O297" i="8"/>
  <c r="O1078" i="8"/>
  <c r="H1094" i="8"/>
  <c r="H1090" i="20"/>
  <c r="H300" i="20" s="1"/>
  <c r="L1096" i="8"/>
  <c r="L1095" i="8"/>
  <c r="O1090" i="20"/>
  <c r="O1091" i="20" s="1"/>
  <c r="O1094" i="8"/>
  <c r="K1108" i="20"/>
  <c r="K307" i="20" s="1"/>
  <c r="K1112" i="8"/>
  <c r="L1146" i="8"/>
  <c r="L1142" i="20"/>
  <c r="L1204" i="20"/>
  <c r="L348" i="20"/>
  <c r="I1201" i="20"/>
  <c r="I1203" i="20" s="1"/>
  <c r="I1204" i="8"/>
  <c r="I1207" i="8" s="1"/>
  <c r="P752" i="8"/>
  <c r="P753" i="8" s="1"/>
  <c r="P749" i="20"/>
  <c r="P820" i="20"/>
  <c r="P834" i="20" s="1"/>
  <c r="P821" i="8"/>
  <c r="P835" i="8" s="1"/>
  <c r="G143" i="2"/>
  <c r="G81" i="2"/>
  <c r="K81" i="2"/>
  <c r="L648" i="20" s="1"/>
  <c r="R1357" i="8"/>
  <c r="G256" i="8"/>
  <c r="I964" i="8"/>
  <c r="L304" i="8"/>
  <c r="E200" i="8"/>
  <c r="O242" i="8"/>
  <c r="F1147" i="8"/>
  <c r="J402" i="8"/>
  <c r="J1254" i="8" s="1"/>
  <c r="I958" i="20"/>
  <c r="L1203" i="20"/>
  <c r="E1201" i="20"/>
  <c r="L1109" i="20"/>
  <c r="H1076" i="8"/>
  <c r="K128" i="2"/>
  <c r="P1108" i="20"/>
  <c r="P1110" i="20" s="1"/>
  <c r="I411" i="20"/>
  <c r="I1257" i="20" s="1"/>
  <c r="I1291" i="20" s="1"/>
  <c r="I399" i="20"/>
  <c r="I1254" i="20" s="1"/>
  <c r="I1076" i="8"/>
  <c r="L426" i="8"/>
  <c r="L423" i="20"/>
  <c r="L72" i="20" s="1"/>
  <c r="I891" i="8"/>
  <c r="I893" i="8" s="1"/>
  <c r="I889" i="20"/>
  <c r="I237" i="20" s="1"/>
  <c r="M889" i="20"/>
  <c r="M891" i="8"/>
  <c r="M893" i="8" s="1"/>
  <c r="J288" i="2"/>
  <c r="J290" i="2" s="1"/>
  <c r="J188" i="2"/>
  <c r="K958" i="20" s="1"/>
  <c r="K961" i="20" s="1"/>
  <c r="E1072" i="20"/>
  <c r="E1074" i="20" s="1"/>
  <c r="P222" i="2"/>
  <c r="D27" i="26" s="1"/>
  <c r="E1076" i="8"/>
  <c r="I1108" i="20"/>
  <c r="I307" i="20" s="1"/>
  <c r="I1112" i="8"/>
  <c r="M1108" i="20"/>
  <c r="M1109" i="20" s="1"/>
  <c r="M1112" i="8"/>
  <c r="M311" i="8" s="1"/>
  <c r="J314" i="20"/>
  <c r="J1144" i="20"/>
  <c r="K1204" i="8"/>
  <c r="K1207" i="8" s="1"/>
  <c r="K1201" i="20"/>
  <c r="P250" i="2"/>
  <c r="P458" i="20"/>
  <c r="P79" i="20" s="1"/>
  <c r="P460" i="8"/>
  <c r="P80" i="8" s="1"/>
  <c r="I81" i="2"/>
  <c r="J648" i="20" s="1"/>
  <c r="J155" i="20" s="1"/>
  <c r="E281" i="2"/>
  <c r="E293" i="2" s="1"/>
  <c r="E170" i="2"/>
  <c r="J846" i="8"/>
  <c r="J845" i="20"/>
  <c r="M170" i="2"/>
  <c r="M281" i="2"/>
  <c r="M293" i="2" s="1"/>
  <c r="N87" i="2"/>
  <c r="O701" i="8" s="1"/>
  <c r="O186" i="8" s="1"/>
  <c r="F87" i="2"/>
  <c r="F134" i="2"/>
  <c r="K999" i="20"/>
  <c r="K1002" i="8"/>
  <c r="K1003" i="8" s="1"/>
  <c r="F282" i="2"/>
  <c r="F294" i="2" s="1"/>
  <c r="J81" i="2"/>
  <c r="K648" i="20" s="1"/>
  <c r="F81" i="2"/>
  <c r="J1096" i="8"/>
  <c r="J1095" i="8"/>
  <c r="I963" i="8"/>
  <c r="P1113" i="8"/>
  <c r="O228" i="8"/>
  <c r="F495" i="8"/>
  <c r="K300" i="20"/>
  <c r="G1027" i="20"/>
  <c r="G286" i="20" s="1"/>
  <c r="K889" i="20"/>
  <c r="K891" i="20" s="1"/>
  <c r="L1090" i="20"/>
  <c r="L300" i="20" s="1"/>
  <c r="P543" i="20"/>
  <c r="P127" i="20" s="1"/>
  <c r="J1090" i="20"/>
  <c r="J1092" i="20" s="1"/>
  <c r="O122" i="2"/>
  <c r="O397" i="20"/>
  <c r="O400" i="8"/>
  <c r="O401" i="8" s="1"/>
  <c r="G460" i="8"/>
  <c r="G80" i="8" s="1"/>
  <c r="G458" i="20"/>
  <c r="G79" i="20" s="1"/>
  <c r="O458" i="20"/>
  <c r="O79" i="20" s="1"/>
  <c r="O460" i="8"/>
  <c r="O461" i="8" s="1"/>
  <c r="J545" i="8"/>
  <c r="J543" i="20"/>
  <c r="G189" i="20"/>
  <c r="H196" i="20"/>
  <c r="H780" i="20"/>
  <c r="H1280" i="20" s="1"/>
  <c r="E143" i="2"/>
  <c r="G140" i="2"/>
  <c r="K1230" i="8"/>
  <c r="K359" i="8"/>
  <c r="G618" i="8"/>
  <c r="G615" i="20"/>
  <c r="I749" i="20"/>
  <c r="I752" i="8"/>
  <c r="I753" i="8" s="1"/>
  <c r="N145" i="2"/>
  <c r="F145" i="2"/>
  <c r="M295" i="2"/>
  <c r="I295" i="2"/>
  <c r="P287" i="2"/>
  <c r="F562" i="8"/>
  <c r="H494" i="8"/>
  <c r="H495" i="8" s="1"/>
  <c r="G1164" i="8"/>
  <c r="G325" i="8" s="1"/>
  <c r="M543" i="20"/>
  <c r="M127" i="20" s="1"/>
  <c r="N143" i="2"/>
  <c r="N140" i="2"/>
  <c r="J140" i="2"/>
  <c r="N295" i="2"/>
  <c r="E1002" i="8"/>
  <c r="E999" i="20"/>
  <c r="E258" i="20" s="1"/>
  <c r="G1201" i="20"/>
  <c r="G348" i="20" s="1"/>
  <c r="G1204" i="8"/>
  <c r="G1205" i="8" s="1"/>
  <c r="O281" i="2"/>
  <c r="O170" i="2"/>
  <c r="D182" i="2"/>
  <c r="D282" i="2"/>
  <c r="K288" i="2"/>
  <c r="K188" i="2"/>
  <c r="K1076" i="8"/>
  <c r="K1072" i="20"/>
  <c r="K1074" i="20" s="1"/>
  <c r="F1228" i="8"/>
  <c r="F1229" i="8" s="1"/>
  <c r="F1226" i="20"/>
  <c r="F355" i="20" s="1"/>
  <c r="D281" i="2"/>
  <c r="D293" i="2" s="1"/>
  <c r="D170" i="2"/>
  <c r="L281" i="2"/>
  <c r="L170" i="2"/>
  <c r="M846" i="8" s="1"/>
  <c r="D128" i="2"/>
  <c r="H311" i="8"/>
  <c r="H1113" i="8"/>
  <c r="H1114" i="8"/>
  <c r="F1077" i="8"/>
  <c r="F297" i="8"/>
  <c r="F1078" i="8"/>
  <c r="K242" i="8"/>
  <c r="K893" i="8"/>
  <c r="I94" i="8"/>
  <c r="I495" i="8"/>
  <c r="H423" i="20"/>
  <c r="H72" i="20" s="1"/>
  <c r="H426" i="8"/>
  <c r="K423" i="20"/>
  <c r="K72" i="20" s="1"/>
  <c r="K426" i="8"/>
  <c r="F460" i="8"/>
  <c r="F458" i="20"/>
  <c r="I460" i="8"/>
  <c r="I80" i="8" s="1"/>
  <c r="I458" i="20"/>
  <c r="I79" i="20" s="1"/>
  <c r="M458" i="20"/>
  <c r="M459" i="20" s="1"/>
  <c r="M460" i="8"/>
  <c r="F477" i="8"/>
  <c r="F475" i="20"/>
  <c r="F86" i="20" s="1"/>
  <c r="J477" i="8"/>
  <c r="J475" i="20"/>
  <c r="J476" i="20" s="1"/>
  <c r="M477" i="8"/>
  <c r="M475" i="20"/>
  <c r="M86" i="20" s="1"/>
  <c r="G492" i="20"/>
  <c r="G93" i="20" s="1"/>
  <c r="G494" i="8"/>
  <c r="K493" i="20"/>
  <c r="K93" i="20"/>
  <c r="O492" i="20"/>
  <c r="O494" i="8"/>
  <c r="K528" i="8"/>
  <c r="K526" i="20"/>
  <c r="O526" i="20"/>
  <c r="O528" i="8"/>
  <c r="H543" i="20"/>
  <c r="H545" i="8"/>
  <c r="L543" i="20"/>
  <c r="L545" i="8"/>
  <c r="E562" i="8"/>
  <c r="E560" i="20"/>
  <c r="I560" i="20"/>
  <c r="I562" i="8"/>
  <c r="M562" i="8"/>
  <c r="M560" i="20"/>
  <c r="M561" i="20" s="1"/>
  <c r="F595" i="8"/>
  <c r="F593" i="20"/>
  <c r="N593" i="20"/>
  <c r="N141" i="20" s="1"/>
  <c r="N595" i="8"/>
  <c r="K615" i="20"/>
  <c r="K618" i="8"/>
  <c r="N615" i="20"/>
  <c r="N618" i="8"/>
  <c r="P85" i="2"/>
  <c r="L87" i="2"/>
  <c r="H87" i="2"/>
  <c r="L194" i="2"/>
  <c r="L282" i="2"/>
  <c r="H194" i="2"/>
  <c r="H282" i="2"/>
  <c r="H294" i="2" s="1"/>
  <c r="D288" i="2"/>
  <c r="D200" i="2"/>
  <c r="E1027" i="20" s="1"/>
  <c r="E1029" i="20" s="1"/>
  <c r="L288" i="2"/>
  <c r="L200" i="2"/>
  <c r="M961" i="8"/>
  <c r="M958" i="20"/>
  <c r="M960" i="20" s="1"/>
  <c r="O933" i="20"/>
  <c r="O936" i="8"/>
  <c r="E1090" i="20"/>
  <c r="E1091" i="20" s="1"/>
  <c r="E1094" i="8"/>
  <c r="I1142" i="20"/>
  <c r="I1146" i="8"/>
  <c r="M1146" i="8"/>
  <c r="M318" i="8" s="1"/>
  <c r="M1142" i="20"/>
  <c r="M1143" i="20" s="1"/>
  <c r="I1160" i="20"/>
  <c r="I1164" i="8"/>
  <c r="J1228" i="8"/>
  <c r="J1229" i="8" s="1"/>
  <c r="J1226" i="20"/>
  <c r="J1227" i="20" s="1"/>
  <c r="N1228" i="8"/>
  <c r="N1226" i="20"/>
  <c r="N1227" i="20" s="1"/>
  <c r="L278" i="2"/>
  <c r="H281" i="2"/>
  <c r="H293" i="2" s="1"/>
  <c r="H170" i="2"/>
  <c r="D87" i="2"/>
  <c r="G288" i="2"/>
  <c r="G290" i="2" s="1"/>
  <c r="M151" i="8"/>
  <c r="J401" i="8"/>
  <c r="J414" i="8"/>
  <c r="J1257" i="8" s="1"/>
  <c r="J1291" i="8" s="1"/>
  <c r="E148" i="20"/>
  <c r="E616" i="20"/>
  <c r="D122" i="2"/>
  <c r="L411" i="20"/>
  <c r="L1257" i="20" s="1"/>
  <c r="L1291" i="20" s="1"/>
  <c r="L65" i="20"/>
  <c r="G423" i="20"/>
  <c r="G426" i="8"/>
  <c r="J80" i="8"/>
  <c r="J461" i="8"/>
  <c r="N458" i="20"/>
  <c r="N460" i="8"/>
  <c r="H93" i="20"/>
  <c r="H493" i="20"/>
  <c r="L494" i="8"/>
  <c r="L492" i="20"/>
  <c r="H526" i="20"/>
  <c r="H528" i="8"/>
  <c r="E543" i="20"/>
  <c r="E545" i="8"/>
  <c r="I543" i="20"/>
  <c r="I545" i="8"/>
  <c r="M130" i="8"/>
  <c r="M546" i="8"/>
  <c r="J560" i="20"/>
  <c r="J562" i="8"/>
  <c r="N560" i="20"/>
  <c r="N562" i="8"/>
  <c r="H148" i="20"/>
  <c r="H616" i="20"/>
  <c r="O618" i="8"/>
  <c r="O615" i="20"/>
  <c r="O616" i="20" s="1"/>
  <c r="K244" i="20"/>
  <c r="K936" i="20"/>
  <c r="J1204" i="20"/>
  <c r="J348" i="20"/>
  <c r="N228" i="8"/>
  <c r="N823" i="8"/>
  <c r="P1030" i="8"/>
  <c r="P1027" i="20"/>
  <c r="P1029" i="20" s="1"/>
  <c r="P75" i="2"/>
  <c r="D26" i="26" s="1"/>
  <c r="D70" i="26" s="1"/>
  <c r="H237" i="20"/>
  <c r="H891" i="20"/>
  <c r="L1160" i="20"/>
  <c r="L1161" i="20" s="1"/>
  <c r="L1164" i="8"/>
  <c r="L1165" i="8" s="1"/>
  <c r="M87" i="2"/>
  <c r="M134" i="2"/>
  <c r="E194" i="2"/>
  <c r="E282" i="2"/>
  <c r="J1027" i="20"/>
  <c r="J1029" i="20" s="1"/>
  <c r="J1030" i="8"/>
  <c r="J1032" i="8" s="1"/>
  <c r="F1027" i="20"/>
  <c r="F1030" i="8"/>
  <c r="K282" i="2"/>
  <c r="K182" i="2"/>
  <c r="L933" i="20" s="1"/>
  <c r="P397" i="20"/>
  <c r="P400" i="8"/>
  <c r="O423" i="20"/>
  <c r="O72" i="20" s="1"/>
  <c r="O426" i="8"/>
  <c r="H477" i="8"/>
  <c r="H475" i="20"/>
  <c r="H86" i="20" s="1"/>
  <c r="I526" i="20"/>
  <c r="I527" i="20" s="1"/>
  <c r="I528" i="8"/>
  <c r="K561" i="20"/>
  <c r="K134" i="20"/>
  <c r="O563" i="8"/>
  <c r="O137" i="8"/>
  <c r="E749" i="20"/>
  <c r="E752" i="8"/>
  <c r="P139" i="2"/>
  <c r="P176" i="2"/>
  <c r="L1072" i="20"/>
  <c r="L1074" i="20" s="1"/>
  <c r="L1076" i="8"/>
  <c r="N1146" i="8"/>
  <c r="N1142" i="20"/>
  <c r="N1143" i="20" s="1"/>
  <c r="P492" i="20"/>
  <c r="P494" i="8"/>
  <c r="P1001" i="20"/>
  <c r="P258" i="20"/>
  <c r="H1002" i="8"/>
  <c r="H999" i="20"/>
  <c r="P1002" i="20"/>
  <c r="F936" i="20"/>
  <c r="M1078" i="8"/>
  <c r="H293" i="20"/>
  <c r="O961" i="8"/>
  <c r="O962" i="8" s="1"/>
  <c r="P137" i="8"/>
  <c r="I65" i="20"/>
  <c r="M189" i="20"/>
  <c r="E81" i="2"/>
  <c r="E618" i="8"/>
  <c r="O560" i="20"/>
  <c r="M492" i="20"/>
  <c r="M140" i="2"/>
  <c r="F821" i="8"/>
  <c r="F835" i="8" s="1"/>
  <c r="K458" i="20"/>
  <c r="K79" i="20" s="1"/>
  <c r="K122" i="2"/>
  <c r="M752" i="8"/>
  <c r="M753" i="8" s="1"/>
  <c r="P93" i="2"/>
  <c r="D16" i="26" s="1"/>
  <c r="D60" i="26" s="1"/>
  <c r="F749" i="20"/>
  <c r="O196" i="20"/>
  <c r="O780" i="20"/>
  <c r="O1280" i="20" s="1"/>
  <c r="J891" i="8"/>
  <c r="J893" i="8" s="1"/>
  <c r="J889" i="20"/>
  <c r="N889" i="20"/>
  <c r="N891" i="8"/>
  <c r="N893" i="8" s="1"/>
  <c r="M288" i="2"/>
  <c r="M290" i="2" s="1"/>
  <c r="I288" i="2"/>
  <c r="I290" i="2" s="1"/>
  <c r="E288" i="2"/>
  <c r="P186" i="2"/>
  <c r="G1090" i="20"/>
  <c r="G1091" i="20" s="1"/>
  <c r="G1094" i="8"/>
  <c r="J1108" i="20"/>
  <c r="J1112" i="8"/>
  <c r="O1142" i="20"/>
  <c r="O1143" i="20" s="1"/>
  <c r="O1146" i="8"/>
  <c r="H278" i="2"/>
  <c r="D278" i="2"/>
  <c r="J295" i="2"/>
  <c r="P1146" i="8"/>
  <c r="P1142" i="20"/>
  <c r="P1143" i="20" s="1"/>
  <c r="M122" i="2"/>
  <c r="P164" i="2"/>
  <c r="O1226" i="20"/>
  <c r="O1227" i="20" s="1"/>
  <c r="O1228" i="8"/>
  <c r="G145" i="2"/>
  <c r="J281" i="2"/>
  <c r="J293" i="2" s="1"/>
  <c r="J170" i="2"/>
  <c r="K278" i="2"/>
  <c r="J278" i="2"/>
  <c r="H295" i="2"/>
  <c r="O140" i="2"/>
  <c r="O295" i="2"/>
  <c r="E1109" i="20"/>
  <c r="E1110" i="20"/>
  <c r="F278" i="2"/>
  <c r="K295" i="2"/>
  <c r="H958" i="20"/>
  <c r="H960" i="20" s="1"/>
  <c r="H962" i="8"/>
  <c r="H964" i="8"/>
  <c r="H1030" i="8"/>
  <c r="H1027" i="20"/>
  <c r="F223" i="20"/>
  <c r="F822" i="20"/>
  <c r="F1299" i="20" s="1"/>
  <c r="F616" i="20"/>
  <c r="F148" i="20"/>
  <c r="G545" i="8"/>
  <c r="G543" i="20"/>
  <c r="P47" i="2"/>
  <c r="D23" i="26" s="1"/>
  <c r="D67" i="26" s="1"/>
  <c r="O543" i="20"/>
  <c r="O545" i="8"/>
  <c r="H560" i="20"/>
  <c r="H562" i="8"/>
  <c r="L562" i="8"/>
  <c r="L560" i="20"/>
  <c r="E595" i="8"/>
  <c r="E593" i="20"/>
  <c r="P70" i="2"/>
  <c r="D25" i="26" s="1"/>
  <c r="D69" i="26" s="1"/>
  <c r="I593" i="20"/>
  <c r="I141" i="20" s="1"/>
  <c r="I595" i="8"/>
  <c r="M1226" i="20"/>
  <c r="M1228" i="8"/>
  <c r="P277" i="2"/>
  <c r="G295" i="2"/>
  <c r="G278" i="2"/>
  <c r="M278" i="2"/>
  <c r="I278" i="2"/>
  <c r="P276" i="2"/>
  <c r="E278" i="2"/>
  <c r="P283" i="2"/>
  <c r="D295" i="2"/>
  <c r="H200" i="2"/>
  <c r="H288" i="2"/>
  <c r="L81" i="2"/>
  <c r="H81" i="2"/>
  <c r="M81" i="2"/>
  <c r="N651" i="8" s="1"/>
  <c r="N653" i="8" s="1"/>
  <c r="J1001" i="20"/>
  <c r="H963" i="8"/>
  <c r="H256" i="8"/>
  <c r="K127" i="20"/>
  <c r="E307" i="20"/>
  <c r="K545" i="8"/>
  <c r="E962" i="8"/>
  <c r="E964" i="8"/>
  <c r="E256" i="8"/>
  <c r="O1005" i="8"/>
  <c r="O1003" i="8"/>
  <c r="O1004" i="8"/>
  <c r="O263" i="8"/>
  <c r="G87" i="8"/>
  <c r="N293" i="2"/>
  <c r="H397" i="20"/>
  <c r="H400" i="8"/>
  <c r="H402" i="8" s="1"/>
  <c r="H1254" i="8" s="1"/>
  <c r="E958" i="20"/>
  <c r="E960" i="20" s="1"/>
  <c r="J619" i="8"/>
  <c r="N780" i="20"/>
  <c r="N1280" i="20" s="1"/>
  <c r="N196" i="20"/>
  <c r="H1164" i="8"/>
  <c r="H1160" i="20"/>
  <c r="H1161" i="20" s="1"/>
  <c r="P246" i="2"/>
  <c r="D31" i="26" s="1"/>
  <c r="D75" i="26" s="1"/>
  <c r="P133" i="2"/>
  <c r="J143" i="2"/>
  <c r="P131" i="2"/>
  <c r="D143" i="2"/>
  <c r="D134" i="2"/>
  <c r="F295" i="2"/>
  <c r="F1204" i="8"/>
  <c r="F1207" i="8" s="1"/>
  <c r="P252" i="2"/>
  <c r="P423" i="20"/>
  <c r="P72" i="20" s="1"/>
  <c r="P426" i="8"/>
  <c r="P526" i="20"/>
  <c r="P528" i="8"/>
  <c r="P889" i="20"/>
  <c r="P891" i="8"/>
  <c r="P893" i="8" s="1"/>
  <c r="P1226" i="20"/>
  <c r="P1227" i="20" s="1"/>
  <c r="P1228" i="8"/>
  <c r="O278" i="2"/>
  <c r="P1201" i="20"/>
  <c r="P1204" i="8"/>
  <c r="O81" i="2"/>
  <c r="G281" i="2"/>
  <c r="P167" i="2"/>
  <c r="C311" i="2" s="1"/>
  <c r="E311" i="2" s="1"/>
  <c r="G170" i="2"/>
  <c r="K281" i="2"/>
  <c r="K170" i="2"/>
  <c r="R1358" i="8"/>
  <c r="N134" i="2"/>
  <c r="J87" i="2"/>
  <c r="F194" i="2"/>
  <c r="P192" i="2"/>
  <c r="N200" i="2"/>
  <c r="N288" i="2"/>
  <c r="N290" i="2" s="1"/>
  <c r="K1027" i="20"/>
  <c r="K1030" i="8"/>
  <c r="K1033" i="8" s="1"/>
  <c r="E223" i="20"/>
  <c r="E822" i="20"/>
  <c r="E1299" i="20" s="1"/>
  <c r="F1203" i="20"/>
  <c r="F348" i="20"/>
  <c r="H314" i="20"/>
  <c r="H1144" i="20"/>
  <c r="G1031" i="8"/>
  <c r="E963" i="8"/>
  <c r="O999" i="20"/>
  <c r="J151" i="8"/>
  <c r="F1204" i="20"/>
  <c r="E1144" i="20"/>
  <c r="P962" i="8"/>
  <c r="P963" i="8"/>
  <c r="P256" i="8"/>
  <c r="I616" i="20"/>
  <c r="I148" i="20"/>
  <c r="H596" i="8"/>
  <c r="H144" i="8"/>
  <c r="E414" i="8"/>
  <c r="E66" i="8"/>
  <c r="J961" i="8"/>
  <c r="J958" i="20"/>
  <c r="J960" i="20" s="1"/>
  <c r="I936" i="8"/>
  <c r="I937" i="8" s="1"/>
  <c r="I933" i="20"/>
  <c r="G397" i="20"/>
  <c r="P17" i="2"/>
  <c r="G400" i="8"/>
  <c r="N400" i="8"/>
  <c r="N397" i="20"/>
  <c r="O893" i="8"/>
  <c r="G526" i="20"/>
  <c r="G528" i="8"/>
  <c r="L889" i="20"/>
  <c r="L891" i="8"/>
  <c r="L893" i="8" s="1"/>
  <c r="N282" i="2"/>
  <c r="J1072" i="20"/>
  <c r="J1076" i="8"/>
  <c r="N1072" i="20"/>
  <c r="N1076" i="8"/>
  <c r="N1077" i="8" s="1"/>
  <c r="K1164" i="8"/>
  <c r="K1160" i="20"/>
  <c r="M933" i="20"/>
  <c r="M935" i="20" s="1"/>
  <c r="M936" i="8"/>
  <c r="M939" i="8" s="1"/>
  <c r="I293" i="20"/>
  <c r="P52" i="2"/>
  <c r="D24" i="26" s="1"/>
  <c r="D68" i="26" s="1"/>
  <c r="I1090" i="20"/>
  <c r="I1091" i="20" s="1"/>
  <c r="I1094" i="8"/>
  <c r="M1090" i="20"/>
  <c r="M1091" i="20" s="1"/>
  <c r="M1094" i="8"/>
  <c r="G1112" i="8"/>
  <c r="P234" i="2"/>
  <c r="D29" i="26" s="1"/>
  <c r="D73" i="26" s="1"/>
  <c r="G1108" i="20"/>
  <c r="O1112" i="8"/>
  <c r="O1108" i="20"/>
  <c r="H1146" i="8"/>
  <c r="P240" i="2"/>
  <c r="D30" i="26" s="1"/>
  <c r="D74" i="26" s="1"/>
  <c r="K1142" i="20"/>
  <c r="K1143" i="20" s="1"/>
  <c r="K1146" i="8"/>
  <c r="J526" i="20"/>
  <c r="G891" i="8"/>
  <c r="K397" i="20"/>
  <c r="J1146" i="8"/>
  <c r="P27" i="2"/>
  <c r="D22" i="26" s="1"/>
  <c r="D66" i="26" s="1"/>
  <c r="J458" i="20"/>
  <c r="P32" i="2"/>
  <c r="D18" i="26" s="1"/>
  <c r="D62" i="26" s="1"/>
  <c r="G475" i="20"/>
  <c r="N477" i="8"/>
  <c r="N475" i="20"/>
  <c r="N86" i="20" s="1"/>
  <c r="F128" i="2"/>
  <c r="P78" i="2"/>
  <c r="E310" i="2" s="1"/>
  <c r="H134" i="2"/>
  <c r="F397" i="20"/>
  <c r="F400" i="8"/>
  <c r="M397" i="20"/>
  <c r="M400" i="8"/>
  <c r="E359" i="8"/>
  <c r="E1230" i="8"/>
  <c r="N999" i="20"/>
  <c r="N1002" i="8"/>
  <c r="F526" i="20"/>
  <c r="F528" i="8"/>
  <c r="P42" i="2"/>
  <c r="D20" i="26" s="1"/>
  <c r="D64" i="26" s="1"/>
  <c r="N543" i="20"/>
  <c r="N545" i="8"/>
  <c r="G562" i="8"/>
  <c r="G560" i="20"/>
  <c r="J778" i="20"/>
  <c r="J781" i="8"/>
  <c r="J783" i="8" s="1"/>
  <c r="J1280" i="8" s="1"/>
  <c r="G122" i="2"/>
  <c r="P120" i="2"/>
  <c r="E140" i="2"/>
  <c r="J820" i="20"/>
  <c r="J821" i="8"/>
  <c r="J835" i="8" s="1"/>
  <c r="M820" i="20"/>
  <c r="M834" i="20" s="1"/>
  <c r="M821" i="8"/>
  <c r="M835" i="8" s="1"/>
  <c r="G1142" i="20"/>
  <c r="G1146" i="8"/>
  <c r="E1226" i="20"/>
  <c r="E1227" i="20" s="1"/>
  <c r="P271" i="2"/>
  <c r="D32" i="26" s="1"/>
  <c r="D76" i="26" s="1"/>
  <c r="I1226" i="20"/>
  <c r="I1228" i="8"/>
  <c r="L295" i="2"/>
  <c r="N278" i="2"/>
  <c r="P289" i="2"/>
  <c r="L134" i="2"/>
  <c r="J282" i="2"/>
  <c r="P37" i="2"/>
  <c r="D19" i="26" s="1"/>
  <c r="D63" i="26" s="1"/>
  <c r="K593" i="20"/>
  <c r="K141" i="20" s="1"/>
  <c r="K595" i="8"/>
  <c r="O593" i="20"/>
  <c r="O141" i="20" s="1"/>
  <c r="O595" i="8"/>
  <c r="L122" i="2"/>
  <c r="F889" i="20"/>
  <c r="F891" i="8"/>
  <c r="P228" i="2"/>
  <c r="D28" i="26" s="1"/>
  <c r="D72" i="26" s="1"/>
  <c r="F1094" i="8"/>
  <c r="F170" i="2"/>
  <c r="F281" i="2"/>
  <c r="P198" i="2"/>
  <c r="P595" i="8"/>
  <c r="P593" i="20"/>
  <c r="P141" i="20" s="1"/>
  <c r="P615" i="20"/>
  <c r="P618" i="8"/>
  <c r="P1094" i="8"/>
  <c r="P1090" i="20"/>
  <c r="P1091" i="20" s="1"/>
  <c r="P1164" i="8"/>
  <c r="P1160" i="20"/>
  <c r="P1161" i="20" s="1"/>
  <c r="K892" i="8"/>
  <c r="K145" i="2"/>
  <c r="M145" i="2"/>
  <c r="E145" i="2"/>
  <c r="L128" i="2"/>
  <c r="H128" i="2"/>
  <c r="I145" i="2"/>
  <c r="I143" i="2"/>
  <c r="H143" i="2"/>
  <c r="M128" i="2"/>
  <c r="L143" i="2"/>
  <c r="M143" i="2"/>
  <c r="P409" i="8"/>
  <c r="N468" i="8"/>
  <c r="J409" i="8"/>
  <c r="J69" i="8" s="1"/>
  <c r="E466" i="20"/>
  <c r="E82" i="20" s="1"/>
  <c r="O431" i="20"/>
  <c r="O75" i="20" s="1"/>
  <c r="H1074" i="20"/>
  <c r="E431" i="20"/>
  <c r="E75" i="20" s="1"/>
  <c r="I431" i="20"/>
  <c r="I75" i="20" s="1"/>
  <c r="H48" i="23"/>
  <c r="I54" i="23"/>
  <c r="L42" i="23"/>
  <c r="G54" i="23"/>
  <c r="G48" i="23"/>
  <c r="L48" i="23"/>
  <c r="D42" i="23"/>
  <c r="J415" i="8"/>
  <c r="I415" i="8"/>
  <c r="I1258" i="8" s="1"/>
  <c r="L415" i="8"/>
  <c r="L1258" i="8" s="1"/>
  <c r="P415" i="8"/>
  <c r="P1258" i="8" s="1"/>
  <c r="N415" i="8"/>
  <c r="N1258" i="8" s="1"/>
  <c r="J835" i="20"/>
  <c r="J1302" i="20" s="1"/>
  <c r="J1322" i="20" s="1"/>
  <c r="I835" i="20"/>
  <c r="I1302" i="20" s="1"/>
  <c r="I1322" i="20" s="1"/>
  <c r="L835" i="20"/>
  <c r="L1302" i="20" s="1"/>
  <c r="L1322" i="20" s="1"/>
  <c r="E835" i="20"/>
  <c r="E1302" i="20" s="1"/>
  <c r="F783" i="8"/>
  <c r="F1280" i="8" s="1"/>
  <c r="L783" i="8"/>
  <c r="L1280" i="8" s="1"/>
  <c r="G783" i="8"/>
  <c r="E893" i="8"/>
  <c r="G1033" i="8"/>
  <c r="N1117" i="8"/>
  <c r="J1095" i="20"/>
  <c r="K1095" i="20"/>
  <c r="H1099" i="8"/>
  <c r="H459" i="20"/>
  <c r="K461" i="8"/>
  <c r="E459" i="20"/>
  <c r="E427" i="8"/>
  <c r="N427" i="20"/>
  <c r="I427" i="20"/>
  <c r="L547" i="20"/>
  <c r="G547" i="20"/>
  <c r="I547" i="20"/>
  <c r="F1091" i="20"/>
  <c r="K1091" i="20"/>
  <c r="M424" i="20"/>
  <c r="J424" i="20"/>
  <c r="G1161" i="20"/>
  <c r="M1161" i="20"/>
  <c r="H1143" i="20"/>
  <c r="O1113" i="20"/>
  <c r="K1113" i="20"/>
  <c r="G594" i="20"/>
  <c r="M564" i="20"/>
  <c r="N564" i="20"/>
  <c r="J564" i="20"/>
  <c r="E564" i="20"/>
  <c r="H496" i="20"/>
  <c r="G496" i="20"/>
  <c r="G1113" i="20"/>
  <c r="N427" i="8"/>
  <c r="F498" i="8"/>
  <c r="G1229" i="8"/>
  <c r="K1229" i="8"/>
  <c r="L782" i="8"/>
  <c r="K662" i="8"/>
  <c r="N753" i="8"/>
  <c r="L476" i="20"/>
  <c r="O476" i="20"/>
  <c r="N714" i="8"/>
  <c r="E476" i="20"/>
  <c r="G478" i="8"/>
  <c r="I476" i="20"/>
  <c r="E462" i="20"/>
  <c r="E1143" i="20"/>
  <c r="P405" i="8"/>
  <c r="E1207" i="8"/>
  <c r="H836" i="8"/>
  <c r="K836" i="8"/>
  <c r="M836" i="8"/>
  <c r="E834" i="20"/>
  <c r="E1301" i="20" s="1"/>
  <c r="H834" i="20"/>
  <c r="N835" i="8"/>
  <c r="O835" i="8"/>
  <c r="F834" i="20"/>
  <c r="I834" i="20"/>
  <c r="K1208" i="20"/>
  <c r="M1008" i="8"/>
  <c r="P964" i="20"/>
  <c r="P1005" i="20"/>
  <c r="O967" i="8"/>
  <c r="O964" i="20"/>
  <c r="L1011" i="8"/>
  <c r="F964" i="20"/>
  <c r="H933" i="20"/>
  <c r="H936" i="8"/>
  <c r="I968" i="8"/>
  <c r="E224" i="20"/>
  <c r="E128" i="2"/>
  <c r="I785" i="8"/>
  <c r="H41" i="23"/>
  <c r="F53" i="23"/>
  <c r="G426" i="20"/>
  <c r="H53" i="23"/>
  <c r="H54" i="23" s="1"/>
  <c r="I429" i="8"/>
  <c r="J1203" i="20"/>
  <c r="K479" i="20"/>
  <c r="E825" i="8"/>
  <c r="P84" i="3"/>
  <c r="O1094" i="20"/>
  <c r="O1098" i="8"/>
  <c r="N122" i="2"/>
  <c r="P137" i="2"/>
  <c r="E311" i="3"/>
  <c r="E54" i="5"/>
  <c r="K751" i="20"/>
  <c r="G429" i="8"/>
  <c r="E529" i="20"/>
  <c r="E423" i="20"/>
  <c r="P22" i="2"/>
  <c r="D21" i="26" s="1"/>
  <c r="D65" i="26" s="1"/>
  <c r="F1092" i="20"/>
  <c r="F300" i="20"/>
  <c r="L787" i="20"/>
  <c r="F122" i="2"/>
  <c r="D413" i="20"/>
  <c r="N1332" i="8"/>
  <c r="I1332" i="8"/>
  <c r="I22" i="5"/>
  <c r="I24" i="5" s="1"/>
  <c r="I180" i="2"/>
  <c r="J1332" i="8"/>
  <c r="J1143" i="20"/>
  <c r="K1332" i="8"/>
  <c r="K175" i="3"/>
  <c r="J1235" i="8"/>
  <c r="J360" i="8" s="1"/>
  <c r="F1235" i="8"/>
  <c r="O1161" i="20"/>
  <c r="I1332" i="20"/>
  <c r="M1332" i="20"/>
  <c r="E1332" i="20"/>
  <c r="H1233" i="20"/>
  <c r="G751" i="20"/>
  <c r="F1235" i="20"/>
  <c r="O1233" i="20"/>
  <c r="O356" i="20" s="1"/>
  <c r="I128" i="3"/>
  <c r="F51" i="14"/>
  <c r="F63" i="14" s="1"/>
  <c r="L792" i="20"/>
  <c r="L1283" i="20" s="1"/>
  <c r="I792" i="20"/>
  <c r="I1283" i="20" s="1"/>
  <c r="E412" i="20"/>
  <c r="K412" i="20"/>
  <c r="K1258" i="20" s="1"/>
  <c r="F412" i="20"/>
  <c r="N713" i="8"/>
  <c r="G1044" i="8"/>
  <c r="L967" i="8"/>
  <c r="L971" i="8" s="1"/>
  <c r="G965" i="20"/>
  <c r="G968" i="8"/>
  <c r="E1014" i="8"/>
  <c r="N705" i="20"/>
  <c r="J1005" i="20"/>
  <c r="J1008" i="8"/>
  <c r="J1014" i="8" s="1"/>
  <c r="L1035" i="20"/>
  <c r="L1038" i="8"/>
  <c r="M1033" i="20"/>
  <c r="M1036" i="8"/>
  <c r="J405" i="8"/>
  <c r="J67" i="8"/>
  <c r="G967" i="8"/>
  <c r="N964" i="20"/>
  <c r="L825" i="8"/>
  <c r="L1332" i="8"/>
  <c r="I160" i="3"/>
  <c r="N395" i="3"/>
  <c r="Q30" i="20"/>
  <c r="O126" i="3"/>
  <c r="F935" i="20"/>
  <c r="K935" i="20"/>
  <c r="F1045" i="8"/>
  <c r="O960" i="20"/>
  <c r="F1036" i="20"/>
  <c r="J658" i="8"/>
  <c r="J655" i="20"/>
  <c r="N380" i="3"/>
  <c r="K659" i="8"/>
  <c r="K656" i="20"/>
  <c r="L657" i="8"/>
  <c r="L654" i="20"/>
  <c r="E71" i="26" l="1"/>
  <c r="L76" i="8"/>
  <c r="M76" i="8"/>
  <c r="O76" i="8"/>
  <c r="K76" i="8"/>
  <c r="H76" i="8"/>
  <c r="J76" i="8"/>
  <c r="D71" i="26"/>
  <c r="D276" i="26" s="1"/>
  <c r="D277" i="26" s="1"/>
  <c r="G277" i="26" s="1"/>
  <c r="K277" i="26" s="1"/>
  <c r="A99" i="20"/>
  <c r="A100" i="20" s="1"/>
  <c r="A101" i="20" s="1"/>
  <c r="A102" i="20" s="1"/>
  <c r="A103" i="20" s="1"/>
  <c r="A104" i="20" s="1"/>
  <c r="A127" i="20" s="1"/>
  <c r="A128" i="20" s="1"/>
  <c r="A129" i="20" s="1"/>
  <c r="A130" i="20" s="1"/>
  <c r="A131" i="20" s="1"/>
  <c r="A133" i="20" s="1"/>
  <c r="A134" i="20" s="1"/>
  <c r="A135" i="20" s="1"/>
  <c r="A136" i="20" s="1"/>
  <c r="A137" i="20" s="1"/>
  <c r="A138" i="20" s="1"/>
  <c r="L101" i="20"/>
  <c r="K294" i="2"/>
  <c r="L294" i="2"/>
  <c r="E294" i="2"/>
  <c r="J294" i="2"/>
  <c r="J296" i="2" s="1"/>
  <c r="N294" i="2"/>
  <c r="N300" i="2" s="1"/>
  <c r="G294" i="2"/>
  <c r="G300" i="2" s="1"/>
  <c r="D294" i="2"/>
  <c r="G40" i="26"/>
  <c r="I40" i="26" s="1"/>
  <c r="A136" i="8"/>
  <c r="A137" i="8" s="1"/>
  <c r="A138" i="8" s="1"/>
  <c r="A139" i="8" s="1"/>
  <c r="A140" i="8" s="1"/>
  <c r="A141" i="8" s="1"/>
  <c r="A143" i="8" s="1"/>
  <c r="A144" i="8" s="1"/>
  <c r="A145" i="8" s="1"/>
  <c r="A146" i="8" s="1"/>
  <c r="A147" i="8" s="1"/>
  <c r="A148" i="8" s="1"/>
  <c r="A150" i="8" s="1"/>
  <c r="A151" i="8" s="1"/>
  <c r="A152" i="8" s="1"/>
  <c r="A153" i="8" s="1"/>
  <c r="A154" i="8" s="1"/>
  <c r="A155" i="8" s="1"/>
  <c r="A157" i="8" s="1"/>
  <c r="A158" i="8" s="1"/>
  <c r="A159" i="8" s="1"/>
  <c r="A160" i="8" s="1"/>
  <c r="A161" i="8" s="1"/>
  <c r="A162" i="8" s="1"/>
  <c r="E1237" i="8"/>
  <c r="Q1237" i="8" s="1"/>
  <c r="E1235" i="8"/>
  <c r="E360" i="8" s="1"/>
  <c r="A196" i="2"/>
  <c r="A197" i="2" s="1"/>
  <c r="A198" i="2" s="1"/>
  <c r="A199" i="2" s="1"/>
  <c r="A200" i="2" s="1"/>
  <c r="A219" i="2" s="1"/>
  <c r="A220" i="2" s="1"/>
  <c r="A221" i="2" s="1"/>
  <c r="A222" i="2" s="1"/>
  <c r="A224" i="2" s="1"/>
  <c r="A225" i="2" s="1"/>
  <c r="A226" i="2" s="1"/>
  <c r="A227" i="2" s="1"/>
  <c r="A228" i="2" s="1"/>
  <c r="A230" i="2" s="1"/>
  <c r="A231" i="2" s="1"/>
  <c r="A232" i="2" s="1"/>
  <c r="A233" i="2" s="1"/>
  <c r="A234" i="2" s="1"/>
  <c r="A236" i="2" s="1"/>
  <c r="A237" i="2" s="1"/>
  <c r="A238" i="2" s="1"/>
  <c r="A239" i="2" s="1"/>
  <c r="A240" i="2" s="1"/>
  <c r="A242" i="2" s="1"/>
  <c r="A243" i="2" s="1"/>
  <c r="A244" i="2" s="1"/>
  <c r="A245" i="2" s="1"/>
  <c r="A246" i="2" s="1"/>
  <c r="I134" i="2"/>
  <c r="I144" i="2"/>
  <c r="I146" i="2" s="1"/>
  <c r="K134" i="2"/>
  <c r="K144" i="2"/>
  <c r="E134" i="2"/>
  <c r="E144" i="2"/>
  <c r="E146" i="2" s="1"/>
  <c r="E648" i="20"/>
  <c r="E155" i="20" s="1"/>
  <c r="P81" i="2"/>
  <c r="A21" i="2"/>
  <c r="A22" i="2" s="1"/>
  <c r="A24" i="2" s="1"/>
  <c r="A25" i="2" s="1"/>
  <c r="J1003" i="8"/>
  <c r="P125" i="2"/>
  <c r="M134" i="20"/>
  <c r="P200" i="8"/>
  <c r="N100" i="20"/>
  <c r="P783" i="8"/>
  <c r="P1280" i="8" s="1"/>
  <c r="J493" i="20"/>
  <c r="D301" i="2"/>
  <c r="J1005" i="8"/>
  <c r="D261" i="26"/>
  <c r="D262" i="26" s="1"/>
  <c r="G262" i="26" s="1"/>
  <c r="K262" i="26" s="1"/>
  <c r="D61" i="26"/>
  <c r="J263" i="8"/>
  <c r="C448" i="3"/>
  <c r="E448" i="3" s="1"/>
  <c r="I948" i="8"/>
  <c r="G39" i="26"/>
  <c r="E1238" i="8"/>
  <c r="G37" i="26"/>
  <c r="I37" i="26" s="1"/>
  <c r="G603" i="20"/>
  <c r="G605" i="20" s="1"/>
  <c r="G143" i="20" s="1"/>
  <c r="H1237" i="20"/>
  <c r="K1237" i="20"/>
  <c r="O1237" i="20"/>
  <c r="G1227" i="20"/>
  <c r="N834" i="20"/>
  <c r="N1301" i="20" s="1"/>
  <c r="N1321" i="20" s="1"/>
  <c r="E493" i="20"/>
  <c r="F1109" i="20"/>
  <c r="J1237" i="20"/>
  <c r="M1171" i="20"/>
  <c r="M1173" i="20" s="1"/>
  <c r="M1177" i="20" s="1"/>
  <c r="M325" i="20" s="1"/>
  <c r="P1237" i="20"/>
  <c r="N1237" i="20"/>
  <c r="L1237" i="20"/>
  <c r="E1237" i="20"/>
  <c r="K1171" i="20"/>
  <c r="M1237" i="20"/>
  <c r="J603" i="20"/>
  <c r="J1175" i="8"/>
  <c r="P395" i="3"/>
  <c r="E32" i="26" s="1"/>
  <c r="E76" i="26" s="1"/>
  <c r="I424" i="20"/>
  <c r="I429" i="20" s="1"/>
  <c r="I433" i="20" s="1"/>
  <c r="I76" i="20" s="1"/>
  <c r="N1095" i="20"/>
  <c r="O237" i="20"/>
  <c r="N1171" i="20"/>
  <c r="I1237" i="20"/>
  <c r="Q1332" i="20"/>
  <c r="P293" i="20"/>
  <c r="N300" i="20"/>
  <c r="F314" i="20"/>
  <c r="G1171" i="20"/>
  <c r="G1173" i="20" s="1"/>
  <c r="G323" i="20" s="1"/>
  <c r="F1074" i="20"/>
  <c r="F293" i="20"/>
  <c r="N603" i="20"/>
  <c r="I58" i="14"/>
  <c r="I1239" i="8"/>
  <c r="J58" i="14"/>
  <c r="E483" i="8"/>
  <c r="E487" i="8" s="1"/>
  <c r="E91" i="8" s="1"/>
  <c r="E228" i="8"/>
  <c r="N605" i="8"/>
  <c r="N1239" i="8"/>
  <c r="F1239" i="8"/>
  <c r="G605" i="8"/>
  <c r="J1239" i="8"/>
  <c r="H1239" i="8"/>
  <c r="H1241" i="8" s="1"/>
  <c r="H361" i="8" s="1"/>
  <c r="E67" i="8"/>
  <c r="E405" i="8"/>
  <c r="E407" i="8" s="1"/>
  <c r="K200" i="8"/>
  <c r="G763" i="8"/>
  <c r="P1175" i="8"/>
  <c r="E318" i="8"/>
  <c r="H822" i="8"/>
  <c r="H1298" i="8" s="1"/>
  <c r="M605" i="8"/>
  <c r="M607" i="8" s="1"/>
  <c r="M611" i="8" s="1"/>
  <c r="M148" i="8" s="1"/>
  <c r="G61" i="14"/>
  <c r="H624" i="8"/>
  <c r="H153" i="8" s="1"/>
  <c r="D66" i="5"/>
  <c r="G96" i="3"/>
  <c r="G23" i="23" s="1"/>
  <c r="G24" i="23" s="1"/>
  <c r="G179" i="3"/>
  <c r="J165" i="3"/>
  <c r="N96" i="3"/>
  <c r="N23" i="23" s="1"/>
  <c r="N24" i="23" s="1"/>
  <c r="E96" i="3"/>
  <c r="E23" i="23" s="1"/>
  <c r="E24" i="23" s="1"/>
  <c r="E165" i="3"/>
  <c r="L379" i="3"/>
  <c r="M1207" i="20" s="1"/>
  <c r="A38" i="15"/>
  <c r="A40" i="15" s="1"/>
  <c r="A41" i="15" s="1"/>
  <c r="A43" i="15" s="1"/>
  <c r="A44" i="15" s="1"/>
  <c r="A45" i="15" s="1"/>
  <c r="A46" i="15" s="1"/>
  <c r="A30" i="15"/>
  <c r="A31" i="15" s="1"/>
  <c r="A33" i="15" s="1"/>
  <c r="A34" i="15" s="1"/>
  <c r="A35" i="15" s="1"/>
  <c r="A36" i="15" s="1"/>
  <c r="P973" i="8"/>
  <c r="P975" i="8" s="1"/>
  <c r="I763" i="8"/>
  <c r="N763" i="8"/>
  <c r="N765" i="8" s="1"/>
  <c r="P568" i="8"/>
  <c r="P139" i="8" s="1"/>
  <c r="E61" i="14"/>
  <c r="N783" i="8"/>
  <c r="N1280" i="8" s="1"/>
  <c r="O1083" i="8"/>
  <c r="O299" i="8" s="1"/>
  <c r="G1117" i="8"/>
  <c r="O1239" i="8"/>
  <c r="N1205" i="8"/>
  <c r="E835" i="8"/>
  <c r="E1301" i="8" s="1"/>
  <c r="E1321" i="8" s="1"/>
  <c r="N1207" i="8"/>
  <c r="L402" i="8"/>
  <c r="L1254" i="8" s="1"/>
  <c r="E1148" i="8"/>
  <c r="E1153" i="8" s="1"/>
  <c r="E1157" i="8" s="1"/>
  <c r="E322" i="8" s="1"/>
  <c r="E87" i="8"/>
  <c r="N352" i="8"/>
  <c r="E500" i="8"/>
  <c r="E96" i="8" s="1"/>
  <c r="P1239" i="8"/>
  <c r="E823" i="8"/>
  <c r="E1299" i="8" s="1"/>
  <c r="E1113" i="8"/>
  <c r="H823" i="8"/>
  <c r="H1299" i="8" s="1"/>
  <c r="L1113" i="8"/>
  <c r="L1119" i="8" s="1"/>
  <c r="L313" i="8" s="1"/>
  <c r="M1239" i="8"/>
  <c r="G948" i="8"/>
  <c r="Q1332" i="8"/>
  <c r="N782" i="8"/>
  <c r="N1279" i="8" s="1"/>
  <c r="K304" i="8"/>
  <c r="K1239" i="8"/>
  <c r="K1241" i="8" s="1"/>
  <c r="K1245" i="8" s="1"/>
  <c r="K363" i="8" s="1"/>
  <c r="O478" i="8"/>
  <c r="L1239" i="8"/>
  <c r="L1241" i="8" s="1"/>
  <c r="L1245" i="8" s="1"/>
  <c r="L363" i="8" s="1"/>
  <c r="N1018" i="8"/>
  <c r="H66" i="5"/>
  <c r="O66" i="5"/>
  <c r="L66" i="5"/>
  <c r="F66" i="5"/>
  <c r="J66" i="5"/>
  <c r="M129" i="3"/>
  <c r="M29" i="23" s="1"/>
  <c r="M30" i="23" s="1"/>
  <c r="M169" i="3"/>
  <c r="M179" i="3" s="1"/>
  <c r="M180" i="3" s="1"/>
  <c r="G66" i="5"/>
  <c r="P40" i="5"/>
  <c r="M282" i="2"/>
  <c r="N936" i="8"/>
  <c r="N939" i="8" s="1"/>
  <c r="P22" i="5"/>
  <c r="P24" i="5" s="1"/>
  <c r="O282" i="2"/>
  <c r="O294" i="2" s="1"/>
  <c r="P933" i="20"/>
  <c r="O168" i="3"/>
  <c r="O178" i="3" s="1"/>
  <c r="N168" i="3"/>
  <c r="N178" i="3" s="1"/>
  <c r="I168" i="3"/>
  <c r="I178" i="3" s="1"/>
  <c r="G168" i="3"/>
  <c r="G170" i="3" s="1"/>
  <c r="F168" i="3"/>
  <c r="F178" i="3" s="1"/>
  <c r="C444" i="3"/>
  <c r="J566" i="8"/>
  <c r="G599" i="20"/>
  <c r="G142" i="20" s="1"/>
  <c r="E83" i="22" s="1"/>
  <c r="M1113" i="20"/>
  <c r="P1171" i="20"/>
  <c r="J1099" i="8"/>
  <c r="J1101" i="8" s="1"/>
  <c r="J1105" i="8" s="1"/>
  <c r="J308" i="8" s="1"/>
  <c r="G409" i="8"/>
  <c r="G69" i="8" s="1"/>
  <c r="F1171" i="20"/>
  <c r="J298" i="8"/>
  <c r="O496" i="20"/>
  <c r="G619" i="20"/>
  <c r="F605" i="8"/>
  <c r="E566" i="8"/>
  <c r="M87" i="20"/>
  <c r="J496" i="20"/>
  <c r="J74" i="8"/>
  <c r="J430" i="8"/>
  <c r="M427" i="3"/>
  <c r="M434" i="3" s="1"/>
  <c r="N479" i="20"/>
  <c r="O412" i="20"/>
  <c r="O1258" i="20" s="1"/>
  <c r="J790" i="8"/>
  <c r="J203" i="8" s="1"/>
  <c r="P1167" i="20"/>
  <c r="P322" i="20" s="1"/>
  <c r="H1081" i="8"/>
  <c r="L406" i="20"/>
  <c r="L68" i="20" s="1"/>
  <c r="M412" i="20"/>
  <c r="M1258" i="20" s="1"/>
  <c r="G462" i="20"/>
  <c r="M835" i="20"/>
  <c r="M1302" i="20" s="1"/>
  <c r="M1322" i="20" s="1"/>
  <c r="M786" i="8"/>
  <c r="M1281" i="8" s="1"/>
  <c r="M790" i="8"/>
  <c r="M1282" i="8" s="1"/>
  <c r="M795" i="8"/>
  <c r="M1283" i="8" s="1"/>
  <c r="F427" i="20"/>
  <c r="H835" i="20"/>
  <c r="H1302" i="20" s="1"/>
  <c r="H1322" i="20" s="1"/>
  <c r="E1175" i="8"/>
  <c r="I479" i="20"/>
  <c r="I481" i="20" s="1"/>
  <c r="I88" i="20" s="1"/>
  <c r="O1117" i="8"/>
  <c r="J836" i="8"/>
  <c r="J826" i="8"/>
  <c r="J1300" i="8" s="1"/>
  <c r="M102" i="8"/>
  <c r="F566" i="8"/>
  <c r="I464" i="8"/>
  <c r="I468" i="8"/>
  <c r="I83" i="8" s="1"/>
  <c r="E709" i="8"/>
  <c r="E715" i="8" s="1"/>
  <c r="M547" i="20"/>
  <c r="G464" i="8"/>
  <c r="F431" i="20"/>
  <c r="F75" i="20" s="1"/>
  <c r="O706" i="8"/>
  <c r="O712" i="8" s="1"/>
  <c r="F405" i="8"/>
  <c r="F416" i="8"/>
  <c r="F1259" i="8" s="1"/>
  <c r="F1293" i="8" s="1"/>
  <c r="O756" i="20"/>
  <c r="O190" i="20" s="1"/>
  <c r="P229" i="8"/>
  <c r="P564" i="20"/>
  <c r="P566" i="20" s="1"/>
  <c r="P570" i="20" s="1"/>
  <c r="P138" i="20" s="1"/>
  <c r="I1095" i="20"/>
  <c r="F415" i="8"/>
  <c r="F1258" i="8" s="1"/>
  <c r="F67" i="8"/>
  <c r="P836" i="8"/>
  <c r="H547" i="20"/>
  <c r="G468" i="8"/>
  <c r="G83" i="8" s="1"/>
  <c r="E409" i="8"/>
  <c r="E69" i="8" s="1"/>
  <c r="P1171" i="8"/>
  <c r="P326" i="8" s="1"/>
  <c r="E131" i="8"/>
  <c r="O941" i="20"/>
  <c r="O245" i="20" s="1"/>
  <c r="L906" i="8"/>
  <c r="M81" i="8"/>
  <c r="J73" i="20"/>
  <c r="J481" i="8"/>
  <c r="E81" i="8"/>
  <c r="M406" i="20"/>
  <c r="M68" i="20" s="1"/>
  <c r="E430" i="8"/>
  <c r="E432" i="8" s="1"/>
  <c r="E434" i="8"/>
  <c r="F496" i="20"/>
  <c r="F498" i="20" s="1"/>
  <c r="F95" i="20" s="1"/>
  <c r="P1117" i="8"/>
  <c r="P1119" i="8" s="1"/>
  <c r="P313" i="8" s="1"/>
  <c r="K530" i="20"/>
  <c r="O530" i="20"/>
  <c r="L66" i="20"/>
  <c r="N1081" i="8"/>
  <c r="M415" i="8"/>
  <c r="M1258" i="8" s="1"/>
  <c r="M464" i="8"/>
  <c r="E1216" i="8"/>
  <c r="E1218" i="8" s="1"/>
  <c r="E354" i="8" s="1"/>
  <c r="O622" i="8"/>
  <c r="J795" i="8"/>
  <c r="J1283" i="8" s="1"/>
  <c r="G601" i="8"/>
  <c r="G145" i="8" s="1"/>
  <c r="G479" i="20"/>
  <c r="G498" i="8"/>
  <c r="N1113" i="20"/>
  <c r="E416" i="8"/>
  <c r="E1259" i="8" s="1"/>
  <c r="E1293" i="8" s="1"/>
  <c r="I622" i="8"/>
  <c r="M566" i="8"/>
  <c r="J530" i="20"/>
  <c r="P431" i="20"/>
  <c r="P75" i="20" s="1"/>
  <c r="H427" i="20"/>
  <c r="H431" i="20"/>
  <c r="H75" i="20" s="1"/>
  <c r="E415" i="8"/>
  <c r="E1258" i="8" s="1"/>
  <c r="N66" i="20"/>
  <c r="H101" i="20"/>
  <c r="O792" i="20"/>
  <c r="O1283" i="20" s="1"/>
  <c r="H464" i="8"/>
  <c r="K835" i="20"/>
  <c r="K1302" i="20" s="1"/>
  <c r="K1322" i="20" s="1"/>
  <c r="J431" i="20"/>
  <c r="J75" i="20" s="1"/>
  <c r="M466" i="20"/>
  <c r="M82" i="20" s="1"/>
  <c r="O74" i="8"/>
  <c r="G67" i="8"/>
  <c r="K619" i="20"/>
  <c r="M67" i="8"/>
  <c r="F532" i="8"/>
  <c r="L427" i="3"/>
  <c r="M603" i="20"/>
  <c r="I836" i="8"/>
  <c r="I1302" i="8" s="1"/>
  <c r="I1322" i="8" s="1"/>
  <c r="J429" i="20"/>
  <c r="J74" i="20" s="1"/>
  <c r="M462" i="20"/>
  <c r="M464" i="20" s="1"/>
  <c r="M431" i="20"/>
  <c r="M75" i="20" s="1"/>
  <c r="G466" i="20"/>
  <c r="G82" i="20" s="1"/>
  <c r="G415" i="8"/>
  <c r="G1258" i="8" s="1"/>
  <c r="I756" i="20"/>
  <c r="I190" i="20" s="1"/>
  <c r="I944" i="8"/>
  <c r="I250" i="8" s="1"/>
  <c r="E468" i="8"/>
  <c r="E83" i="8" s="1"/>
  <c r="J201" i="8"/>
  <c r="H38" i="22" s="1"/>
  <c r="I229" i="8"/>
  <c r="M409" i="8"/>
  <c r="M69" i="8" s="1"/>
  <c r="M1171" i="8"/>
  <c r="M326" i="8" s="1"/>
  <c r="D427" i="3"/>
  <c r="O787" i="20"/>
  <c r="O1282" i="20" s="1"/>
  <c r="I427" i="3"/>
  <c r="N406" i="20"/>
  <c r="N68" i="20" s="1"/>
  <c r="P73" i="20"/>
  <c r="E1171" i="8"/>
  <c r="E326" i="8" s="1"/>
  <c r="K481" i="8"/>
  <c r="L898" i="20"/>
  <c r="L238" i="20" s="1"/>
  <c r="F427" i="3"/>
  <c r="P412" i="20"/>
  <c r="P1258" i="20" s="1"/>
  <c r="N599" i="20"/>
  <c r="N142" i="20" s="1"/>
  <c r="L462" i="20"/>
  <c r="L464" i="20" s="1"/>
  <c r="L468" i="20" s="1"/>
  <c r="L83" i="20" s="1"/>
  <c r="O427" i="3"/>
  <c r="K947" i="8"/>
  <c r="K948" i="8" s="1"/>
  <c r="O67" i="8"/>
  <c r="M35" i="22" s="1"/>
  <c r="M947" i="8"/>
  <c r="M948" i="8" s="1"/>
  <c r="P131" i="8"/>
  <c r="K706" i="8"/>
  <c r="K712" i="8" s="1"/>
  <c r="K427" i="3"/>
  <c r="I1175" i="8"/>
  <c r="O481" i="8"/>
  <c r="O795" i="8"/>
  <c r="O1283" i="8" s="1"/>
  <c r="E427" i="3"/>
  <c r="J1018" i="8"/>
  <c r="P430" i="8"/>
  <c r="M197" i="20"/>
  <c r="K86" i="22" s="1"/>
  <c r="G1173" i="8"/>
  <c r="G1175" i="8" s="1"/>
  <c r="N1174" i="8"/>
  <c r="N1175" i="8" s="1"/>
  <c r="L80" i="20"/>
  <c r="I1171" i="8"/>
  <c r="I326" i="8" s="1"/>
  <c r="M298" i="8"/>
  <c r="I549" i="8"/>
  <c r="K547" i="20"/>
  <c r="K549" i="20" s="1"/>
  <c r="K129" i="20" s="1"/>
  <c r="I564" i="20"/>
  <c r="P434" i="8"/>
  <c r="I900" i="8"/>
  <c r="I243" i="8" s="1"/>
  <c r="N601" i="8"/>
  <c r="N145" i="8" s="1"/>
  <c r="G406" i="20"/>
  <c r="G68" i="20" s="1"/>
  <c r="N898" i="20"/>
  <c r="N238" i="20" s="1"/>
  <c r="G427" i="3"/>
  <c r="P206" i="3"/>
  <c r="H1113" i="20"/>
  <c r="F787" i="20"/>
  <c r="F1282" i="20" s="1"/>
  <c r="K1117" i="8"/>
  <c r="O201" i="8"/>
  <c r="M38" i="22" s="1"/>
  <c r="O706" i="20"/>
  <c r="J1171" i="20"/>
  <c r="H709" i="8"/>
  <c r="H715" i="8" s="1"/>
  <c r="F434" i="8"/>
  <c r="G1167" i="20"/>
  <c r="G322" i="20" s="1"/>
  <c r="I1171" i="20"/>
  <c r="M707" i="8"/>
  <c r="M713" i="8" s="1"/>
  <c r="F101" i="20"/>
  <c r="I1167" i="20"/>
  <c r="I322" i="20" s="1"/>
  <c r="P66" i="20"/>
  <c r="F430" i="8"/>
  <c r="M792" i="20"/>
  <c r="M1283" i="20" s="1"/>
  <c r="E1037" i="8"/>
  <c r="E1043" i="8" s="1"/>
  <c r="F706" i="20"/>
  <c r="G405" i="8"/>
  <c r="E496" i="20"/>
  <c r="P496" i="20"/>
  <c r="K427" i="20"/>
  <c r="H1095" i="20"/>
  <c r="L1095" i="20"/>
  <c r="H468" i="8"/>
  <c r="H83" i="8" s="1"/>
  <c r="I1046" i="8"/>
  <c r="J898" i="20"/>
  <c r="J238" i="20" s="1"/>
  <c r="K549" i="8"/>
  <c r="E1212" i="8"/>
  <c r="E353" i="8" s="1"/>
  <c r="I1037" i="20"/>
  <c r="I287" i="20" s="1"/>
  <c r="G1081" i="8"/>
  <c r="F601" i="8"/>
  <c r="F145" i="8" s="1"/>
  <c r="M599" i="20"/>
  <c r="M142" i="20" s="1"/>
  <c r="K706" i="20"/>
  <c r="O406" i="20"/>
  <c r="O68" i="20" s="1"/>
  <c r="P481" i="8"/>
  <c r="M416" i="8"/>
  <c r="M1259" i="8" s="1"/>
  <c r="M1293" i="8" s="1"/>
  <c r="H898" i="20"/>
  <c r="H238" i="20" s="1"/>
  <c r="N861" i="8"/>
  <c r="H427" i="3"/>
  <c r="J601" i="8"/>
  <c r="J145" i="8" s="1"/>
  <c r="P790" i="8"/>
  <c r="P203" i="8" s="1"/>
  <c r="M601" i="8"/>
  <c r="M145" i="8" s="1"/>
  <c r="O415" i="8"/>
  <c r="O1258" i="8" s="1"/>
  <c r="K405" i="8"/>
  <c r="K407" i="8" s="1"/>
  <c r="G549" i="8"/>
  <c r="H462" i="20"/>
  <c r="H464" i="20" s="1"/>
  <c r="H81" i="20" s="1"/>
  <c r="K1099" i="8"/>
  <c r="M1095" i="20"/>
  <c r="K409" i="8"/>
  <c r="K69" i="8" s="1"/>
  <c r="L763" i="8"/>
  <c r="N854" i="20"/>
  <c r="N231" i="20" s="1"/>
  <c r="P786" i="8"/>
  <c r="P1281" i="8" s="1"/>
  <c r="O786" i="8"/>
  <c r="O1281" i="8" s="1"/>
  <c r="F603" i="20"/>
  <c r="E88" i="8"/>
  <c r="O409" i="8"/>
  <c r="O69" i="8" s="1"/>
  <c r="K415" i="8"/>
  <c r="K1258" i="8" s="1"/>
  <c r="P532" i="8"/>
  <c r="I1081" i="8"/>
  <c r="J603" i="8"/>
  <c r="J605" i="8" s="1"/>
  <c r="E1081" i="8"/>
  <c r="K709" i="8"/>
  <c r="K715" i="8" s="1"/>
  <c r="P239" i="3"/>
  <c r="H430" i="8"/>
  <c r="H74" i="8"/>
  <c r="O405" i="8"/>
  <c r="N906" i="8"/>
  <c r="N855" i="8"/>
  <c r="N236" i="8" s="1"/>
  <c r="G944" i="8"/>
  <c r="G250" i="8" s="1"/>
  <c r="P622" i="8"/>
  <c r="P792" i="20"/>
  <c r="P1283" i="20" s="1"/>
  <c r="L496" i="20"/>
  <c r="F1153" i="8"/>
  <c r="F320" i="8" s="1"/>
  <c r="K416" i="8"/>
  <c r="K1259" i="8" s="1"/>
  <c r="K1293" i="8" s="1"/>
  <c r="K861" i="8"/>
  <c r="P201" i="8"/>
  <c r="N38" i="22" s="1"/>
  <c r="H906" i="8"/>
  <c r="K705" i="20"/>
  <c r="N795" i="8"/>
  <c r="N1283" i="8" s="1"/>
  <c r="H80" i="20"/>
  <c r="J129" i="3"/>
  <c r="J29" i="23" s="1"/>
  <c r="J30" i="23" s="1"/>
  <c r="J427" i="3"/>
  <c r="M657" i="8"/>
  <c r="M663" i="8" s="1"/>
  <c r="M666" i="8" s="1"/>
  <c r="G412" i="20"/>
  <c r="G1258" i="20" s="1"/>
  <c r="F761" i="8"/>
  <c r="F763" i="8" s="1"/>
  <c r="F765" i="8" s="1"/>
  <c r="K496" i="20"/>
  <c r="K498" i="20" s="1"/>
  <c r="K502" i="20" s="1"/>
  <c r="K97" i="20" s="1"/>
  <c r="F88" i="8"/>
  <c r="L619" i="20"/>
  <c r="J764" i="20"/>
  <c r="J192" i="20" s="1"/>
  <c r="P763" i="8"/>
  <c r="N430" i="8"/>
  <c r="N432" i="8" s="1"/>
  <c r="M305" i="8"/>
  <c r="H149" i="20"/>
  <c r="E178" i="3"/>
  <c r="P253" i="3"/>
  <c r="P414" i="3"/>
  <c r="P861" i="8"/>
  <c r="E603" i="20"/>
  <c r="N710" i="8"/>
  <c r="F792" i="20"/>
  <c r="F1283" i="20" s="1"/>
  <c r="L1113" i="20"/>
  <c r="L1115" i="20" s="1"/>
  <c r="M427" i="20"/>
  <c r="M429" i="20" s="1"/>
  <c r="M74" i="20" s="1"/>
  <c r="L464" i="8"/>
  <c r="G1095" i="20"/>
  <c r="N434" i="8"/>
  <c r="P530" i="20"/>
  <c r="N900" i="8"/>
  <c r="N243" i="8" s="1"/>
  <c r="G1099" i="8"/>
  <c r="E759" i="8"/>
  <c r="E194" i="8" s="1"/>
  <c r="E761" i="8"/>
  <c r="E763" i="8" s="1"/>
  <c r="L468" i="8"/>
  <c r="L83" i="8" s="1"/>
  <c r="F479" i="20"/>
  <c r="E601" i="8"/>
  <c r="E145" i="8" s="1"/>
  <c r="E622" i="8"/>
  <c r="I861" i="8"/>
  <c r="P854" i="20"/>
  <c r="P231" i="20" s="1"/>
  <c r="E605" i="8"/>
  <c r="J197" i="20"/>
  <c r="H86" i="22" s="1"/>
  <c r="J787" i="20"/>
  <c r="F129" i="3"/>
  <c r="F29" i="23" s="1"/>
  <c r="F30" i="23" s="1"/>
  <c r="K855" i="8"/>
  <c r="K236" i="8" s="1"/>
  <c r="H900" i="8"/>
  <c r="H243" i="8" s="1"/>
  <c r="N1167" i="20"/>
  <c r="N322" i="20" s="1"/>
  <c r="F599" i="20"/>
  <c r="F142" i="20" s="1"/>
  <c r="J87" i="20"/>
  <c r="E128" i="20"/>
  <c r="P787" i="20"/>
  <c r="N792" i="20"/>
  <c r="N1283" i="20" s="1"/>
  <c r="N836" i="8"/>
  <c r="J500" i="8"/>
  <c r="J504" i="8" s="1"/>
  <c r="J98" i="8" s="1"/>
  <c r="M898" i="20"/>
  <c r="M238" i="20" s="1"/>
  <c r="G1018" i="8"/>
  <c r="E481" i="20"/>
  <c r="E485" i="20" s="1"/>
  <c r="E90" i="20" s="1"/>
  <c r="G835" i="20"/>
  <c r="G1302" i="20" s="1"/>
  <c r="G1322" i="20" s="1"/>
  <c r="G201" i="8"/>
  <c r="E38" i="22" s="1"/>
  <c r="F1167" i="20"/>
  <c r="F322" i="20" s="1"/>
  <c r="J534" i="8"/>
  <c r="J538" i="8" s="1"/>
  <c r="J105" i="8" s="1"/>
  <c r="N965" i="20"/>
  <c r="N966" i="20" s="1"/>
  <c r="N252" i="20" s="1"/>
  <c r="G787" i="20"/>
  <c r="G199" i="20" s="1"/>
  <c r="P898" i="20"/>
  <c r="P238" i="20" s="1"/>
  <c r="K761" i="8"/>
  <c r="K763" i="8" s="1"/>
  <c r="I855" i="8"/>
  <c r="I236" i="8" s="1"/>
  <c r="G1237" i="20"/>
  <c r="O128" i="20"/>
  <c r="E599" i="20"/>
  <c r="E142" i="20" s="1"/>
  <c r="N708" i="20"/>
  <c r="N723" i="20" s="1"/>
  <c r="G792" i="20"/>
  <c r="G1283" i="20" s="1"/>
  <c r="G706" i="20"/>
  <c r="I462" i="20"/>
  <c r="O564" i="20"/>
  <c r="P464" i="8"/>
  <c r="M532" i="20"/>
  <c r="M536" i="20" s="1"/>
  <c r="M104" i="20" s="1"/>
  <c r="I263" i="3"/>
  <c r="I423" i="3" s="1"/>
  <c r="I424" i="3" s="1"/>
  <c r="Q1236" i="20"/>
  <c r="L709" i="8"/>
  <c r="L715" i="8" s="1"/>
  <c r="K964" i="20"/>
  <c r="K966" i="20" s="1"/>
  <c r="K252" i="20" s="1"/>
  <c r="N787" i="20"/>
  <c r="N199" i="20" s="1"/>
  <c r="H621" i="20"/>
  <c r="H150" i="20" s="1"/>
  <c r="H706" i="20"/>
  <c r="H854" i="20"/>
  <c r="H231" i="20" s="1"/>
  <c r="P855" i="8"/>
  <c r="P236" i="8" s="1"/>
  <c r="H705" i="20"/>
  <c r="N229" i="8"/>
  <c r="N767" i="8"/>
  <c r="N196" i="8" s="1"/>
  <c r="P417" i="3"/>
  <c r="N427" i="3"/>
  <c r="G705" i="20"/>
  <c r="P466" i="20"/>
  <c r="P1256" i="20" s="1"/>
  <c r="N790" i="8"/>
  <c r="N203" i="8" s="1"/>
  <c r="C447" i="3"/>
  <c r="E447" i="3" s="1"/>
  <c r="G898" i="20"/>
  <c r="G238" i="20" s="1"/>
  <c r="K767" i="8"/>
  <c r="K196" i="8" s="1"/>
  <c r="P468" i="8"/>
  <c r="P83" i="8" s="1"/>
  <c r="E1171" i="20"/>
  <c r="L900" i="8"/>
  <c r="L243" i="8" s="1"/>
  <c r="E1167" i="20"/>
  <c r="E322" i="20" s="1"/>
  <c r="N756" i="20"/>
  <c r="K468" i="8"/>
  <c r="K83" i="8" s="1"/>
  <c r="M1173" i="8"/>
  <c r="M1175" i="8" s="1"/>
  <c r="F201" i="8"/>
  <c r="D38" i="22" s="1"/>
  <c r="F707" i="8"/>
  <c r="F713" i="8" s="1"/>
  <c r="F705" i="20"/>
  <c r="K298" i="8"/>
  <c r="K1081" i="8"/>
  <c r="I1113" i="20"/>
  <c r="I498" i="8"/>
  <c r="I500" i="8" s="1"/>
  <c r="P462" i="20"/>
  <c r="I496" i="20"/>
  <c r="F564" i="20"/>
  <c r="F566" i="20" s="1"/>
  <c r="F136" i="20" s="1"/>
  <c r="E1113" i="20"/>
  <c r="E1115" i="20" s="1"/>
  <c r="E1119" i="20" s="1"/>
  <c r="E311" i="20" s="1"/>
  <c r="K464" i="8"/>
  <c r="K466" i="8" s="1"/>
  <c r="G790" i="8"/>
  <c r="G203" i="8" s="1"/>
  <c r="I466" i="20"/>
  <c r="I82" i="20" s="1"/>
  <c r="K466" i="20"/>
  <c r="K82" i="20" s="1"/>
  <c r="J481" i="20"/>
  <c r="J88" i="20" s="1"/>
  <c r="I708" i="8"/>
  <c r="I714" i="8" s="1"/>
  <c r="P367" i="3"/>
  <c r="L178" i="3"/>
  <c r="G532" i="8"/>
  <c r="F855" i="8"/>
  <c r="F236" i="8" s="1"/>
  <c r="L854" i="20"/>
  <c r="L231" i="20" s="1"/>
  <c r="L706" i="8"/>
  <c r="L712" i="8" s="1"/>
  <c r="P149" i="20"/>
  <c r="I1117" i="8"/>
  <c r="K431" i="20"/>
  <c r="K75" i="20" s="1"/>
  <c r="L131" i="8"/>
  <c r="N759" i="8"/>
  <c r="N772" i="8" s="1"/>
  <c r="L498" i="8"/>
  <c r="P95" i="8"/>
  <c r="P498" i="8"/>
  <c r="K74" i="8"/>
  <c r="K430" i="8"/>
  <c r="O479" i="20"/>
  <c r="O481" i="20" s="1"/>
  <c r="O87" i="20"/>
  <c r="P175" i="3"/>
  <c r="N462" i="20"/>
  <c r="P547" i="20"/>
  <c r="N835" i="20"/>
  <c r="N1302" i="20" s="1"/>
  <c r="N1322" i="20" s="1"/>
  <c r="F790" i="8"/>
  <c r="F203" i="8" s="1"/>
  <c r="F898" i="20"/>
  <c r="F238" i="20" s="1"/>
  <c r="F1173" i="8"/>
  <c r="F1175" i="8" s="1"/>
  <c r="O898" i="20"/>
  <c r="O238" i="20" s="1"/>
  <c r="M854" i="20"/>
  <c r="M231" i="20" s="1"/>
  <c r="P422" i="3"/>
  <c r="K462" i="20"/>
  <c r="N786" i="8"/>
  <c r="N1281" i="8" s="1"/>
  <c r="J1167" i="20"/>
  <c r="J322" i="20" s="1"/>
  <c r="F795" i="8"/>
  <c r="F1283" i="8" s="1"/>
  <c r="G756" i="20"/>
  <c r="G190" i="20" s="1"/>
  <c r="O430" i="8"/>
  <c r="O566" i="8"/>
  <c r="O568" i="8" s="1"/>
  <c r="O572" i="8" s="1"/>
  <c r="O141" i="8" s="1"/>
  <c r="N1009" i="20"/>
  <c r="N259" i="20" s="1"/>
  <c r="G786" i="8"/>
  <c r="G1281" i="8" s="1"/>
  <c r="G129" i="3"/>
  <c r="G29" i="23" s="1"/>
  <c r="G30" i="23" s="1"/>
  <c r="G709" i="8"/>
  <c r="G715" i="8" s="1"/>
  <c r="G707" i="20"/>
  <c r="I707" i="8"/>
  <c r="I713" i="8" s="1"/>
  <c r="I705" i="20"/>
  <c r="E149" i="20"/>
  <c r="E619" i="20"/>
  <c r="E621" i="20" s="1"/>
  <c r="G772" i="8"/>
  <c r="F759" i="8"/>
  <c r="F194" i="8" s="1"/>
  <c r="K129" i="3"/>
  <c r="K29" i="23" s="1"/>
  <c r="K30" i="23" s="1"/>
  <c r="G657" i="20"/>
  <c r="G672" i="20" s="1"/>
  <c r="G1267" i="20" s="1"/>
  <c r="J1009" i="20"/>
  <c r="J259" i="20" s="1"/>
  <c r="F621" i="20"/>
  <c r="F150" i="20" s="1"/>
  <c r="P551" i="8"/>
  <c r="P132" i="8" s="1"/>
  <c r="N165" i="3"/>
  <c r="O861" i="8"/>
  <c r="Q1151" i="8"/>
  <c r="G666" i="8"/>
  <c r="P35" i="23"/>
  <c r="E769" i="20"/>
  <c r="F1095" i="20"/>
  <c r="F1097" i="20" s="1"/>
  <c r="O621" i="20"/>
  <c r="O625" i="20" s="1"/>
  <c r="O152" i="20" s="1"/>
  <c r="H657" i="20"/>
  <c r="H667" i="20" s="1"/>
  <c r="H158" i="20" s="1"/>
  <c r="G1012" i="8"/>
  <c r="G264" i="8" s="1"/>
  <c r="J547" i="20"/>
  <c r="O464" i="8"/>
  <c r="O466" i="8" s="1"/>
  <c r="G837" i="8"/>
  <c r="M534" i="8"/>
  <c r="M538" i="8" s="1"/>
  <c r="M105" i="8" s="1"/>
  <c r="P759" i="8"/>
  <c r="P194" i="8" s="1"/>
  <c r="P767" i="8"/>
  <c r="P196" i="8" s="1"/>
  <c r="Q319" i="8"/>
  <c r="D46" i="14" s="1"/>
  <c r="G1239" i="8"/>
  <c r="K1210" i="8"/>
  <c r="K1214" i="8" s="1"/>
  <c r="K1216" i="8" s="1"/>
  <c r="P966" i="20"/>
  <c r="P252" i="20" s="1"/>
  <c r="M1007" i="20"/>
  <c r="M1009" i="20" s="1"/>
  <c r="M259" i="20" s="1"/>
  <c r="M1010" i="8"/>
  <c r="M1016" i="8" s="1"/>
  <c r="O966" i="20"/>
  <c r="O252" i="20" s="1"/>
  <c r="N547" i="20"/>
  <c r="O835" i="20"/>
  <c r="O1302" i="20" s="1"/>
  <c r="O1322" i="20" s="1"/>
  <c r="I1282" i="20"/>
  <c r="J854" i="20"/>
  <c r="J231" i="20" s="1"/>
  <c r="F835" i="20"/>
  <c r="F1302" i="20" s="1"/>
  <c r="F1322" i="20" s="1"/>
  <c r="N1012" i="8"/>
  <c r="N264" i="8" s="1"/>
  <c r="Q755" i="20"/>
  <c r="K1282" i="8"/>
  <c r="K203" i="8"/>
  <c r="P756" i="20"/>
  <c r="P764" i="20"/>
  <c r="P192" i="20" s="1"/>
  <c r="K787" i="20"/>
  <c r="K199" i="20" s="1"/>
  <c r="I1040" i="8"/>
  <c r="I291" i="8" s="1"/>
  <c r="K792" i="20"/>
  <c r="K1283" i="20" s="1"/>
  <c r="Q824" i="20"/>
  <c r="J464" i="8"/>
  <c r="J466" i="8" s="1"/>
  <c r="J82" i="8" s="1"/>
  <c r="J1117" i="8"/>
  <c r="J36" i="23"/>
  <c r="P36" i="23" s="1"/>
  <c r="J468" i="8"/>
  <c r="J83" i="8" s="1"/>
  <c r="N466" i="20"/>
  <c r="N82" i="20" s="1"/>
  <c r="M551" i="8"/>
  <c r="M555" i="8" s="1"/>
  <c r="M134" i="8" s="1"/>
  <c r="N1101" i="8"/>
  <c r="N1105" i="8" s="1"/>
  <c r="N308" i="8" s="1"/>
  <c r="N972" i="8"/>
  <c r="N973" i="8" s="1"/>
  <c r="Q895" i="20"/>
  <c r="Q401" i="20"/>
  <c r="Q531" i="8"/>
  <c r="Q758" i="8"/>
  <c r="J767" i="8"/>
  <c r="J196" i="8" s="1"/>
  <c r="J759" i="8"/>
  <c r="J761" i="8"/>
  <c r="J763" i="8" s="1"/>
  <c r="O762" i="8"/>
  <c r="O763" i="8" s="1"/>
  <c r="O759" i="8"/>
  <c r="F462" i="20"/>
  <c r="J178" i="3"/>
  <c r="J170" i="3"/>
  <c r="F756" i="20"/>
  <c r="K769" i="20"/>
  <c r="J769" i="20"/>
  <c r="Q224" i="20"/>
  <c r="K564" i="20"/>
  <c r="K566" i="20" s="1"/>
  <c r="K136" i="20" s="1"/>
  <c r="J1113" i="20"/>
  <c r="L427" i="20"/>
  <c r="P18" i="23"/>
  <c r="G660" i="8"/>
  <c r="I413" i="20"/>
  <c r="I1259" i="20" s="1"/>
  <c r="I1293" i="20" s="1"/>
  <c r="J466" i="20"/>
  <c r="J82" i="20" s="1"/>
  <c r="Q404" i="8"/>
  <c r="I66" i="20"/>
  <c r="H564" i="20"/>
  <c r="J462" i="20"/>
  <c r="F1113" i="20"/>
  <c r="P1095" i="20"/>
  <c r="H415" i="8"/>
  <c r="H1258" i="8" s="1"/>
  <c r="P17" i="23"/>
  <c r="I707" i="20"/>
  <c r="Q461" i="20"/>
  <c r="O855" i="8"/>
  <c r="O236" i="8" s="1"/>
  <c r="I412" i="20"/>
  <c r="I621" i="20"/>
  <c r="I150" i="20" s="1"/>
  <c r="F500" i="8"/>
  <c r="F96" i="8" s="1"/>
  <c r="K1097" i="20"/>
  <c r="K1101" i="20" s="1"/>
  <c r="K304" i="20" s="1"/>
  <c r="E464" i="20"/>
  <c r="E81" i="20" s="1"/>
  <c r="E1095" i="20"/>
  <c r="O203" i="8"/>
  <c r="O468" i="8"/>
  <c r="O83" i="8" s="1"/>
  <c r="I764" i="20"/>
  <c r="I192" i="20" s="1"/>
  <c r="P47" i="23"/>
  <c r="Q315" i="20"/>
  <c r="I898" i="20"/>
  <c r="I238" i="20" s="1"/>
  <c r="K898" i="20"/>
  <c r="K238" i="20" s="1"/>
  <c r="O599" i="20"/>
  <c r="O142" i="20" s="1"/>
  <c r="N83" i="8"/>
  <c r="N1256" i="8"/>
  <c r="F902" i="8"/>
  <c r="F906" i="8" s="1"/>
  <c r="F900" i="8"/>
  <c r="F243" i="8" s="1"/>
  <c r="H599" i="20"/>
  <c r="H601" i="20"/>
  <c r="E786" i="8"/>
  <c r="E1281" i="8" s="1"/>
  <c r="E201" i="8"/>
  <c r="C38" i="22" s="1"/>
  <c r="E795" i="8"/>
  <c r="E1283" i="8" s="1"/>
  <c r="O657" i="8"/>
  <c r="O663" i="8" s="1"/>
  <c r="O666" i="8" s="1"/>
  <c r="O654" i="20"/>
  <c r="O657" i="20" s="1"/>
  <c r="O672" i="20" s="1"/>
  <c r="O1267" i="20" s="1"/>
  <c r="N619" i="20"/>
  <c r="N149" i="20"/>
  <c r="L135" i="20"/>
  <c r="L564" i="20"/>
  <c r="J707" i="8"/>
  <c r="J713" i="8" s="1"/>
  <c r="J705" i="20"/>
  <c r="E305" i="8"/>
  <c r="E1099" i="8"/>
  <c r="F312" i="8"/>
  <c r="F1117" i="8"/>
  <c r="L764" i="20"/>
  <c r="L192" i="20" s="1"/>
  <c r="L756" i="20"/>
  <c r="P1099" i="8"/>
  <c r="P305" i="8"/>
  <c r="L1169" i="20"/>
  <c r="L1171" i="20" s="1"/>
  <c r="L1167" i="20"/>
  <c r="L322" i="20" s="1"/>
  <c r="N716" i="8"/>
  <c r="G1037" i="8"/>
  <c r="G1043" i="8" s="1"/>
  <c r="G1034" i="20"/>
  <c r="O604" i="8"/>
  <c r="O605" i="8" s="1"/>
  <c r="M706" i="20"/>
  <c r="M708" i="8"/>
  <c r="M714" i="8" s="1"/>
  <c r="E444" i="3"/>
  <c r="J944" i="8"/>
  <c r="J250" i="8" s="1"/>
  <c r="J946" i="8"/>
  <c r="J948" i="8" s="1"/>
  <c r="M767" i="8"/>
  <c r="M196" i="8" s="1"/>
  <c r="M759" i="8"/>
  <c r="M761" i="8"/>
  <c r="M763" i="8" s="1"/>
  <c r="L602" i="20"/>
  <c r="L603" i="20" s="1"/>
  <c r="L599" i="20"/>
  <c r="L142" i="20" s="1"/>
  <c r="M94" i="20"/>
  <c r="Q495" i="20"/>
  <c r="H87" i="20"/>
  <c r="H479" i="20"/>
  <c r="M902" i="8"/>
  <c r="M906" i="8" s="1"/>
  <c r="M900" i="8"/>
  <c r="M243" i="8" s="1"/>
  <c r="H1169" i="20"/>
  <c r="H1171" i="20" s="1"/>
  <c r="Q1165" i="20"/>
  <c r="H1167" i="20"/>
  <c r="Q894" i="20"/>
  <c r="E898" i="20"/>
  <c r="H855" i="8"/>
  <c r="H236" i="8" s="1"/>
  <c r="H860" i="8"/>
  <c r="P599" i="20"/>
  <c r="P142" i="20" s="1"/>
  <c r="P602" i="20"/>
  <c r="P603" i="20" s="1"/>
  <c r="M619" i="20"/>
  <c r="M149" i="20"/>
  <c r="G564" i="20"/>
  <c r="G135" i="20"/>
  <c r="Q563" i="20"/>
  <c r="I964" i="20"/>
  <c r="I966" i="20" s="1"/>
  <c r="I252" i="20" s="1"/>
  <c r="I967" i="8"/>
  <c r="I971" i="8" s="1"/>
  <c r="L298" i="8"/>
  <c r="Q1080" i="8"/>
  <c r="E280" i="26" s="1"/>
  <c r="E281" i="26" s="1"/>
  <c r="L1081" i="8"/>
  <c r="H201" i="8"/>
  <c r="F38" i="22" s="1"/>
  <c r="H786" i="8"/>
  <c r="H1281" i="8" s="1"/>
  <c r="H795" i="8"/>
  <c r="H1283" i="8" s="1"/>
  <c r="E1209" i="20"/>
  <c r="E349" i="20" s="1"/>
  <c r="I602" i="20"/>
  <c r="I603" i="20" s="1"/>
  <c r="J706" i="20"/>
  <c r="J708" i="8"/>
  <c r="J714" i="8" s="1"/>
  <c r="K160" i="3"/>
  <c r="P944" i="8"/>
  <c r="P250" i="8" s="1"/>
  <c r="P946" i="8"/>
  <c r="P948" i="8" s="1"/>
  <c r="E903" i="8"/>
  <c r="Q897" i="8"/>
  <c r="H601" i="8"/>
  <c r="Q599" i="8"/>
  <c r="H603" i="8"/>
  <c r="F294" i="20"/>
  <c r="Q294" i="20" s="1"/>
  <c r="Q1076" i="20"/>
  <c r="L431" i="20"/>
  <c r="L75" i="20" s="1"/>
  <c r="Q940" i="20"/>
  <c r="H704" i="20"/>
  <c r="H706" i="8"/>
  <c r="F152" i="8"/>
  <c r="F622" i="8"/>
  <c r="Q621" i="8"/>
  <c r="Q782" i="20"/>
  <c r="E787" i="20"/>
  <c r="E197" i="20"/>
  <c r="J96" i="3"/>
  <c r="J23" i="23" s="1"/>
  <c r="J24" i="23" s="1"/>
  <c r="J619" i="20"/>
  <c r="J149" i="20"/>
  <c r="H566" i="8"/>
  <c r="H138" i="8"/>
  <c r="Q754" i="20"/>
  <c r="H756" i="20"/>
  <c r="K602" i="20"/>
  <c r="K603" i="20" s="1"/>
  <c r="K599" i="20"/>
  <c r="K142" i="20" s="1"/>
  <c r="I83" i="22" s="1"/>
  <c r="Q1147" i="20"/>
  <c r="K1171" i="8"/>
  <c r="K326" i="8" s="1"/>
  <c r="K1174" i="8"/>
  <c r="K1175" i="8" s="1"/>
  <c r="F657" i="8"/>
  <c r="F654" i="20"/>
  <c r="F657" i="20" s="1"/>
  <c r="L1171" i="8"/>
  <c r="L326" i="8" s="1"/>
  <c r="L1173" i="8"/>
  <c r="L1175" i="8" s="1"/>
  <c r="P905" i="8"/>
  <c r="P906" i="8" s="1"/>
  <c r="P900" i="8"/>
  <c r="P243" i="8" s="1"/>
  <c r="Q896" i="20"/>
  <c r="E857" i="8"/>
  <c r="E855" i="8"/>
  <c r="Q851" i="8"/>
  <c r="Q600" i="8"/>
  <c r="H604" i="8"/>
  <c r="L604" i="8"/>
  <c r="L605" i="8" s="1"/>
  <c r="L607" i="8" s="1"/>
  <c r="L601" i="8"/>
  <c r="L145" i="8" s="1"/>
  <c r="Q1169" i="8"/>
  <c r="K138" i="8"/>
  <c r="K566" i="8"/>
  <c r="K568" i="8" s="1"/>
  <c r="N549" i="8"/>
  <c r="N131" i="8"/>
  <c r="H409" i="8"/>
  <c r="H67" i="8"/>
  <c r="H405" i="8"/>
  <c r="K772" i="8"/>
  <c r="K194" i="8"/>
  <c r="M95" i="8"/>
  <c r="M498" i="8"/>
  <c r="M500" i="8" s="1"/>
  <c r="F305" i="8"/>
  <c r="F1099" i="8"/>
  <c r="Q546" i="20"/>
  <c r="F128" i="20"/>
  <c r="J66" i="20"/>
  <c r="J406" i="20"/>
  <c r="H1171" i="8"/>
  <c r="H1173" i="8"/>
  <c r="O900" i="8"/>
  <c r="O243" i="8" s="1"/>
  <c r="O903" i="8"/>
  <c r="O906" i="8" s="1"/>
  <c r="O908" i="8" s="1"/>
  <c r="O244" i="8" s="1"/>
  <c r="Q853" i="20"/>
  <c r="I759" i="8"/>
  <c r="I767" i="8"/>
  <c r="I196" i="8" s="1"/>
  <c r="P604" i="8"/>
  <c r="P605" i="8" s="1"/>
  <c r="P601" i="8"/>
  <c r="P145" i="8" s="1"/>
  <c r="H160" i="3"/>
  <c r="H178" i="3"/>
  <c r="P158" i="3"/>
  <c r="M622" i="8"/>
  <c r="M624" i="8" s="1"/>
  <c r="M628" i="8" s="1"/>
  <c r="M155" i="8" s="1"/>
  <c r="M152" i="8"/>
  <c r="I101" i="20"/>
  <c r="I530" i="20"/>
  <c r="I532" i="20" s="1"/>
  <c r="H944" i="8"/>
  <c r="H250" i="8" s="1"/>
  <c r="H947" i="8"/>
  <c r="H948" i="8" s="1"/>
  <c r="K178" i="3"/>
  <c r="K170" i="3"/>
  <c r="O603" i="20"/>
  <c r="E941" i="20"/>
  <c r="Q939" i="20"/>
  <c r="Q899" i="8"/>
  <c r="G905" i="8"/>
  <c r="E854" i="20"/>
  <c r="Q850" i="20"/>
  <c r="Q618" i="20"/>
  <c r="M496" i="20"/>
  <c r="Q478" i="20"/>
  <c r="L944" i="8"/>
  <c r="L250" i="8" s="1"/>
  <c r="L947" i="8"/>
  <c r="L948" i="8" s="1"/>
  <c r="J900" i="8"/>
  <c r="J243" i="8" s="1"/>
  <c r="J902" i="8"/>
  <c r="J906" i="8" s="1"/>
  <c r="J857" i="8"/>
  <c r="J861" i="8" s="1"/>
  <c r="J855" i="8"/>
  <c r="J236" i="8" s="1"/>
  <c r="I601" i="8"/>
  <c r="I145" i="8" s="1"/>
  <c r="I604" i="8"/>
  <c r="I605" i="8" s="1"/>
  <c r="E312" i="8"/>
  <c r="E1117" i="8"/>
  <c r="Q1116" i="8"/>
  <c r="Q1112" i="20"/>
  <c r="F947" i="8"/>
  <c r="Q943" i="8"/>
  <c r="L708" i="8"/>
  <c r="L714" i="8" s="1"/>
  <c r="L706" i="20"/>
  <c r="K654" i="20"/>
  <c r="K657" i="20" s="1"/>
  <c r="K657" i="8"/>
  <c r="K663" i="8" s="1"/>
  <c r="J152" i="8"/>
  <c r="J622" i="8"/>
  <c r="J624" i="8" s="1"/>
  <c r="H767" i="8"/>
  <c r="H761" i="8"/>
  <c r="H763" i="8" s="1"/>
  <c r="H765" i="8" s="1"/>
  <c r="Q757" i="8"/>
  <c r="H759" i="8"/>
  <c r="K604" i="8"/>
  <c r="K605" i="8" s="1"/>
  <c r="K601" i="8"/>
  <c r="K145" i="8" s="1"/>
  <c r="I35" i="22" s="1"/>
  <c r="N95" i="8"/>
  <c r="N498" i="8"/>
  <c r="N500" i="8" s="1"/>
  <c r="F826" i="8"/>
  <c r="F1300" i="8" s="1"/>
  <c r="F229" i="8"/>
  <c r="O1170" i="20"/>
  <c r="O1171" i="20" s="1"/>
  <c r="O1173" i="20" s="1"/>
  <c r="O1177" i="20" s="1"/>
  <c r="O325" i="20" s="1"/>
  <c r="O1167" i="20"/>
  <c r="O322" i="20" s="1"/>
  <c r="Q897" i="20"/>
  <c r="G854" i="20"/>
  <c r="G231" i="20" s="1"/>
  <c r="Q852" i="20"/>
  <c r="P1081" i="8"/>
  <c r="P1083" i="8" s="1"/>
  <c r="P299" i="8" s="1"/>
  <c r="P298" i="8"/>
  <c r="N532" i="8"/>
  <c r="N534" i="8" s="1"/>
  <c r="N538" i="8" s="1"/>
  <c r="N105" i="8" s="1"/>
  <c r="N102" i="8"/>
  <c r="M1282" i="20"/>
  <c r="M199" i="20"/>
  <c r="L88" i="8"/>
  <c r="L481" i="8"/>
  <c r="Q463" i="8"/>
  <c r="F81" i="8"/>
  <c r="F468" i="8"/>
  <c r="F464" i="8"/>
  <c r="L74" i="8"/>
  <c r="L430" i="8"/>
  <c r="H481" i="8"/>
  <c r="H88" i="8"/>
  <c r="Q480" i="8"/>
  <c r="K201" i="8"/>
  <c r="I38" i="22" s="1"/>
  <c r="K786" i="8"/>
  <c r="K1281" i="8" s="1"/>
  <c r="K795" i="8"/>
  <c r="K1283" i="8" s="1"/>
  <c r="F131" i="8"/>
  <c r="F549" i="8"/>
  <c r="O854" i="20"/>
  <c r="O231" i="20" s="1"/>
  <c r="Q548" i="8"/>
  <c r="F941" i="20"/>
  <c r="F245" i="20" s="1"/>
  <c r="K903" i="8"/>
  <c r="K906" i="8" s="1"/>
  <c r="K908" i="8" s="1"/>
  <c r="K244" i="8" s="1"/>
  <c r="K900" i="8"/>
  <c r="K243" i="8" s="1"/>
  <c r="E902" i="8"/>
  <c r="E900" i="8"/>
  <c r="Q896" i="8"/>
  <c r="F854" i="20"/>
  <c r="F231" i="20" s="1"/>
  <c r="Q851" i="20"/>
  <c r="L855" i="8"/>
  <c r="L236" i="8" s="1"/>
  <c r="L860" i="8"/>
  <c r="L861" i="8" s="1"/>
  <c r="O944" i="8"/>
  <c r="O250" i="8" s="1"/>
  <c r="O947" i="8"/>
  <c r="O948" i="8" s="1"/>
  <c r="Q1166" i="20"/>
  <c r="E1037" i="20"/>
  <c r="E287" i="20" s="1"/>
  <c r="E704" i="20"/>
  <c r="G706" i="8"/>
  <c r="G704" i="20"/>
  <c r="Q308" i="20"/>
  <c r="F466" i="20"/>
  <c r="L795" i="8"/>
  <c r="L1283" i="8" s="1"/>
  <c r="L786" i="8"/>
  <c r="L1281" i="8" s="1"/>
  <c r="L201" i="8"/>
  <c r="J38" i="22" s="1"/>
  <c r="N622" i="8"/>
  <c r="N152" i="8"/>
  <c r="L566" i="8"/>
  <c r="L138" i="8"/>
  <c r="L767" i="8"/>
  <c r="L196" i="8" s="1"/>
  <c r="L759" i="8"/>
  <c r="L707" i="8"/>
  <c r="L713" i="8" s="1"/>
  <c r="L705" i="20"/>
  <c r="N94" i="20"/>
  <c r="N496" i="20"/>
  <c r="N566" i="8"/>
  <c r="N138" i="8"/>
  <c r="P117" i="3"/>
  <c r="N946" i="8"/>
  <c r="N948" i="8" s="1"/>
  <c r="N944" i="8"/>
  <c r="N250" i="8" s="1"/>
  <c r="H1174" i="8"/>
  <c r="Q1170" i="8"/>
  <c r="O1171" i="8"/>
  <c r="O326" i="8" s="1"/>
  <c r="O1174" i="8"/>
  <c r="O1175" i="8" s="1"/>
  <c r="E944" i="8"/>
  <c r="Q942" i="8"/>
  <c r="E946" i="8"/>
  <c r="G903" i="8"/>
  <c r="G900" i="8"/>
  <c r="G243" i="8" s="1"/>
  <c r="I904" i="8"/>
  <c r="Q898" i="8"/>
  <c r="G859" i="8"/>
  <c r="G855" i="8"/>
  <c r="G236" i="8" s="1"/>
  <c r="Q853" i="8"/>
  <c r="M756" i="20"/>
  <c r="M764" i="20"/>
  <c r="M192" i="20" s="1"/>
  <c r="H602" i="20"/>
  <c r="J549" i="8"/>
  <c r="J131" i="8"/>
  <c r="N530" i="20"/>
  <c r="N532" i="20" s="1"/>
  <c r="N102" i="20" s="1"/>
  <c r="N101" i="20"/>
  <c r="H406" i="20"/>
  <c r="H66" i="20"/>
  <c r="Q497" i="8"/>
  <c r="H498" i="8"/>
  <c r="H500" i="8" s="1"/>
  <c r="H95" i="8"/>
  <c r="L87" i="20"/>
  <c r="L479" i="20"/>
  <c r="L481" i="20" s="1"/>
  <c r="O466" i="20"/>
  <c r="O80" i="20"/>
  <c r="Q854" i="8"/>
  <c r="F946" i="8"/>
  <c r="F944" i="8"/>
  <c r="F250" i="8" s="1"/>
  <c r="M855" i="8"/>
  <c r="M236" i="8" s="1"/>
  <c r="M857" i="8"/>
  <c r="M861" i="8" s="1"/>
  <c r="F858" i="8"/>
  <c r="Q858" i="8" s="1"/>
  <c r="Q852" i="8"/>
  <c r="G138" i="8"/>
  <c r="Q565" i="8"/>
  <c r="G566" i="8"/>
  <c r="I532" i="8"/>
  <c r="I102" i="8"/>
  <c r="O826" i="8"/>
  <c r="O1300" i="8" s="1"/>
  <c r="O229" i="8"/>
  <c r="H197" i="20"/>
  <c r="F86" i="22" s="1"/>
  <c r="H787" i="20"/>
  <c r="P476" i="20"/>
  <c r="P481" i="20" s="1"/>
  <c r="P485" i="20" s="1"/>
  <c r="P90" i="20" s="1"/>
  <c r="I939" i="8"/>
  <c r="M100" i="20"/>
  <c r="G834" i="20"/>
  <c r="G1301" i="20" s="1"/>
  <c r="G1321" i="20" s="1"/>
  <c r="H837" i="8"/>
  <c r="H228" i="8"/>
  <c r="N1203" i="20"/>
  <c r="L311" i="8"/>
  <c r="K495" i="8"/>
  <c r="K500" i="8" s="1"/>
  <c r="K96" i="8" s="1"/>
  <c r="O822" i="20"/>
  <c r="O1299" i="20" s="1"/>
  <c r="I493" i="20"/>
  <c r="I478" i="8"/>
  <c r="I483" i="8" s="1"/>
  <c r="I487" i="8" s="1"/>
  <c r="I91" i="8" s="1"/>
  <c r="E313" i="2"/>
  <c r="C313" i="2"/>
  <c r="E65" i="20"/>
  <c r="F703" i="8"/>
  <c r="F1272" i="8" s="1"/>
  <c r="P701" i="8"/>
  <c r="P186" i="8" s="1"/>
  <c r="P699" i="20"/>
  <c r="P701" i="20" s="1"/>
  <c r="E651" i="8"/>
  <c r="E158" i="8" s="1"/>
  <c r="L1031" i="8"/>
  <c r="L1032" i="8"/>
  <c r="H699" i="20"/>
  <c r="H701" i="8"/>
  <c r="F251" i="20"/>
  <c r="F960" i="20"/>
  <c r="P64" i="5"/>
  <c r="O96" i="3"/>
  <c r="O23" i="23" s="1"/>
  <c r="O24" i="23" s="1"/>
  <c r="O320" i="3"/>
  <c r="O423" i="3"/>
  <c r="O424" i="3" s="1"/>
  <c r="L968" i="8"/>
  <c r="L965" i="20"/>
  <c r="L966" i="20" s="1"/>
  <c r="L252" i="20" s="1"/>
  <c r="M165" i="3"/>
  <c r="J968" i="8"/>
  <c r="J965" i="20"/>
  <c r="J966" i="20" s="1"/>
  <c r="J252" i="20" s="1"/>
  <c r="H298" i="3"/>
  <c r="H294" i="3"/>
  <c r="F316" i="3"/>
  <c r="P310" i="3"/>
  <c r="F314" i="3"/>
  <c r="K377" i="3"/>
  <c r="K381" i="3" s="1"/>
  <c r="K380" i="3"/>
  <c r="P1035" i="20"/>
  <c r="P1037" i="20" s="1"/>
  <c r="P287" i="20" s="1"/>
  <c r="P1038" i="8"/>
  <c r="K267" i="3"/>
  <c r="L123" i="3"/>
  <c r="L169" i="3" s="1"/>
  <c r="L125" i="3"/>
  <c r="L96" i="3"/>
  <c r="L23" i="23" s="1"/>
  <c r="L24" i="23" s="1"/>
  <c r="H320" i="3"/>
  <c r="H423" i="3"/>
  <c r="H424" i="3" s="1"/>
  <c r="J1034" i="20"/>
  <c r="J1037" i="20" s="1"/>
  <c r="J287" i="20" s="1"/>
  <c r="J1037" i="8"/>
  <c r="G319" i="3"/>
  <c r="P313" i="3"/>
  <c r="G314" i="3"/>
  <c r="G320" i="3" s="1"/>
  <c r="E299" i="3"/>
  <c r="E294" i="3"/>
  <c r="P293" i="3"/>
  <c r="N658" i="8"/>
  <c r="N655" i="20"/>
  <c r="N657" i="20" s="1"/>
  <c r="O1210" i="8"/>
  <c r="O1214" i="8" s="1"/>
  <c r="O1207" i="20"/>
  <c r="M96" i="3"/>
  <c r="M23" i="23" s="1"/>
  <c r="H1005" i="20"/>
  <c r="H1009" i="20" s="1"/>
  <c r="H259" i="20" s="1"/>
  <c r="N1204" i="20"/>
  <c r="J296" i="3"/>
  <c r="J294" i="3"/>
  <c r="I123" i="3"/>
  <c r="I169" i="3" s="1"/>
  <c r="I125" i="3"/>
  <c r="P262" i="3"/>
  <c r="N123" i="3"/>
  <c r="N169" i="3" s="1"/>
  <c r="N126" i="3"/>
  <c r="F96" i="3"/>
  <c r="F23" i="23" s="1"/>
  <c r="F24" i="23" s="1"/>
  <c r="K66" i="5"/>
  <c r="P121" i="3"/>
  <c r="D127" i="3"/>
  <c r="F709" i="8"/>
  <c r="F715" i="8" s="1"/>
  <c r="F707" i="20"/>
  <c r="P376" i="3"/>
  <c r="E377" i="3"/>
  <c r="E381" i="3" s="1"/>
  <c r="E380" i="3"/>
  <c r="M66" i="5"/>
  <c r="J267" i="3"/>
  <c r="I96" i="3"/>
  <c r="I23" i="23" s="1"/>
  <c r="I24" i="23" s="1"/>
  <c r="E658" i="8"/>
  <c r="E664" i="8" s="1"/>
  <c r="P94" i="3"/>
  <c r="E655" i="20"/>
  <c r="I66" i="5"/>
  <c r="E266" i="3"/>
  <c r="E263" i="3"/>
  <c r="E267" i="3" s="1"/>
  <c r="P261" i="3"/>
  <c r="D263" i="3"/>
  <c r="D423" i="3" s="1"/>
  <c r="D265" i="3"/>
  <c r="E967" i="8" s="1"/>
  <c r="G300" i="3"/>
  <c r="G418" i="3"/>
  <c r="K296" i="3"/>
  <c r="K294" i="3"/>
  <c r="D298" i="3"/>
  <c r="P292" i="3"/>
  <c r="N296" i="3"/>
  <c r="N294" i="3"/>
  <c r="N300" i="3" s="1"/>
  <c r="D123" i="3"/>
  <c r="D169" i="3" s="1"/>
  <c r="P120" i="3"/>
  <c r="D126" i="3"/>
  <c r="E657" i="8"/>
  <c r="E654" i="20"/>
  <c r="P93" i="3"/>
  <c r="P95" i="3"/>
  <c r="J659" i="8"/>
  <c r="J665" i="8" s="1"/>
  <c r="J656" i="20"/>
  <c r="J657" i="20" s="1"/>
  <c r="H96" i="3"/>
  <c r="H23" i="23" s="1"/>
  <c r="H24" i="23" s="1"/>
  <c r="D294" i="3"/>
  <c r="D297" i="3"/>
  <c r="P291" i="3"/>
  <c r="M1210" i="8"/>
  <c r="I377" i="3"/>
  <c r="I379" i="3"/>
  <c r="P656" i="8"/>
  <c r="P653" i="20"/>
  <c r="P657" i="20" s="1"/>
  <c r="O123" i="3"/>
  <c r="O169" i="3" s="1"/>
  <c r="O125" i="3"/>
  <c r="P1211" i="8"/>
  <c r="P1215" i="8" s="1"/>
  <c r="P1208" i="20"/>
  <c r="L265" i="3"/>
  <c r="L263" i="3"/>
  <c r="O379" i="3"/>
  <c r="O377" i="3"/>
  <c r="O381" i="3" s="1"/>
  <c r="N377" i="3"/>
  <c r="N381" i="3" s="1"/>
  <c r="G966" i="20"/>
  <c r="G252" i="20" s="1"/>
  <c r="J316" i="3"/>
  <c r="J314" i="3"/>
  <c r="J320" i="3" s="1"/>
  <c r="M379" i="3"/>
  <c r="M377" i="3"/>
  <c r="H664" i="8"/>
  <c r="H666" i="8" s="1"/>
  <c r="H660" i="8"/>
  <c r="G263" i="3"/>
  <c r="G265" i="3"/>
  <c r="E968" i="8"/>
  <c r="E972" i="8" s="1"/>
  <c r="E965" i="20"/>
  <c r="H1207" i="20"/>
  <c r="H1210" i="8"/>
  <c r="N66" i="5"/>
  <c r="K96" i="3"/>
  <c r="K23" i="23" s="1"/>
  <c r="K24" i="23" s="1"/>
  <c r="O298" i="3"/>
  <c r="O294" i="3"/>
  <c r="K314" i="3"/>
  <c r="K320" i="3" s="1"/>
  <c r="K316" i="3"/>
  <c r="H123" i="3"/>
  <c r="H169" i="3" s="1"/>
  <c r="H125" i="3"/>
  <c r="D96" i="3"/>
  <c r="D23" i="23" s="1"/>
  <c r="D24" i="23" s="1"/>
  <c r="P90" i="3"/>
  <c r="P164" i="3" s="1"/>
  <c r="N318" i="3"/>
  <c r="N314" i="3"/>
  <c r="I1210" i="8"/>
  <c r="I1207" i="20"/>
  <c r="E125" i="3"/>
  <c r="E123" i="3"/>
  <c r="E169" i="3" s="1"/>
  <c r="P119" i="3"/>
  <c r="M316" i="3"/>
  <c r="M314" i="3"/>
  <c r="I656" i="8"/>
  <c r="P92" i="3"/>
  <c r="I653" i="20"/>
  <c r="P59" i="5"/>
  <c r="P375" i="3"/>
  <c r="F377" i="3"/>
  <c r="F379" i="3"/>
  <c r="P290" i="3"/>
  <c r="P47" i="5"/>
  <c r="L381" i="3"/>
  <c r="L418" i="3"/>
  <c r="H352" i="8"/>
  <c r="G1203" i="20"/>
  <c r="M782" i="8"/>
  <c r="M1279" i="8" s="1"/>
  <c r="M783" i="8"/>
  <c r="M1280" i="8" s="1"/>
  <c r="N960" i="20"/>
  <c r="H65" i="20"/>
  <c r="F939" i="8"/>
  <c r="L701" i="8"/>
  <c r="N822" i="20"/>
  <c r="N1299" i="20" s="1"/>
  <c r="N961" i="20"/>
  <c r="O134" i="2"/>
  <c r="G134" i="2"/>
  <c r="G1204" i="20"/>
  <c r="F1143" i="20"/>
  <c r="F1149" i="20" s="1"/>
  <c r="F316" i="20" s="1"/>
  <c r="O754" i="8"/>
  <c r="P1074" i="20"/>
  <c r="G780" i="20"/>
  <c r="G1280" i="20" s="1"/>
  <c r="H307" i="20"/>
  <c r="M1205" i="8"/>
  <c r="J427" i="8"/>
  <c r="I414" i="8"/>
  <c r="I1257" i="8" s="1"/>
  <c r="I1291" i="8" s="1"/>
  <c r="O193" i="8"/>
  <c r="H1205" i="8"/>
  <c r="N964" i="8"/>
  <c r="N1313" i="8" s="1"/>
  <c r="F1162" i="20"/>
  <c r="I619" i="8"/>
  <c r="N1030" i="20"/>
  <c r="F961" i="20"/>
  <c r="L263" i="8"/>
  <c r="G355" i="20"/>
  <c r="G961" i="20"/>
  <c r="I249" i="8"/>
  <c r="H1207" i="8"/>
  <c r="H461" i="8"/>
  <c r="E1166" i="8"/>
  <c r="G251" i="20"/>
  <c r="K651" i="8"/>
  <c r="K653" i="8" s="1"/>
  <c r="L1004" i="8"/>
  <c r="L1003" i="8"/>
  <c r="G146" i="2"/>
  <c r="H1227" i="20"/>
  <c r="E301" i="2"/>
  <c r="K937" i="8"/>
  <c r="M1113" i="8"/>
  <c r="J701" i="8"/>
  <c r="H355" i="20"/>
  <c r="P132" i="2"/>
  <c r="P144" i="2" s="1"/>
  <c r="K137" i="8"/>
  <c r="I783" i="8"/>
  <c r="I1280" i="8" s="1"/>
  <c r="H1149" i="20"/>
  <c r="H316" i="20" s="1"/>
  <c r="K754" i="8"/>
  <c r="M301" i="2"/>
  <c r="N963" i="8"/>
  <c r="K753" i="8"/>
  <c r="K1095" i="8"/>
  <c r="F1166" i="8"/>
  <c r="O1165" i="8"/>
  <c r="G960" i="20"/>
  <c r="N962" i="8"/>
  <c r="L594" i="20"/>
  <c r="G828" i="8"/>
  <c r="G832" i="8" s="1"/>
  <c r="N1029" i="20"/>
  <c r="G1074" i="20"/>
  <c r="O1074" i="20"/>
  <c r="L822" i="20"/>
  <c r="L1299" i="20" s="1"/>
  <c r="E1165" i="8"/>
  <c r="F702" i="8"/>
  <c r="F1271" i="8" s="1"/>
  <c r="F546" i="8"/>
  <c r="E1114" i="8"/>
  <c r="H151" i="8"/>
  <c r="I200" i="8"/>
  <c r="O1166" i="8"/>
  <c r="G753" i="8"/>
  <c r="N189" i="20"/>
  <c r="F699" i="20"/>
  <c r="F182" i="20" s="1"/>
  <c r="M616" i="20"/>
  <c r="F151" i="8"/>
  <c r="E529" i="8"/>
  <c r="E534" i="8" s="1"/>
  <c r="E538" i="8" s="1"/>
  <c r="E105" i="8" s="1"/>
  <c r="J301" i="2"/>
  <c r="L478" i="8"/>
  <c r="F938" i="8"/>
  <c r="F1161" i="20"/>
  <c r="J823" i="8"/>
  <c r="J1299" i="8" s="1"/>
  <c r="F1230" i="8"/>
  <c r="H94" i="8"/>
  <c r="G596" i="8"/>
  <c r="K459" i="20"/>
  <c r="M427" i="8"/>
  <c r="M432" i="8" s="1"/>
  <c r="L401" i="8"/>
  <c r="F780" i="20"/>
  <c r="F1280" i="20" s="1"/>
  <c r="D284" i="2"/>
  <c r="L355" i="20"/>
  <c r="L780" i="20"/>
  <c r="L1280" i="20" s="1"/>
  <c r="G1301" i="8"/>
  <c r="G1321" i="8" s="1"/>
  <c r="L1227" i="20"/>
  <c r="L66" i="8"/>
  <c r="G301" i="2"/>
  <c r="I1204" i="20"/>
  <c r="E891" i="20"/>
  <c r="K835" i="8"/>
  <c r="K837" i="8" s="1"/>
  <c r="M594" i="20"/>
  <c r="H594" i="20"/>
  <c r="O459" i="20"/>
  <c r="O464" i="20" s="1"/>
  <c r="O81" i="20" s="1"/>
  <c r="E1162" i="20"/>
  <c r="K938" i="8"/>
  <c r="M307" i="20"/>
  <c r="L284" i="2"/>
  <c r="N321" i="20"/>
  <c r="I402" i="8"/>
  <c r="I66" i="8"/>
  <c r="K939" i="8"/>
  <c r="H782" i="8"/>
  <c r="H1279" i="8" s="1"/>
  <c r="N424" i="20"/>
  <c r="N429" i="20" s="1"/>
  <c r="N74" i="20" s="1"/>
  <c r="H783" i="8"/>
  <c r="H1280" i="8" s="1"/>
  <c r="G193" i="8"/>
  <c r="G223" i="20"/>
  <c r="J754" i="8"/>
  <c r="F359" i="8"/>
  <c r="P251" i="20"/>
  <c r="K650" i="20"/>
  <c r="K1264" i="20" s="1"/>
  <c r="F93" i="20"/>
  <c r="I348" i="20"/>
  <c r="O834" i="20"/>
  <c r="M79" i="20"/>
  <c r="P1003" i="8"/>
  <c r="E293" i="20"/>
  <c r="L1030" i="20"/>
  <c r="P263" i="8"/>
  <c r="P960" i="20"/>
  <c r="N493" i="20"/>
  <c r="H476" i="20"/>
  <c r="J753" i="8"/>
  <c r="F1165" i="8"/>
  <c r="P594" i="20"/>
  <c r="J1091" i="20"/>
  <c r="J1097" i="20" s="1"/>
  <c r="J1101" i="20" s="1"/>
  <c r="J304" i="20" s="1"/>
  <c r="P1005" i="8"/>
  <c r="E399" i="20"/>
  <c r="E1254" i="20" s="1"/>
  <c r="E780" i="20"/>
  <c r="E1280" i="20" s="1"/>
  <c r="I1110" i="20"/>
  <c r="H1109" i="20"/>
  <c r="E1002" i="20"/>
  <c r="K960" i="20"/>
  <c r="L193" i="8"/>
  <c r="F476" i="20"/>
  <c r="M476" i="20"/>
  <c r="M481" i="20" s="1"/>
  <c r="M88" i="20" s="1"/>
  <c r="N311" i="8"/>
  <c r="J1161" i="20"/>
  <c r="K1110" i="20"/>
  <c r="K355" i="20"/>
  <c r="J65" i="20"/>
  <c r="L1101" i="8"/>
  <c r="L1105" i="8" s="1"/>
  <c r="L308" i="8" s="1"/>
  <c r="O411" i="20"/>
  <c r="O1257" i="20" s="1"/>
  <c r="O1291" i="20" s="1"/>
  <c r="O143" i="2"/>
  <c r="O146" i="2" s="1"/>
  <c r="M544" i="20"/>
  <c r="H1092" i="20"/>
  <c r="O301" i="2"/>
  <c r="M1083" i="8"/>
  <c r="M299" i="8" s="1"/>
  <c r="I960" i="20"/>
  <c r="F1227" i="20"/>
  <c r="H1091" i="20"/>
  <c r="E461" i="8"/>
  <c r="O783" i="8"/>
  <c r="O1280" i="8" s="1"/>
  <c r="L834" i="20"/>
  <c r="L1301" i="20" s="1"/>
  <c r="L1321" i="20" s="1"/>
  <c r="Q778" i="20"/>
  <c r="G493" i="20"/>
  <c r="G498" i="20" s="1"/>
  <c r="G95" i="20" s="1"/>
  <c r="F301" i="2"/>
  <c r="E1030" i="8"/>
  <c r="E1031" i="8" s="1"/>
  <c r="G1078" i="8"/>
  <c r="N1113" i="8"/>
  <c r="N1119" i="8" s="1"/>
  <c r="N1123" i="8" s="1"/>
  <c r="N315" i="8" s="1"/>
  <c r="P188" i="2"/>
  <c r="F307" i="20"/>
  <c r="J399" i="20"/>
  <c r="J1254" i="20" s="1"/>
  <c r="P134" i="20"/>
  <c r="L754" i="8"/>
  <c r="L80" i="8"/>
  <c r="L461" i="8"/>
  <c r="H399" i="20"/>
  <c r="H1254" i="20" s="1"/>
  <c r="L1091" i="20"/>
  <c r="O782" i="8"/>
  <c r="O1279" i="8" s="1"/>
  <c r="I461" i="8"/>
  <c r="I891" i="20"/>
  <c r="M1074" i="20"/>
  <c r="E1161" i="20"/>
  <c r="O963" i="8"/>
  <c r="G1030" i="20"/>
  <c r="J284" i="2"/>
  <c r="P1109" i="20"/>
  <c r="P1115" i="20" s="1"/>
  <c r="P309" i="20" s="1"/>
  <c r="N1092" i="20"/>
  <c r="K237" i="20"/>
  <c r="F937" i="8"/>
  <c r="H751" i="20"/>
  <c r="H189" i="20"/>
  <c r="L822" i="8"/>
  <c r="L1298" i="8" s="1"/>
  <c r="L228" i="8"/>
  <c r="F1114" i="8"/>
  <c r="F311" i="8"/>
  <c r="F1113" i="8"/>
  <c r="L101" i="8"/>
  <c r="L529" i="8"/>
  <c r="L534" i="8" s="1"/>
  <c r="G935" i="20"/>
  <c r="I935" i="20"/>
  <c r="L835" i="8"/>
  <c r="L1301" i="8" s="1"/>
  <c r="L1321" i="8" s="1"/>
  <c r="K476" i="20"/>
  <c r="K481" i="20" s="1"/>
  <c r="G1165" i="8"/>
  <c r="J594" i="20"/>
  <c r="J1033" i="8"/>
  <c r="P544" i="20"/>
  <c r="K1228" i="20"/>
  <c r="E1204" i="20"/>
  <c r="Q752" i="8"/>
  <c r="J325" i="8"/>
  <c r="J1165" i="8"/>
  <c r="J1166" i="8"/>
  <c r="G938" i="8"/>
  <c r="G249" i="8"/>
  <c r="G937" i="8"/>
  <c r="N936" i="20"/>
  <c r="N244" i="20"/>
  <c r="I938" i="8"/>
  <c r="G244" i="20"/>
  <c r="K782" i="8"/>
  <c r="K1279" i="8" s="1"/>
  <c r="H498" i="20"/>
  <c r="H502" i="20" s="1"/>
  <c r="H97" i="20" s="1"/>
  <c r="O594" i="20"/>
  <c r="I594" i="20"/>
  <c r="F424" i="20"/>
  <c r="L1033" i="8"/>
  <c r="L1207" i="8"/>
  <c r="L1029" i="20"/>
  <c r="O846" i="8"/>
  <c r="O847" i="8" s="1"/>
  <c r="K478" i="8"/>
  <c r="E1001" i="20"/>
  <c r="J651" i="8"/>
  <c r="J653" i="8" s="1"/>
  <c r="L1206" i="8"/>
  <c r="O293" i="2"/>
  <c r="M1148" i="8"/>
  <c r="G461" i="8"/>
  <c r="E284" i="2"/>
  <c r="L527" i="20"/>
  <c r="L532" i="20" s="1"/>
  <c r="L536" i="20" s="1"/>
  <c r="L104" i="20" s="1"/>
  <c r="M1206" i="8"/>
  <c r="J1162" i="20"/>
  <c r="G1166" i="8"/>
  <c r="L290" i="8"/>
  <c r="O352" i="8"/>
  <c r="O1205" i="8"/>
  <c r="O1206" i="8"/>
  <c r="I823" i="8"/>
  <c r="I1299" i="8" s="1"/>
  <c r="I822" i="8"/>
  <c r="I228" i="8"/>
  <c r="O648" i="20"/>
  <c r="O651" i="8"/>
  <c r="K228" i="8"/>
  <c r="K822" i="8"/>
  <c r="K1298" i="8" s="1"/>
  <c r="N307" i="20"/>
  <c r="N1110" i="20"/>
  <c r="N1109" i="20"/>
  <c r="N935" i="20"/>
  <c r="N648" i="20"/>
  <c r="I100" i="20"/>
  <c r="N158" i="8"/>
  <c r="M1207" i="8"/>
  <c r="N1161" i="20"/>
  <c r="E753" i="8"/>
  <c r="O424" i="20"/>
  <c r="O429" i="20" s="1"/>
  <c r="O433" i="20" s="1"/>
  <c r="O76" i="20" s="1"/>
  <c r="L424" i="20"/>
  <c r="P459" i="20"/>
  <c r="I301" i="2"/>
  <c r="I128" i="2"/>
  <c r="O964" i="8"/>
  <c r="M845" i="20"/>
  <c r="J86" i="20"/>
  <c r="P189" i="20"/>
  <c r="K1109" i="20"/>
  <c r="O699" i="20"/>
  <c r="O701" i="20" s="1"/>
  <c r="O1272" i="20" s="1"/>
  <c r="L1205" i="8"/>
  <c r="M1147" i="8"/>
  <c r="J290" i="8"/>
  <c r="L146" i="2"/>
  <c r="M1114" i="8"/>
  <c r="H301" i="2"/>
  <c r="I459" i="20"/>
  <c r="J144" i="8"/>
  <c r="J596" i="8"/>
  <c r="H893" i="8"/>
  <c r="H892" i="8"/>
  <c r="H242" i="8"/>
  <c r="J616" i="20"/>
  <c r="J148" i="20"/>
  <c r="M1166" i="8"/>
  <c r="M325" i="8"/>
  <c r="N1166" i="8"/>
  <c r="N325" i="8"/>
  <c r="K223" i="20"/>
  <c r="K822" i="20"/>
  <c r="K1299" i="20" s="1"/>
  <c r="L258" i="20"/>
  <c r="L1002" i="20"/>
  <c r="L1001" i="20"/>
  <c r="P478" i="8"/>
  <c r="P87" i="8"/>
  <c r="J1206" i="8"/>
  <c r="J1205" i="8"/>
  <c r="J352" i="8"/>
  <c r="J751" i="20"/>
  <c r="J189" i="20"/>
  <c r="E1149" i="20"/>
  <c r="E1153" i="20" s="1"/>
  <c r="E318" i="20" s="1"/>
  <c r="O80" i="8"/>
  <c r="K1004" i="8"/>
  <c r="Q460" i="8"/>
  <c r="O66" i="8"/>
  <c r="L936" i="8"/>
  <c r="L939" i="8" s="1"/>
  <c r="L651" i="8"/>
  <c r="L653" i="8" s="1"/>
  <c r="I1109" i="20"/>
  <c r="J300" i="20"/>
  <c r="I193" i="8"/>
  <c r="K1005" i="8"/>
  <c r="G616" i="20"/>
  <c r="G148" i="20"/>
  <c r="F846" i="8"/>
  <c r="F845" i="20"/>
  <c r="K352" i="8"/>
  <c r="K1205" i="8"/>
  <c r="K1206" i="8"/>
  <c r="H651" i="8"/>
  <c r="H648" i="20"/>
  <c r="I352" i="8"/>
  <c r="I1206" i="8"/>
  <c r="I1205" i="8"/>
  <c r="L314" i="20"/>
  <c r="L1144" i="20"/>
  <c r="O304" i="8"/>
  <c r="O1095" i="8"/>
  <c r="O1096" i="8"/>
  <c r="L616" i="20"/>
  <c r="L148" i="20"/>
  <c r="H411" i="20"/>
  <c r="H1257" i="20" s="1"/>
  <c r="N652" i="8"/>
  <c r="L1143" i="20"/>
  <c r="G1029" i="20"/>
  <c r="Q618" i="8"/>
  <c r="K263" i="8"/>
  <c r="J650" i="20"/>
  <c r="J1264" i="20" s="1"/>
  <c r="N284" i="2"/>
  <c r="O256" i="8"/>
  <c r="G1077" i="8"/>
  <c r="K155" i="20"/>
  <c r="P307" i="20"/>
  <c r="P461" i="8"/>
  <c r="I754" i="8"/>
  <c r="G151" i="8"/>
  <c r="G619" i="8"/>
  <c r="G624" i="8" s="1"/>
  <c r="G651" i="8"/>
  <c r="G648" i="20"/>
  <c r="G699" i="20"/>
  <c r="G701" i="8"/>
  <c r="G186" i="8" s="1"/>
  <c r="N845" i="20"/>
  <c r="N846" i="8"/>
  <c r="I311" i="8"/>
  <c r="I1114" i="8"/>
  <c r="I1113" i="8"/>
  <c r="E1077" i="8"/>
  <c r="E297" i="8"/>
  <c r="E1078" i="8"/>
  <c r="I892" i="8"/>
  <c r="I242" i="8"/>
  <c r="E348" i="20"/>
  <c r="E1203" i="20"/>
  <c r="G128" i="2"/>
  <c r="P193" i="8"/>
  <c r="P754" i="8"/>
  <c r="L1147" i="8"/>
  <c r="L318" i="8"/>
  <c r="L1148" i="8"/>
  <c r="O1092" i="20"/>
  <c r="O300" i="20"/>
  <c r="H304" i="8"/>
  <c r="H1095" i="8"/>
  <c r="H1096" i="8"/>
  <c r="L151" i="8"/>
  <c r="L619" i="8"/>
  <c r="L624" i="8" s="1"/>
  <c r="J127" i="20"/>
  <c r="J544" i="20"/>
  <c r="J230" i="20"/>
  <c r="J847" i="20"/>
  <c r="M242" i="8"/>
  <c r="M892" i="8"/>
  <c r="I1077" i="8"/>
  <c r="I297" i="8"/>
  <c r="I1078" i="8"/>
  <c r="H1077" i="8"/>
  <c r="H297" i="8"/>
  <c r="H1078" i="8"/>
  <c r="P228" i="8"/>
  <c r="P822" i="8"/>
  <c r="P823" i="8"/>
  <c r="P1299" i="8" s="1"/>
  <c r="K311" i="8"/>
  <c r="K1114" i="8"/>
  <c r="K1113" i="8"/>
  <c r="F73" i="8"/>
  <c r="F427" i="8"/>
  <c r="F962" i="8"/>
  <c r="F963" i="8"/>
  <c r="N476" i="20"/>
  <c r="L1092" i="20"/>
  <c r="F256" i="8"/>
  <c r="K424" i="20"/>
  <c r="G459" i="20"/>
  <c r="P751" i="20"/>
  <c r="F1228" i="20"/>
  <c r="K961" i="8"/>
  <c r="K963" i="8" s="1"/>
  <c r="O402" i="8"/>
  <c r="O1254" i="8" s="1"/>
  <c r="O414" i="8"/>
  <c r="O1257" i="8" s="1"/>
  <c r="O1291" i="8" s="1"/>
  <c r="Q749" i="20"/>
  <c r="M1110" i="20"/>
  <c r="K251" i="20"/>
  <c r="H1119" i="8"/>
  <c r="N301" i="2"/>
  <c r="F137" i="8"/>
  <c r="F563" i="8"/>
  <c r="I189" i="20"/>
  <c r="I751" i="20"/>
  <c r="J130" i="8"/>
  <c r="J546" i="8"/>
  <c r="O65" i="20"/>
  <c r="O399" i="20"/>
  <c r="O1254" i="20" s="1"/>
  <c r="K1002" i="20"/>
  <c r="K1001" i="20"/>
  <c r="K258" i="20"/>
  <c r="J848" i="8"/>
  <c r="J847" i="8"/>
  <c r="J235" i="8"/>
  <c r="K1204" i="20"/>
  <c r="K1203" i="20"/>
  <c r="K348" i="20"/>
  <c r="M237" i="20"/>
  <c r="M891" i="20"/>
  <c r="L73" i="8"/>
  <c r="L427" i="8"/>
  <c r="I961" i="20"/>
  <c r="I251" i="20"/>
  <c r="K143" i="2"/>
  <c r="P822" i="20"/>
  <c r="P1299" i="20" s="1"/>
  <c r="P223" i="20"/>
  <c r="J134" i="2"/>
  <c r="J146" i="2"/>
  <c r="H1002" i="20"/>
  <c r="H1001" i="20"/>
  <c r="H258" i="20"/>
  <c r="P94" i="8"/>
  <c r="P495" i="8"/>
  <c r="I529" i="8"/>
  <c r="I101" i="8"/>
  <c r="O73" i="8"/>
  <c r="O427" i="8"/>
  <c r="L935" i="20"/>
  <c r="F1030" i="20"/>
  <c r="F286" i="20"/>
  <c r="F1029" i="20"/>
  <c r="F999" i="20"/>
  <c r="F1002" i="8"/>
  <c r="N699" i="20"/>
  <c r="N701" i="8"/>
  <c r="N186" i="8" s="1"/>
  <c r="P1032" i="8"/>
  <c r="P1031" i="8"/>
  <c r="P290" i="8"/>
  <c r="P1033" i="8"/>
  <c r="P1313" i="8" s="1"/>
  <c r="N1299" i="8"/>
  <c r="N828" i="8"/>
  <c r="N832" i="8" s="1"/>
  <c r="N134" i="20"/>
  <c r="N561" i="20"/>
  <c r="N566" i="20" s="1"/>
  <c r="N136" i="20" s="1"/>
  <c r="E127" i="20"/>
  <c r="E544" i="20"/>
  <c r="E549" i="20" s="1"/>
  <c r="H100" i="20"/>
  <c r="H527" i="20"/>
  <c r="H532" i="20" s="1"/>
  <c r="N459" i="20"/>
  <c r="N79" i="20"/>
  <c r="G72" i="20"/>
  <c r="G424" i="20"/>
  <c r="N1230" i="8"/>
  <c r="N359" i="8"/>
  <c r="N1229" i="8"/>
  <c r="I321" i="20"/>
  <c r="I1162" i="20"/>
  <c r="Q1160" i="20"/>
  <c r="I1161" i="20"/>
  <c r="I314" i="20"/>
  <c r="I1144" i="20"/>
  <c r="I1143" i="20"/>
  <c r="O936" i="20"/>
  <c r="O244" i="20"/>
  <c r="O935" i="20"/>
  <c r="M964" i="8"/>
  <c r="M962" i="8"/>
  <c r="M963" i="8"/>
  <c r="M256" i="8"/>
  <c r="K293" i="2"/>
  <c r="K284" i="2"/>
  <c r="D299" i="2"/>
  <c r="P1147" i="8"/>
  <c r="P318" i="8"/>
  <c r="P1148" i="8"/>
  <c r="J1109" i="20"/>
  <c r="J1110" i="20"/>
  <c r="J307" i="20"/>
  <c r="E290" i="2"/>
  <c r="N237" i="20"/>
  <c r="N891" i="20"/>
  <c r="F648" i="20"/>
  <c r="F651" i="8"/>
  <c r="G352" i="8"/>
  <c r="G1206" i="8"/>
  <c r="G1207" i="8"/>
  <c r="H1030" i="20"/>
  <c r="H286" i="20"/>
  <c r="H1029" i="20"/>
  <c r="O1228" i="20"/>
  <c r="O355" i="20"/>
  <c r="M1027" i="20"/>
  <c r="M1030" i="8"/>
  <c r="H284" i="2"/>
  <c r="I699" i="20"/>
  <c r="I701" i="8"/>
  <c r="I186" i="8" s="1"/>
  <c r="N619" i="8"/>
  <c r="N151" i="8"/>
  <c r="N144" i="8"/>
  <c r="N596" i="8"/>
  <c r="E134" i="20"/>
  <c r="E561" i="20"/>
  <c r="E566" i="20" s="1"/>
  <c r="H130" i="8"/>
  <c r="H546" i="8"/>
  <c r="H551" i="8" s="1"/>
  <c r="K527" i="20"/>
  <c r="K100" i="20"/>
  <c r="M80" i="8"/>
  <c r="M461" i="8"/>
  <c r="F79" i="20"/>
  <c r="F459" i="20"/>
  <c r="H73" i="8"/>
  <c r="H427" i="8"/>
  <c r="L293" i="2"/>
  <c r="K290" i="2"/>
  <c r="O318" i="8"/>
  <c r="O1148" i="8"/>
  <c r="O1147" i="8"/>
  <c r="G304" i="8"/>
  <c r="G1096" i="8"/>
  <c r="G1095" i="8"/>
  <c r="J237" i="20"/>
  <c r="J891" i="20"/>
  <c r="M493" i="20"/>
  <c r="M93" i="20"/>
  <c r="H1004" i="8"/>
  <c r="H263" i="8"/>
  <c r="H1005" i="8"/>
  <c r="H1003" i="8"/>
  <c r="P493" i="20"/>
  <c r="P93" i="20"/>
  <c r="J137" i="8"/>
  <c r="J563" i="8"/>
  <c r="I546" i="8"/>
  <c r="I130" i="8"/>
  <c r="L93" i="20"/>
  <c r="L493" i="20"/>
  <c r="M1144" i="20"/>
  <c r="M1149" i="20" s="1"/>
  <c r="M314" i="20"/>
  <c r="I999" i="20"/>
  <c r="I1002" i="8"/>
  <c r="E137" i="8"/>
  <c r="E563" i="8"/>
  <c r="K529" i="8"/>
  <c r="K534" i="8" s="1"/>
  <c r="K101" i="8"/>
  <c r="J87" i="8"/>
  <c r="J478" i="8"/>
  <c r="E846" i="8"/>
  <c r="E845" i="20"/>
  <c r="K293" i="20"/>
  <c r="H935" i="20"/>
  <c r="L701" i="20"/>
  <c r="L1272" i="20" s="1"/>
  <c r="L1166" i="8"/>
  <c r="F788" i="8"/>
  <c r="K594" i="20"/>
  <c r="N594" i="20"/>
  <c r="K1029" i="20"/>
  <c r="O148" i="20"/>
  <c r="J1031" i="8"/>
  <c r="O1144" i="20"/>
  <c r="O1149" i="20" s="1"/>
  <c r="O314" i="20"/>
  <c r="G1092" i="20"/>
  <c r="G300" i="20"/>
  <c r="J892" i="8"/>
  <c r="J242" i="8"/>
  <c r="F822" i="8"/>
  <c r="F228" i="8"/>
  <c r="F823" i="8"/>
  <c r="F1299" i="8" s="1"/>
  <c r="P939" i="8"/>
  <c r="P938" i="8"/>
  <c r="P937" i="8"/>
  <c r="P249" i="8"/>
  <c r="O561" i="20"/>
  <c r="O134" i="20"/>
  <c r="N1144" i="20"/>
  <c r="N1149" i="20" s="1"/>
  <c r="N1153" i="20" s="1"/>
  <c r="N318" i="20" s="1"/>
  <c r="N314" i="20"/>
  <c r="L1078" i="8"/>
  <c r="L1077" i="8"/>
  <c r="L297" i="8"/>
  <c r="E193" i="8"/>
  <c r="E754" i="8"/>
  <c r="P414" i="8"/>
  <c r="P1257" i="8" s="1"/>
  <c r="P1291" i="8" s="1"/>
  <c r="P401" i="8"/>
  <c r="P402" i="8"/>
  <c r="P1254" i="8" s="1"/>
  <c r="P66" i="8"/>
  <c r="J286" i="20"/>
  <c r="J1030" i="20"/>
  <c r="J182" i="20"/>
  <c r="J701" i="20"/>
  <c r="L1162" i="20"/>
  <c r="L321" i="20"/>
  <c r="O151" i="8"/>
  <c r="O619" i="8"/>
  <c r="J134" i="20"/>
  <c r="J561" i="20"/>
  <c r="J566" i="20" s="1"/>
  <c r="I127" i="20"/>
  <c r="I544" i="20"/>
  <c r="I549" i="20" s="1"/>
  <c r="L94" i="8"/>
  <c r="L495" i="8"/>
  <c r="I846" i="8"/>
  <c r="I845" i="20"/>
  <c r="J359" i="8"/>
  <c r="J1230" i="8"/>
  <c r="E300" i="20"/>
  <c r="E1092" i="20"/>
  <c r="K151" i="8"/>
  <c r="K619" i="8"/>
  <c r="K624" i="8" s="1"/>
  <c r="F594" i="20"/>
  <c r="F141" i="20"/>
  <c r="I137" i="8"/>
  <c r="I563" i="8"/>
  <c r="I568" i="8" s="1"/>
  <c r="L546" i="8"/>
  <c r="L551" i="8" s="1"/>
  <c r="L130" i="8"/>
  <c r="O529" i="8"/>
  <c r="O534" i="8" s="1"/>
  <c r="O103" i="8" s="1"/>
  <c r="O101" i="8"/>
  <c r="O495" i="8"/>
  <c r="O500" i="8" s="1"/>
  <c r="O94" i="8"/>
  <c r="G94" i="8"/>
  <c r="Q494" i="8"/>
  <c r="G495" i="8"/>
  <c r="K427" i="8"/>
  <c r="K73" i="8"/>
  <c r="F1083" i="8"/>
  <c r="K297" i="8"/>
  <c r="K1078" i="8"/>
  <c r="K1077" i="8"/>
  <c r="E936" i="8"/>
  <c r="E933" i="20"/>
  <c r="K845" i="20"/>
  <c r="K846" i="8"/>
  <c r="F189" i="20"/>
  <c r="J1228" i="20"/>
  <c r="J355" i="20"/>
  <c r="E304" i="8"/>
  <c r="E1096" i="8"/>
  <c r="E1095" i="8"/>
  <c r="N148" i="20"/>
  <c r="N616" i="20"/>
  <c r="M563" i="8"/>
  <c r="M137" i="8"/>
  <c r="H127" i="20"/>
  <c r="H544" i="20"/>
  <c r="F80" i="8"/>
  <c r="F461" i="8"/>
  <c r="P845" i="20"/>
  <c r="P846" i="8"/>
  <c r="L325" i="8"/>
  <c r="M566" i="20"/>
  <c r="M570" i="20" s="1"/>
  <c r="M138" i="20" s="1"/>
  <c r="H424" i="20"/>
  <c r="O128" i="2"/>
  <c r="F751" i="20"/>
  <c r="J299" i="2"/>
  <c r="L301" i="2"/>
  <c r="L290" i="2"/>
  <c r="H146" i="2"/>
  <c r="Q615" i="20"/>
  <c r="O1230" i="8"/>
  <c r="O1229" i="8"/>
  <c r="O359" i="8"/>
  <c r="P1144" i="20"/>
  <c r="P1149" i="20" s="1"/>
  <c r="P314" i="20"/>
  <c r="J311" i="8"/>
  <c r="J1114" i="8"/>
  <c r="J1113" i="8"/>
  <c r="N892" i="8"/>
  <c r="N242" i="8"/>
  <c r="M193" i="8"/>
  <c r="M754" i="8"/>
  <c r="E619" i="8"/>
  <c r="E151" i="8"/>
  <c r="N318" i="8"/>
  <c r="N1148" i="8"/>
  <c r="N1147" i="8"/>
  <c r="L293" i="20"/>
  <c r="E189" i="20"/>
  <c r="E751" i="20"/>
  <c r="H87" i="8"/>
  <c r="H478" i="8"/>
  <c r="P399" i="20"/>
  <c r="P1254" i="20" s="1"/>
  <c r="P65" i="20"/>
  <c r="P411" i="20"/>
  <c r="P1257" i="20" s="1"/>
  <c r="P1291" i="20" s="1"/>
  <c r="F1031" i="8"/>
  <c r="F1032" i="8"/>
  <c r="F1033" i="8"/>
  <c r="F290" i="8"/>
  <c r="P1030" i="20"/>
  <c r="P286" i="20"/>
  <c r="N137" i="8"/>
  <c r="N563" i="8"/>
  <c r="E130" i="8"/>
  <c r="E546" i="8"/>
  <c r="E551" i="8" s="1"/>
  <c r="H101" i="8"/>
  <c r="H529" i="8"/>
  <c r="H534" i="8" s="1"/>
  <c r="N80" i="8"/>
  <c r="N461" i="8"/>
  <c r="N466" i="8" s="1"/>
  <c r="G73" i="8"/>
  <c r="G427" i="8"/>
  <c r="L155" i="20"/>
  <c r="L650" i="20"/>
  <c r="L1264" i="20" s="1"/>
  <c r="E701" i="8"/>
  <c r="E186" i="8" s="1"/>
  <c r="E699" i="20"/>
  <c r="N355" i="20"/>
  <c r="N1228" i="20"/>
  <c r="I1165" i="8"/>
  <c r="I1166" i="8"/>
  <c r="I325" i="8"/>
  <c r="I318" i="8"/>
  <c r="I1147" i="8"/>
  <c r="I1148" i="8"/>
  <c r="O937" i="8"/>
  <c r="O938" i="8"/>
  <c r="O249" i="8"/>
  <c r="O939" i="8"/>
  <c r="M961" i="20"/>
  <c r="M251" i="20"/>
  <c r="D296" i="2"/>
  <c r="D290" i="2"/>
  <c r="M1002" i="8"/>
  <c r="M999" i="20"/>
  <c r="M699" i="20"/>
  <c r="M701" i="8"/>
  <c r="M186" i="8" s="1"/>
  <c r="K148" i="20"/>
  <c r="K616" i="20"/>
  <c r="F144" i="8"/>
  <c r="F596" i="8"/>
  <c r="I561" i="20"/>
  <c r="I134" i="20"/>
  <c r="L127" i="20"/>
  <c r="L544" i="20"/>
  <c r="L549" i="20" s="1"/>
  <c r="O527" i="20"/>
  <c r="O100" i="20"/>
  <c r="O493" i="20"/>
  <c r="O93" i="20"/>
  <c r="Q492" i="20"/>
  <c r="M87" i="8"/>
  <c r="M478" i="8"/>
  <c r="M483" i="8" s="1"/>
  <c r="F478" i="8"/>
  <c r="F483" i="8" s="1"/>
  <c r="F87" i="8"/>
  <c r="L958" i="20"/>
  <c r="Q958" i="20" s="1"/>
  <c r="L961" i="8"/>
  <c r="E263" i="8"/>
  <c r="E1003" i="8"/>
  <c r="E1004" i="8"/>
  <c r="E1005" i="8"/>
  <c r="P281" i="2"/>
  <c r="F284" i="2"/>
  <c r="F293" i="2"/>
  <c r="Q891" i="8"/>
  <c r="F242" i="8"/>
  <c r="F892" i="8"/>
  <c r="F893" i="8"/>
  <c r="O144" i="8"/>
  <c r="O596" i="8"/>
  <c r="O1110" i="20"/>
  <c r="O307" i="20"/>
  <c r="O1109" i="20"/>
  <c r="J293" i="20"/>
  <c r="Q1072" i="20"/>
  <c r="I355" i="20"/>
  <c r="I1228" i="20"/>
  <c r="I1227" i="20"/>
  <c r="G314" i="20"/>
  <c r="G1144" i="20"/>
  <c r="G1143" i="20"/>
  <c r="Q1142" i="20"/>
  <c r="J822" i="20"/>
  <c r="J223" i="20"/>
  <c r="J834" i="20"/>
  <c r="Q820" i="20"/>
  <c r="G134" i="20"/>
  <c r="G561" i="20"/>
  <c r="Q560" i="20"/>
  <c r="N1002" i="20"/>
  <c r="N1001" i="20"/>
  <c r="N258" i="20"/>
  <c r="M399" i="20"/>
  <c r="M1254" i="20" s="1"/>
  <c r="M411" i="20"/>
  <c r="M1257" i="20" s="1"/>
  <c r="M1291" i="20" s="1"/>
  <c r="M65" i="20"/>
  <c r="N478" i="8"/>
  <c r="N483" i="8" s="1"/>
  <c r="N87" i="8"/>
  <c r="Q477" i="8"/>
  <c r="K65" i="20"/>
  <c r="K411" i="20"/>
  <c r="K1257" i="20" s="1"/>
  <c r="K1291" i="20" s="1"/>
  <c r="K399" i="20"/>
  <c r="K1254" i="20" s="1"/>
  <c r="Q397" i="20"/>
  <c r="P1096" i="8"/>
  <c r="P304" i="8"/>
  <c r="P1095" i="8"/>
  <c r="P596" i="8"/>
  <c r="P144" i="8"/>
  <c r="K1147" i="8"/>
  <c r="K1148" i="8"/>
  <c r="K318" i="8"/>
  <c r="G1109" i="20"/>
  <c r="G1110" i="20"/>
  <c r="G307" i="20"/>
  <c r="Q1108" i="20"/>
  <c r="M300" i="20"/>
  <c r="M1092" i="20"/>
  <c r="K325" i="8"/>
  <c r="K1165" i="8"/>
  <c r="K1166" i="8"/>
  <c r="Q1164" i="8"/>
  <c r="G529" i="8"/>
  <c r="G101" i="8"/>
  <c r="E836" i="20"/>
  <c r="P122" i="2"/>
  <c r="J1074" i="20"/>
  <c r="N66" i="8"/>
  <c r="N401" i="8"/>
  <c r="N414" i="8"/>
  <c r="N402" i="8"/>
  <c r="N1254" i="8" s="1"/>
  <c r="P891" i="20"/>
  <c r="P237" i="20"/>
  <c r="H563" i="8"/>
  <c r="H137" i="8"/>
  <c r="P1162" i="20"/>
  <c r="P321" i="20"/>
  <c r="F237" i="20"/>
  <c r="F891" i="20"/>
  <c r="Q889" i="20"/>
  <c r="P140" i="2"/>
  <c r="F101" i="8"/>
  <c r="F529" i="8"/>
  <c r="G476" i="20"/>
  <c r="G86" i="20"/>
  <c r="Q475" i="20"/>
  <c r="O311" i="8"/>
  <c r="O1113" i="8"/>
  <c r="O1114" i="8"/>
  <c r="I1096" i="8"/>
  <c r="I304" i="8"/>
  <c r="I1095" i="8"/>
  <c r="J251" i="20"/>
  <c r="J961" i="20"/>
  <c r="O1002" i="20"/>
  <c r="O1001" i="20"/>
  <c r="O258" i="20"/>
  <c r="L845" i="20"/>
  <c r="L846" i="8"/>
  <c r="P1229" i="8"/>
  <c r="P359" i="8"/>
  <c r="P1230" i="8"/>
  <c r="N299" i="2"/>
  <c r="M648" i="20"/>
  <c r="M651" i="8"/>
  <c r="H134" i="20"/>
  <c r="H561" i="20"/>
  <c r="P1165" i="8"/>
  <c r="P325" i="8"/>
  <c r="P616" i="20"/>
  <c r="P621" i="20" s="1"/>
  <c r="P148" i="20"/>
  <c r="F1095" i="8"/>
  <c r="F1096" i="8"/>
  <c r="Q1094" i="8"/>
  <c r="F304" i="8"/>
  <c r="M848" i="8"/>
  <c r="M847" i="8"/>
  <c r="M235" i="8"/>
  <c r="K144" i="8"/>
  <c r="K596" i="8"/>
  <c r="E1228" i="20"/>
  <c r="E355" i="20"/>
  <c r="Q1226" i="20"/>
  <c r="M223" i="20"/>
  <c r="M822" i="20"/>
  <c r="M1299" i="20" s="1"/>
  <c r="J200" i="8"/>
  <c r="J782" i="8"/>
  <c r="N130" i="8"/>
  <c r="N546" i="8"/>
  <c r="Q526" i="20"/>
  <c r="F527" i="20"/>
  <c r="F532" i="20" s="1"/>
  <c r="F100" i="20"/>
  <c r="F411" i="20"/>
  <c r="F1257" i="20" s="1"/>
  <c r="F1291" i="20" s="1"/>
  <c r="F65" i="20"/>
  <c r="F399" i="20"/>
  <c r="F1254" i="20" s="1"/>
  <c r="J1147" i="8"/>
  <c r="J1148" i="8"/>
  <c r="J318" i="8"/>
  <c r="J527" i="20"/>
  <c r="J100" i="20"/>
  <c r="G311" i="8"/>
  <c r="Q1112" i="8"/>
  <c r="G1114" i="8"/>
  <c r="G1113" i="8"/>
  <c r="I300" i="20"/>
  <c r="I1092" i="20"/>
  <c r="M938" i="8"/>
  <c r="M249" i="8"/>
  <c r="M937" i="8"/>
  <c r="N293" i="20"/>
  <c r="N1074" i="20"/>
  <c r="L892" i="8"/>
  <c r="L242" i="8"/>
  <c r="D13" i="26"/>
  <c r="D182" i="26" s="1"/>
  <c r="D183" i="26" s="1"/>
  <c r="G183" i="26" s="1"/>
  <c r="J183" i="26" s="1"/>
  <c r="I244" i="20"/>
  <c r="I936" i="20"/>
  <c r="J256" i="8"/>
  <c r="J964" i="8"/>
  <c r="J962" i="8"/>
  <c r="J963" i="8"/>
  <c r="K1031" i="8"/>
  <c r="K1032" i="8"/>
  <c r="K290" i="8"/>
  <c r="P648" i="20"/>
  <c r="P651" i="8"/>
  <c r="P355" i="20"/>
  <c r="P1228" i="20"/>
  <c r="P527" i="20"/>
  <c r="P100" i="20"/>
  <c r="F352" i="8"/>
  <c r="F1206" i="8"/>
  <c r="F1205" i="8"/>
  <c r="Q1204" i="8"/>
  <c r="H1165" i="8"/>
  <c r="H325" i="8"/>
  <c r="H1166" i="8"/>
  <c r="I1027" i="20"/>
  <c r="I1030" i="8"/>
  <c r="P278" i="2"/>
  <c r="L134" i="20"/>
  <c r="L561" i="20"/>
  <c r="O130" i="8"/>
  <c r="O546" i="8"/>
  <c r="O551" i="8" s="1"/>
  <c r="G130" i="8"/>
  <c r="Q545" i="8"/>
  <c r="G546" i="8"/>
  <c r="Q781" i="8"/>
  <c r="L936" i="20"/>
  <c r="L244" i="20"/>
  <c r="Q1090" i="20"/>
  <c r="O703" i="8"/>
  <c r="O702" i="8"/>
  <c r="P1206" i="8"/>
  <c r="P1207" i="8"/>
  <c r="P1205" i="8"/>
  <c r="P352" i="8"/>
  <c r="M1228" i="20"/>
  <c r="M355" i="20"/>
  <c r="E141" i="20"/>
  <c r="Q593" i="20"/>
  <c r="H290" i="8"/>
  <c r="H1033" i="8"/>
  <c r="H1031" i="8"/>
  <c r="H1032" i="8"/>
  <c r="E286" i="20"/>
  <c r="E1030" i="20"/>
  <c r="M1227" i="20"/>
  <c r="P151" i="8"/>
  <c r="P619" i="8"/>
  <c r="G846" i="8"/>
  <c r="P170" i="2"/>
  <c r="G845" i="20"/>
  <c r="M228" i="8"/>
  <c r="M823" i="8"/>
  <c r="M822" i="8"/>
  <c r="M1298" i="8" s="1"/>
  <c r="G563" i="8"/>
  <c r="Q562" i="8"/>
  <c r="G137" i="8"/>
  <c r="F66" i="8"/>
  <c r="F401" i="8"/>
  <c r="F402" i="8"/>
  <c r="F1254" i="8" s="1"/>
  <c r="F414" i="8"/>
  <c r="F1257" i="8" s="1"/>
  <c r="F1291" i="8" s="1"/>
  <c r="Q400" i="8"/>
  <c r="G893" i="8"/>
  <c r="G1313" i="8" s="1"/>
  <c r="G892" i="8"/>
  <c r="G242" i="8"/>
  <c r="K1144" i="20"/>
  <c r="K1149" i="20" s="1"/>
  <c r="K314" i="20"/>
  <c r="N1078" i="8"/>
  <c r="N297" i="8"/>
  <c r="G527" i="20"/>
  <c r="G532" i="20" s="1"/>
  <c r="G100" i="20"/>
  <c r="G66" i="8"/>
  <c r="G414" i="8"/>
  <c r="G402" i="8"/>
  <c r="G1254" i="8" s="1"/>
  <c r="G401" i="8"/>
  <c r="Q528" i="8"/>
  <c r="O1027" i="20"/>
  <c r="O1030" i="8"/>
  <c r="N146" i="2"/>
  <c r="G293" i="2"/>
  <c r="G284" i="2"/>
  <c r="P1204" i="20"/>
  <c r="P348" i="20"/>
  <c r="P1203" i="20"/>
  <c r="Q1201" i="20"/>
  <c r="P101" i="8"/>
  <c r="P529" i="8"/>
  <c r="H321" i="20"/>
  <c r="H1162" i="20"/>
  <c r="H401" i="8"/>
  <c r="H66" i="8"/>
  <c r="H414" i="8"/>
  <c r="K130" i="8"/>
  <c r="K546" i="8"/>
  <c r="P200" i="2"/>
  <c r="H290" i="2"/>
  <c r="P288" i="2"/>
  <c r="H296" i="2"/>
  <c r="I144" i="8"/>
  <c r="I596" i="8"/>
  <c r="E144" i="8"/>
  <c r="Q595" i="8"/>
  <c r="E596" i="8"/>
  <c r="G544" i="20"/>
  <c r="G127" i="20"/>
  <c r="Q543" i="20"/>
  <c r="H961" i="20"/>
  <c r="H251" i="20"/>
  <c r="Q1076" i="8"/>
  <c r="E594" i="20"/>
  <c r="P424" i="20"/>
  <c r="P429" i="20" s="1"/>
  <c r="P74" i="20" s="1"/>
  <c r="P1092" i="20"/>
  <c r="P300" i="20"/>
  <c r="I1229" i="8"/>
  <c r="I359" i="8"/>
  <c r="I1230" i="8"/>
  <c r="Q1228" i="8"/>
  <c r="G1147" i="8"/>
  <c r="G1148" i="8"/>
  <c r="Q1146" i="8"/>
  <c r="G318" i="8"/>
  <c r="J228" i="8"/>
  <c r="Q821" i="8"/>
  <c r="J822" i="8"/>
  <c r="J196" i="20"/>
  <c r="Q196" i="20" s="1"/>
  <c r="J780" i="20"/>
  <c r="J1280" i="20" s="1"/>
  <c r="N127" i="20"/>
  <c r="N544" i="20"/>
  <c r="N263" i="8"/>
  <c r="N1003" i="8"/>
  <c r="N1005" i="8"/>
  <c r="N1004" i="8"/>
  <c r="M401" i="8"/>
  <c r="M414" i="8"/>
  <c r="M66" i="8"/>
  <c r="M402" i="8"/>
  <c r="M1254" i="8" s="1"/>
  <c r="F143" i="2"/>
  <c r="J459" i="20"/>
  <c r="J79" i="20"/>
  <c r="Q458" i="20"/>
  <c r="H318" i="8"/>
  <c r="H1148" i="8"/>
  <c r="H1147" i="8"/>
  <c r="M304" i="8"/>
  <c r="M1096" i="8"/>
  <c r="M1095" i="8"/>
  <c r="M244" i="20"/>
  <c r="M936" i="20"/>
  <c r="K321" i="20"/>
  <c r="K1161" i="20"/>
  <c r="K1162" i="20"/>
  <c r="J1077" i="8"/>
  <c r="J297" i="8"/>
  <c r="J1078" i="8"/>
  <c r="L237" i="20"/>
  <c r="L891" i="20"/>
  <c r="P1166" i="8"/>
  <c r="N399" i="20"/>
  <c r="N1254" i="20" s="1"/>
  <c r="N65" i="20"/>
  <c r="G411" i="20"/>
  <c r="G1257" i="20" s="1"/>
  <c r="G1291" i="20" s="1"/>
  <c r="G65" i="20"/>
  <c r="G399" i="20"/>
  <c r="G1254" i="20" s="1"/>
  <c r="O847" i="20"/>
  <c r="O230" i="20"/>
  <c r="E1257" i="8"/>
  <c r="E1291" i="8" s="1"/>
  <c r="K286" i="20"/>
  <c r="K1030" i="20"/>
  <c r="K1313" i="20" s="1"/>
  <c r="G999" i="20"/>
  <c r="G1002" i="8"/>
  <c r="P194" i="2"/>
  <c r="K699" i="20"/>
  <c r="P87" i="2"/>
  <c r="K701" i="8"/>
  <c r="K186" i="8" s="1"/>
  <c r="H845" i="20"/>
  <c r="H846" i="8"/>
  <c r="P242" i="8"/>
  <c r="P892" i="8"/>
  <c r="Q426" i="8"/>
  <c r="P427" i="8"/>
  <c r="P73" i="8"/>
  <c r="N411" i="20"/>
  <c r="N1257" i="20" s="1"/>
  <c r="N1291" i="20" s="1"/>
  <c r="E251" i="20"/>
  <c r="E961" i="20"/>
  <c r="I648" i="20"/>
  <c r="I651" i="8"/>
  <c r="P295" i="2"/>
  <c r="E299" i="2"/>
  <c r="M1230" i="8"/>
  <c r="M359" i="8"/>
  <c r="M1229" i="8"/>
  <c r="L137" i="8"/>
  <c r="L563" i="8"/>
  <c r="O544" i="20"/>
  <c r="O549" i="20" s="1"/>
  <c r="O127" i="20"/>
  <c r="K301" i="2"/>
  <c r="H299" i="2"/>
  <c r="M299" i="2"/>
  <c r="P145" i="2"/>
  <c r="I299" i="2"/>
  <c r="E1256" i="20"/>
  <c r="P69" i="8"/>
  <c r="L203" i="8"/>
  <c r="L1282" i="8"/>
  <c r="H1282" i="8"/>
  <c r="H203" i="8"/>
  <c r="E203" i="8"/>
  <c r="P48" i="23"/>
  <c r="L417" i="8"/>
  <c r="J1258" i="8"/>
  <c r="J417" i="8"/>
  <c r="P836" i="20"/>
  <c r="P1301" i="20"/>
  <c r="P1321" i="20" s="1"/>
  <c r="K1299" i="8"/>
  <c r="G1280" i="8"/>
  <c r="F549" i="20"/>
  <c r="G483" i="8"/>
  <c r="L1279" i="8"/>
  <c r="M1302" i="8"/>
  <c r="M1322" i="8" s="1"/>
  <c r="O1302" i="8"/>
  <c r="O1322" i="8" s="1"/>
  <c r="H1302" i="8"/>
  <c r="K1302" i="8"/>
  <c r="K1322" i="8" s="1"/>
  <c r="F1302" i="8"/>
  <c r="F1322" i="8" s="1"/>
  <c r="I1301" i="20"/>
  <c r="I1321" i="20" s="1"/>
  <c r="I836" i="20"/>
  <c r="F1301" i="20"/>
  <c r="F1321" i="20" s="1"/>
  <c r="N1301" i="8"/>
  <c r="H1301" i="20"/>
  <c r="H1321" i="20" s="1"/>
  <c r="J1301" i="8"/>
  <c r="O1301" i="8"/>
  <c r="O1321" i="8" s="1"/>
  <c r="O837" i="8"/>
  <c r="M1301" i="8"/>
  <c r="M837" i="8"/>
  <c r="I1301" i="8"/>
  <c r="F1301" i="8"/>
  <c r="F837" i="8"/>
  <c r="P1301" i="8"/>
  <c r="M1301" i="20"/>
  <c r="M1321" i="20" s="1"/>
  <c r="E1321" i="20"/>
  <c r="F360" i="8"/>
  <c r="E317" i="3"/>
  <c r="P311" i="3"/>
  <c r="E314" i="3"/>
  <c r="Q1098" i="8"/>
  <c r="O305" i="8"/>
  <c r="O1099" i="8"/>
  <c r="I786" i="8"/>
  <c r="I790" i="8"/>
  <c r="I795" i="8"/>
  <c r="Q785" i="8"/>
  <c r="E265" i="26" s="1"/>
  <c r="I201" i="8"/>
  <c r="H1014" i="8"/>
  <c r="H1012" i="8"/>
  <c r="H264" i="8" s="1"/>
  <c r="I972" i="8"/>
  <c r="L1017" i="8"/>
  <c r="O971" i="8"/>
  <c r="O973" i="8" s="1"/>
  <c r="O969" i="8"/>
  <c r="O257" i="8" s="1"/>
  <c r="H356" i="20"/>
  <c r="Q356" i="20" s="1"/>
  <c r="Q1233" i="20"/>
  <c r="J1149" i="20"/>
  <c r="I182" i="2"/>
  <c r="P180" i="2"/>
  <c r="I282" i="2"/>
  <c r="I294" i="2" s="1"/>
  <c r="M413" i="20"/>
  <c r="M1259" i="20" s="1"/>
  <c r="M1293" i="20" s="1"/>
  <c r="H413" i="20"/>
  <c r="H1259" i="20" s="1"/>
  <c r="H1293" i="20" s="1"/>
  <c r="N413" i="20"/>
  <c r="N1259" i="20" s="1"/>
  <c r="N1293" i="20" s="1"/>
  <c r="J413" i="20"/>
  <c r="J1259" i="20" s="1"/>
  <c r="J1293" i="20" s="1"/>
  <c r="O413" i="20"/>
  <c r="O1259" i="20" s="1"/>
  <c r="O1293" i="20" s="1"/>
  <c r="E413" i="20"/>
  <c r="E414" i="20" s="1"/>
  <c r="P413" i="20"/>
  <c r="P1259" i="20" s="1"/>
  <c r="P1293" i="20" s="1"/>
  <c r="L413" i="20"/>
  <c r="L1259" i="20" s="1"/>
  <c r="L1293" i="20" s="1"/>
  <c r="F413" i="20"/>
  <c r="F1259" i="20" s="1"/>
  <c r="F1293" i="20" s="1"/>
  <c r="G413" i="20"/>
  <c r="G1259" i="20" s="1"/>
  <c r="G1293" i="20" s="1"/>
  <c r="K413" i="20"/>
  <c r="E530" i="20"/>
  <c r="Q529" i="20"/>
  <c r="E101" i="20"/>
  <c r="O1095" i="20"/>
  <c r="O301" i="20"/>
  <c r="Q301" i="20" s="1"/>
  <c r="Q1094" i="20"/>
  <c r="G73" i="20"/>
  <c r="G431" i="20"/>
  <c r="G427" i="20"/>
  <c r="Q426" i="20"/>
  <c r="H249" i="8"/>
  <c r="H939" i="8"/>
  <c r="H938" i="8"/>
  <c r="H937" i="8"/>
  <c r="I68" i="20"/>
  <c r="M1014" i="8"/>
  <c r="P128" i="3"/>
  <c r="J709" i="8"/>
  <c r="J707" i="20"/>
  <c r="E72" i="20"/>
  <c r="E424" i="20"/>
  <c r="Q423" i="20"/>
  <c r="G74" i="8"/>
  <c r="Q429" i="8"/>
  <c r="G430" i="8"/>
  <c r="G434" i="8"/>
  <c r="F54" i="23"/>
  <c r="P54" i="23" s="1"/>
  <c r="P53" i="23"/>
  <c r="K1209" i="20"/>
  <c r="K349" i="20" s="1"/>
  <c r="F1237" i="20"/>
  <c r="Q1235" i="20"/>
  <c r="L199" i="20"/>
  <c r="L1282" i="20"/>
  <c r="E66" i="5"/>
  <c r="P54" i="5"/>
  <c r="E836" i="8"/>
  <c r="E229" i="8"/>
  <c r="E826" i="8"/>
  <c r="I74" i="8"/>
  <c r="I434" i="8"/>
  <c r="I430" i="8"/>
  <c r="H42" i="23"/>
  <c r="P41" i="23"/>
  <c r="K971" i="8"/>
  <c r="K973" i="8" s="1"/>
  <c r="K969" i="8"/>
  <c r="K257" i="8" s="1"/>
  <c r="H936" i="20"/>
  <c r="H244" i="20"/>
  <c r="F1258" i="20"/>
  <c r="N1258" i="20"/>
  <c r="E1283" i="20"/>
  <c r="L1258" i="20"/>
  <c r="J1258" i="20"/>
  <c r="E1258" i="20"/>
  <c r="L1044" i="8"/>
  <c r="G971" i="8"/>
  <c r="G969" i="8"/>
  <c r="G257" i="8" s="1"/>
  <c r="J1012" i="8"/>
  <c r="P705" i="20"/>
  <c r="P707" i="8"/>
  <c r="M1042" i="8"/>
  <c r="M1040" i="8"/>
  <c r="M291" i="8" s="1"/>
  <c r="E1322" i="20"/>
  <c r="Q825" i="8"/>
  <c r="L229" i="8"/>
  <c r="L826" i="8"/>
  <c r="L836" i="8"/>
  <c r="J407" i="8"/>
  <c r="M1037" i="20"/>
  <c r="M287" i="20" s="1"/>
  <c r="G972" i="8"/>
  <c r="M657" i="20"/>
  <c r="L663" i="8"/>
  <c r="L660" i="8"/>
  <c r="L657" i="20"/>
  <c r="K665" i="8"/>
  <c r="O1211" i="8"/>
  <c r="O1208" i="20"/>
  <c r="J664" i="8"/>
  <c r="C216" i="28" l="1"/>
  <c r="E215" i="28"/>
  <c r="E76" i="8"/>
  <c r="I76" i="8"/>
  <c r="F76" i="8"/>
  <c r="N76" i="8"/>
  <c r="P76" i="8"/>
  <c r="M284" i="2"/>
  <c r="M294" i="2"/>
  <c r="M468" i="20"/>
  <c r="M83" i="20" s="1"/>
  <c r="A186" i="8"/>
  <c r="A187" i="8" s="1"/>
  <c r="A188" i="8" s="1"/>
  <c r="A189" i="8" s="1"/>
  <c r="A190" i="8" s="1"/>
  <c r="A192" i="8" s="1"/>
  <c r="A193" i="8" s="1"/>
  <c r="A194" i="8" s="1"/>
  <c r="A195" i="8" s="1"/>
  <c r="A196" i="8" s="1"/>
  <c r="A197" i="8" s="1"/>
  <c r="A199" i="8" s="1"/>
  <c r="A200" i="8" s="1"/>
  <c r="A201" i="8" s="1"/>
  <c r="A202" i="8" s="1"/>
  <c r="A203" i="8" s="1"/>
  <c r="A204" i="8" s="1"/>
  <c r="J703" i="8"/>
  <c r="J1272" i="8" s="1"/>
  <c r="J1288" i="8" s="1"/>
  <c r="J186" i="8"/>
  <c r="N720" i="8"/>
  <c r="N189" i="8" s="1"/>
  <c r="N187" i="8"/>
  <c r="L703" i="8"/>
  <c r="L1272" i="8" s="1"/>
  <c r="L1288" i="8" s="1"/>
  <c r="L186" i="8"/>
  <c r="H702" i="8"/>
  <c r="H186" i="8"/>
  <c r="Q1235" i="8"/>
  <c r="E1239" i="8"/>
  <c r="E1241" i="8" s="1"/>
  <c r="E361" i="8" s="1"/>
  <c r="Q360" i="8"/>
  <c r="D49" i="14" s="1"/>
  <c r="G765" i="8"/>
  <c r="G195" i="8" s="1"/>
  <c r="Q1238" i="8"/>
  <c r="E411" i="8"/>
  <c r="A248" i="2"/>
  <c r="A249" i="2" s="1"/>
  <c r="A250" i="2" s="1"/>
  <c r="A251" i="2" s="1"/>
  <c r="A252" i="2" s="1"/>
  <c r="A268" i="2" s="1"/>
  <c r="A269" i="2" s="1"/>
  <c r="A270" i="2" s="1"/>
  <c r="A271" i="2" s="1"/>
  <c r="A273" i="2" s="1"/>
  <c r="A275" i="2" s="1"/>
  <c r="A276" i="2" s="1"/>
  <c r="E650" i="20"/>
  <c r="E1264" i="20" s="1"/>
  <c r="A26" i="2"/>
  <c r="A27" i="2" s="1"/>
  <c r="A29" i="2" s="1"/>
  <c r="A30" i="2" s="1"/>
  <c r="A31" i="2" s="1"/>
  <c r="A32" i="2" s="1"/>
  <c r="A34" i="2" s="1"/>
  <c r="M296" i="2"/>
  <c r="J498" i="20"/>
  <c r="J95" i="20" s="1"/>
  <c r="E300" i="2"/>
  <c r="E302" i="2" s="1"/>
  <c r="K300" i="2"/>
  <c r="J1020" i="8"/>
  <c r="J265" i="8" s="1"/>
  <c r="E266" i="26"/>
  <c r="P950" i="8"/>
  <c r="E1239" i="20"/>
  <c r="E1243" i="20" s="1"/>
  <c r="G621" i="20"/>
  <c r="G150" i="20" s="1"/>
  <c r="H1239" i="20"/>
  <c r="H1243" i="20" s="1"/>
  <c r="H359" i="20" s="1"/>
  <c r="N1239" i="20"/>
  <c r="N1243" i="20" s="1"/>
  <c r="N359" i="20" s="1"/>
  <c r="O1239" i="20"/>
  <c r="O357" i="20" s="1"/>
  <c r="K1239" i="20"/>
  <c r="K1243" i="20" s="1"/>
  <c r="K359" i="20" s="1"/>
  <c r="P1239" i="20"/>
  <c r="P1243" i="20" s="1"/>
  <c r="P359" i="20" s="1"/>
  <c r="G1313" i="20"/>
  <c r="G1239" i="20"/>
  <c r="G1243" i="20" s="1"/>
  <c r="G359" i="20" s="1"/>
  <c r="J1239" i="20"/>
  <c r="J357" i="20" s="1"/>
  <c r="M1115" i="20"/>
  <c r="M1119" i="20" s="1"/>
  <c r="M311" i="20" s="1"/>
  <c r="L1239" i="20"/>
  <c r="L357" i="20" s="1"/>
  <c r="E498" i="20"/>
  <c r="E95" i="20" s="1"/>
  <c r="Q1283" i="20"/>
  <c r="K1115" i="20"/>
  <c r="K309" i="20" s="1"/>
  <c r="I414" i="20"/>
  <c r="F1115" i="20"/>
  <c r="F309" i="20" s="1"/>
  <c r="N1097" i="20"/>
  <c r="N1101" i="20" s="1"/>
  <c r="N304" i="20" s="1"/>
  <c r="Q792" i="20"/>
  <c r="H119" i="26" s="1"/>
  <c r="H148" i="26" s="1"/>
  <c r="O769" i="20"/>
  <c r="Q1074" i="20"/>
  <c r="J605" i="20"/>
  <c r="J143" i="20" s="1"/>
  <c r="Q412" i="20"/>
  <c r="H117" i="26" s="1"/>
  <c r="E148" i="26" s="1"/>
  <c r="D57" i="26"/>
  <c r="K296" i="2"/>
  <c r="N1173" i="20"/>
  <c r="N323" i="20" s="1"/>
  <c r="G56" i="23"/>
  <c r="N605" i="20"/>
  <c r="N143" i="20" s="1"/>
  <c r="J1241" i="8"/>
  <c r="J361" i="8" s="1"/>
  <c r="F1241" i="8"/>
  <c r="F361" i="8" s="1"/>
  <c r="G607" i="8"/>
  <c r="G611" i="8" s="1"/>
  <c r="G148" i="8" s="1"/>
  <c r="N607" i="8"/>
  <c r="N146" i="8" s="1"/>
  <c r="L407" i="8"/>
  <c r="L68" i="8" s="1"/>
  <c r="E466" i="8"/>
  <c r="E470" i="8" s="1"/>
  <c r="E84" i="8" s="1"/>
  <c r="N1273" i="8"/>
  <c r="O1087" i="8"/>
  <c r="O301" i="8" s="1"/>
  <c r="H628" i="8"/>
  <c r="H155" i="8" s="1"/>
  <c r="O483" i="8"/>
  <c r="O89" i="8" s="1"/>
  <c r="P572" i="8"/>
  <c r="P141" i="8" s="1"/>
  <c r="N249" i="8"/>
  <c r="M170" i="3"/>
  <c r="G165" i="3"/>
  <c r="I765" i="8"/>
  <c r="I769" i="8" s="1"/>
  <c r="J568" i="8"/>
  <c r="J139" i="8" s="1"/>
  <c r="H828" i="8"/>
  <c r="H832" i="8" s="1"/>
  <c r="H839" i="8" s="1"/>
  <c r="H232" i="8" s="1"/>
  <c r="H26" i="8" s="1"/>
  <c r="E504" i="8"/>
  <c r="E98" i="8" s="1"/>
  <c r="N938" i="8"/>
  <c r="N937" i="8"/>
  <c r="J1302" i="8"/>
  <c r="J1322" i="8" s="1"/>
  <c r="O284" i="2"/>
  <c r="P936" i="20"/>
  <c r="P244" i="20"/>
  <c r="P935" i="20"/>
  <c r="L702" i="8"/>
  <c r="L1271" i="8" s="1"/>
  <c r="E652" i="8"/>
  <c r="E653" i="8"/>
  <c r="E1264" i="8" s="1"/>
  <c r="O434" i="3"/>
  <c r="L434" i="3"/>
  <c r="I434" i="3"/>
  <c r="G178" i="3"/>
  <c r="G434" i="3" s="1"/>
  <c r="F170" i="3"/>
  <c r="F434" i="3"/>
  <c r="C446" i="3"/>
  <c r="E446" i="3" s="1"/>
  <c r="E449" i="3" s="1"/>
  <c r="P168" i="3"/>
  <c r="P1173" i="20"/>
  <c r="P323" i="20" s="1"/>
  <c r="E568" i="8"/>
  <c r="E572" i="8" s="1"/>
  <c r="E141" i="8" s="1"/>
  <c r="F1173" i="20"/>
  <c r="F1177" i="20" s="1"/>
  <c r="F325" i="20" s="1"/>
  <c r="G464" i="20"/>
  <c r="G468" i="20" s="1"/>
  <c r="G83" i="20" s="1"/>
  <c r="N481" i="20"/>
  <c r="N88" i="20" s="1"/>
  <c r="F607" i="8"/>
  <c r="F611" i="8" s="1"/>
  <c r="F429" i="20"/>
  <c r="F433" i="20" s="1"/>
  <c r="F76" i="20" s="1"/>
  <c r="M203" i="8"/>
  <c r="J1282" i="8"/>
  <c r="J432" i="8"/>
  <c r="J75" i="8" s="1"/>
  <c r="L1256" i="20"/>
  <c r="M836" i="20"/>
  <c r="E1177" i="8"/>
  <c r="E327" i="8" s="1"/>
  <c r="H836" i="20"/>
  <c r="J837" i="8"/>
  <c r="K553" i="20"/>
  <c r="K131" i="20" s="1"/>
  <c r="P532" i="20"/>
  <c r="P536" i="20" s="1"/>
  <c r="P104" i="20" s="1"/>
  <c r="H549" i="20"/>
  <c r="H129" i="20" s="1"/>
  <c r="I466" i="8"/>
  <c r="I82" i="8" s="1"/>
  <c r="K434" i="3"/>
  <c r="P1302" i="8"/>
  <c r="P1322" i="8" s="1"/>
  <c r="J483" i="8"/>
  <c r="J89" i="8" s="1"/>
  <c r="M466" i="8"/>
  <c r="M82" i="8" s="1"/>
  <c r="F568" i="8"/>
  <c r="F572" i="8" s="1"/>
  <c r="F141" i="8" s="1"/>
  <c r="P837" i="8"/>
  <c r="I837" i="8"/>
  <c r="E607" i="8"/>
  <c r="E146" i="8" s="1"/>
  <c r="M549" i="20"/>
  <c r="M553" i="20" s="1"/>
  <c r="M131" i="20" s="1"/>
  <c r="I624" i="8"/>
  <c r="I628" i="8" s="1"/>
  <c r="I155" i="8" s="1"/>
  <c r="J532" i="20"/>
  <c r="J102" i="20" s="1"/>
  <c r="Q656" i="20"/>
  <c r="I1256" i="8"/>
  <c r="I1097" i="20"/>
  <c r="I302" i="20" s="1"/>
  <c r="G466" i="8"/>
  <c r="G82" i="8" s="1"/>
  <c r="L908" i="8"/>
  <c r="L244" i="8" s="1"/>
  <c r="O532" i="20"/>
  <c r="O102" i="20" s="1"/>
  <c r="G1256" i="8"/>
  <c r="E1256" i="8"/>
  <c r="O624" i="8"/>
  <c r="O153" i="8" s="1"/>
  <c r="N1302" i="8"/>
  <c r="N1322" i="8" s="1"/>
  <c r="M1256" i="20"/>
  <c r="N1083" i="8"/>
  <c r="N299" i="8" s="1"/>
  <c r="G481" i="20"/>
  <c r="G485" i="20" s="1"/>
  <c r="G90" i="20" s="1"/>
  <c r="M568" i="8"/>
  <c r="M572" i="8" s="1"/>
  <c r="M141" i="8" s="1"/>
  <c r="J433" i="20"/>
  <c r="J76" i="20" s="1"/>
  <c r="N536" i="20"/>
  <c r="N104" i="20" s="1"/>
  <c r="P483" i="8"/>
  <c r="P89" i="8" s="1"/>
  <c r="M605" i="20"/>
  <c r="M609" i="20" s="1"/>
  <c r="M145" i="20" s="1"/>
  <c r="E35" i="22"/>
  <c r="K532" i="20"/>
  <c r="K536" i="20" s="1"/>
  <c r="K104" i="20" s="1"/>
  <c r="I769" i="20"/>
  <c r="H908" i="8"/>
  <c r="H244" i="8" s="1"/>
  <c r="E417" i="8"/>
  <c r="E68" i="8" s="1"/>
  <c r="P82" i="20"/>
  <c r="K621" i="20"/>
  <c r="K625" i="20" s="1"/>
  <c r="K152" i="20" s="1"/>
  <c r="E1040" i="8"/>
  <c r="E291" i="8" s="1"/>
  <c r="K483" i="8"/>
  <c r="K89" i="8" s="1"/>
  <c r="L765" i="8"/>
  <c r="L769" i="8" s="1"/>
  <c r="H466" i="8"/>
  <c r="H82" i="8" s="1"/>
  <c r="Q67" i="8"/>
  <c r="D19" i="14" s="1"/>
  <c r="Q1293" i="8"/>
  <c r="Q73" i="20"/>
  <c r="K836" i="20"/>
  <c r="H429" i="20"/>
  <c r="H433" i="20" s="1"/>
  <c r="H76" i="20" s="1"/>
  <c r="L498" i="20"/>
  <c r="L95" i="20" s="1"/>
  <c r="H432" i="8"/>
  <c r="H75" i="8" s="1"/>
  <c r="E605" i="20"/>
  <c r="E143" i="20" s="1"/>
  <c r="P1282" i="8"/>
  <c r="P1284" i="8" s="1"/>
  <c r="K716" i="8"/>
  <c r="K1273" i="8" s="1"/>
  <c r="G1177" i="20"/>
  <c r="G325" i="20" s="1"/>
  <c r="M1256" i="8"/>
  <c r="O199" i="20"/>
  <c r="H672" i="20"/>
  <c r="H1267" i="20" s="1"/>
  <c r="H156" i="20"/>
  <c r="C35" i="22"/>
  <c r="N837" i="8"/>
  <c r="N839" i="8" s="1"/>
  <c r="N232" i="8" s="1"/>
  <c r="N26" i="8" s="1"/>
  <c r="N788" i="8"/>
  <c r="N202" i="8" s="1"/>
  <c r="I566" i="20"/>
  <c r="I136" i="20" s="1"/>
  <c r="F199" i="20"/>
  <c r="M102" i="20"/>
  <c r="G1256" i="20"/>
  <c r="F605" i="20"/>
  <c r="F143" i="20" s="1"/>
  <c r="K429" i="20"/>
  <c r="K433" i="20" s="1"/>
  <c r="K76" i="20" s="1"/>
  <c r="L621" i="20"/>
  <c r="L150" i="20" s="1"/>
  <c r="H1115" i="20"/>
  <c r="H1119" i="20" s="1"/>
  <c r="H311" i="20" s="1"/>
  <c r="P1097" i="20"/>
  <c r="P302" i="20" s="1"/>
  <c r="F1157" i="8"/>
  <c r="F322" i="8" s="1"/>
  <c r="I551" i="8"/>
  <c r="I132" i="8" s="1"/>
  <c r="N1177" i="8"/>
  <c r="N1181" i="8" s="1"/>
  <c r="N329" i="8" s="1"/>
  <c r="H434" i="3"/>
  <c r="E434" i="3"/>
  <c r="E89" i="8"/>
  <c r="Q462" i="20"/>
  <c r="K417" i="8"/>
  <c r="K68" i="8" s="1"/>
  <c r="N725" i="8"/>
  <c r="N1275" i="8" s="1"/>
  <c r="P788" i="8"/>
  <c r="P202" i="8" s="1"/>
  <c r="I625" i="20"/>
  <c r="I152" i="20" s="1"/>
  <c r="K551" i="8"/>
  <c r="K555" i="8" s="1"/>
  <c r="K134" i="8" s="1"/>
  <c r="F432" i="8"/>
  <c r="F436" i="8" s="1"/>
  <c r="F77" i="8" s="1"/>
  <c r="P765" i="8"/>
  <c r="P769" i="8" s="1"/>
  <c r="J607" i="8"/>
  <c r="J611" i="8" s="1"/>
  <c r="J148" i="8" s="1"/>
  <c r="J103" i="8"/>
  <c r="H1256" i="8"/>
  <c r="N1282" i="20"/>
  <c r="K708" i="20"/>
  <c r="K183" i="20" s="1"/>
  <c r="I85" i="22" s="1"/>
  <c r="K411" i="8"/>
  <c r="F625" i="20"/>
  <c r="F152" i="20" s="1"/>
  <c r="E624" i="8"/>
  <c r="E628" i="8" s="1"/>
  <c r="E155" i="8" s="1"/>
  <c r="L466" i="8"/>
  <c r="L470" i="8" s="1"/>
  <c r="L84" i="8" s="1"/>
  <c r="P160" i="3"/>
  <c r="L566" i="20"/>
  <c r="L570" i="20" s="1"/>
  <c r="L138" i="20" s="1"/>
  <c r="G1255" i="8"/>
  <c r="Q416" i="8"/>
  <c r="M1097" i="20"/>
  <c r="M1101" i="20" s="1"/>
  <c r="M304" i="20" s="1"/>
  <c r="E772" i="8"/>
  <c r="E88" i="20"/>
  <c r="L568" i="8"/>
  <c r="L572" i="8" s="1"/>
  <c r="L141" i="8" s="1"/>
  <c r="P624" i="8"/>
  <c r="P153" i="8" s="1"/>
  <c r="N908" i="8"/>
  <c r="N244" i="8" s="1"/>
  <c r="K1101" i="8"/>
  <c r="K1105" i="8" s="1"/>
  <c r="K308" i="8" s="1"/>
  <c r="K710" i="8"/>
  <c r="E1255" i="8"/>
  <c r="Q405" i="8"/>
  <c r="G836" i="20"/>
  <c r="P466" i="8"/>
  <c r="P470" i="8" s="1"/>
  <c r="P84" i="8" s="1"/>
  <c r="G1282" i="20"/>
  <c r="J434" i="3"/>
  <c r="P427" i="3"/>
  <c r="J1282" i="20"/>
  <c r="J199" i="20"/>
  <c r="M660" i="8"/>
  <c r="M670" i="8" s="1"/>
  <c r="M1266" i="8" s="1"/>
  <c r="G1282" i="8"/>
  <c r="G1284" i="8" s="1"/>
  <c r="F481" i="20"/>
  <c r="F88" i="20" s="1"/>
  <c r="H625" i="20"/>
  <c r="H152" i="20" s="1"/>
  <c r="P1256" i="8"/>
  <c r="G1097" i="20"/>
  <c r="G302" i="20" s="1"/>
  <c r="K1212" i="8"/>
  <c r="K353" i="8" s="1"/>
  <c r="H708" i="20"/>
  <c r="H718" i="20" s="1"/>
  <c r="L1256" i="8"/>
  <c r="P1282" i="20"/>
  <c r="P199" i="20"/>
  <c r="P772" i="8"/>
  <c r="G156" i="20"/>
  <c r="Q128" i="20"/>
  <c r="L1123" i="8"/>
  <c r="L315" i="8" s="1"/>
  <c r="M433" i="20"/>
  <c r="M76" i="20" s="1"/>
  <c r="O566" i="20"/>
  <c r="O570" i="20" s="1"/>
  <c r="O138" i="20" s="1"/>
  <c r="P500" i="8"/>
  <c r="P504" i="8" s="1"/>
  <c r="P98" i="8" s="1"/>
  <c r="P549" i="20"/>
  <c r="P129" i="20" s="1"/>
  <c r="J96" i="8"/>
  <c r="K765" i="8"/>
  <c r="K195" i="8" s="1"/>
  <c r="G667" i="20"/>
  <c r="G158" i="20" s="1"/>
  <c r="Q1237" i="20"/>
  <c r="N624" i="8"/>
  <c r="N153" i="8" s="1"/>
  <c r="N464" i="20"/>
  <c r="N468" i="20" s="1"/>
  <c r="N83" i="20" s="1"/>
  <c r="O605" i="20"/>
  <c r="O609" i="20" s="1"/>
  <c r="O145" i="20" s="1"/>
  <c r="I267" i="3"/>
  <c r="N35" i="22"/>
  <c r="M765" i="8"/>
  <c r="M769" i="8" s="1"/>
  <c r="K432" i="8"/>
  <c r="K75" i="8" s="1"/>
  <c r="I464" i="20"/>
  <c r="I81" i="20" s="1"/>
  <c r="M146" i="8"/>
  <c r="K1256" i="20"/>
  <c r="J485" i="20"/>
  <c r="J90" i="20" s="1"/>
  <c r="N621" i="20"/>
  <c r="N625" i="20" s="1"/>
  <c r="N152" i="20" s="1"/>
  <c r="K302" i="20"/>
  <c r="Q496" i="20"/>
  <c r="E625" i="20"/>
  <c r="E152" i="20" s="1"/>
  <c r="E150" i="20"/>
  <c r="F202" i="8"/>
  <c r="G708" i="20"/>
  <c r="G723" i="20" s="1"/>
  <c r="N183" i="20"/>
  <c r="M1012" i="8"/>
  <c r="M264" i="8" s="1"/>
  <c r="G534" i="8"/>
  <c r="G103" i="8" s="1"/>
  <c r="M908" i="8"/>
  <c r="M244" i="8" s="1"/>
  <c r="N769" i="8"/>
  <c r="N774" i="8" s="1"/>
  <c r="N197" i="8" s="1"/>
  <c r="Q1302" i="20"/>
  <c r="N718" i="20"/>
  <c r="N185" i="20" s="1"/>
  <c r="M1018" i="8"/>
  <c r="L788" i="8"/>
  <c r="L202" i="8" s="1"/>
  <c r="K1282" i="20"/>
  <c r="N549" i="20"/>
  <c r="N553" i="20" s="1"/>
  <c r="N131" i="20" s="1"/>
  <c r="M1177" i="8"/>
  <c r="M327" i="8" s="1"/>
  <c r="P464" i="20"/>
  <c r="P468" i="20" s="1"/>
  <c r="P83" i="20" s="1"/>
  <c r="P126" i="3"/>
  <c r="K1255" i="8"/>
  <c r="N83" i="22"/>
  <c r="N194" i="8"/>
  <c r="O88" i="20"/>
  <c r="O485" i="20"/>
  <c r="O90" i="20" s="1"/>
  <c r="N434" i="3"/>
  <c r="I1258" i="20"/>
  <c r="Q1258" i="20" s="1"/>
  <c r="K1256" i="8"/>
  <c r="P555" i="8"/>
  <c r="P134" i="8" s="1"/>
  <c r="Q466" i="20"/>
  <c r="H98" i="26" s="1"/>
  <c r="H35" i="22"/>
  <c r="Q468" i="8"/>
  <c r="F98" i="26" s="1"/>
  <c r="J56" i="23"/>
  <c r="F1282" i="8"/>
  <c r="F1284" i="8" s="1"/>
  <c r="N190" i="20"/>
  <c r="N769" i="20"/>
  <c r="N1275" i="20" s="1"/>
  <c r="G609" i="20"/>
  <c r="G145" i="20" s="1"/>
  <c r="K470" i="8"/>
  <c r="K84" i="8" s="1"/>
  <c r="G788" i="8"/>
  <c r="G202" i="8" s="1"/>
  <c r="N1282" i="8"/>
  <c r="N1284" i="8" s="1"/>
  <c r="L500" i="8"/>
  <c r="L96" i="8" s="1"/>
  <c r="M498" i="20"/>
  <c r="M95" i="20" s="1"/>
  <c r="J549" i="20"/>
  <c r="J553" i="20" s="1"/>
  <c r="J131" i="20" s="1"/>
  <c r="K464" i="20"/>
  <c r="K81" i="20" s="1"/>
  <c r="G769" i="20"/>
  <c r="I1256" i="20"/>
  <c r="N836" i="20"/>
  <c r="Q1113" i="20"/>
  <c r="N195" i="8"/>
  <c r="I498" i="20"/>
  <c r="I502" i="20" s="1"/>
  <c r="I97" i="20" s="1"/>
  <c r="P1255" i="8"/>
  <c r="Q479" i="20"/>
  <c r="Q762" i="8"/>
  <c r="F772" i="8"/>
  <c r="F195" i="8" s="1"/>
  <c r="Q66" i="20"/>
  <c r="O1256" i="8"/>
  <c r="K56" i="23"/>
  <c r="Q655" i="20"/>
  <c r="J179" i="3"/>
  <c r="J180" i="3" s="1"/>
  <c r="O1255" i="8"/>
  <c r="J666" i="8"/>
  <c r="G83" i="22"/>
  <c r="Q547" i="20"/>
  <c r="O150" i="20"/>
  <c r="E468" i="20"/>
  <c r="E83" i="20" s="1"/>
  <c r="O139" i="8"/>
  <c r="F570" i="20"/>
  <c r="F138" i="20" s="1"/>
  <c r="Q305" i="8"/>
  <c r="D44" i="14" s="1"/>
  <c r="F836" i="20"/>
  <c r="H566" i="20"/>
  <c r="H136" i="20" s="1"/>
  <c r="N568" i="8"/>
  <c r="N572" i="8" s="1"/>
  <c r="N141" i="8" s="1"/>
  <c r="F551" i="8"/>
  <c r="F555" i="8" s="1"/>
  <c r="F134" i="8" s="1"/>
  <c r="O765" i="8"/>
  <c r="O769" i="8" s="1"/>
  <c r="K35" i="22"/>
  <c r="Q564" i="20"/>
  <c r="L361" i="8"/>
  <c r="H1153" i="20"/>
  <c r="H318" i="20" s="1"/>
  <c r="I89" i="8"/>
  <c r="P88" i="20"/>
  <c r="Q1259" i="8"/>
  <c r="O470" i="8"/>
  <c r="O84" i="8" s="1"/>
  <c r="P605" i="20"/>
  <c r="P143" i="20" s="1"/>
  <c r="N498" i="20"/>
  <c r="N95" i="20" s="1"/>
  <c r="O836" i="20"/>
  <c r="G839" i="8"/>
  <c r="G232" i="8" s="1"/>
  <c r="G26" i="8" s="1"/>
  <c r="Q787" i="20"/>
  <c r="H99" i="26" s="1"/>
  <c r="D83" i="22"/>
  <c r="G1241" i="8"/>
  <c r="G361" i="8" s="1"/>
  <c r="M103" i="8"/>
  <c r="I607" i="8"/>
  <c r="I146" i="8" s="1"/>
  <c r="J908" i="8"/>
  <c r="J912" i="8" s="1"/>
  <c r="J246" i="8" s="1"/>
  <c r="Q464" i="8"/>
  <c r="J1256" i="8"/>
  <c r="Q763" i="8"/>
  <c r="L1173" i="20"/>
  <c r="L1177" i="20" s="1"/>
  <c r="L325" i="20" s="1"/>
  <c r="O828" i="8"/>
  <c r="O832" i="8" s="1"/>
  <c r="O839" i="8" s="1"/>
  <c r="O232" i="8" s="1"/>
  <c r="O26" i="8" s="1"/>
  <c r="Q657" i="8"/>
  <c r="Q532" i="8"/>
  <c r="Q192" i="20"/>
  <c r="L708" i="20"/>
  <c r="L718" i="20" s="1"/>
  <c r="Q1322" i="20"/>
  <c r="F1153" i="20"/>
  <c r="F318" i="20" s="1"/>
  <c r="Q835" i="20"/>
  <c r="Q406" i="20"/>
  <c r="H95" i="26" s="1"/>
  <c r="J1255" i="8"/>
  <c r="P190" i="20"/>
  <c r="P769" i="20"/>
  <c r="P607" i="8"/>
  <c r="P611" i="8" s="1"/>
  <c r="P148" i="8" s="1"/>
  <c r="H483" i="8"/>
  <c r="H487" i="8" s="1"/>
  <c r="H91" i="8" s="1"/>
  <c r="H83" i="22"/>
  <c r="Q619" i="20"/>
  <c r="Q135" i="20"/>
  <c r="Q1169" i="20"/>
  <c r="K660" i="8"/>
  <c r="K670" i="8" s="1"/>
  <c r="K1266" i="8" s="1"/>
  <c r="M132" i="8"/>
  <c r="L432" i="8"/>
  <c r="L75" i="8" s="1"/>
  <c r="L306" i="8"/>
  <c r="O660" i="8"/>
  <c r="O159" i="8" s="1"/>
  <c r="M36" i="22" s="1"/>
  <c r="J83" i="22"/>
  <c r="G159" i="8"/>
  <c r="E36" i="22" s="1"/>
  <c r="G675" i="8"/>
  <c r="G670" i="8"/>
  <c r="G161" i="8" s="1"/>
  <c r="O772" i="8"/>
  <c r="O194" i="8"/>
  <c r="J194" i="8"/>
  <c r="J772" i="8"/>
  <c r="N306" i="8"/>
  <c r="Q905" i="8"/>
  <c r="Q761" i="8"/>
  <c r="M1255" i="8"/>
  <c r="N1256" i="20"/>
  <c r="P908" i="8"/>
  <c r="P244" i="8" s="1"/>
  <c r="F464" i="20"/>
  <c r="F468" i="20" s="1"/>
  <c r="F83" i="20" s="1"/>
  <c r="L429" i="20"/>
  <c r="L74" i="20" s="1"/>
  <c r="E1119" i="8"/>
  <c r="E1123" i="8" s="1"/>
  <c r="E315" i="8" s="1"/>
  <c r="N975" i="8"/>
  <c r="N258" i="8" s="1"/>
  <c r="M83" i="22"/>
  <c r="Q88" i="8"/>
  <c r="D22" i="14" s="1"/>
  <c r="L1255" i="8"/>
  <c r="F190" i="20"/>
  <c r="F769" i="20"/>
  <c r="L88" i="20"/>
  <c r="L485" i="20"/>
  <c r="L90" i="20" s="1"/>
  <c r="H96" i="8"/>
  <c r="H504" i="8"/>
  <c r="H98" i="8" s="1"/>
  <c r="N504" i="8"/>
  <c r="N98" i="8" s="1"/>
  <c r="N96" i="8"/>
  <c r="Q229" i="8"/>
  <c r="D36" i="14" s="1"/>
  <c r="I485" i="20"/>
  <c r="I90" i="20" s="1"/>
  <c r="Q498" i="8"/>
  <c r="Q1258" i="8"/>
  <c r="N551" i="8"/>
  <c r="N555" i="8" s="1"/>
  <c r="N134" i="8" s="1"/>
  <c r="P380" i="3"/>
  <c r="L716" i="8"/>
  <c r="L1273" i="8" s="1"/>
  <c r="F861" i="8"/>
  <c r="Q659" i="8"/>
  <c r="F504" i="8"/>
  <c r="F98" i="8" s="1"/>
  <c r="I74" i="20"/>
  <c r="H417" i="8"/>
  <c r="K605" i="20"/>
  <c r="K143" i="20" s="1"/>
  <c r="L1177" i="8"/>
  <c r="L1181" i="8" s="1"/>
  <c r="L329" i="8" s="1"/>
  <c r="O156" i="20"/>
  <c r="Q87" i="20"/>
  <c r="D35" i="22"/>
  <c r="L35" i="22"/>
  <c r="Q312" i="8"/>
  <c r="D45" i="14" s="1"/>
  <c r="Q1171" i="20"/>
  <c r="Q81" i="8"/>
  <c r="D21" i="14" s="1"/>
  <c r="E1284" i="8"/>
  <c r="J660" i="8"/>
  <c r="J159" i="8" s="1"/>
  <c r="H36" i="22" s="1"/>
  <c r="K82" i="8"/>
  <c r="Q415" i="8"/>
  <c r="E147" i="26" s="1"/>
  <c r="Q764" i="20"/>
  <c r="J621" i="20"/>
  <c r="J150" i="20" s="1"/>
  <c r="H481" i="20"/>
  <c r="H485" i="20" s="1"/>
  <c r="H90" i="20" s="1"/>
  <c r="Q1174" i="8"/>
  <c r="L83" i="22"/>
  <c r="Q131" i="8"/>
  <c r="D25" i="14" s="1"/>
  <c r="L710" i="8"/>
  <c r="H769" i="8"/>
  <c r="J153" i="8"/>
  <c r="J628" i="8"/>
  <c r="J155" i="8" s="1"/>
  <c r="L611" i="8"/>
  <c r="L148" i="8" s="1"/>
  <c r="L146" i="8"/>
  <c r="K572" i="8"/>
  <c r="K141" i="8" s="1"/>
  <c r="K139" i="8"/>
  <c r="H568" i="8"/>
  <c r="H572" i="8" s="1"/>
  <c r="H141" i="8" s="1"/>
  <c r="N103" i="8"/>
  <c r="P1087" i="8"/>
  <c r="P301" i="8" s="1"/>
  <c r="Q566" i="8"/>
  <c r="O82" i="20"/>
  <c r="O1256" i="20"/>
  <c r="G861" i="8"/>
  <c r="Q859" i="8"/>
  <c r="G906" i="8"/>
  <c r="G908" i="8" s="1"/>
  <c r="G912" i="8" s="1"/>
  <c r="G246" i="8" s="1"/>
  <c r="Q138" i="8"/>
  <c r="D26" i="14" s="1"/>
  <c r="E243" i="8"/>
  <c r="Q243" i="8" s="1"/>
  <c r="D38" i="14" s="1"/>
  <c r="Q900" i="8"/>
  <c r="Q549" i="8"/>
  <c r="Q481" i="8"/>
  <c r="F83" i="8"/>
  <c r="Q83" i="8" s="1"/>
  <c r="F1256" i="8"/>
  <c r="J35" i="22"/>
  <c r="J68" i="20"/>
  <c r="J1256" i="20"/>
  <c r="E236" i="8"/>
  <c r="Q236" i="8" s="1"/>
  <c r="D37" i="14" s="1"/>
  <c r="Q855" i="8"/>
  <c r="F663" i="8"/>
  <c r="F666" i="8" s="1"/>
  <c r="F660" i="8"/>
  <c r="Q149" i="20"/>
  <c r="C86" i="22"/>
  <c r="O86" i="22" s="1"/>
  <c r="Q197" i="20"/>
  <c r="Q622" i="8"/>
  <c r="H605" i="8"/>
  <c r="Q603" i="8"/>
  <c r="Q903" i="8"/>
  <c r="F624" i="8"/>
  <c r="Q1081" i="8"/>
  <c r="H280" i="26" s="1"/>
  <c r="H281" i="26" s="1"/>
  <c r="H861" i="8"/>
  <c r="Q860" i="8"/>
  <c r="H322" i="20"/>
  <c r="Q322" i="20" s="1"/>
  <c r="Q1167" i="20"/>
  <c r="H142" i="20"/>
  <c r="Q142" i="20" s="1"/>
  <c r="Q599" i="20"/>
  <c r="L605" i="20"/>
  <c r="L609" i="20" s="1"/>
  <c r="E250" i="8"/>
  <c r="Q250" i="8" s="1"/>
  <c r="D39" i="14" s="1"/>
  <c r="Q944" i="8"/>
  <c r="F948" i="8"/>
  <c r="F950" i="8" s="1"/>
  <c r="F954" i="8" s="1"/>
  <c r="F253" i="8" s="1"/>
  <c r="Q947" i="8"/>
  <c r="H326" i="8"/>
  <c r="Q326" i="8" s="1"/>
  <c r="D47" i="14" s="1"/>
  <c r="Q1171" i="8"/>
  <c r="N418" i="3"/>
  <c r="N419" i="3" s="1"/>
  <c r="F1255" i="8"/>
  <c r="I1255" i="8"/>
  <c r="H1266" i="20"/>
  <c r="Q95" i="8"/>
  <c r="D23" i="14" s="1"/>
  <c r="M504" i="8"/>
  <c r="M98" i="8" s="1"/>
  <c r="M96" i="8"/>
  <c r="Q604" i="8"/>
  <c r="Q857" i="8"/>
  <c r="E861" i="8"/>
  <c r="E1282" i="20"/>
  <c r="E199" i="20"/>
  <c r="Q152" i="8"/>
  <c r="D28" i="14" s="1"/>
  <c r="M194" i="8"/>
  <c r="M772" i="8"/>
  <c r="L190" i="20"/>
  <c r="L769" i="20"/>
  <c r="D178" i="3"/>
  <c r="F82" i="20"/>
  <c r="F1256" i="20"/>
  <c r="H69" i="8"/>
  <c r="Q409" i="8"/>
  <c r="F95" i="26" s="1"/>
  <c r="F156" i="20"/>
  <c r="F667" i="20"/>
  <c r="F672" i="20"/>
  <c r="F1267" i="20" s="1"/>
  <c r="E186" i="26"/>
  <c r="E57" i="26"/>
  <c r="H603" i="20"/>
  <c r="Q603" i="20" s="1"/>
  <c r="Q601" i="20"/>
  <c r="P377" i="3"/>
  <c r="M153" i="8"/>
  <c r="I969" i="8"/>
  <c r="I257" i="8" s="1"/>
  <c r="H1173" i="20"/>
  <c r="H1177" i="20" s="1"/>
  <c r="H325" i="20" s="1"/>
  <c r="O607" i="8"/>
  <c r="O146" i="8" s="1"/>
  <c r="F466" i="8"/>
  <c r="F82" i="8" s="1"/>
  <c r="I534" i="8"/>
  <c r="I103" i="8" s="1"/>
  <c r="K1284" i="8"/>
  <c r="L483" i="8"/>
  <c r="L89" i="8" s="1"/>
  <c r="H1256" i="20"/>
  <c r="H68" i="20"/>
  <c r="M190" i="20"/>
  <c r="M769" i="20"/>
  <c r="Q946" i="8"/>
  <c r="E948" i="8"/>
  <c r="Q902" i="8"/>
  <c r="E906" i="8"/>
  <c r="H196" i="8"/>
  <c r="Q196" i="8" s="1"/>
  <c r="Q767" i="8"/>
  <c r="I973" i="8"/>
  <c r="I975" i="8" s="1"/>
  <c r="I979" i="8" s="1"/>
  <c r="I260" i="8" s="1"/>
  <c r="L1284" i="8"/>
  <c r="K607" i="8"/>
  <c r="K146" i="8" s="1"/>
  <c r="J551" i="8"/>
  <c r="J132" i="8" s="1"/>
  <c r="E788" i="8"/>
  <c r="E792" i="8" s="1"/>
  <c r="E797" i="8" s="1"/>
  <c r="E204" i="8" s="1"/>
  <c r="C21" i="22" s="1"/>
  <c r="I605" i="20"/>
  <c r="I609" i="20" s="1"/>
  <c r="I145" i="20" s="1"/>
  <c r="M621" i="20"/>
  <c r="M150" i="20" s="1"/>
  <c r="Q654" i="20"/>
  <c r="O667" i="20"/>
  <c r="H1282" i="20"/>
  <c r="H199" i="20"/>
  <c r="Q102" i="8"/>
  <c r="D24" i="14" s="1"/>
  <c r="G35" i="22"/>
  <c r="Q602" i="20"/>
  <c r="Q904" i="8"/>
  <c r="I906" i="8"/>
  <c r="I908" i="8" s="1"/>
  <c r="L194" i="8"/>
  <c r="L772" i="8"/>
  <c r="G712" i="8"/>
  <c r="G716" i="8" s="1"/>
  <c r="G1273" i="8" s="1"/>
  <c r="G710" i="8"/>
  <c r="G187" i="8" s="1"/>
  <c r="Q80" i="20"/>
  <c r="N1255" i="8"/>
  <c r="H194" i="8"/>
  <c r="H772" i="8"/>
  <c r="H195" i="8" s="1"/>
  <c r="Q759" i="8"/>
  <c r="Q1117" i="8"/>
  <c r="E231" i="20"/>
  <c r="Q231" i="20" s="1"/>
  <c r="Q854" i="20"/>
  <c r="E245" i="20"/>
  <c r="Q245" i="20" s="1"/>
  <c r="Q941" i="20"/>
  <c r="Q1170" i="20"/>
  <c r="I772" i="8"/>
  <c r="I194" i="8"/>
  <c r="H1175" i="8"/>
  <c r="Q1175" i="8" s="1"/>
  <c r="H190" i="20"/>
  <c r="Q756" i="20"/>
  <c r="H769" i="20"/>
  <c r="H712" i="8"/>
  <c r="H716" i="8" s="1"/>
  <c r="H1273" i="8" s="1"/>
  <c r="H710" i="8"/>
  <c r="H187" i="8" s="1"/>
  <c r="H145" i="8"/>
  <c r="Q145" i="8" s="1"/>
  <c r="D27" i="14" s="1"/>
  <c r="Q601" i="8"/>
  <c r="Q1173" i="8"/>
  <c r="Q298" i="8"/>
  <c r="D43" i="14" s="1"/>
  <c r="E238" i="20"/>
  <c r="Q238" i="20" s="1"/>
  <c r="Q898" i="20"/>
  <c r="Q94" i="20"/>
  <c r="K83" i="22"/>
  <c r="E1032" i="8"/>
  <c r="E1312" i="8" s="1"/>
  <c r="O74" i="20"/>
  <c r="O1177" i="8"/>
  <c r="O327" i="8" s="1"/>
  <c r="M788" i="8"/>
  <c r="M202" i="8" s="1"/>
  <c r="L81" i="20"/>
  <c r="H703" i="8"/>
  <c r="H1272" i="8" s="1"/>
  <c r="I950" i="8"/>
  <c r="I954" i="8" s="1"/>
  <c r="F1177" i="8"/>
  <c r="F1181" i="8" s="1"/>
  <c r="F329" i="8" s="1"/>
  <c r="P1272" i="20"/>
  <c r="P182" i="20"/>
  <c r="P702" i="8"/>
  <c r="P1271" i="8" s="1"/>
  <c r="P134" i="2"/>
  <c r="K504" i="8"/>
  <c r="K98" i="8" s="1"/>
  <c r="O182" i="20"/>
  <c r="I417" i="8"/>
  <c r="L419" i="3"/>
  <c r="P1010" i="8"/>
  <c r="P1007" i="20"/>
  <c r="P1009" i="20" s="1"/>
  <c r="P259" i="20" s="1"/>
  <c r="H967" i="8"/>
  <c r="H964" i="20"/>
  <c r="H966" i="20" s="1"/>
  <c r="H252" i="20" s="1"/>
  <c r="K300" i="3"/>
  <c r="K418" i="3"/>
  <c r="K1008" i="8"/>
  <c r="K1005" i="20"/>
  <c r="N660" i="8"/>
  <c r="N664" i="8"/>
  <c r="N666" i="8" s="1"/>
  <c r="L972" i="8"/>
  <c r="L973" i="8" s="1"/>
  <c r="L969" i="8"/>
  <c r="L257" i="8" s="1"/>
  <c r="Q658" i="8"/>
  <c r="L1036" i="8"/>
  <c r="L1033" i="20"/>
  <c r="L1037" i="20" s="1"/>
  <c r="L287" i="20" s="1"/>
  <c r="H1209" i="20"/>
  <c r="H349" i="20" s="1"/>
  <c r="N1207" i="20"/>
  <c r="N1210" i="8"/>
  <c r="P706" i="8"/>
  <c r="P712" i="8" s="1"/>
  <c r="P704" i="20"/>
  <c r="P708" i="20" s="1"/>
  <c r="D267" i="3"/>
  <c r="D424" i="3"/>
  <c r="P263" i="3"/>
  <c r="F179" i="3"/>
  <c r="F180" i="3" s="1"/>
  <c r="F165" i="3"/>
  <c r="F320" i="3"/>
  <c r="F423" i="3"/>
  <c r="F424" i="3" s="1"/>
  <c r="K652" i="8"/>
  <c r="H182" i="20"/>
  <c r="P703" i="8"/>
  <c r="P1272" i="8" s="1"/>
  <c r="I662" i="8"/>
  <c r="Q656" i="8"/>
  <c r="I660" i="8"/>
  <c r="E129" i="3"/>
  <c r="E29" i="23" s="1"/>
  <c r="E30" i="23" s="1"/>
  <c r="E56" i="23" s="1"/>
  <c r="N423" i="3"/>
  <c r="N424" i="3" s="1"/>
  <c r="N320" i="3"/>
  <c r="D165" i="3"/>
  <c r="K165" i="3"/>
  <c r="K179" i="3"/>
  <c r="H159" i="8"/>
  <c r="F36" i="22" s="1"/>
  <c r="H675" i="8"/>
  <c r="H670" i="8"/>
  <c r="H1266" i="8" s="1"/>
  <c r="M964" i="20"/>
  <c r="M966" i="20" s="1"/>
  <c r="M252" i="20" s="1"/>
  <c r="M967" i="8"/>
  <c r="O170" i="3"/>
  <c r="O129" i="3"/>
  <c r="O29" i="23" s="1"/>
  <c r="O30" i="23" s="1"/>
  <c r="O56" i="23" s="1"/>
  <c r="I381" i="3"/>
  <c r="I418" i="3"/>
  <c r="P296" i="3"/>
  <c r="E1009" i="8"/>
  <c r="P297" i="3"/>
  <c r="E1006" i="20"/>
  <c r="E663" i="8"/>
  <c r="E666" i="8" s="1"/>
  <c r="E660" i="8"/>
  <c r="G419" i="3"/>
  <c r="E657" i="20"/>
  <c r="I165" i="3"/>
  <c r="F1211" i="8"/>
  <c r="F1208" i="20"/>
  <c r="O707" i="8"/>
  <c r="O705" i="20"/>
  <c r="O708" i="20" s="1"/>
  <c r="I129" i="3"/>
  <c r="I29" i="23" s="1"/>
  <c r="I30" i="23" s="1"/>
  <c r="I56" i="23" s="1"/>
  <c r="I170" i="3"/>
  <c r="E300" i="3"/>
  <c r="E418" i="3"/>
  <c r="E419" i="3" s="1"/>
  <c r="H1039" i="8"/>
  <c r="H1036" i="20"/>
  <c r="P319" i="3"/>
  <c r="L129" i="3"/>
  <c r="L29" i="23" s="1"/>
  <c r="L30" i="23" s="1"/>
  <c r="L56" i="23" s="1"/>
  <c r="L170" i="3"/>
  <c r="G1210" i="8"/>
  <c r="G1207" i="20"/>
  <c r="P379" i="3"/>
  <c r="Q653" i="20"/>
  <c r="I657" i="20"/>
  <c r="N1036" i="8"/>
  <c r="N1033" i="20"/>
  <c r="N1037" i="20" s="1"/>
  <c r="N287" i="20" s="1"/>
  <c r="I1209" i="20"/>
  <c r="I349" i="20" s="1"/>
  <c r="H129" i="3"/>
  <c r="H29" i="23" s="1"/>
  <c r="H30" i="23" s="1"/>
  <c r="H56" i="23" s="1"/>
  <c r="H170" i="3"/>
  <c r="H1212" i="8"/>
  <c r="H353" i="8" s="1"/>
  <c r="H1214" i="8"/>
  <c r="H1216" i="8" s="1"/>
  <c r="H1218" i="8" s="1"/>
  <c r="H1222" i="8" s="1"/>
  <c r="H356" i="8" s="1"/>
  <c r="M381" i="3"/>
  <c r="M418" i="3"/>
  <c r="P1210" i="8"/>
  <c r="P1207" i="20"/>
  <c r="P662" i="8"/>
  <c r="P666" i="8" s="1"/>
  <c r="P660" i="8"/>
  <c r="M1212" i="8"/>
  <c r="M353" i="8" s="1"/>
  <c r="M1214" i="8"/>
  <c r="M1216" i="8" s="1"/>
  <c r="M1218" i="8" s="1"/>
  <c r="M354" i="8" s="1"/>
  <c r="E964" i="20"/>
  <c r="P265" i="3"/>
  <c r="F965" i="20"/>
  <c r="F968" i="8"/>
  <c r="P266" i="3"/>
  <c r="L165" i="3"/>
  <c r="H300" i="3"/>
  <c r="H418" i="3"/>
  <c r="P96" i="3"/>
  <c r="F381" i="3"/>
  <c r="F418" i="3"/>
  <c r="I1214" i="8"/>
  <c r="I1216" i="8" s="1"/>
  <c r="I1218" i="8" s="1"/>
  <c r="I1222" i="8" s="1"/>
  <c r="I356" i="8" s="1"/>
  <c r="I1212" i="8"/>
  <c r="I353" i="8" s="1"/>
  <c r="G267" i="3"/>
  <c r="G423" i="3"/>
  <c r="G424" i="3" s="1"/>
  <c r="L267" i="3"/>
  <c r="L423" i="3"/>
  <c r="L424" i="3" s="1"/>
  <c r="J1207" i="20"/>
  <c r="J1210" i="8"/>
  <c r="H165" i="3"/>
  <c r="P123" i="3"/>
  <c r="P169" i="3" s="1"/>
  <c r="D129" i="3"/>
  <c r="L1005" i="20"/>
  <c r="L1009" i="20" s="1"/>
  <c r="L259" i="20" s="1"/>
  <c r="L1008" i="8"/>
  <c r="E706" i="20"/>
  <c r="Q706" i="20" s="1"/>
  <c r="E708" i="8"/>
  <c r="P127" i="3"/>
  <c r="J704" i="20"/>
  <c r="J708" i="20" s="1"/>
  <c r="J706" i="8"/>
  <c r="J712" i="8" s="1"/>
  <c r="M706" i="8"/>
  <c r="M704" i="20"/>
  <c r="M708" i="20" s="1"/>
  <c r="P1044" i="8"/>
  <c r="P1046" i="8" s="1"/>
  <c r="P1314" i="8" s="1"/>
  <c r="P1040" i="8"/>
  <c r="P291" i="8" s="1"/>
  <c r="I1007" i="20"/>
  <c r="I1009" i="20" s="1"/>
  <c r="I259" i="20" s="1"/>
  <c r="I1010" i="8"/>
  <c r="P66" i="5"/>
  <c r="H701" i="20"/>
  <c r="H1272" i="20" s="1"/>
  <c r="K146" i="2"/>
  <c r="M320" i="3"/>
  <c r="M423" i="3"/>
  <c r="M424" i="3" s="1"/>
  <c r="F706" i="8"/>
  <c r="F704" i="20"/>
  <c r="P125" i="3"/>
  <c r="O1035" i="20"/>
  <c r="O1038" i="8"/>
  <c r="P318" i="3"/>
  <c r="I704" i="20"/>
  <c r="I708" i="20" s="1"/>
  <c r="I706" i="8"/>
  <c r="O300" i="3"/>
  <c r="O418" i="3"/>
  <c r="K1033" i="20"/>
  <c r="K1037" i="20" s="1"/>
  <c r="K287" i="20" s="1"/>
  <c r="K1036" i="8"/>
  <c r="P156" i="20"/>
  <c r="P672" i="20"/>
  <c r="P1267" i="20" s="1"/>
  <c r="P667" i="20"/>
  <c r="M1209" i="20"/>
  <c r="M349" i="20" s="1"/>
  <c r="D300" i="3"/>
  <c r="D418" i="3"/>
  <c r="P294" i="3"/>
  <c r="E707" i="8"/>
  <c r="E705" i="20"/>
  <c r="O1005" i="20"/>
  <c r="O1009" i="20" s="1"/>
  <c r="O259" i="20" s="1"/>
  <c r="O1008" i="8"/>
  <c r="P298" i="3"/>
  <c r="E1010" i="8"/>
  <c r="E1007" i="20"/>
  <c r="J423" i="3"/>
  <c r="J424" i="3" s="1"/>
  <c r="N129" i="3"/>
  <c r="N29" i="23" s="1"/>
  <c r="N30" i="23" s="1"/>
  <c r="N56" i="23" s="1"/>
  <c r="J300" i="3"/>
  <c r="J418" i="3"/>
  <c r="N156" i="20"/>
  <c r="N672" i="20"/>
  <c r="N1267" i="20" s="1"/>
  <c r="N667" i="20"/>
  <c r="F1011" i="8"/>
  <c r="F1008" i="20"/>
  <c r="P299" i="3"/>
  <c r="J1043" i="8"/>
  <c r="J1046" i="8" s="1"/>
  <c r="J1048" i="8" s="1"/>
  <c r="J292" i="8" s="1"/>
  <c r="J1040" i="8"/>
  <c r="J291" i="8" s="1"/>
  <c r="K423" i="3"/>
  <c r="K424" i="3" s="1"/>
  <c r="L1208" i="20"/>
  <c r="L1211" i="8"/>
  <c r="G1036" i="8"/>
  <c r="G1033" i="20"/>
  <c r="P316" i="3"/>
  <c r="J972" i="8"/>
  <c r="J973" i="8" s="1"/>
  <c r="J969" i="8"/>
  <c r="J257" i="8" s="1"/>
  <c r="O165" i="3"/>
  <c r="L296" i="2"/>
  <c r="Q783" i="8"/>
  <c r="J702" i="8"/>
  <c r="J1271" i="8" s="1"/>
  <c r="M1087" i="8"/>
  <c r="M301" i="8" s="1"/>
  <c r="P1119" i="20"/>
  <c r="P311" i="20" s="1"/>
  <c r="K158" i="8"/>
  <c r="O1272" i="8"/>
  <c r="J765" i="8"/>
  <c r="J769" i="8" s="1"/>
  <c r="O323" i="20"/>
  <c r="K1301" i="8"/>
  <c r="Q1301" i="8" s="1"/>
  <c r="M1284" i="8"/>
  <c r="O538" i="8"/>
  <c r="O105" i="8" s="1"/>
  <c r="Q86" i="20"/>
  <c r="N316" i="20"/>
  <c r="P136" i="20"/>
  <c r="M136" i="20"/>
  <c r="J1272" i="20"/>
  <c r="J1288" i="20" s="1"/>
  <c r="N1313" i="20"/>
  <c r="L1149" i="20"/>
  <c r="L1153" i="20" s="1"/>
  <c r="L318" i="20" s="1"/>
  <c r="H1245" i="8"/>
  <c r="H363" i="8" s="1"/>
  <c r="F502" i="20"/>
  <c r="F97" i="20" s="1"/>
  <c r="G1177" i="8"/>
  <c r="G327" i="8" s="1"/>
  <c r="K950" i="8"/>
  <c r="K954" i="8" s="1"/>
  <c r="K253" i="8" s="1"/>
  <c r="O414" i="20"/>
  <c r="I1115" i="20"/>
  <c r="I1119" i="20" s="1"/>
  <c r="I311" i="20" s="1"/>
  <c r="J1173" i="20"/>
  <c r="J323" i="20" s="1"/>
  <c r="M485" i="20"/>
  <c r="M90" i="20" s="1"/>
  <c r="K828" i="8"/>
  <c r="K832" i="8" s="1"/>
  <c r="K839" i="8" s="1"/>
  <c r="K232" i="8" s="1"/>
  <c r="K26" i="8" s="1"/>
  <c r="J158" i="8"/>
  <c r="L1097" i="20"/>
  <c r="L302" i="20" s="1"/>
  <c r="F300" i="2"/>
  <c r="P143" i="2"/>
  <c r="Q200" i="8"/>
  <c r="C32" i="14" s="1"/>
  <c r="O1153" i="8"/>
  <c r="O320" i="8" s="1"/>
  <c r="M1119" i="8"/>
  <c r="M1123" i="8" s="1"/>
  <c r="M315" i="8" s="1"/>
  <c r="G1303" i="8"/>
  <c r="E1173" i="20"/>
  <c r="E1177" i="20" s="1"/>
  <c r="E325" i="20" s="1"/>
  <c r="G230" i="8"/>
  <c r="P301" i="2"/>
  <c r="M146" i="2"/>
  <c r="D146" i="2"/>
  <c r="O788" i="8"/>
  <c r="O202" i="8" s="1"/>
  <c r="H788" i="8"/>
  <c r="H202" i="8" s="1"/>
  <c r="F701" i="20"/>
  <c r="F1272" i="20" s="1"/>
  <c r="N650" i="20"/>
  <c r="N1264" i="20" s="1"/>
  <c r="E103" i="8"/>
  <c r="P128" i="2"/>
  <c r="O235" i="8"/>
  <c r="E290" i="8"/>
  <c r="O299" i="2"/>
  <c r="O1301" i="20"/>
  <c r="O1321" i="20" s="1"/>
  <c r="N433" i="20"/>
  <c r="N76" i="20" s="1"/>
  <c r="M323" i="20"/>
  <c r="M847" i="20"/>
  <c r="E309" i="20"/>
  <c r="L937" i="8"/>
  <c r="J652" i="8"/>
  <c r="I1254" i="8"/>
  <c r="Q1254" i="8" s="1"/>
  <c r="I407" i="8"/>
  <c r="I411" i="8" s="1"/>
  <c r="E320" i="8"/>
  <c r="P1123" i="8"/>
  <c r="P315" i="8" s="1"/>
  <c r="O1284" i="8"/>
  <c r="Q1091" i="20"/>
  <c r="H1097" i="20"/>
  <c r="H1101" i="20" s="1"/>
  <c r="H304" i="20" s="1"/>
  <c r="Q141" i="20"/>
  <c r="Q834" i="20"/>
  <c r="Q753" i="8"/>
  <c r="Q1203" i="20"/>
  <c r="J1313" i="8"/>
  <c r="L836" i="20"/>
  <c r="E1033" i="8"/>
  <c r="E1313" i="8" s="1"/>
  <c r="Q835" i="8"/>
  <c r="J306" i="8"/>
  <c r="Q1161" i="20"/>
  <c r="Q1280" i="20"/>
  <c r="M230" i="20"/>
  <c r="O848" i="8"/>
  <c r="O1307" i="8" s="1"/>
  <c r="P414" i="20"/>
  <c r="P433" i="20"/>
  <c r="P76" i="20" s="1"/>
  <c r="J470" i="8"/>
  <c r="J84" i="8" s="1"/>
  <c r="K912" i="8"/>
  <c r="K246" i="8" s="1"/>
  <c r="Q493" i="20"/>
  <c r="J1253" i="8"/>
  <c r="K1083" i="8"/>
  <c r="K1087" i="8" s="1"/>
  <c r="K301" i="8" s="1"/>
  <c r="L1083" i="8"/>
  <c r="L1087" i="8" s="1"/>
  <c r="L301" i="8" s="1"/>
  <c r="E1083" i="8"/>
  <c r="E1087" i="8" s="1"/>
  <c r="E301" i="8" s="1"/>
  <c r="M1153" i="8"/>
  <c r="M1157" i="8" s="1"/>
  <c r="M322" i="8" s="1"/>
  <c r="P1313" i="20"/>
  <c r="Q307" i="20"/>
  <c r="O1241" i="8"/>
  <c r="O1245" i="8" s="1"/>
  <c r="O363" i="8" s="1"/>
  <c r="K1119" i="8"/>
  <c r="K1123" i="8" s="1"/>
  <c r="K315" i="8" s="1"/>
  <c r="H1101" i="8"/>
  <c r="H306" i="8" s="1"/>
  <c r="G950" i="8"/>
  <c r="G251" i="8" s="1"/>
  <c r="E296" i="2"/>
  <c r="F296" i="2"/>
  <c r="N1241" i="8"/>
  <c r="N1245" i="8" s="1"/>
  <c r="N363" i="8" s="1"/>
  <c r="Q754" i="8"/>
  <c r="F792" i="8"/>
  <c r="F797" i="8" s="1"/>
  <c r="F204" i="8" s="1"/>
  <c r="F22" i="8" s="1"/>
  <c r="K964" i="8"/>
  <c r="K1313" i="8" s="1"/>
  <c r="Q751" i="20"/>
  <c r="Q961" i="8"/>
  <c r="G1083" i="8"/>
  <c r="L300" i="2"/>
  <c r="O975" i="8"/>
  <c r="O258" i="8" s="1"/>
  <c r="N570" i="20"/>
  <c r="N138" i="20" s="1"/>
  <c r="Q94" i="8"/>
  <c r="C23" i="14" s="1"/>
  <c r="J1115" i="20"/>
  <c r="J1119" i="20" s="1"/>
  <c r="J311" i="20" s="1"/>
  <c r="E765" i="8"/>
  <c r="E769" i="8" s="1"/>
  <c r="N1115" i="20"/>
  <c r="N1119" i="20" s="1"/>
  <c r="N311" i="20" s="1"/>
  <c r="J1177" i="8"/>
  <c r="J327" i="8" s="1"/>
  <c r="K88" i="20"/>
  <c r="K485" i="20"/>
  <c r="K90" i="20" s="1"/>
  <c r="O653" i="8"/>
  <c r="O158" i="8"/>
  <c r="O652" i="8"/>
  <c r="N155" i="20"/>
  <c r="H468" i="20"/>
  <c r="H83" i="20" s="1"/>
  <c r="L249" i="8"/>
  <c r="Q459" i="20"/>
  <c r="Q228" i="8"/>
  <c r="C36" i="14" s="1"/>
  <c r="I1153" i="8"/>
  <c r="I320" i="8" s="1"/>
  <c r="I1177" i="8"/>
  <c r="I1181" i="8" s="1"/>
  <c r="I329" i="8" s="1"/>
  <c r="Q701" i="8"/>
  <c r="Q189" i="20"/>
  <c r="N1312" i="8"/>
  <c r="L1253" i="8"/>
  <c r="L102" i="20"/>
  <c r="O155" i="20"/>
  <c r="O650" i="20"/>
  <c r="O1264" i="20" s="1"/>
  <c r="O1288" i="20" s="1"/>
  <c r="L538" i="8"/>
  <c r="L105" i="8" s="1"/>
  <c r="L103" i="8"/>
  <c r="F1239" i="20"/>
  <c r="F1243" i="20" s="1"/>
  <c r="F359" i="20" s="1"/>
  <c r="K788" i="8"/>
  <c r="K202" i="8" s="1"/>
  <c r="E316" i="20"/>
  <c r="H95" i="20"/>
  <c r="K570" i="20"/>
  <c r="K138" i="20" s="1"/>
  <c r="N313" i="8"/>
  <c r="O417" i="8"/>
  <c r="Q1204" i="20"/>
  <c r="Q782" i="8"/>
  <c r="N296" i="2"/>
  <c r="O1115" i="20"/>
  <c r="Q193" i="8"/>
  <c r="C31" i="14" s="1"/>
  <c r="H1083" i="8"/>
  <c r="Q1205" i="8"/>
  <c r="H414" i="20"/>
  <c r="Q594" i="20"/>
  <c r="O407" i="8"/>
  <c r="O411" i="8" s="1"/>
  <c r="O82" i="8"/>
  <c r="M81" i="20"/>
  <c r="L938" i="8"/>
  <c r="Q1027" i="20"/>
  <c r="Q151" i="8"/>
  <c r="C28" i="14" s="1"/>
  <c r="H1313" i="8"/>
  <c r="F908" i="8"/>
  <c r="F244" i="8" s="1"/>
  <c r="J1119" i="8"/>
  <c r="J313" i="8" s="1"/>
  <c r="Q93" i="20"/>
  <c r="Q348" i="20"/>
  <c r="J863" i="8"/>
  <c r="J237" i="8" s="1"/>
  <c r="I1083" i="8"/>
  <c r="I299" i="8" s="1"/>
  <c r="K1218" i="8"/>
  <c r="K1222" i="8" s="1"/>
  <c r="K356" i="8" s="1"/>
  <c r="L1119" i="20"/>
  <c r="L311" i="20" s="1"/>
  <c r="L309" i="20"/>
  <c r="I1298" i="8"/>
  <c r="I1303" i="8" s="1"/>
  <c r="I828" i="8"/>
  <c r="I832" i="8" s="1"/>
  <c r="F1119" i="8"/>
  <c r="P316" i="20"/>
  <c r="P1153" i="20"/>
  <c r="P318" i="20" s="1"/>
  <c r="L553" i="20"/>
  <c r="L131" i="20" s="1"/>
  <c r="L129" i="20"/>
  <c r="Q101" i="8"/>
  <c r="C24" i="14" s="1"/>
  <c r="J302" i="20"/>
  <c r="G502" i="20"/>
  <c r="G97" i="20" s="1"/>
  <c r="K962" i="8"/>
  <c r="K1312" i="8" s="1"/>
  <c r="Q1230" i="8"/>
  <c r="Q616" i="20"/>
  <c r="G1253" i="8"/>
  <c r="Q148" i="20"/>
  <c r="Q237" i="20"/>
  <c r="Q1092" i="20"/>
  <c r="L652" i="8"/>
  <c r="P1298" i="8"/>
  <c r="P828" i="8"/>
  <c r="P832" i="8" s="1"/>
  <c r="N848" i="8"/>
  <c r="N1307" i="8" s="1"/>
  <c r="N1319" i="8" s="1"/>
  <c r="N235" i="8"/>
  <c r="N847" i="8"/>
  <c r="G155" i="20"/>
  <c r="G650" i="20"/>
  <c r="G1264" i="20" s="1"/>
  <c r="H652" i="8"/>
  <c r="H158" i="8"/>
  <c r="H653" i="8"/>
  <c r="F230" i="20"/>
  <c r="F847" i="20"/>
  <c r="J300" i="2"/>
  <c r="J302" i="2" s="1"/>
  <c r="F1313" i="8"/>
  <c r="O912" i="8"/>
  <c r="O246" i="8" s="1"/>
  <c r="E1097" i="20"/>
  <c r="E302" i="20" s="1"/>
  <c r="P293" i="2"/>
  <c r="Q648" i="20"/>
  <c r="Q427" i="8"/>
  <c r="K256" i="8"/>
  <c r="M1239" i="20"/>
  <c r="Q461" i="8"/>
  <c r="I1239" i="20"/>
  <c r="I1243" i="20" s="1"/>
  <c r="I359" i="20" s="1"/>
  <c r="Q80" i="8"/>
  <c r="C21" i="14" s="1"/>
  <c r="L158" i="8"/>
  <c r="K299" i="2"/>
  <c r="L1153" i="8"/>
  <c r="N847" i="20"/>
  <c r="N1307" i="20" s="1"/>
  <c r="N230" i="20"/>
  <c r="G652" i="8"/>
  <c r="G158" i="8"/>
  <c r="G653" i="8"/>
  <c r="F847" i="8"/>
  <c r="F235" i="8"/>
  <c r="F848" i="8"/>
  <c r="P498" i="20"/>
  <c r="L153" i="8"/>
  <c r="L628" i="8"/>
  <c r="L155" i="8" s="1"/>
  <c r="G702" i="8"/>
  <c r="G703" i="8"/>
  <c r="G1272" i="8" s="1"/>
  <c r="G153" i="8"/>
  <c r="G628" i="8"/>
  <c r="G155" i="8" s="1"/>
  <c r="Q72" i="20"/>
  <c r="G407" i="8"/>
  <c r="G411" i="8" s="1"/>
  <c r="Q297" i="8"/>
  <c r="C43" i="14" s="1"/>
  <c r="Q321" i="20"/>
  <c r="H1313" i="20"/>
  <c r="J1153" i="8"/>
  <c r="J320" i="8" s="1"/>
  <c r="Q65" i="20"/>
  <c r="Q87" i="8"/>
  <c r="C22" i="14" s="1"/>
  <c r="Q223" i="20"/>
  <c r="Q1144" i="20"/>
  <c r="Q651" i="8"/>
  <c r="H1123" i="8"/>
  <c r="H315" i="8" s="1"/>
  <c r="H313" i="8"/>
  <c r="I1119" i="8"/>
  <c r="G182" i="20"/>
  <c r="G701" i="20"/>
  <c r="G1272" i="20" s="1"/>
  <c r="H650" i="20"/>
  <c r="H1264" i="20" s="1"/>
  <c r="H155" i="20"/>
  <c r="J136" i="20"/>
  <c r="J570" i="20"/>
  <c r="J138" i="20" s="1"/>
  <c r="M316" i="20"/>
  <c r="M1153" i="20"/>
  <c r="M318" i="20" s="1"/>
  <c r="I553" i="20"/>
  <c r="I131" i="20" s="1"/>
  <c r="I129" i="20"/>
  <c r="O316" i="20"/>
  <c r="O1153" i="20"/>
  <c r="O318" i="20" s="1"/>
  <c r="Q402" i="8"/>
  <c r="G1312" i="8"/>
  <c r="F89" i="8"/>
  <c r="F487" i="8"/>
  <c r="F91" i="8" s="1"/>
  <c r="M1002" i="20"/>
  <c r="M1001" i="20"/>
  <c r="M258" i="20"/>
  <c r="N82" i="8"/>
  <c r="N470" i="8"/>
  <c r="N84" i="8" s="1"/>
  <c r="E555" i="8"/>
  <c r="E134" i="8" s="1"/>
  <c r="E132" i="8"/>
  <c r="P235" i="8"/>
  <c r="P848" i="8"/>
  <c r="P1307" i="8" s="1"/>
  <c r="P1319" i="8" s="1"/>
  <c r="P847" i="8"/>
  <c r="P1306" i="8" s="1"/>
  <c r="K235" i="8"/>
  <c r="K847" i="8"/>
  <c r="K848" i="8"/>
  <c r="K1307" i="8" s="1"/>
  <c r="E249" i="8"/>
  <c r="E938" i="8"/>
  <c r="E939" i="8"/>
  <c r="E937" i="8"/>
  <c r="Q495" i="8"/>
  <c r="O96" i="8"/>
  <c r="O504" i="8"/>
  <c r="O98" i="8" s="1"/>
  <c r="L132" i="8"/>
  <c r="L555" i="8"/>
  <c r="L134" i="8" s="1"/>
  <c r="I235" i="8"/>
  <c r="I848" i="8"/>
  <c r="I847" i="8"/>
  <c r="P258" i="8"/>
  <c r="P979" i="8"/>
  <c r="P260" i="8" s="1"/>
  <c r="E230" i="20"/>
  <c r="E847" i="20"/>
  <c r="I1005" i="8"/>
  <c r="I1003" i="8"/>
  <c r="I263" i="8"/>
  <c r="I1004" i="8"/>
  <c r="I701" i="20"/>
  <c r="I1272" i="20" s="1"/>
  <c r="I182" i="20"/>
  <c r="M286" i="20"/>
  <c r="M1030" i="20"/>
  <c r="M1313" i="20" s="1"/>
  <c r="M1029" i="20"/>
  <c r="F155" i="20"/>
  <c r="F650" i="20"/>
  <c r="F1264" i="20" s="1"/>
  <c r="E129" i="20"/>
  <c r="E553" i="20"/>
  <c r="E131" i="20" s="1"/>
  <c r="F263" i="8"/>
  <c r="F1005" i="8"/>
  <c r="F1003" i="8"/>
  <c r="F1004" i="8"/>
  <c r="M414" i="20"/>
  <c r="K95" i="20"/>
  <c r="Q893" i="8"/>
  <c r="J1083" i="8"/>
  <c r="J1087" i="8" s="1"/>
  <c r="J301" i="8" s="1"/>
  <c r="N1020" i="8"/>
  <c r="N1024" i="8" s="1"/>
  <c r="N267" i="8" s="1"/>
  <c r="Q127" i="20"/>
  <c r="Q144" i="8"/>
  <c r="C27" i="14" s="1"/>
  <c r="Q325" i="8"/>
  <c r="C47" i="14" s="1"/>
  <c r="Q1206" i="8"/>
  <c r="Q100" i="20"/>
  <c r="J464" i="20"/>
  <c r="K1153" i="8"/>
  <c r="K320" i="8" s="1"/>
  <c r="Q293" i="20"/>
  <c r="L256" i="8"/>
  <c r="L963" i="8"/>
  <c r="Q963" i="8" s="1"/>
  <c r="L962" i="8"/>
  <c r="L964" i="8"/>
  <c r="M487" i="8"/>
  <c r="M91" i="8" s="1"/>
  <c r="M89" i="8"/>
  <c r="M1004" i="8"/>
  <c r="M263" i="8"/>
  <c r="M1005" i="8"/>
  <c r="M1307" i="8" s="1"/>
  <c r="M1003" i="8"/>
  <c r="O950" i="8"/>
  <c r="D300" i="2"/>
  <c r="D302" i="2" s="1"/>
  <c r="P847" i="20"/>
  <c r="P230" i="20"/>
  <c r="K230" i="20"/>
  <c r="K847" i="20"/>
  <c r="K1307" i="20" s="1"/>
  <c r="K1319" i="20" s="1"/>
  <c r="I139" i="8"/>
  <c r="I572" i="8"/>
  <c r="I141" i="8" s="1"/>
  <c r="K628" i="8"/>
  <c r="K155" i="8" s="1"/>
  <c r="K153" i="8"/>
  <c r="G500" i="8"/>
  <c r="E847" i="8"/>
  <c r="E848" i="8"/>
  <c r="E235" i="8"/>
  <c r="K103" i="8"/>
  <c r="K538" i="8"/>
  <c r="K105" i="8" s="1"/>
  <c r="I1001" i="20"/>
  <c r="I258" i="20"/>
  <c r="I1002" i="20"/>
  <c r="P1153" i="8"/>
  <c r="I1173" i="20"/>
  <c r="F1002" i="20"/>
  <c r="F1001" i="20"/>
  <c r="F258" i="20"/>
  <c r="Q476" i="20"/>
  <c r="O468" i="20"/>
  <c r="O83" i="20" s="1"/>
  <c r="Q478" i="8"/>
  <c r="O432" i="8"/>
  <c r="O436" i="8" s="1"/>
  <c r="O77" i="8" s="1"/>
  <c r="P417" i="8"/>
  <c r="Q73" i="8"/>
  <c r="C20" i="14" s="1"/>
  <c r="D14" i="26"/>
  <c r="O1253" i="8"/>
  <c r="O1307" i="20"/>
  <c r="K1173" i="20"/>
  <c r="K323" i="20" s="1"/>
  <c r="Q79" i="20"/>
  <c r="Q1148" i="8"/>
  <c r="Q359" i="8"/>
  <c r="C49" i="14" s="1"/>
  <c r="Q1165" i="8"/>
  <c r="Q780" i="20"/>
  <c r="I1253" i="8"/>
  <c r="E1253" i="8"/>
  <c r="Q130" i="8"/>
  <c r="C25" i="14" s="1"/>
  <c r="Q352" i="8"/>
  <c r="C48" i="14" s="1"/>
  <c r="Q300" i="20"/>
  <c r="Q311" i="8"/>
  <c r="C45" i="14" s="1"/>
  <c r="M863" i="8"/>
  <c r="M237" i="8" s="1"/>
  <c r="P1241" i="8"/>
  <c r="P1245" i="8" s="1"/>
  <c r="P363" i="8" s="1"/>
  <c r="J1313" i="20"/>
  <c r="I1101" i="8"/>
  <c r="I1105" i="8" s="1"/>
  <c r="I308" i="8" s="1"/>
  <c r="Q1166" i="8"/>
  <c r="G1115" i="20"/>
  <c r="G309" i="20" s="1"/>
  <c r="G1149" i="20"/>
  <c r="L961" i="20"/>
  <c r="L1313" i="20" s="1"/>
  <c r="L960" i="20"/>
  <c r="Q960" i="20" s="1"/>
  <c r="L251" i="20"/>
  <c r="Q251" i="20" s="1"/>
  <c r="M703" i="8"/>
  <c r="M1272" i="8" s="1"/>
  <c r="M702" i="8"/>
  <c r="E701" i="20"/>
  <c r="E1272" i="20" s="1"/>
  <c r="E182" i="20"/>
  <c r="H103" i="8"/>
  <c r="H538" i="8"/>
  <c r="H105" i="8" s="1"/>
  <c r="N1153" i="8"/>
  <c r="E1101" i="8"/>
  <c r="L299" i="2"/>
  <c r="O498" i="20"/>
  <c r="P407" i="8"/>
  <c r="G1101" i="8"/>
  <c r="I1149" i="20"/>
  <c r="H536" i="20"/>
  <c r="H104" i="20" s="1"/>
  <c r="H102" i="20"/>
  <c r="N703" i="8"/>
  <c r="N702" i="8"/>
  <c r="H1312" i="8"/>
  <c r="P1177" i="8"/>
  <c r="P1181" i="8" s="1"/>
  <c r="P329" i="8" s="1"/>
  <c r="M182" i="20"/>
  <c r="M701" i="20"/>
  <c r="M1272" i="20" s="1"/>
  <c r="E703" i="8"/>
  <c r="E1272" i="8" s="1"/>
  <c r="E702" i="8"/>
  <c r="E936" i="20"/>
  <c r="E244" i="20"/>
  <c r="E935" i="20"/>
  <c r="F1087" i="8"/>
  <c r="F301" i="8" s="1"/>
  <c r="F299" i="8"/>
  <c r="I847" i="20"/>
  <c r="I230" i="20"/>
  <c r="F1298" i="8"/>
  <c r="F1303" i="8" s="1"/>
  <c r="F828" i="8"/>
  <c r="F832" i="8" s="1"/>
  <c r="F839" i="8" s="1"/>
  <c r="F232" i="8" s="1"/>
  <c r="F26" i="8" s="1"/>
  <c r="H555" i="8"/>
  <c r="H134" i="8" s="1"/>
  <c r="H132" i="8"/>
  <c r="I702" i="8"/>
  <c r="I703" i="8"/>
  <c r="I1272" i="8" s="1"/>
  <c r="M290" i="8"/>
  <c r="M1031" i="8"/>
  <c r="M1032" i="8"/>
  <c r="M1033" i="8"/>
  <c r="M1313" i="8" s="1"/>
  <c r="F158" i="8"/>
  <c r="F652" i="8"/>
  <c r="F653" i="8"/>
  <c r="N701" i="20"/>
  <c r="N1272" i="20" s="1"/>
  <c r="N182" i="20"/>
  <c r="K1153" i="20"/>
  <c r="K318" i="20" s="1"/>
  <c r="K316" i="20"/>
  <c r="P653" i="8"/>
  <c r="P652" i="8"/>
  <c r="P158" i="8"/>
  <c r="F102" i="20"/>
  <c r="F536" i="20"/>
  <c r="F104" i="20" s="1"/>
  <c r="Q1096" i="8"/>
  <c r="Q1077" i="8"/>
  <c r="I155" i="20"/>
  <c r="I650" i="20"/>
  <c r="P432" i="8"/>
  <c r="K701" i="20"/>
  <c r="K1272" i="20" s="1"/>
  <c r="K1288" i="20" s="1"/>
  <c r="K182" i="20"/>
  <c r="J1298" i="8"/>
  <c r="J828" i="8"/>
  <c r="Q822" i="8"/>
  <c r="Q544" i="20"/>
  <c r="H407" i="8"/>
  <c r="H1253" i="8"/>
  <c r="O1032" i="8"/>
  <c r="O1033" i="8"/>
  <c r="O290" i="8"/>
  <c r="O1031" i="8"/>
  <c r="Q137" i="8"/>
  <c r="C26" i="14" s="1"/>
  <c r="G847" i="20"/>
  <c r="Q845" i="20"/>
  <c r="G230" i="20"/>
  <c r="Q699" i="20"/>
  <c r="P650" i="20"/>
  <c r="P1264" i="20" s="1"/>
  <c r="P155" i="20"/>
  <c r="Q1114" i="8"/>
  <c r="F1101" i="8"/>
  <c r="Q1095" i="8"/>
  <c r="K1177" i="8"/>
  <c r="O1119" i="8"/>
  <c r="Q1143" i="20"/>
  <c r="H74" i="26" s="1"/>
  <c r="K361" i="8"/>
  <c r="Q1109" i="20"/>
  <c r="O129" i="20"/>
  <c r="O553" i="20"/>
  <c r="O131" i="20" s="1"/>
  <c r="H230" i="20"/>
  <c r="H847" i="20"/>
  <c r="H1307" i="20" s="1"/>
  <c r="Q414" i="8"/>
  <c r="H1271" i="8"/>
  <c r="Q1078" i="8"/>
  <c r="Q1162" i="20"/>
  <c r="M436" i="8"/>
  <c r="M77" i="8" s="1"/>
  <c r="M75" i="8"/>
  <c r="Q596" i="8"/>
  <c r="G296" i="2"/>
  <c r="G299" i="2"/>
  <c r="G302" i="2" s="1"/>
  <c r="O1030" i="20"/>
  <c r="O1313" i="20" s="1"/>
  <c r="O286" i="20"/>
  <c r="O1029" i="20"/>
  <c r="F1253" i="8"/>
  <c r="Q401" i="8"/>
  <c r="F407" i="8"/>
  <c r="G551" i="8"/>
  <c r="Q546" i="8"/>
  <c r="Q619" i="8"/>
  <c r="Q1228" i="20"/>
  <c r="Q304" i="8"/>
  <c r="C44" i="14" s="1"/>
  <c r="M650" i="20"/>
  <c r="M1264" i="20" s="1"/>
  <c r="M155" i="20"/>
  <c r="L847" i="20"/>
  <c r="L1307" i="20" s="1"/>
  <c r="L230" i="20"/>
  <c r="F534" i="8"/>
  <c r="Q529" i="8"/>
  <c r="P1101" i="8"/>
  <c r="K1253" i="8"/>
  <c r="Q134" i="20"/>
  <c r="I653" i="8"/>
  <c r="I652" i="8"/>
  <c r="I158" i="8"/>
  <c r="E1313" i="20"/>
  <c r="G258" i="20"/>
  <c r="G1002" i="20"/>
  <c r="G1001" i="20"/>
  <c r="Q999" i="20"/>
  <c r="O296" i="2"/>
  <c r="O300" i="2"/>
  <c r="M407" i="8"/>
  <c r="M1253" i="8"/>
  <c r="Q318" i="8"/>
  <c r="C46" i="14" s="1"/>
  <c r="G1257" i="8"/>
  <c r="G417" i="8"/>
  <c r="J1312" i="8"/>
  <c r="I286" i="20"/>
  <c r="I1030" i="20"/>
  <c r="I1313" i="20" s="1"/>
  <c r="I1029" i="20"/>
  <c r="Q1113" i="8"/>
  <c r="G1119" i="8"/>
  <c r="J1279" i="8"/>
  <c r="Q1279" i="8" s="1"/>
  <c r="J788" i="8"/>
  <c r="N1257" i="8"/>
  <c r="N1291" i="8" s="1"/>
  <c r="N417" i="8"/>
  <c r="J836" i="20"/>
  <c r="J1301" i="20"/>
  <c r="J1321" i="20" s="1"/>
  <c r="Q892" i="8"/>
  <c r="F1312" i="8"/>
  <c r="Q411" i="20"/>
  <c r="Q399" i="20"/>
  <c r="Q527" i="20"/>
  <c r="F417" i="8"/>
  <c r="M1241" i="8"/>
  <c r="H847" i="8"/>
  <c r="H1306" i="8" s="1"/>
  <c r="H848" i="8"/>
  <c r="H235" i="8"/>
  <c r="P290" i="2"/>
  <c r="P534" i="8"/>
  <c r="P1253" i="8"/>
  <c r="M828" i="8"/>
  <c r="M832" i="8" s="1"/>
  <c r="M839" i="8" s="1"/>
  <c r="M232" i="8" s="1"/>
  <c r="M26" i="8" s="1"/>
  <c r="M1299" i="8"/>
  <c r="Q1299" i="8" s="1"/>
  <c r="O1271" i="8"/>
  <c r="O132" i="8"/>
  <c r="O555" i="8"/>
  <c r="O134" i="8" s="1"/>
  <c r="Q355" i="20"/>
  <c r="G549" i="20"/>
  <c r="M158" i="8"/>
  <c r="M652" i="8"/>
  <c r="M653" i="8"/>
  <c r="L235" i="8"/>
  <c r="L848" i="8"/>
  <c r="L847" i="8"/>
  <c r="N407" i="8"/>
  <c r="N1253" i="8"/>
  <c r="Q561" i="20"/>
  <c r="G566" i="20"/>
  <c r="Q242" i="8"/>
  <c r="C38" i="14" s="1"/>
  <c r="N414" i="20"/>
  <c r="G414" i="20"/>
  <c r="Q1207" i="8"/>
  <c r="Q1229" i="8"/>
  <c r="Q823" i="8"/>
  <c r="P1312" i="8"/>
  <c r="K702" i="8"/>
  <c r="K703" i="8"/>
  <c r="G263" i="8"/>
  <c r="G1003" i="8"/>
  <c r="G1004" i="8"/>
  <c r="G1005" i="8"/>
  <c r="Q1002" i="8"/>
  <c r="M1101" i="8"/>
  <c r="H1153" i="8"/>
  <c r="F146" i="2"/>
  <c r="F299" i="2"/>
  <c r="M1257" i="8"/>
  <c r="M1291" i="8" s="1"/>
  <c r="M417" i="8"/>
  <c r="Q1147" i="8"/>
  <c r="G273" i="26" s="1"/>
  <c r="G1153" i="8"/>
  <c r="I1241" i="8"/>
  <c r="H1257" i="8"/>
  <c r="H1291" i="8" s="1"/>
  <c r="N302" i="2"/>
  <c r="G536" i="20"/>
  <c r="G104" i="20" s="1"/>
  <c r="G102" i="20"/>
  <c r="Q66" i="8"/>
  <c r="C19" i="14" s="1"/>
  <c r="G568" i="8"/>
  <c r="Q563" i="8"/>
  <c r="G848" i="8"/>
  <c r="G235" i="8"/>
  <c r="Q846" i="8"/>
  <c r="G847" i="8"/>
  <c r="H300" i="2"/>
  <c r="H302" i="2" s="1"/>
  <c r="Q1110" i="20"/>
  <c r="I290" i="8"/>
  <c r="I1031" i="8"/>
  <c r="I1033" i="8"/>
  <c r="I1032" i="8"/>
  <c r="O1306" i="8"/>
  <c r="M950" i="8"/>
  <c r="P625" i="20"/>
  <c r="P152" i="20" s="1"/>
  <c r="P150" i="20"/>
  <c r="Q1030" i="8"/>
  <c r="Q891" i="20"/>
  <c r="F1313" i="20"/>
  <c r="N89" i="8"/>
  <c r="N487" i="8"/>
  <c r="N91" i="8" s="1"/>
  <c r="J1299" i="20"/>
  <c r="Q1299" i="20" s="1"/>
  <c r="Q822" i="20"/>
  <c r="Q314" i="20"/>
  <c r="Q1227" i="20"/>
  <c r="F56" i="23"/>
  <c r="L414" i="20"/>
  <c r="O1303" i="8"/>
  <c r="J414" i="20"/>
  <c r="Q1280" i="8"/>
  <c r="E75" i="8"/>
  <c r="E436" i="8"/>
  <c r="E77" i="8" s="1"/>
  <c r="G487" i="8"/>
  <c r="G89" i="8"/>
  <c r="I96" i="8"/>
  <c r="I504" i="8"/>
  <c r="I98" i="8" s="1"/>
  <c r="E1222" i="8"/>
  <c r="E356" i="8" s="1"/>
  <c r="N436" i="8"/>
  <c r="N77" i="8" s="1"/>
  <c r="N75" i="8"/>
  <c r="F553" i="20"/>
  <c r="F129" i="20"/>
  <c r="F769" i="8"/>
  <c r="E136" i="20"/>
  <c r="E570" i="20"/>
  <c r="H1284" i="8"/>
  <c r="H1322" i="8"/>
  <c r="H1303" i="8"/>
  <c r="I1321" i="8"/>
  <c r="J1321" i="8"/>
  <c r="F1321" i="8"/>
  <c r="P1321" i="8"/>
  <c r="N1321" i="8"/>
  <c r="M1321" i="8"/>
  <c r="F414" i="20"/>
  <c r="M24" i="23"/>
  <c r="P23" i="23"/>
  <c r="I536" i="20"/>
  <c r="I104" i="20" s="1"/>
  <c r="I102" i="20"/>
  <c r="Q430" i="8"/>
  <c r="G432" i="8"/>
  <c r="E429" i="20"/>
  <c r="Q424" i="20"/>
  <c r="G429" i="20"/>
  <c r="Q427" i="20"/>
  <c r="E532" i="20"/>
  <c r="Q530" i="20"/>
  <c r="F1101" i="20"/>
  <c r="F304" i="20" s="1"/>
  <c r="F302" i="20"/>
  <c r="I284" i="2"/>
  <c r="P282" i="2"/>
  <c r="P294" i="2" s="1"/>
  <c r="I1283" i="8"/>
  <c r="Q1283" i="8" s="1"/>
  <c r="Q795" i="8"/>
  <c r="P42" i="23"/>
  <c r="E1300" i="8"/>
  <c r="E828" i="8"/>
  <c r="Q707" i="20"/>
  <c r="G75" i="20"/>
  <c r="Q75" i="20" s="1"/>
  <c r="Q431" i="20"/>
  <c r="H97" i="26" s="1"/>
  <c r="E1046" i="8"/>
  <c r="K1259" i="20"/>
  <c r="K1293" i="20" s="1"/>
  <c r="K414" i="20"/>
  <c r="I203" i="8"/>
  <c r="I1282" i="8"/>
  <c r="Q790" i="8"/>
  <c r="F99" i="26" s="1"/>
  <c r="O1101" i="8"/>
  <c r="Q1099" i="8"/>
  <c r="E320" i="3"/>
  <c r="P314" i="3"/>
  <c r="E423" i="3"/>
  <c r="I432" i="8"/>
  <c r="Q74" i="8"/>
  <c r="D20" i="14" s="1"/>
  <c r="J715" i="8"/>
  <c r="Q709" i="8"/>
  <c r="Q1095" i="20"/>
  <c r="O1097" i="20"/>
  <c r="Q101" i="20"/>
  <c r="C83" i="22"/>
  <c r="E1259" i="20"/>
  <c r="Q413" i="20"/>
  <c r="J936" i="8"/>
  <c r="J933" i="20"/>
  <c r="P182" i="2"/>
  <c r="D15" i="26" s="1"/>
  <c r="G38" i="22"/>
  <c r="O38" i="22" s="1"/>
  <c r="Q201" i="8"/>
  <c r="D32" i="14" s="1"/>
  <c r="I788" i="8"/>
  <c r="I1281" i="8"/>
  <c r="Q1281" i="8" s="1"/>
  <c r="Q786" i="8"/>
  <c r="H265" i="26" s="1"/>
  <c r="H266" i="26" s="1"/>
  <c r="E1302" i="8"/>
  <c r="E1322" i="8" s="1"/>
  <c r="E837" i="8"/>
  <c r="G76" i="8"/>
  <c r="Q76" i="8" s="1"/>
  <c r="Q434" i="8"/>
  <c r="H950" i="8"/>
  <c r="J316" i="20"/>
  <c r="J1153" i="20"/>
  <c r="H1018" i="8"/>
  <c r="F1034" i="20"/>
  <c r="P317" i="3"/>
  <c r="F1037" i="8"/>
  <c r="P713" i="8"/>
  <c r="G973" i="8"/>
  <c r="Q1254" i="20"/>
  <c r="J411" i="8"/>
  <c r="J419" i="8" s="1"/>
  <c r="J70" i="8" s="1"/>
  <c r="J68" i="8"/>
  <c r="J264" i="8"/>
  <c r="L1302" i="8"/>
  <c r="L837" i="8"/>
  <c r="Q836" i="8"/>
  <c r="Q1257" i="20"/>
  <c r="H1291" i="20"/>
  <c r="Q1291" i="20" s="1"/>
  <c r="L1288" i="20"/>
  <c r="L1300" i="8"/>
  <c r="L828" i="8"/>
  <c r="Q826" i="8"/>
  <c r="M1046" i="8"/>
  <c r="O1209" i="20"/>
  <c r="K666" i="8"/>
  <c r="Q665" i="8"/>
  <c r="L159" i="8"/>
  <c r="J36" i="22" s="1"/>
  <c r="L670" i="8"/>
  <c r="L1266" i="8" s="1"/>
  <c r="L675" i="8"/>
  <c r="K156" i="20"/>
  <c r="K667" i="20"/>
  <c r="K672" i="20"/>
  <c r="K1267" i="20" s="1"/>
  <c r="M156" i="20"/>
  <c r="M672" i="20"/>
  <c r="M1267" i="20" s="1"/>
  <c r="M667" i="20"/>
  <c r="O1212" i="8"/>
  <c r="O1215" i="8"/>
  <c r="L672" i="20"/>
  <c r="L1267" i="20" s="1"/>
  <c r="L156" i="20"/>
  <c r="L667" i="20"/>
  <c r="J672" i="20"/>
  <c r="J156" i="20"/>
  <c r="J667" i="20"/>
  <c r="L666" i="8"/>
  <c r="H147" i="26" l="1"/>
  <c r="G258" i="26"/>
  <c r="H76" i="26"/>
  <c r="H73" i="26"/>
  <c r="H75" i="26"/>
  <c r="H72" i="26"/>
  <c r="G99" i="26"/>
  <c r="I99" i="26" s="1"/>
  <c r="C20" i="28"/>
  <c r="E20" i="28" s="1"/>
  <c r="E19" i="28"/>
  <c r="C21" i="28"/>
  <c r="E21" i="28" s="1"/>
  <c r="C34" i="28"/>
  <c r="E34" i="28" s="1"/>
  <c r="C37" i="28"/>
  <c r="C23" i="28"/>
  <c r="C36" i="28"/>
  <c r="E36" i="28" s="1"/>
  <c r="C22" i="28"/>
  <c r="E22" i="28" s="1"/>
  <c r="C35" i="28"/>
  <c r="E35" i="28" s="1"/>
  <c r="C33" i="28"/>
  <c r="E216" i="28"/>
  <c r="F97" i="26"/>
  <c r="G97" i="26" s="1"/>
  <c r="I97" i="26" s="1"/>
  <c r="G257" i="26"/>
  <c r="G1266" i="8"/>
  <c r="A277" i="2"/>
  <c r="A278" i="2" s="1"/>
  <c r="A280" i="2" s="1"/>
  <c r="A281" i="2" s="1"/>
  <c r="A282" i="2" s="1"/>
  <c r="A283" i="2" s="1"/>
  <c r="A284" i="2" s="1"/>
  <c r="A286" i="2" s="1"/>
  <c r="A287" i="2" s="1"/>
  <c r="A288" i="2" s="1"/>
  <c r="A289" i="2" s="1"/>
  <c r="A290" i="2" s="1"/>
  <c r="A292" i="2" s="1"/>
  <c r="A293" i="2" s="1"/>
  <c r="A294" i="2" s="1"/>
  <c r="A295" i="2" s="1"/>
  <c r="A296" i="2" s="1"/>
  <c r="A298" i="2" s="1"/>
  <c r="A299" i="2" s="1"/>
  <c r="A300" i="2" s="1"/>
  <c r="A301" i="2" s="1"/>
  <c r="A302" i="2" s="1"/>
  <c r="N1274" i="8"/>
  <c r="F62" i="26"/>
  <c r="G174" i="26" s="1"/>
  <c r="Q186" i="8"/>
  <c r="C30" i="14" s="1"/>
  <c r="K725" i="8"/>
  <c r="K1275" i="8" s="1"/>
  <c r="K187" i="8"/>
  <c r="L725" i="8"/>
  <c r="L1275" i="8" s="1"/>
  <c r="L187" i="8"/>
  <c r="G769" i="8"/>
  <c r="G774" i="8" s="1"/>
  <c r="G197" i="8" s="1"/>
  <c r="Q1239" i="8"/>
  <c r="G231" i="26" s="1"/>
  <c r="Q69" i="8"/>
  <c r="G229" i="26"/>
  <c r="F68" i="26"/>
  <c r="G202" i="26" s="1"/>
  <c r="F67" i="26"/>
  <c r="G177" i="26" s="1"/>
  <c r="E1288" i="20"/>
  <c r="A35" i="2"/>
  <c r="A36" i="2" s="1"/>
  <c r="A37" i="2" s="1"/>
  <c r="A39" i="2" s="1"/>
  <c r="A40" i="2" s="1"/>
  <c r="A41" i="2" s="1"/>
  <c r="A42" i="2" s="1"/>
  <c r="A44" i="2" s="1"/>
  <c r="A45" i="2" s="1"/>
  <c r="A46" i="2" s="1"/>
  <c r="A47" i="2" s="1"/>
  <c r="A49" i="2" s="1"/>
  <c r="A50" i="2" s="1"/>
  <c r="A51" i="2" s="1"/>
  <c r="A52" i="2" s="1"/>
  <c r="A68" i="2" s="1"/>
  <c r="A69" i="2" s="1"/>
  <c r="A70" i="2" s="1"/>
  <c r="A72" i="2" s="1"/>
  <c r="A73" i="2" s="1"/>
  <c r="A74" i="2" s="1"/>
  <c r="A75" i="2" s="1"/>
  <c r="A77" i="2" s="1"/>
  <c r="M300" i="2"/>
  <c r="M302" i="2" s="1"/>
  <c r="K302" i="2"/>
  <c r="J502" i="20"/>
  <c r="J97" i="20" s="1"/>
  <c r="J1024" i="8"/>
  <c r="J267" i="8" s="1"/>
  <c r="K357" i="20"/>
  <c r="G357" i="20"/>
  <c r="E1245" i="8"/>
  <c r="E363" i="8" s="1"/>
  <c r="G146" i="8"/>
  <c r="G119" i="26"/>
  <c r="I119" i="26" s="1"/>
  <c r="J1245" i="8"/>
  <c r="J363" i="8" s="1"/>
  <c r="F64" i="26"/>
  <c r="G74" i="26"/>
  <c r="I74" i="26" s="1"/>
  <c r="G95" i="26"/>
  <c r="G230" i="26"/>
  <c r="G228" i="26"/>
  <c r="H276" i="26"/>
  <c r="I153" i="26"/>
  <c r="F111" i="26"/>
  <c r="F113" i="26" s="1"/>
  <c r="F105" i="26"/>
  <c r="G171" i="26" s="1"/>
  <c r="H186" i="26"/>
  <c r="H261" i="26"/>
  <c r="H153" i="26"/>
  <c r="F70" i="26"/>
  <c r="G179" i="26" s="1"/>
  <c r="F63" i="26"/>
  <c r="I63" i="26" s="1"/>
  <c r="G98" i="26"/>
  <c r="I98" i="26" s="1"/>
  <c r="F66" i="26"/>
  <c r="G173" i="26" s="1"/>
  <c r="F65" i="26"/>
  <c r="G170" i="26"/>
  <c r="G117" i="26"/>
  <c r="I117" i="26" s="1"/>
  <c r="G169" i="26"/>
  <c r="H182" i="26"/>
  <c r="H357" i="20"/>
  <c r="G625" i="20"/>
  <c r="G152" i="20" s="1"/>
  <c r="E357" i="20"/>
  <c r="N357" i="20"/>
  <c r="O1243" i="20"/>
  <c r="O359" i="20" s="1"/>
  <c r="L1243" i="20"/>
  <c r="L359" i="20" s="1"/>
  <c r="J1243" i="20"/>
  <c r="J359" i="20" s="1"/>
  <c r="P357" i="20"/>
  <c r="M309" i="20"/>
  <c r="H68" i="26"/>
  <c r="N1177" i="20"/>
  <c r="N325" i="20" s="1"/>
  <c r="E502" i="20"/>
  <c r="E97" i="20" s="1"/>
  <c r="N302" i="20"/>
  <c r="H64" i="26"/>
  <c r="H63" i="26"/>
  <c r="H70" i="26"/>
  <c r="H66" i="26"/>
  <c r="H67" i="26"/>
  <c r="H69" i="26"/>
  <c r="J609" i="20"/>
  <c r="J145" i="20" s="1"/>
  <c r="H107" i="26"/>
  <c r="H65" i="26"/>
  <c r="N609" i="20"/>
  <c r="N145" i="20" s="1"/>
  <c r="H62" i="26"/>
  <c r="K1119" i="20"/>
  <c r="K311" i="20" s="1"/>
  <c r="F1119" i="20"/>
  <c r="F311" i="20" s="1"/>
  <c r="Q1029" i="20"/>
  <c r="Q769" i="20"/>
  <c r="Q1001" i="20"/>
  <c r="Q414" i="20"/>
  <c r="D59" i="26"/>
  <c r="D234" i="26"/>
  <c r="D58" i="26"/>
  <c r="D205" i="26"/>
  <c r="D207" i="26" s="1"/>
  <c r="G207" i="26" s="1"/>
  <c r="K207" i="26" s="1"/>
  <c r="D42" i="26"/>
  <c r="F1307" i="20"/>
  <c r="P1307" i="20"/>
  <c r="P1319" i="20" s="1"/>
  <c r="P1177" i="20"/>
  <c r="P325" i="20" s="1"/>
  <c r="F1245" i="8"/>
  <c r="F363" i="8" s="1"/>
  <c r="L411" i="8"/>
  <c r="L419" i="8" s="1"/>
  <c r="L70" i="8" s="1"/>
  <c r="N611" i="8"/>
  <c r="N148" i="8" s="1"/>
  <c r="E82" i="8"/>
  <c r="N950" i="8"/>
  <c r="N251" i="8" s="1"/>
  <c r="E139" i="8"/>
  <c r="E419" i="8"/>
  <c r="E70" i="8" s="1"/>
  <c r="O487" i="8"/>
  <c r="O91" i="8" s="1"/>
  <c r="J572" i="8"/>
  <c r="J141" i="8" s="1"/>
  <c r="I195" i="8"/>
  <c r="N1306" i="8"/>
  <c r="N1318" i="8" s="1"/>
  <c r="J1303" i="8"/>
  <c r="H230" i="8"/>
  <c r="E1288" i="8"/>
  <c r="Q707" i="8"/>
  <c r="G180" i="3"/>
  <c r="C449" i="3"/>
  <c r="F323" i="20"/>
  <c r="G81" i="20"/>
  <c r="F74" i="20"/>
  <c r="Q203" i="8"/>
  <c r="N485" i="20"/>
  <c r="N90" i="20" s="1"/>
  <c r="L912" i="8"/>
  <c r="L246" i="8" s="1"/>
  <c r="G88" i="20"/>
  <c r="N1303" i="8"/>
  <c r="F146" i="8"/>
  <c r="M129" i="20"/>
  <c r="P1303" i="8"/>
  <c r="P487" i="8"/>
  <c r="P91" i="8" s="1"/>
  <c r="I1101" i="20"/>
  <c r="I304" i="20" s="1"/>
  <c r="J436" i="8"/>
  <c r="J77" i="8" s="1"/>
  <c r="P102" i="20"/>
  <c r="E1181" i="8"/>
  <c r="E329" i="8" s="1"/>
  <c r="J487" i="8"/>
  <c r="J91" i="8" s="1"/>
  <c r="I839" i="8"/>
  <c r="I232" i="8" s="1"/>
  <c r="I26" i="8" s="1"/>
  <c r="I470" i="8"/>
  <c r="I84" i="8" s="1"/>
  <c r="F139" i="8"/>
  <c r="M143" i="20"/>
  <c r="H323" i="20"/>
  <c r="M139" i="8"/>
  <c r="J536" i="20"/>
  <c r="J104" i="20" s="1"/>
  <c r="H436" i="8"/>
  <c r="H77" i="8" s="1"/>
  <c r="H553" i="20"/>
  <c r="H131" i="20" s="1"/>
  <c r="O536" i="20"/>
  <c r="O104" i="20" s="1"/>
  <c r="K150" i="20"/>
  <c r="O628" i="8"/>
  <c r="O155" i="8" s="1"/>
  <c r="P839" i="8"/>
  <c r="P232" i="8" s="1"/>
  <c r="P26" i="8" s="1"/>
  <c r="I153" i="8"/>
  <c r="M470" i="8"/>
  <c r="M84" i="8" s="1"/>
  <c r="E611" i="8"/>
  <c r="E148" i="8" s="1"/>
  <c r="I774" i="8"/>
  <c r="I197" i="8" s="1"/>
  <c r="H470" i="8"/>
  <c r="H84" i="8" s="1"/>
  <c r="G470" i="8"/>
  <c r="G84" i="8" s="1"/>
  <c r="H309" i="20"/>
  <c r="I87" i="22"/>
  <c r="N129" i="20"/>
  <c r="K102" i="20"/>
  <c r="H912" i="8"/>
  <c r="H246" i="8" s="1"/>
  <c r="N327" i="8"/>
  <c r="L502" i="20"/>
  <c r="L97" i="20" s="1"/>
  <c r="N1087" i="8"/>
  <c r="N301" i="8" s="1"/>
  <c r="K487" i="8"/>
  <c r="K91" i="8" s="1"/>
  <c r="I37" i="22"/>
  <c r="P195" i="8"/>
  <c r="H74" i="20"/>
  <c r="I570" i="20"/>
  <c r="I138" i="20" s="1"/>
  <c r="J555" i="8"/>
  <c r="J134" i="8" s="1"/>
  <c r="P792" i="8"/>
  <c r="P797" i="8" s="1"/>
  <c r="P204" i="8" s="1"/>
  <c r="P22" i="8" s="1"/>
  <c r="E609" i="20"/>
  <c r="E145" i="20" s="1"/>
  <c r="N792" i="8"/>
  <c r="N797" i="8" s="1"/>
  <c r="N204" i="8" s="1"/>
  <c r="L21" i="22" s="1"/>
  <c r="F75" i="8"/>
  <c r="K720" i="8"/>
  <c r="K1274" i="8" s="1"/>
  <c r="P1101" i="20"/>
  <c r="P304" i="20" s="1"/>
  <c r="G1266" i="20"/>
  <c r="N230" i="8"/>
  <c r="L82" i="8"/>
  <c r="F609" i="20"/>
  <c r="F145" i="20" s="1"/>
  <c r="I468" i="20"/>
  <c r="I83" i="20" s="1"/>
  <c r="K723" i="20"/>
  <c r="K1275" i="20" s="1"/>
  <c r="K1292" i="20" s="1"/>
  <c r="K718" i="20"/>
  <c r="K1274" i="20" s="1"/>
  <c r="N912" i="8"/>
  <c r="N246" i="8" s="1"/>
  <c r="G1101" i="20"/>
  <c r="G304" i="20" s="1"/>
  <c r="P553" i="20"/>
  <c r="P131" i="20" s="1"/>
  <c r="N150" i="20"/>
  <c r="E153" i="8"/>
  <c r="I555" i="8"/>
  <c r="I134" i="8" s="1"/>
  <c r="N1274" i="20"/>
  <c r="P628" i="8"/>
  <c r="P155" i="8" s="1"/>
  <c r="I538" i="8"/>
  <c r="I105" i="8" s="1"/>
  <c r="N1292" i="20"/>
  <c r="K419" i="8"/>
  <c r="K70" i="8" s="1"/>
  <c r="P96" i="8"/>
  <c r="J146" i="8"/>
  <c r="J1314" i="8"/>
  <c r="J1315" i="8" s="1"/>
  <c r="K132" i="8"/>
  <c r="L136" i="20"/>
  <c r="M912" i="8"/>
  <c r="M246" i="8" s="1"/>
  <c r="P82" i="8"/>
  <c r="E774" i="8"/>
  <c r="E197" i="8" s="1"/>
  <c r="F485" i="20"/>
  <c r="F90" i="20" s="1"/>
  <c r="P774" i="8"/>
  <c r="P197" i="8" s="1"/>
  <c r="M159" i="8"/>
  <c r="K36" i="22" s="1"/>
  <c r="F1355" i="8"/>
  <c r="F1356" i="8" s="1"/>
  <c r="L625" i="20"/>
  <c r="L152" i="20" s="1"/>
  <c r="H570" i="20"/>
  <c r="H138" i="20" s="1"/>
  <c r="K675" i="8"/>
  <c r="L792" i="8"/>
  <c r="L797" i="8" s="1"/>
  <c r="L204" i="8" s="1"/>
  <c r="L22" i="8" s="1"/>
  <c r="L139" i="8"/>
  <c r="K74" i="20"/>
  <c r="L37" i="22"/>
  <c r="M675" i="8"/>
  <c r="T82" i="8"/>
  <c r="J129" i="20"/>
  <c r="Q566" i="20"/>
  <c r="M302" i="20"/>
  <c r="J37" i="22"/>
  <c r="J39" i="22" s="1"/>
  <c r="K306" i="8"/>
  <c r="N81" i="20"/>
  <c r="O143" i="20"/>
  <c r="N502" i="20"/>
  <c r="N97" i="20" s="1"/>
  <c r="G1275" i="20"/>
  <c r="G1292" i="20" s="1"/>
  <c r="G538" i="8"/>
  <c r="G105" i="8" s="1"/>
  <c r="K769" i="8"/>
  <c r="K774" i="8" s="1"/>
  <c r="K197" i="8" s="1"/>
  <c r="M1181" i="8"/>
  <c r="M329" i="8" s="1"/>
  <c r="O136" i="20"/>
  <c r="H723" i="20"/>
  <c r="H1275" i="20" s="1"/>
  <c r="H1292" i="20" s="1"/>
  <c r="H183" i="20"/>
  <c r="F85" i="22" s="1"/>
  <c r="M195" i="8"/>
  <c r="G183" i="20"/>
  <c r="E85" i="22" s="1"/>
  <c r="E87" i="22" s="1"/>
  <c r="G718" i="20"/>
  <c r="G1274" i="20" s="1"/>
  <c r="O1260" i="8"/>
  <c r="F327" i="8"/>
  <c r="N628" i="8"/>
  <c r="N155" i="8" s="1"/>
  <c r="Q624" i="8"/>
  <c r="I95" i="20"/>
  <c r="K611" i="8"/>
  <c r="K148" i="8" s="1"/>
  <c r="P81" i="20"/>
  <c r="L85" i="22"/>
  <c r="L87" i="22" s="1"/>
  <c r="G792" i="8"/>
  <c r="G797" i="8" s="1"/>
  <c r="G204" i="8" s="1"/>
  <c r="G22" i="8" s="1"/>
  <c r="O611" i="8"/>
  <c r="O148" i="8" s="1"/>
  <c r="N979" i="8"/>
  <c r="N260" i="8" s="1"/>
  <c r="K436" i="8"/>
  <c r="K77" i="8" s="1"/>
  <c r="L143" i="20"/>
  <c r="Q549" i="20"/>
  <c r="P146" i="8"/>
  <c r="L433" i="20"/>
  <c r="L76" i="20" s="1"/>
  <c r="K468" i="20"/>
  <c r="K83" i="20" s="1"/>
  <c r="Q481" i="20"/>
  <c r="M502" i="20"/>
  <c r="M97" i="20" s="1"/>
  <c r="E313" i="8"/>
  <c r="J774" i="8"/>
  <c r="J197" i="8" s="1"/>
  <c r="L504" i="8"/>
  <c r="L98" i="8" s="1"/>
  <c r="Q82" i="20"/>
  <c r="L723" i="20"/>
  <c r="L1275" i="20" s="1"/>
  <c r="L1292" i="20" s="1"/>
  <c r="H89" i="8"/>
  <c r="Q89" i="8" s="1"/>
  <c r="O774" i="8"/>
  <c r="O197" i="8" s="1"/>
  <c r="L718" i="8"/>
  <c r="G1245" i="8"/>
  <c r="G363" i="8" s="1"/>
  <c r="O675" i="8"/>
  <c r="Q1211" i="8"/>
  <c r="N1289" i="8"/>
  <c r="J710" i="8"/>
  <c r="K299" i="8"/>
  <c r="L195" i="8"/>
  <c r="N132" i="8"/>
  <c r="I611" i="8"/>
  <c r="I148" i="8" s="1"/>
  <c r="P912" i="8"/>
  <c r="P246" i="8" s="1"/>
  <c r="F81" i="20"/>
  <c r="J625" i="20"/>
  <c r="J152" i="20" s="1"/>
  <c r="L774" i="8"/>
  <c r="L197" i="8" s="1"/>
  <c r="F132" i="8"/>
  <c r="O670" i="8"/>
  <c r="O1266" i="8" s="1"/>
  <c r="P609" i="20"/>
  <c r="P145" i="20" s="1"/>
  <c r="L327" i="8"/>
  <c r="N139" i="8"/>
  <c r="M1355" i="8"/>
  <c r="M1356" i="8" s="1"/>
  <c r="Q190" i="20"/>
  <c r="Q199" i="20"/>
  <c r="Q1256" i="20"/>
  <c r="Q1256" i="8"/>
  <c r="O195" i="8"/>
  <c r="Q664" i="8"/>
  <c r="K159" i="8"/>
  <c r="I36" i="22" s="1"/>
  <c r="L323" i="20"/>
  <c r="P320" i="3"/>
  <c r="O230" i="8"/>
  <c r="L183" i="20"/>
  <c r="J85" i="22" s="1"/>
  <c r="J87" i="22" s="1"/>
  <c r="T81" i="20"/>
  <c r="E22" i="8"/>
  <c r="J244" i="8"/>
  <c r="K1355" i="8"/>
  <c r="K1356" i="8" s="1"/>
  <c r="K609" i="20"/>
  <c r="K145" i="20" s="1"/>
  <c r="E202" i="8"/>
  <c r="K89" i="22"/>
  <c r="Q68" i="20"/>
  <c r="I258" i="8"/>
  <c r="M774" i="8"/>
  <c r="M197" i="8" s="1"/>
  <c r="H139" i="8"/>
  <c r="H718" i="8"/>
  <c r="L436" i="8"/>
  <c r="L77" i="8" s="1"/>
  <c r="L720" i="8"/>
  <c r="F470" i="8"/>
  <c r="F84" i="8" s="1"/>
  <c r="P710" i="8"/>
  <c r="M792" i="8"/>
  <c r="M797" i="8" s="1"/>
  <c r="M204" i="8" s="1"/>
  <c r="K21" i="22" s="1"/>
  <c r="H1177" i="8"/>
  <c r="H1181" i="8" s="1"/>
  <c r="H329" i="8" s="1"/>
  <c r="I143" i="20"/>
  <c r="H88" i="20"/>
  <c r="L487" i="8"/>
  <c r="L91" i="8" s="1"/>
  <c r="J675" i="8"/>
  <c r="Q466" i="8"/>
  <c r="Q621" i="20"/>
  <c r="Q1282" i="20"/>
  <c r="J670" i="8"/>
  <c r="J1266" i="8" s="1"/>
  <c r="N428" i="3"/>
  <c r="N429" i="3" s="1"/>
  <c r="G1181" i="8"/>
  <c r="G329" i="8" s="1"/>
  <c r="H179" i="3"/>
  <c r="H180" i="3" s="1"/>
  <c r="L179" i="3"/>
  <c r="L180" i="3" s="1"/>
  <c r="N668" i="8"/>
  <c r="Q194" i="8"/>
  <c r="D31" i="14" s="1"/>
  <c r="G1289" i="8"/>
  <c r="Q948" i="8"/>
  <c r="P183" i="20"/>
  <c r="N85" i="22" s="1"/>
  <c r="P718" i="20"/>
  <c r="P1274" i="20" s="1"/>
  <c r="P723" i="20"/>
  <c r="P1275" i="20" s="1"/>
  <c r="I244" i="8"/>
  <c r="I912" i="8"/>
  <c r="I246" i="8" s="1"/>
  <c r="Q1007" i="20"/>
  <c r="G89" i="22"/>
  <c r="F35" i="22"/>
  <c r="O35" i="22" s="1"/>
  <c r="Q906" i="8"/>
  <c r="E908" i="8"/>
  <c r="L185" i="20"/>
  <c r="L1274" i="20"/>
  <c r="Q483" i="8"/>
  <c r="H302" i="20"/>
  <c r="G244" i="8"/>
  <c r="J975" i="8"/>
  <c r="J979" i="8" s="1"/>
  <c r="J260" i="8" s="1"/>
  <c r="H1105" i="8"/>
  <c r="H308" i="8" s="1"/>
  <c r="P300" i="3"/>
  <c r="P381" i="3"/>
  <c r="I1314" i="8"/>
  <c r="Q660" i="8"/>
  <c r="H605" i="20"/>
  <c r="Q605" i="8"/>
  <c r="F69" i="26" s="1"/>
  <c r="G178" i="26" s="1"/>
  <c r="H607" i="8"/>
  <c r="H1255" i="8"/>
  <c r="I1355" i="8" s="1"/>
  <c r="I1356" i="8" s="1"/>
  <c r="O158" i="20"/>
  <c r="O1266" i="20"/>
  <c r="P178" i="3"/>
  <c r="D434" i="3"/>
  <c r="P434" i="3" s="1"/>
  <c r="F628" i="8"/>
  <c r="F155" i="8" s="1"/>
  <c r="F153" i="8"/>
  <c r="F675" i="8"/>
  <c r="F159" i="8"/>
  <c r="D36" i="22" s="1"/>
  <c r="F670" i="8"/>
  <c r="F1266" i="8" s="1"/>
  <c r="F83" i="22"/>
  <c r="O83" i="22" s="1"/>
  <c r="M625" i="20"/>
  <c r="M152" i="20" s="1"/>
  <c r="P418" i="3"/>
  <c r="L428" i="3"/>
  <c r="L429" i="3" s="1"/>
  <c r="H720" i="8"/>
  <c r="H725" i="8"/>
  <c r="H1275" i="8" s="1"/>
  <c r="F37" i="22"/>
  <c r="Q772" i="8"/>
  <c r="E37" i="22"/>
  <c r="E39" i="22" s="1"/>
  <c r="G725" i="8"/>
  <c r="G720" i="8"/>
  <c r="F158" i="20"/>
  <c r="F1266" i="20"/>
  <c r="Q861" i="8"/>
  <c r="H185" i="20"/>
  <c r="F76" i="22" s="1"/>
  <c r="H1274" i="20"/>
  <c r="H1290" i="20" s="1"/>
  <c r="H774" i="8"/>
  <c r="H197" i="8" s="1"/>
  <c r="K251" i="8"/>
  <c r="I251" i="8"/>
  <c r="O863" i="8"/>
  <c r="O237" i="8" s="1"/>
  <c r="I1307" i="20"/>
  <c r="I1319" i="20" s="1"/>
  <c r="L316" i="20"/>
  <c r="E323" i="20"/>
  <c r="H1288" i="8"/>
  <c r="O1181" i="8"/>
  <c r="O329" i="8" s="1"/>
  <c r="P1288" i="20"/>
  <c r="J195" i="8"/>
  <c r="O1288" i="8"/>
  <c r="K1303" i="8"/>
  <c r="T80" i="8"/>
  <c r="I419" i="8"/>
  <c r="I70" i="8" s="1"/>
  <c r="O1014" i="8"/>
  <c r="O1018" i="8" s="1"/>
  <c r="O1020" i="8" s="1"/>
  <c r="O1012" i="8"/>
  <c r="O264" i="8" s="1"/>
  <c r="O419" i="3"/>
  <c r="O428" i="3"/>
  <c r="O429" i="3" s="1"/>
  <c r="F708" i="20"/>
  <c r="Q704" i="20"/>
  <c r="D170" i="3"/>
  <c r="F966" i="20"/>
  <c r="F252" i="20" s="1"/>
  <c r="Q965" i="20"/>
  <c r="P1209" i="20"/>
  <c r="P349" i="20" s="1"/>
  <c r="N89" i="22" s="1"/>
  <c r="I672" i="20"/>
  <c r="I1267" i="20" s="1"/>
  <c r="I156" i="20"/>
  <c r="I667" i="20"/>
  <c r="G1212" i="8"/>
  <c r="G353" i="8" s="1"/>
  <c r="G1214" i="8"/>
  <c r="Q1210" i="8"/>
  <c r="H1037" i="20"/>
  <c r="H287" i="20" s="1"/>
  <c r="F89" i="22" s="1"/>
  <c r="Q1036" i="20"/>
  <c r="F1209" i="20"/>
  <c r="F349" i="20" s="1"/>
  <c r="E672" i="20"/>
  <c r="E1267" i="20" s="1"/>
  <c r="E156" i="20"/>
  <c r="E667" i="20"/>
  <c r="D179" i="3"/>
  <c r="P267" i="3"/>
  <c r="N1209" i="20"/>
  <c r="N349" i="20" s="1"/>
  <c r="L89" i="22" s="1"/>
  <c r="L1042" i="8"/>
  <c r="L1046" i="8" s="1"/>
  <c r="L1314" i="8" s="1"/>
  <c r="L1040" i="8"/>
  <c r="L291" i="8" s="1"/>
  <c r="K1009" i="20"/>
  <c r="K259" i="20" s="1"/>
  <c r="I89" i="22" s="1"/>
  <c r="Q1005" i="20"/>
  <c r="Q663" i="8"/>
  <c r="E668" i="8"/>
  <c r="L1215" i="8"/>
  <c r="L1216" i="8" s="1"/>
  <c r="L1218" i="8" s="1"/>
  <c r="L1222" i="8" s="1"/>
  <c r="L356" i="8" s="1"/>
  <c r="L1212" i="8"/>
  <c r="L353" i="8" s="1"/>
  <c r="N158" i="20"/>
  <c r="L76" i="22" s="1"/>
  <c r="N1266" i="20"/>
  <c r="O1044" i="8"/>
  <c r="O1040" i="8"/>
  <c r="O291" i="8" s="1"/>
  <c r="Q1038" i="8"/>
  <c r="F712" i="8"/>
  <c r="F716" i="8" s="1"/>
  <c r="F710" i="8"/>
  <c r="F187" i="8" s="1"/>
  <c r="Q706" i="8"/>
  <c r="I1016" i="8"/>
  <c r="I1018" i="8" s="1"/>
  <c r="I1308" i="8" s="1"/>
  <c r="I1012" i="8"/>
  <c r="I264" i="8" s="1"/>
  <c r="G41" i="22" s="1"/>
  <c r="M183" i="20"/>
  <c r="K85" i="22" s="1"/>
  <c r="K87" i="22" s="1"/>
  <c r="M718" i="20"/>
  <c r="M723" i="20"/>
  <c r="M1275" i="20" s="1"/>
  <c r="M1292" i="20" s="1"/>
  <c r="D29" i="23"/>
  <c r="P129" i="3"/>
  <c r="J1214" i="8"/>
  <c r="J1216" i="8" s="1"/>
  <c r="J1212" i="8"/>
  <c r="J353" i="8" s="1"/>
  <c r="H41" i="22" s="1"/>
  <c r="F428" i="3"/>
  <c r="F419" i="3"/>
  <c r="P1214" i="8"/>
  <c r="P1216" i="8" s="1"/>
  <c r="P1218" i="8" s="1"/>
  <c r="P1222" i="8" s="1"/>
  <c r="P356" i="8" s="1"/>
  <c r="P1212" i="8"/>
  <c r="P353" i="8" s="1"/>
  <c r="H1040" i="8"/>
  <c r="H291" i="8" s="1"/>
  <c r="H1045" i="8"/>
  <c r="Q1039" i="8"/>
  <c r="F1215" i="8"/>
  <c r="F1216" i="8" s="1"/>
  <c r="F1218" i="8" s="1"/>
  <c r="F1222" i="8" s="1"/>
  <c r="F356" i="8" s="1"/>
  <c r="F1212" i="8"/>
  <c r="F353" i="8" s="1"/>
  <c r="Q1006" i="20"/>
  <c r="E1009" i="20"/>
  <c r="I419" i="3"/>
  <c r="I428" i="3"/>
  <c r="I429" i="3" s="1"/>
  <c r="M969" i="8"/>
  <c r="M257" i="8" s="1"/>
  <c r="K41" i="22" s="1"/>
  <c r="M971" i="8"/>
  <c r="M973" i="8" s="1"/>
  <c r="M975" i="8" s="1"/>
  <c r="M258" i="8" s="1"/>
  <c r="E170" i="3"/>
  <c r="E179" i="3"/>
  <c r="E180" i="3" s="1"/>
  <c r="I666" i="8"/>
  <c r="Q662" i="8"/>
  <c r="K1014" i="8"/>
  <c r="K1012" i="8"/>
  <c r="K264" i="8" s="1"/>
  <c r="Q1008" i="8"/>
  <c r="H969" i="8"/>
  <c r="H257" i="8" s="1"/>
  <c r="H971" i="8"/>
  <c r="H973" i="8" s="1"/>
  <c r="M1308" i="8"/>
  <c r="G1042" i="8"/>
  <c r="G1040" i="8"/>
  <c r="G291" i="8" s="1"/>
  <c r="Q1036" i="8"/>
  <c r="F1017" i="8"/>
  <c r="F1012" i="8"/>
  <c r="F264" i="8" s="1"/>
  <c r="Q1011" i="8"/>
  <c r="E213" i="26" s="1"/>
  <c r="Q657" i="20"/>
  <c r="F302" i="2"/>
  <c r="O179" i="3"/>
  <c r="L1209" i="20"/>
  <c r="L349" i="20" s="1"/>
  <c r="J89" i="22" s="1"/>
  <c r="N179" i="3"/>
  <c r="N180" i="3" s="1"/>
  <c r="N170" i="3"/>
  <c r="E1016" i="8"/>
  <c r="Q1010" i="8"/>
  <c r="Q705" i="20"/>
  <c r="E708" i="20"/>
  <c r="K1040" i="8"/>
  <c r="K291" i="8" s="1"/>
  <c r="K1042" i="8"/>
  <c r="K1046" i="8" s="1"/>
  <c r="I712" i="8"/>
  <c r="I716" i="8" s="1"/>
  <c r="I1273" i="8" s="1"/>
  <c r="I710" i="8"/>
  <c r="I187" i="8" s="1"/>
  <c r="O1037" i="20"/>
  <c r="O287" i="20" s="1"/>
  <c r="Q1035" i="20"/>
  <c r="M710" i="8"/>
  <c r="M187" i="8" s="1"/>
  <c r="M712" i="8"/>
  <c r="M716" i="8" s="1"/>
  <c r="M1273" i="8" s="1"/>
  <c r="M1289" i="8" s="1"/>
  <c r="E714" i="8"/>
  <c r="Q714" i="8" s="1"/>
  <c r="Q708" i="8"/>
  <c r="L1014" i="8"/>
  <c r="L1018" i="8" s="1"/>
  <c r="L1020" i="8" s="1"/>
  <c r="L1012" i="8"/>
  <c r="L264" i="8" s="1"/>
  <c r="J1209" i="20"/>
  <c r="J349" i="20" s="1"/>
  <c r="H89" i="22" s="1"/>
  <c r="H419" i="3"/>
  <c r="H428" i="3"/>
  <c r="H429" i="3" s="1"/>
  <c r="Q967" i="8"/>
  <c r="E239" i="26" s="1"/>
  <c r="E971" i="8"/>
  <c r="E969" i="8"/>
  <c r="P159" i="8"/>
  <c r="N36" i="22" s="1"/>
  <c r="P675" i="8"/>
  <c r="P670" i="8"/>
  <c r="P1266" i="8" s="1"/>
  <c r="M419" i="3"/>
  <c r="M428" i="3"/>
  <c r="O183" i="20"/>
  <c r="M85" i="22" s="1"/>
  <c r="M87" i="22" s="1"/>
  <c r="O718" i="20"/>
  <c r="O723" i="20"/>
  <c r="O1275" i="20" s="1"/>
  <c r="O1292" i="20" s="1"/>
  <c r="I179" i="3"/>
  <c r="G428" i="3"/>
  <c r="K180" i="3"/>
  <c r="P165" i="3"/>
  <c r="K428" i="3"/>
  <c r="K429" i="3" s="1"/>
  <c r="K419" i="3"/>
  <c r="J428" i="3"/>
  <c r="J419" i="3"/>
  <c r="Q1208" i="20"/>
  <c r="P1048" i="8"/>
  <c r="P292" i="8" s="1"/>
  <c r="G1037" i="20"/>
  <c r="G287" i="20" s="1"/>
  <c r="Q1033" i="20"/>
  <c r="F1009" i="20"/>
  <c r="F259" i="20" s="1"/>
  <c r="Q1008" i="20"/>
  <c r="E713" i="8"/>
  <c r="E710" i="8"/>
  <c r="E187" i="8" s="1"/>
  <c r="D419" i="3"/>
  <c r="D428" i="3"/>
  <c r="D429" i="3" s="1"/>
  <c r="P158" i="20"/>
  <c r="P1266" i="20"/>
  <c r="I718" i="20"/>
  <c r="I183" i="20"/>
  <c r="G85" i="22" s="1"/>
  <c r="I723" i="20"/>
  <c r="I1275" i="20" s="1"/>
  <c r="F972" i="8"/>
  <c r="F969" i="8"/>
  <c r="F257" i="8" s="1"/>
  <c r="Q968" i="8"/>
  <c r="E240" i="26" s="1"/>
  <c r="E966" i="20"/>
  <c r="Q964" i="20"/>
  <c r="N1042" i="8"/>
  <c r="N1046" i="8" s="1"/>
  <c r="N1040" i="8"/>
  <c r="N291" i="8" s="1"/>
  <c r="G1209" i="20"/>
  <c r="G349" i="20" s="1"/>
  <c r="Q1207" i="20"/>
  <c r="O713" i="8"/>
  <c r="O716" i="8" s="1"/>
  <c r="O710" i="8"/>
  <c r="O187" i="8" s="1"/>
  <c r="E159" i="8"/>
  <c r="C36" i="22" s="1"/>
  <c r="E675" i="8"/>
  <c r="E670" i="8"/>
  <c r="E1266" i="8" s="1"/>
  <c r="E1015" i="8"/>
  <c r="E1012" i="8"/>
  <c r="Q1009" i="8"/>
  <c r="H161" i="8"/>
  <c r="I159" i="8"/>
  <c r="G36" i="22" s="1"/>
  <c r="I670" i="8"/>
  <c r="I1266" i="8" s="1"/>
  <c r="I675" i="8"/>
  <c r="N1214" i="8"/>
  <c r="N1216" i="8" s="1"/>
  <c r="N1212" i="8"/>
  <c r="N353" i="8" s="1"/>
  <c r="N675" i="8"/>
  <c r="N670" i="8"/>
  <c r="N1266" i="8" s="1"/>
  <c r="N159" i="8"/>
  <c r="L36" i="22" s="1"/>
  <c r="P1016" i="8"/>
  <c r="P1018" i="8" s="1"/>
  <c r="P1012" i="8"/>
  <c r="P264" i="8" s="1"/>
  <c r="H354" i="8"/>
  <c r="K1321" i="8"/>
  <c r="Q1321" i="8" s="1"/>
  <c r="K230" i="8"/>
  <c r="F251" i="8"/>
  <c r="F357" i="20"/>
  <c r="H792" i="8"/>
  <c r="H797" i="8" s="1"/>
  <c r="H204" i="8" s="1"/>
  <c r="Q1321" i="20"/>
  <c r="L302" i="2"/>
  <c r="J1052" i="8"/>
  <c r="J294" i="8" s="1"/>
  <c r="P299" i="2"/>
  <c r="N361" i="8"/>
  <c r="J1260" i="8"/>
  <c r="I68" i="8"/>
  <c r="M1307" i="20"/>
  <c r="M1319" i="20" s="1"/>
  <c r="N1319" i="20"/>
  <c r="I309" i="20"/>
  <c r="O979" i="8"/>
  <c r="O260" i="8" s="1"/>
  <c r="I1157" i="8"/>
  <c r="I322" i="8" s="1"/>
  <c r="G1288" i="8"/>
  <c r="O1157" i="8"/>
  <c r="O322" i="8" s="1"/>
  <c r="I354" i="8"/>
  <c r="P146" i="2"/>
  <c r="O419" i="8"/>
  <c r="O70" i="8" s="1"/>
  <c r="J1177" i="20"/>
  <c r="J325" i="20" s="1"/>
  <c r="F912" i="8"/>
  <c r="F246" i="8" s="1"/>
  <c r="L1101" i="20"/>
  <c r="L304" i="20" s="1"/>
  <c r="O792" i="8"/>
  <c r="O797" i="8" s="1"/>
  <c r="O204" i="8" s="1"/>
  <c r="M21" i="22" s="1"/>
  <c r="M320" i="8"/>
  <c r="N1288" i="20"/>
  <c r="H1288" i="20"/>
  <c r="M313" i="8"/>
  <c r="G954" i="8"/>
  <c r="G253" i="8" s="1"/>
  <c r="O302" i="2"/>
  <c r="F1288" i="20"/>
  <c r="M1288" i="20"/>
  <c r="D21" i="22"/>
  <c r="L950" i="8"/>
  <c r="L954" i="8" s="1"/>
  <c r="L253" i="8" s="1"/>
  <c r="L1260" i="8"/>
  <c r="Q961" i="20"/>
  <c r="I1087" i="8"/>
  <c r="I301" i="8" s="1"/>
  <c r="J668" i="8"/>
  <c r="M1222" i="8"/>
  <c r="M356" i="8" s="1"/>
  <c r="E1048" i="8"/>
  <c r="E292" i="8" s="1"/>
  <c r="K975" i="8"/>
  <c r="K258" i="8" s="1"/>
  <c r="T79" i="20"/>
  <c r="J299" i="8"/>
  <c r="L299" i="8"/>
  <c r="O361" i="8"/>
  <c r="E195" i="8"/>
  <c r="I1260" i="8"/>
  <c r="Q765" i="8"/>
  <c r="J1355" i="8"/>
  <c r="J1356" i="8" s="1"/>
  <c r="J867" i="8"/>
  <c r="J239" i="8" s="1"/>
  <c r="Q836" i="20"/>
  <c r="I230" i="8"/>
  <c r="O68" i="8"/>
  <c r="E1260" i="8"/>
  <c r="I306" i="8"/>
  <c r="M1288" i="8"/>
  <c r="P327" i="8"/>
  <c r="P361" i="8"/>
  <c r="J309" i="20"/>
  <c r="E299" i="8"/>
  <c r="L1287" i="8"/>
  <c r="N309" i="20"/>
  <c r="K354" i="8"/>
  <c r="K313" i="8"/>
  <c r="O668" i="8"/>
  <c r="M1312" i="8"/>
  <c r="Q962" i="8"/>
  <c r="M1306" i="8"/>
  <c r="O1319" i="20"/>
  <c r="G1087" i="8"/>
  <c r="G301" i="8" s="1"/>
  <c r="G299" i="8"/>
  <c r="K792" i="8"/>
  <c r="K797" i="8" s="1"/>
  <c r="K204" i="8" s="1"/>
  <c r="K22" i="8" s="1"/>
  <c r="Q1149" i="20"/>
  <c r="Q256" i="8"/>
  <c r="C40" i="14" s="1"/>
  <c r="K1319" i="8"/>
  <c r="J1181" i="8"/>
  <c r="J329" i="8" s="1"/>
  <c r="K1157" i="8"/>
  <c r="K322" i="8" s="1"/>
  <c r="J1157" i="8"/>
  <c r="J322" i="8" s="1"/>
  <c r="M867" i="8"/>
  <c r="M239" i="8" s="1"/>
  <c r="J1123" i="8"/>
  <c r="J315" i="8" s="1"/>
  <c r="G1288" i="20"/>
  <c r="Q1115" i="20"/>
  <c r="Q1002" i="20"/>
  <c r="O75" i="8"/>
  <c r="Q1298" i="8"/>
  <c r="I327" i="8"/>
  <c r="H1087" i="8"/>
  <c r="H301" i="8" s="1"/>
  <c r="H299" i="8"/>
  <c r="P1355" i="8"/>
  <c r="P1356" i="8" s="1"/>
  <c r="Q290" i="8"/>
  <c r="C42" i="14" s="1"/>
  <c r="G68" i="8"/>
  <c r="O1119" i="20"/>
  <c r="O311" i="20" s="1"/>
  <c r="G668" i="8"/>
  <c r="G672" i="8" s="1"/>
  <c r="G677" i="8" s="1"/>
  <c r="G162" i="8" s="1"/>
  <c r="F1123" i="8"/>
  <c r="F315" i="8" s="1"/>
  <c r="F313" i="8"/>
  <c r="H1307" i="8"/>
  <c r="H1319" i="8" s="1"/>
  <c r="F1319" i="20"/>
  <c r="J1287" i="8"/>
  <c r="G1260" i="8"/>
  <c r="O309" i="20"/>
  <c r="O1287" i="8"/>
  <c r="N265" i="8"/>
  <c r="K1177" i="20"/>
  <c r="K325" i="20" s="1"/>
  <c r="P230" i="8"/>
  <c r="Q1004" i="8"/>
  <c r="G1119" i="20"/>
  <c r="F863" i="8"/>
  <c r="H668" i="8"/>
  <c r="N863" i="8"/>
  <c r="I1123" i="8"/>
  <c r="I315" i="8" s="1"/>
  <c r="I313" i="8"/>
  <c r="M1243" i="20"/>
  <c r="M359" i="20" s="1"/>
  <c r="M357" i="20"/>
  <c r="L975" i="8"/>
  <c r="L979" i="8" s="1"/>
  <c r="Q1239" i="20"/>
  <c r="Q155" i="20"/>
  <c r="Q158" i="8"/>
  <c r="C29" i="14" s="1"/>
  <c r="I357" i="20"/>
  <c r="F1307" i="8"/>
  <c r="F1319" i="8" s="1"/>
  <c r="Q652" i="8"/>
  <c r="P95" i="20"/>
  <c r="P502" i="20"/>
  <c r="P97" i="20" s="1"/>
  <c r="L1157" i="8"/>
  <c r="L322" i="8" s="1"/>
  <c r="L320" i="8"/>
  <c r="F230" i="8"/>
  <c r="E1101" i="20"/>
  <c r="E304" i="20" s="1"/>
  <c r="Q263" i="8"/>
  <c r="C41" i="14" s="1"/>
  <c r="P1318" i="8"/>
  <c r="H1319" i="20"/>
  <c r="E1307" i="8"/>
  <c r="E1319" i="8" s="1"/>
  <c r="L1312" i="8"/>
  <c r="G1271" i="8"/>
  <c r="G718" i="8"/>
  <c r="P1315" i="8"/>
  <c r="Q653" i="8"/>
  <c r="Q182" i="20"/>
  <c r="F1288" i="8"/>
  <c r="I1271" i="8"/>
  <c r="N1271" i="8"/>
  <c r="N1287" i="8" s="1"/>
  <c r="N718" i="8"/>
  <c r="I316" i="20"/>
  <c r="I1153" i="20"/>
  <c r="I318" i="20" s="1"/>
  <c r="N320" i="8"/>
  <c r="N1157" i="8"/>
  <c r="N322" i="8" s="1"/>
  <c r="P320" i="8"/>
  <c r="P1157" i="8"/>
  <c r="P322" i="8" s="1"/>
  <c r="E1307" i="20"/>
  <c r="E1319" i="20" s="1"/>
  <c r="I863" i="8"/>
  <c r="I1306" i="8"/>
  <c r="M1048" i="8"/>
  <c r="M292" i="8" s="1"/>
  <c r="Q837" i="8"/>
  <c r="Q1083" i="8"/>
  <c r="Q1301" i="20"/>
  <c r="Q1173" i="20"/>
  <c r="H863" i="8"/>
  <c r="H237" i="8" s="1"/>
  <c r="Q417" i="8"/>
  <c r="F668" i="8"/>
  <c r="E1271" i="8"/>
  <c r="E1287" i="8" s="1"/>
  <c r="N1272" i="8"/>
  <c r="N1288" i="8" s="1"/>
  <c r="G306" i="8"/>
  <c r="G1105" i="8"/>
  <c r="G308" i="8" s="1"/>
  <c r="O502" i="20"/>
  <c r="O97" i="20" s="1"/>
  <c r="O95" i="20"/>
  <c r="G316" i="20"/>
  <c r="G1153" i="20"/>
  <c r="G318" i="20" s="1"/>
  <c r="F1287" i="8"/>
  <c r="E863" i="8"/>
  <c r="O954" i="8"/>
  <c r="O253" i="8" s="1"/>
  <c r="O251" i="8"/>
  <c r="I1307" i="8"/>
  <c r="Q498" i="20"/>
  <c r="L1319" i="20"/>
  <c r="P954" i="8"/>
  <c r="P253" i="8" s="1"/>
  <c r="P251" i="8"/>
  <c r="M1271" i="8"/>
  <c r="G96" i="8"/>
  <c r="G504" i="8"/>
  <c r="G98" i="8" s="1"/>
  <c r="Q500" i="8"/>
  <c r="Q464" i="20"/>
  <c r="J81" i="20"/>
  <c r="E1306" i="8"/>
  <c r="E950" i="8"/>
  <c r="M230" i="8"/>
  <c r="Q1032" i="8"/>
  <c r="Q1005" i="8"/>
  <c r="Q701" i="20"/>
  <c r="M1319" i="8"/>
  <c r="J468" i="20"/>
  <c r="Q258" i="20"/>
  <c r="F1306" i="8"/>
  <c r="P68" i="8"/>
  <c r="P411" i="8"/>
  <c r="P419" i="8" s="1"/>
  <c r="P70" i="8" s="1"/>
  <c r="E306" i="8"/>
  <c r="E1105" i="8"/>
  <c r="E308" i="8" s="1"/>
  <c r="I323" i="20"/>
  <c r="I1177" i="20"/>
  <c r="I325" i="20" s="1"/>
  <c r="M1020" i="8"/>
  <c r="L1313" i="8"/>
  <c r="Q964" i="8"/>
  <c r="K863" i="8"/>
  <c r="K1306" i="8"/>
  <c r="P863" i="8"/>
  <c r="M251" i="8"/>
  <c r="M954" i="8"/>
  <c r="M253" i="8" s="1"/>
  <c r="Q848" i="8"/>
  <c r="G1307" i="8"/>
  <c r="G1319" i="8" s="1"/>
  <c r="I361" i="8"/>
  <c r="I1245" i="8"/>
  <c r="I363" i="8" s="1"/>
  <c r="M306" i="8"/>
  <c r="M1105" i="8"/>
  <c r="M308" i="8" s="1"/>
  <c r="Q1003" i="8"/>
  <c r="G1020" i="8"/>
  <c r="Q1355" i="8"/>
  <c r="Q1356" i="8" s="1"/>
  <c r="P1287" i="8"/>
  <c r="Q1241" i="8"/>
  <c r="I1313" i="8"/>
  <c r="Q1033" i="8"/>
  <c r="N68" i="8"/>
  <c r="N411" i="8"/>
  <c r="N419" i="8" s="1"/>
  <c r="N70" i="8" s="1"/>
  <c r="M361" i="8"/>
  <c r="M1245" i="8"/>
  <c r="M363" i="8" s="1"/>
  <c r="M411" i="8"/>
  <c r="M419" i="8" s="1"/>
  <c r="M70" i="8" s="1"/>
  <c r="M68" i="8"/>
  <c r="L1355" i="8"/>
  <c r="L1356" i="8" s="1"/>
  <c r="K1260" i="8"/>
  <c r="F306" i="8"/>
  <c r="F1105" i="8"/>
  <c r="F308" i="8" s="1"/>
  <c r="G1307" i="20"/>
  <c r="G1319" i="20" s="1"/>
  <c r="Q847" i="20"/>
  <c r="O1312" i="8"/>
  <c r="H1287" i="8"/>
  <c r="J832" i="8"/>
  <c r="J839" i="8" s="1"/>
  <c r="J232" i="8" s="1"/>
  <c r="J230" i="8"/>
  <c r="Q1257" i="8"/>
  <c r="M668" i="8"/>
  <c r="Q1272" i="20"/>
  <c r="Q407" i="8"/>
  <c r="M1303" i="8"/>
  <c r="Q1031" i="8"/>
  <c r="I1312" i="8"/>
  <c r="I1048" i="8"/>
  <c r="Q235" i="8"/>
  <c r="C37" i="14" s="1"/>
  <c r="H320" i="8"/>
  <c r="H1157" i="8"/>
  <c r="H322" i="8" s="1"/>
  <c r="Q703" i="8"/>
  <c r="K1272" i="8"/>
  <c r="L1306" i="8"/>
  <c r="L863" i="8"/>
  <c r="G1291" i="8"/>
  <c r="Q1291" i="8" s="1"/>
  <c r="H1355" i="8"/>
  <c r="H1356" i="8" s="1"/>
  <c r="P1105" i="8"/>
  <c r="P308" i="8" s="1"/>
  <c r="P306" i="8"/>
  <c r="G1355" i="8"/>
  <c r="G1356" i="8" s="1"/>
  <c r="Q1253" i="8"/>
  <c r="P1260" i="8"/>
  <c r="O313" i="8"/>
  <c r="O1123" i="8"/>
  <c r="O315" i="8" s="1"/>
  <c r="Q230" i="20"/>
  <c r="H68" i="8"/>
  <c r="H411" i="8"/>
  <c r="H419" i="8" s="1"/>
  <c r="H70" i="8" s="1"/>
  <c r="P668" i="8"/>
  <c r="J1284" i="8"/>
  <c r="F1260" i="8"/>
  <c r="G139" i="8"/>
  <c r="G572" i="8"/>
  <c r="Q568" i="8"/>
  <c r="K718" i="8"/>
  <c r="K1271" i="8"/>
  <c r="Q702" i="8"/>
  <c r="L1307" i="8"/>
  <c r="J202" i="8"/>
  <c r="J792" i="8"/>
  <c r="J797" i="8" s="1"/>
  <c r="J204" i="8" s="1"/>
  <c r="G313" i="8"/>
  <c r="G1123" i="8"/>
  <c r="Q1119" i="8"/>
  <c r="Q551" i="8"/>
  <c r="G555" i="8"/>
  <c r="G132" i="8"/>
  <c r="K1181" i="8"/>
  <c r="K329" i="8" s="1"/>
  <c r="K327" i="8"/>
  <c r="O1313" i="8"/>
  <c r="O1319" i="8" s="1"/>
  <c r="I1264" i="20"/>
  <c r="Q650" i="20"/>
  <c r="G419" i="8"/>
  <c r="G70" i="8" s="1"/>
  <c r="G863" i="8"/>
  <c r="Q847" i="8"/>
  <c r="G1306" i="8"/>
  <c r="G1157" i="8"/>
  <c r="G320" i="8"/>
  <c r="Q1153" i="8"/>
  <c r="G570" i="20"/>
  <c r="G138" i="20" s="1"/>
  <c r="G136" i="20"/>
  <c r="N1260" i="8"/>
  <c r="O1355" i="8"/>
  <c r="O1356" i="8" s="1"/>
  <c r="G553" i="20"/>
  <c r="G131" i="20" s="1"/>
  <c r="G129" i="20"/>
  <c r="Q1030" i="20"/>
  <c r="P538" i="8"/>
  <c r="P105" i="8" s="1"/>
  <c r="P103" i="8"/>
  <c r="Q286" i="20"/>
  <c r="M1260" i="8"/>
  <c r="N1355" i="8"/>
  <c r="N1356" i="8" s="1"/>
  <c r="Q1313" i="20"/>
  <c r="F538" i="8"/>
  <c r="Q534" i="8"/>
  <c r="F103" i="8"/>
  <c r="F411" i="8"/>
  <c r="F419" i="8" s="1"/>
  <c r="F70" i="8" s="1"/>
  <c r="F68" i="8"/>
  <c r="P75" i="8"/>
  <c r="P436" i="8"/>
  <c r="P77" i="8" s="1"/>
  <c r="E138" i="20"/>
  <c r="F131" i="20"/>
  <c r="F774" i="8"/>
  <c r="G91" i="8"/>
  <c r="E1303" i="8"/>
  <c r="Q1034" i="20"/>
  <c r="F1037" i="20"/>
  <c r="J318" i="20"/>
  <c r="H251" i="8"/>
  <c r="H954" i="8"/>
  <c r="H253" i="8" s="1"/>
  <c r="J937" i="8"/>
  <c r="J939" i="8"/>
  <c r="J249" i="8"/>
  <c r="Q249" i="8" s="1"/>
  <c r="J938" i="8"/>
  <c r="Q938" i="8" s="1"/>
  <c r="Q936" i="8"/>
  <c r="I1284" i="8"/>
  <c r="Q1282" i="8"/>
  <c r="Q1284" i="8" s="1"/>
  <c r="E832" i="8"/>
  <c r="E839" i="8" s="1"/>
  <c r="E232" i="8" s="1"/>
  <c r="E26" i="8" s="1"/>
  <c r="E230" i="8"/>
  <c r="I296" i="2"/>
  <c r="P296" i="2" s="1"/>
  <c r="I300" i="2"/>
  <c r="E102" i="20"/>
  <c r="E536" i="20"/>
  <c r="Q532" i="20"/>
  <c r="G436" i="8"/>
  <c r="G75" i="8"/>
  <c r="Q432" i="8"/>
  <c r="H1318" i="8"/>
  <c r="O302" i="20"/>
  <c r="Q1097" i="20"/>
  <c r="O1101" i="20"/>
  <c r="Q715" i="8"/>
  <c r="J716" i="8"/>
  <c r="I436" i="8"/>
  <c r="I77" i="8" s="1"/>
  <c r="I75" i="8"/>
  <c r="P284" i="2"/>
  <c r="P24" i="23"/>
  <c r="M56" i="23"/>
  <c r="F1043" i="8"/>
  <c r="F1040" i="8"/>
  <c r="Q1037" i="8"/>
  <c r="H1308" i="8"/>
  <c r="H1020" i="8"/>
  <c r="E1293" i="20"/>
  <c r="Q1293" i="20" s="1"/>
  <c r="Q1259" i="20"/>
  <c r="E424" i="3"/>
  <c r="P424" i="3" s="1"/>
  <c r="E428" i="3"/>
  <c r="P423" i="3"/>
  <c r="O1105" i="8"/>
  <c r="O306" i="8"/>
  <c r="Q1101" i="8"/>
  <c r="J718" i="20"/>
  <c r="J183" i="20"/>
  <c r="H85" i="22" s="1"/>
  <c r="J723" i="20"/>
  <c r="J1275" i="20" s="1"/>
  <c r="G74" i="20"/>
  <c r="G433" i="20"/>
  <c r="G76" i="20" s="1"/>
  <c r="E433" i="20"/>
  <c r="E76" i="20" s="1"/>
  <c r="Q429" i="20"/>
  <c r="E74" i="20"/>
  <c r="I202" i="8"/>
  <c r="I792" i="8"/>
  <c r="Q788" i="8"/>
  <c r="J244" i="20"/>
  <c r="Q244" i="20" s="1"/>
  <c r="J936" i="20"/>
  <c r="J935" i="20"/>
  <c r="Q935" i="20" s="1"/>
  <c r="Q933" i="20"/>
  <c r="F148" i="8"/>
  <c r="E359" i="20"/>
  <c r="P716" i="8"/>
  <c r="L832" i="8"/>
  <c r="L230" i="8"/>
  <c r="Q828" i="8"/>
  <c r="L1322" i="8"/>
  <c r="Q1322" i="8" s="1"/>
  <c r="Q1302" i="8"/>
  <c r="L1303" i="8"/>
  <c r="Q1300" i="8"/>
  <c r="G975" i="8"/>
  <c r="J1267" i="20"/>
  <c r="L1266" i="20"/>
  <c r="L158" i="20"/>
  <c r="J76" i="22" s="1"/>
  <c r="O1216" i="8"/>
  <c r="I253" i="8"/>
  <c r="L668" i="8"/>
  <c r="K158" i="20"/>
  <c r="K1266" i="20"/>
  <c r="O349" i="20"/>
  <c r="J158" i="20"/>
  <c r="J1266" i="20"/>
  <c r="K161" i="8"/>
  <c r="L161" i="8"/>
  <c r="M161" i="8"/>
  <c r="K668" i="8"/>
  <c r="O353" i="8"/>
  <c r="M158" i="20"/>
  <c r="M1266" i="20"/>
  <c r="L145" i="20"/>
  <c r="D235" i="26" l="1"/>
  <c r="G235" i="26" s="1"/>
  <c r="K235" i="26" s="1"/>
  <c r="D236" i="26"/>
  <c r="G236" i="26" s="1"/>
  <c r="K236" i="26" s="1"/>
  <c r="G62" i="26"/>
  <c r="I62" i="26" s="1"/>
  <c r="C39" i="28"/>
  <c r="E37" i="28"/>
  <c r="C25" i="28"/>
  <c r="E23" i="28"/>
  <c r="E25" i="28" s="1"/>
  <c r="H1329" i="8"/>
  <c r="L1328" i="8"/>
  <c r="L1329" i="8"/>
  <c r="I95" i="26"/>
  <c r="H149" i="26"/>
  <c r="H150" i="26" s="1"/>
  <c r="I149" i="26"/>
  <c r="I150" i="26" s="1"/>
  <c r="F149" i="26"/>
  <c r="G149" i="26"/>
  <c r="G150" i="26" s="1"/>
  <c r="E15" i="26"/>
  <c r="L188" i="8"/>
  <c r="P725" i="8"/>
  <c r="P187" i="8"/>
  <c r="N37" i="22" s="1"/>
  <c r="J725" i="8"/>
  <c r="J1275" i="8" s="1"/>
  <c r="J1292" i="8" s="1"/>
  <c r="J187" i="8"/>
  <c r="G76" i="26"/>
  <c r="I76" i="26" s="1"/>
  <c r="G73" i="26"/>
  <c r="I73" i="26" s="1"/>
  <c r="G68" i="26"/>
  <c r="I68" i="26" s="1"/>
  <c r="F41" i="22"/>
  <c r="G67" i="26"/>
  <c r="I67" i="26" s="1"/>
  <c r="A78" i="2"/>
  <c r="G172" i="26"/>
  <c r="G64" i="26"/>
  <c r="I64" i="26" s="1"/>
  <c r="E210" i="26"/>
  <c r="E212" i="26"/>
  <c r="E211" i="26"/>
  <c r="E14" i="26"/>
  <c r="E241" i="26"/>
  <c r="G111" i="26"/>
  <c r="G113" i="26" s="1"/>
  <c r="I113" i="26" s="1"/>
  <c r="G75" i="26"/>
  <c r="I75" i="26" s="1"/>
  <c r="G105" i="26"/>
  <c r="G107" i="26" s="1"/>
  <c r="G63" i="26"/>
  <c r="G66" i="26"/>
  <c r="I66" i="26" s="1"/>
  <c r="F107" i="26"/>
  <c r="G65" i="26"/>
  <c r="I65" i="26" s="1"/>
  <c r="G72" i="26"/>
  <c r="I72" i="26" s="1"/>
  <c r="G70" i="26"/>
  <c r="I70" i="26" s="1"/>
  <c r="I60" i="26"/>
  <c r="H205" i="26"/>
  <c r="G69" i="26"/>
  <c r="I69" i="26" s="1"/>
  <c r="G201" i="26"/>
  <c r="E153" i="26"/>
  <c r="T65" i="20"/>
  <c r="H1328" i="20"/>
  <c r="L1328" i="20"/>
  <c r="N1328" i="20"/>
  <c r="D78" i="26"/>
  <c r="J28" i="8"/>
  <c r="I39" i="22"/>
  <c r="M19" i="8"/>
  <c r="N954" i="8"/>
  <c r="N253" i="8" s="1"/>
  <c r="N21" i="22"/>
  <c r="K1292" i="8"/>
  <c r="Q90" i="20"/>
  <c r="Q88" i="20"/>
  <c r="Q150" i="20"/>
  <c r="J19" i="8"/>
  <c r="C18" i="22"/>
  <c r="Q84" i="8"/>
  <c r="F22" i="26" s="1"/>
  <c r="I91" i="22"/>
  <c r="Q102" i="20"/>
  <c r="E19" i="8"/>
  <c r="Q82" i="8"/>
  <c r="K19" i="8"/>
  <c r="K1290" i="8"/>
  <c r="L19" i="8"/>
  <c r="K1290" i="20"/>
  <c r="K189" i="8"/>
  <c r="I28" i="22" s="1"/>
  <c r="N22" i="8"/>
  <c r="H18" i="22"/>
  <c r="Q153" i="8"/>
  <c r="Q74" i="20"/>
  <c r="G185" i="20"/>
  <c r="E76" i="22" s="1"/>
  <c r="L39" i="22"/>
  <c r="Q129" i="20"/>
  <c r="Q1177" i="8"/>
  <c r="G1290" i="20"/>
  <c r="I18" i="22"/>
  <c r="N1290" i="20"/>
  <c r="K185" i="20"/>
  <c r="I76" i="22" s="1"/>
  <c r="O160" i="8"/>
  <c r="Q485" i="20"/>
  <c r="J21" i="22"/>
  <c r="Q136" i="20"/>
  <c r="M160" i="8"/>
  <c r="Q96" i="8"/>
  <c r="Q769" i="8"/>
  <c r="E21" i="22"/>
  <c r="K91" i="22"/>
  <c r="Q155" i="8"/>
  <c r="F26" i="26" s="1"/>
  <c r="L1292" i="8"/>
  <c r="O867" i="8"/>
  <c r="O239" i="8" s="1"/>
  <c r="H1260" i="8"/>
  <c r="I19" i="8"/>
  <c r="O19" i="8"/>
  <c r="H435" i="3"/>
  <c r="H436" i="3" s="1"/>
  <c r="J720" i="8"/>
  <c r="J189" i="8" s="1"/>
  <c r="Q139" i="8"/>
  <c r="Q98" i="8"/>
  <c r="F19" i="26" s="1"/>
  <c r="J161" i="8"/>
  <c r="P185" i="20"/>
  <c r="N76" i="22" s="1"/>
  <c r="P720" i="8"/>
  <c r="P1274" i="8" s="1"/>
  <c r="Q487" i="8"/>
  <c r="M22" i="8"/>
  <c r="J672" i="8"/>
  <c r="J677" i="8" s="1"/>
  <c r="J162" i="8" s="1"/>
  <c r="H1268" i="8"/>
  <c r="N160" i="8"/>
  <c r="Q132" i="8"/>
  <c r="O161" i="8"/>
  <c r="H188" i="8"/>
  <c r="Q628" i="8"/>
  <c r="O22" i="8"/>
  <c r="H722" i="8"/>
  <c r="H727" i="8" s="1"/>
  <c r="H190" i="8" s="1"/>
  <c r="H327" i="8"/>
  <c r="Q327" i="8" s="1"/>
  <c r="Q1209" i="20"/>
  <c r="L1048" i="8"/>
  <c r="L292" i="8" s="1"/>
  <c r="Q152" i="20"/>
  <c r="H26" i="26" s="1"/>
  <c r="N435" i="3"/>
  <c r="N436" i="3" s="1"/>
  <c r="Q81" i="20"/>
  <c r="M718" i="8"/>
  <c r="I1320" i="8"/>
  <c r="Q91" i="8"/>
  <c r="J18" i="22"/>
  <c r="Q712" i="8"/>
  <c r="I1289" i="8"/>
  <c r="L1290" i="20"/>
  <c r="Q625" i="20"/>
  <c r="L91" i="22"/>
  <c r="Q1212" i="8"/>
  <c r="Q470" i="8"/>
  <c r="L189" i="8"/>
  <c r="J28" i="22" s="1"/>
  <c r="L1274" i="8"/>
  <c r="L1276" i="8" s="1"/>
  <c r="Q159" i="8"/>
  <c r="D29" i="14" s="1"/>
  <c r="Q302" i="20"/>
  <c r="L41" i="22"/>
  <c r="O36" i="22"/>
  <c r="L722" i="8"/>
  <c r="L727" i="8" s="1"/>
  <c r="L190" i="8" s="1"/>
  <c r="Q666" i="8"/>
  <c r="Q323" i="20"/>
  <c r="P1052" i="8"/>
  <c r="P294" i="8" s="1"/>
  <c r="P28" i="8" s="1"/>
  <c r="L354" i="8"/>
  <c r="H1292" i="8"/>
  <c r="F39" i="22"/>
  <c r="E672" i="8"/>
  <c r="E677" i="8" s="1"/>
  <c r="Q667" i="20"/>
  <c r="P419" i="3"/>
  <c r="I41" i="22"/>
  <c r="J91" i="22"/>
  <c r="F1268" i="8"/>
  <c r="F161" i="8"/>
  <c r="Q675" i="8"/>
  <c r="G189" i="8"/>
  <c r="G1274" i="8"/>
  <c r="G1290" i="8" s="1"/>
  <c r="Q156" i="20"/>
  <c r="M1314" i="8"/>
  <c r="M1320" i="8" s="1"/>
  <c r="L1308" i="8"/>
  <c r="L1320" i="8" s="1"/>
  <c r="I1020" i="8"/>
  <c r="I1024" i="8" s="1"/>
  <c r="I267" i="8" s="1"/>
  <c r="M18" i="22"/>
  <c r="P354" i="8"/>
  <c r="E41" i="22"/>
  <c r="E43" i="22" s="1"/>
  <c r="L435" i="3"/>
  <c r="L436" i="3" s="1"/>
  <c r="G1275" i="8"/>
  <c r="G1292" i="8" s="1"/>
  <c r="H143" i="20"/>
  <c r="Q143" i="20" s="1"/>
  <c r="Q605" i="20"/>
  <c r="H609" i="20"/>
  <c r="N41" i="22"/>
  <c r="H611" i="8"/>
  <c r="H146" i="8"/>
  <c r="Q146" i="8" s="1"/>
  <c r="Q607" i="8"/>
  <c r="E912" i="8"/>
  <c r="E246" i="8" s="1"/>
  <c r="Q246" i="8" s="1"/>
  <c r="E38" i="14" s="1"/>
  <c r="E26" i="19" s="1"/>
  <c r="E244" i="8"/>
  <c r="Q244" i="8" s="1"/>
  <c r="Q713" i="8"/>
  <c r="P428" i="3"/>
  <c r="Q908" i="8"/>
  <c r="E1052" i="8"/>
  <c r="E294" i="8" s="1"/>
  <c r="I668" i="8"/>
  <c r="I672" i="8" s="1"/>
  <c r="I677" i="8" s="1"/>
  <c r="I162" i="8" s="1"/>
  <c r="G19" i="22" s="1"/>
  <c r="F354" i="8"/>
  <c r="J258" i="8"/>
  <c r="P170" i="3"/>
  <c r="H1274" i="8"/>
  <c r="H1276" i="8" s="1"/>
  <c r="H189" i="8"/>
  <c r="F28" i="22" s="1"/>
  <c r="F87" i="22"/>
  <c r="F91" i="22" s="1"/>
  <c r="H1289" i="8"/>
  <c r="Q1255" i="8"/>
  <c r="Q1260" i="8" s="1"/>
  <c r="M979" i="8"/>
  <c r="M260" i="8" s="1"/>
  <c r="Q195" i="8"/>
  <c r="G18" i="22"/>
  <c r="P1308" i="8"/>
  <c r="P1020" i="8"/>
  <c r="I161" i="8"/>
  <c r="J1361" i="8"/>
  <c r="J1362" i="8" s="1"/>
  <c r="E725" i="8"/>
  <c r="E1275" i="8" s="1"/>
  <c r="E720" i="8"/>
  <c r="C37" i="22"/>
  <c r="C39" i="22" s="1"/>
  <c r="J435" i="3"/>
  <c r="J436" i="3" s="1"/>
  <c r="J429" i="3"/>
  <c r="G429" i="3"/>
  <c r="G435" i="3"/>
  <c r="G436" i="3" s="1"/>
  <c r="F1273" i="8"/>
  <c r="F718" i="8"/>
  <c r="I1266" i="20"/>
  <c r="I158" i="20"/>
  <c r="Q1215" i="8"/>
  <c r="Q672" i="20"/>
  <c r="I718" i="8"/>
  <c r="I1361" i="8"/>
  <c r="I1362" i="8" s="1"/>
  <c r="E264" i="8"/>
  <c r="Q264" i="8" s="1"/>
  <c r="D41" i="14" s="1"/>
  <c r="Q1012" i="8"/>
  <c r="F973" i="8"/>
  <c r="F975" i="8" s="1"/>
  <c r="Q972" i="8"/>
  <c r="E716" i="8"/>
  <c r="Q716" i="8" s="1"/>
  <c r="E89" i="22"/>
  <c r="E91" i="22" s="1"/>
  <c r="I180" i="3"/>
  <c r="I435" i="3"/>
  <c r="I436" i="3" s="1"/>
  <c r="M429" i="3"/>
  <c r="M435" i="3"/>
  <c r="M436" i="3" s="1"/>
  <c r="J41" i="22"/>
  <c r="J43" i="22" s="1"/>
  <c r="K1048" i="8"/>
  <c r="K1314" i="8"/>
  <c r="K1315" i="8" s="1"/>
  <c r="E718" i="20"/>
  <c r="E183" i="20"/>
  <c r="E723" i="20"/>
  <c r="E1275" i="20" s="1"/>
  <c r="E1292" i="20" s="1"/>
  <c r="Q708" i="20"/>
  <c r="O180" i="3"/>
  <c r="O435" i="3"/>
  <c r="O436" i="3" s="1"/>
  <c r="G1046" i="8"/>
  <c r="Q1042" i="8"/>
  <c r="H975" i="8"/>
  <c r="K1018" i="8"/>
  <c r="Q1014" i="8"/>
  <c r="E259" i="20"/>
  <c r="Q259" i="20" s="1"/>
  <c r="Q1009" i="20"/>
  <c r="J1308" i="8"/>
  <c r="J1320" i="8" s="1"/>
  <c r="J1218" i="8"/>
  <c r="M1274" i="20"/>
  <c r="M1290" i="20" s="1"/>
  <c r="M185" i="20"/>
  <c r="M1328" i="20" s="1"/>
  <c r="G87" i="22"/>
  <c r="G91" i="22" s="1"/>
  <c r="F183" i="20"/>
  <c r="D85" i="22" s="1"/>
  <c r="D87" i="22" s="1"/>
  <c r="F723" i="20"/>
  <c r="F1275" i="20" s="1"/>
  <c r="F1292" i="20" s="1"/>
  <c r="F718" i="20"/>
  <c r="O1024" i="8"/>
  <c r="O267" i="8" s="1"/>
  <c r="O265" i="8"/>
  <c r="E1267" i="8"/>
  <c r="E160" i="8"/>
  <c r="Q710" i="8"/>
  <c r="M1309" i="8"/>
  <c r="N161" i="8"/>
  <c r="N1218" i="8"/>
  <c r="N1308" i="8"/>
  <c r="Q1015" i="8"/>
  <c r="E1018" i="8"/>
  <c r="M37" i="22"/>
  <c r="M39" i="22" s="1"/>
  <c r="O725" i="8"/>
  <c r="O720" i="8"/>
  <c r="E252" i="20"/>
  <c r="Q966" i="20"/>
  <c r="K435" i="3"/>
  <c r="K436" i="3" s="1"/>
  <c r="E257" i="8"/>
  <c r="Q969" i="8"/>
  <c r="K37" i="22"/>
  <c r="K39" i="22" s="1"/>
  <c r="K43" i="22" s="1"/>
  <c r="M720" i="8"/>
  <c r="M725" i="8"/>
  <c r="F1018" i="8"/>
  <c r="Q1017" i="8"/>
  <c r="H1046" i="8"/>
  <c r="H1048" i="8" s="1"/>
  <c r="Q1045" i="8"/>
  <c r="N672" i="8"/>
  <c r="N677" i="8" s="1"/>
  <c r="N162" i="8" s="1"/>
  <c r="N1329" i="8" s="1"/>
  <c r="E1266" i="20"/>
  <c r="E158" i="20"/>
  <c r="Q1214" i="8"/>
  <c r="G1216" i="8"/>
  <c r="Q1216" i="8" s="1"/>
  <c r="I1292" i="20"/>
  <c r="N1048" i="8"/>
  <c r="N1314" i="8"/>
  <c r="N1315" i="8" s="1"/>
  <c r="Q1016" i="8"/>
  <c r="Q670" i="8"/>
  <c r="Q1266" i="8" s="1"/>
  <c r="N1292" i="8"/>
  <c r="E161" i="8"/>
  <c r="O1273" i="8"/>
  <c r="O718" i="8"/>
  <c r="I185" i="20"/>
  <c r="I1274" i="20"/>
  <c r="O185" i="20"/>
  <c r="M76" i="22" s="1"/>
  <c r="O1274" i="20"/>
  <c r="O1290" i="20" s="1"/>
  <c r="P161" i="8"/>
  <c r="P1268" i="8"/>
  <c r="E973" i="8"/>
  <c r="Q971" i="8"/>
  <c r="G37" i="22"/>
  <c r="G39" i="22" s="1"/>
  <c r="G43" i="22" s="1"/>
  <c r="I720" i="8"/>
  <c r="I725" i="8"/>
  <c r="I1275" i="8" s="1"/>
  <c r="F429" i="3"/>
  <c r="F435" i="3"/>
  <c r="F436" i="3" s="1"/>
  <c r="D30" i="23"/>
  <c r="P29" i="23"/>
  <c r="D37" i="22"/>
  <c r="D39" i="22" s="1"/>
  <c r="F725" i="8"/>
  <c r="F720" i="8"/>
  <c r="O1046" i="8"/>
  <c r="Q1044" i="8"/>
  <c r="D180" i="3"/>
  <c r="P179" i="3"/>
  <c r="D435" i="3"/>
  <c r="D436" i="3" s="1"/>
  <c r="Q316" i="20"/>
  <c r="Q95" i="20"/>
  <c r="K979" i="8"/>
  <c r="K260" i="8" s="1"/>
  <c r="L251" i="8"/>
  <c r="K1276" i="8"/>
  <c r="J160" i="8"/>
  <c r="O672" i="8"/>
  <c r="O677" i="8" s="1"/>
  <c r="O162" i="8" s="1"/>
  <c r="Q357" i="20"/>
  <c r="Q1087" i="8"/>
  <c r="M1318" i="8"/>
  <c r="Q329" i="8"/>
  <c r="F31" i="26" s="1"/>
  <c r="L1319" i="8"/>
  <c r="Q299" i="8"/>
  <c r="I21" i="22"/>
  <c r="Q309" i="20"/>
  <c r="L1315" i="8"/>
  <c r="Q313" i="8"/>
  <c r="L258" i="8"/>
  <c r="Q359" i="20"/>
  <c r="H32" i="26" s="1"/>
  <c r="E54" i="19" s="1"/>
  <c r="Q138" i="20"/>
  <c r="H26" i="14" s="1"/>
  <c r="Q103" i="8"/>
  <c r="L1318" i="8"/>
  <c r="N1276" i="8"/>
  <c r="G160" i="8"/>
  <c r="G1287" i="8"/>
  <c r="M1052" i="8"/>
  <c r="M294" i="8" s="1"/>
  <c r="Q553" i="20"/>
  <c r="Q97" i="20"/>
  <c r="H19" i="26" s="1"/>
  <c r="Q1243" i="20"/>
  <c r="H1361" i="8"/>
  <c r="H1362" i="8" s="1"/>
  <c r="G1268" i="8"/>
  <c r="Q361" i="8"/>
  <c r="P1361" i="8"/>
  <c r="P1362" i="8" s="1"/>
  <c r="O1268" i="8"/>
  <c r="Q1153" i="20"/>
  <c r="G722" i="8"/>
  <c r="G727" i="8" s="1"/>
  <c r="G190" i="8" s="1"/>
  <c r="G188" i="8"/>
  <c r="H160" i="8"/>
  <c r="H672" i="8"/>
  <c r="H677" i="8" s="1"/>
  <c r="H162" i="8" s="1"/>
  <c r="F19" i="22" s="1"/>
  <c r="Q502" i="20"/>
  <c r="Q131" i="20"/>
  <c r="H23" i="26" s="1"/>
  <c r="N18" i="22"/>
  <c r="H867" i="8"/>
  <c r="H239" i="8" s="1"/>
  <c r="K1318" i="8"/>
  <c r="F867" i="8"/>
  <c r="F239" i="8" s="1"/>
  <c r="F237" i="8"/>
  <c r="N237" i="8"/>
  <c r="N867" i="8"/>
  <c r="N239" i="8" s="1"/>
  <c r="Q570" i="20"/>
  <c r="G311" i="20"/>
  <c r="Q311" i="20" s="1"/>
  <c r="Q1119" i="20"/>
  <c r="M672" i="8"/>
  <c r="M677" i="8" s="1"/>
  <c r="M162" i="8" s="1"/>
  <c r="Q419" i="8"/>
  <c r="S419" i="8" s="1"/>
  <c r="Q1177" i="20"/>
  <c r="K237" i="8"/>
  <c r="K867" i="8"/>
  <c r="K239" i="8" s="1"/>
  <c r="E1318" i="8"/>
  <c r="I867" i="8"/>
  <c r="I239" i="8" s="1"/>
  <c r="I237" i="8"/>
  <c r="Q1245" i="8"/>
  <c r="Q325" i="20"/>
  <c r="H31" i="26" s="1"/>
  <c r="E53" i="19" s="1"/>
  <c r="Q318" i="20"/>
  <c r="H30" i="26" s="1"/>
  <c r="E52" i="19" s="1"/>
  <c r="F1318" i="8"/>
  <c r="Q68" i="8"/>
  <c r="M1024" i="8"/>
  <c r="M267" i="8" s="1"/>
  <c r="M27" i="8" s="1"/>
  <c r="M265" i="8"/>
  <c r="M1331" i="8" s="1"/>
  <c r="P867" i="8"/>
  <c r="P239" i="8" s="1"/>
  <c r="P237" i="8"/>
  <c r="J83" i="20"/>
  <c r="Q83" i="20" s="1"/>
  <c r="Q468" i="20"/>
  <c r="E867" i="8"/>
  <c r="E239" i="8" s="1"/>
  <c r="E237" i="8"/>
  <c r="F160" i="8"/>
  <c r="F672" i="8"/>
  <c r="F677" i="8" s="1"/>
  <c r="F162" i="8" s="1"/>
  <c r="N722" i="8"/>
  <c r="N727" i="8" s="1"/>
  <c r="N190" i="8" s="1"/>
  <c r="N188" i="8"/>
  <c r="Q504" i="8"/>
  <c r="M1287" i="8"/>
  <c r="K18" i="22"/>
  <c r="E954" i="8"/>
  <c r="E253" i="8" s="1"/>
  <c r="E251" i="8"/>
  <c r="I1309" i="8"/>
  <c r="G1318" i="8"/>
  <c r="P1288" i="8"/>
  <c r="G134" i="8"/>
  <c r="Q134" i="8" s="1"/>
  <c r="Q555" i="8"/>
  <c r="P160" i="8"/>
  <c r="P672" i="8"/>
  <c r="P677" i="8" s="1"/>
  <c r="P162" i="8" s="1"/>
  <c r="N19" i="22" s="1"/>
  <c r="Q306" i="8"/>
  <c r="P19" i="8"/>
  <c r="Q1271" i="8"/>
  <c r="G315" i="8"/>
  <c r="Q315" i="8" s="1"/>
  <c r="Q1123" i="8"/>
  <c r="K188" i="8"/>
  <c r="K722" i="8"/>
  <c r="K727" i="8" s="1"/>
  <c r="K190" i="8" s="1"/>
  <c r="I1287" i="8"/>
  <c r="K1288" i="8"/>
  <c r="Q1272" i="8"/>
  <c r="Q538" i="8"/>
  <c r="F105" i="8"/>
  <c r="Q105" i="8" s="1"/>
  <c r="Q320" i="8"/>
  <c r="G237" i="8"/>
  <c r="G867" i="8"/>
  <c r="Q863" i="8"/>
  <c r="I1288" i="20"/>
  <c r="Q1288" i="20" s="1"/>
  <c r="Q1264" i="20"/>
  <c r="I292" i="8"/>
  <c r="I1052" i="8"/>
  <c r="I294" i="8" s="1"/>
  <c r="I28" i="8" s="1"/>
  <c r="L18" i="22"/>
  <c r="N19" i="8"/>
  <c r="Q1313" i="8"/>
  <c r="I1319" i="8"/>
  <c r="G265" i="8"/>
  <c r="G1024" i="8"/>
  <c r="G267" i="8" s="1"/>
  <c r="Q1181" i="8"/>
  <c r="Q202" i="8"/>
  <c r="Q411" i="8"/>
  <c r="G322" i="8"/>
  <c r="Q322" i="8" s="1"/>
  <c r="Q1157" i="8"/>
  <c r="I1288" i="8"/>
  <c r="H21" i="22"/>
  <c r="J22" i="8"/>
  <c r="G141" i="8"/>
  <c r="Q141" i="8" s="1"/>
  <c r="Q572" i="8"/>
  <c r="L867" i="8"/>
  <c r="L239" i="8" s="1"/>
  <c r="L237" i="8"/>
  <c r="Q1312" i="8"/>
  <c r="I1315" i="8"/>
  <c r="I1318" i="8"/>
  <c r="K1287" i="8"/>
  <c r="O1318" i="8"/>
  <c r="F197" i="8"/>
  <c r="Q197" i="8" s="1"/>
  <c r="Q774" i="8"/>
  <c r="Q1303" i="8"/>
  <c r="R1303" i="8" s="1"/>
  <c r="Q230" i="8"/>
  <c r="L265" i="8"/>
  <c r="L1024" i="8"/>
  <c r="L267" i="8" s="1"/>
  <c r="J718" i="8"/>
  <c r="J1273" i="8"/>
  <c r="J1289" i="8" s="1"/>
  <c r="O304" i="20"/>
  <c r="Q304" i="20" s="1"/>
  <c r="H28" i="26" s="1"/>
  <c r="E50" i="19" s="1"/>
  <c r="Q1101" i="20"/>
  <c r="E104" i="20"/>
  <c r="Q104" i="20" s="1"/>
  <c r="H20" i="26" s="1"/>
  <c r="Q536" i="20"/>
  <c r="J1307" i="8"/>
  <c r="Q939" i="8"/>
  <c r="Q76" i="20"/>
  <c r="H21" i="26" s="1"/>
  <c r="Q433" i="20"/>
  <c r="O308" i="8"/>
  <c r="Q308" i="8" s="1"/>
  <c r="F28" i="26" s="1"/>
  <c r="Q1105" i="8"/>
  <c r="H265" i="8"/>
  <c r="H1024" i="8"/>
  <c r="F1046" i="8"/>
  <c r="Q1043" i="8"/>
  <c r="Q75" i="8"/>
  <c r="I302" i="2"/>
  <c r="P302" i="2" s="1"/>
  <c r="P300" i="2"/>
  <c r="J950" i="8"/>
  <c r="J1306" i="8"/>
  <c r="Q937" i="8"/>
  <c r="F291" i="8"/>
  <c r="Q1040" i="8"/>
  <c r="J1307" i="20"/>
  <c r="Q936" i="20"/>
  <c r="J185" i="20"/>
  <c r="H76" i="22" s="1"/>
  <c r="J1274" i="20"/>
  <c r="J1290" i="20" s="1"/>
  <c r="G77" i="8"/>
  <c r="G1329" i="8" s="1"/>
  <c r="Q436" i="8"/>
  <c r="F287" i="20"/>
  <c r="Q1037" i="20"/>
  <c r="I797" i="8"/>
  <c r="Q792" i="8"/>
  <c r="E429" i="3"/>
  <c r="E435" i="3"/>
  <c r="E436" i="3" s="1"/>
  <c r="H1309" i="8"/>
  <c r="Q301" i="8"/>
  <c r="F27" i="26" s="1"/>
  <c r="C39" i="14"/>
  <c r="C51" i="14" s="1"/>
  <c r="T66" i="8"/>
  <c r="P1292" i="20"/>
  <c r="G979" i="8"/>
  <c r="G260" i="8" s="1"/>
  <c r="G258" i="8"/>
  <c r="F21" i="22"/>
  <c r="H22" i="8"/>
  <c r="P1290" i="20"/>
  <c r="P718" i="8"/>
  <c r="P1273" i="8"/>
  <c r="Q70" i="8"/>
  <c r="N87" i="22"/>
  <c r="N91" i="22" s="1"/>
  <c r="L839" i="8"/>
  <c r="Q832" i="8"/>
  <c r="Q363" i="8"/>
  <c r="F32" i="26" s="1"/>
  <c r="J26" i="8"/>
  <c r="K672" i="8"/>
  <c r="K677" i="8" s="1"/>
  <c r="K162" i="8" s="1"/>
  <c r="I19" i="22" s="1"/>
  <c r="K160" i="8"/>
  <c r="L1268" i="8"/>
  <c r="L1289" i="8"/>
  <c r="M1361" i="8"/>
  <c r="M1362" i="8" s="1"/>
  <c r="H87" i="22"/>
  <c r="H91" i="22" s="1"/>
  <c r="O84" i="22"/>
  <c r="L160" i="8"/>
  <c r="L672" i="8"/>
  <c r="L677" i="8" s="1"/>
  <c r="L162" i="8" s="1"/>
  <c r="L20" i="8" s="1"/>
  <c r="K1361" i="8"/>
  <c r="K1362" i="8" s="1"/>
  <c r="N1361" i="8"/>
  <c r="N1362" i="8" s="1"/>
  <c r="Q349" i="20"/>
  <c r="M89" i="22"/>
  <c r="M91" i="22" s="1"/>
  <c r="L260" i="8"/>
  <c r="O1218" i="8"/>
  <c r="O1308" i="8"/>
  <c r="J1292" i="20"/>
  <c r="Q1267" i="20"/>
  <c r="J1268" i="8"/>
  <c r="M41" i="22"/>
  <c r="Q353" i="8"/>
  <c r="D48" i="14" s="1"/>
  <c r="L1361" i="8"/>
  <c r="L1362" i="8" s="1"/>
  <c r="K1289" i="8"/>
  <c r="M1268" i="8"/>
  <c r="E59" i="26" l="1"/>
  <c r="E58" i="26"/>
  <c r="E217" i="28"/>
  <c r="C218" i="28"/>
  <c r="R19" i="8"/>
  <c r="E1328" i="8"/>
  <c r="L28" i="22"/>
  <c r="N1328" i="8"/>
  <c r="E28" i="22"/>
  <c r="G1328" i="8"/>
  <c r="J20" i="8"/>
  <c r="J1328" i="8"/>
  <c r="K1329" i="8"/>
  <c r="K1328" i="8"/>
  <c r="H1328" i="8"/>
  <c r="E149" i="26"/>
  <c r="E150" i="26" s="1"/>
  <c r="G76" i="22"/>
  <c r="E22" i="14"/>
  <c r="G22" i="14" s="1"/>
  <c r="F18" i="26"/>
  <c r="H22" i="14"/>
  <c r="H18" i="26"/>
  <c r="K76" i="22"/>
  <c r="P1275" i="8"/>
  <c r="P1276" i="8" s="1"/>
  <c r="H28" i="22"/>
  <c r="Q187" i="8"/>
  <c r="I43" i="22"/>
  <c r="H37" i="22"/>
  <c r="H39" i="22" s="1"/>
  <c r="H43" i="22" s="1"/>
  <c r="I20" i="8"/>
  <c r="P20" i="8"/>
  <c r="J19" i="22"/>
  <c r="H19" i="22"/>
  <c r="I105" i="26"/>
  <c r="H20" i="8"/>
  <c r="F43" i="22"/>
  <c r="E214" i="26"/>
  <c r="D19" i="22"/>
  <c r="F20" i="8"/>
  <c r="N20" i="8"/>
  <c r="L19" i="22"/>
  <c r="E19" i="22"/>
  <c r="G20" i="8"/>
  <c r="M20" i="8"/>
  <c r="K19" i="22"/>
  <c r="K20" i="8"/>
  <c r="M19" i="22"/>
  <c r="O20" i="8"/>
  <c r="A79" i="2"/>
  <c r="A80" i="2" s="1"/>
  <c r="A81" i="2" s="1"/>
  <c r="A83" i="2" s="1"/>
  <c r="A84" i="2" s="1"/>
  <c r="A85" i="2" s="1"/>
  <c r="A86" i="2" s="1"/>
  <c r="A87" i="2" s="1"/>
  <c r="A89" i="2" s="1"/>
  <c r="A90" i="2" s="1"/>
  <c r="A91" i="2" s="1"/>
  <c r="A92" i="2" s="1"/>
  <c r="A93" i="2" s="1"/>
  <c r="A95" i="2" s="1"/>
  <c r="A96" i="2" s="1"/>
  <c r="A97" i="2" s="1"/>
  <c r="A98" i="2" s="1"/>
  <c r="A99" i="2" s="1"/>
  <c r="A119" i="2" s="1"/>
  <c r="A120" i="2" s="1"/>
  <c r="I111" i="26"/>
  <c r="H212" i="26"/>
  <c r="E42" i="26"/>
  <c r="L27" i="8"/>
  <c r="I27" i="8"/>
  <c r="I34" i="8" s="1"/>
  <c r="H213" i="26"/>
  <c r="I107" i="26"/>
  <c r="H239" i="26"/>
  <c r="H240" i="26"/>
  <c r="H211" i="26"/>
  <c r="H210" i="26"/>
  <c r="H234" i="26"/>
  <c r="O1328" i="20"/>
  <c r="K1328" i="20"/>
  <c r="T74" i="20"/>
  <c r="G1328" i="20"/>
  <c r="J1328" i="20"/>
  <c r="P1328" i="20"/>
  <c r="I1328" i="20"/>
  <c r="I16" i="26"/>
  <c r="I19" i="26"/>
  <c r="G175" i="26"/>
  <c r="M28" i="8"/>
  <c r="M34" i="8" s="1"/>
  <c r="K1268" i="8"/>
  <c r="F20" i="22"/>
  <c r="I22" i="14"/>
  <c r="J22" i="14" s="1"/>
  <c r="E21" i="14"/>
  <c r="E19" i="19" s="1"/>
  <c r="L43" i="22"/>
  <c r="L1052" i="8"/>
  <c r="L294" i="8" s="1"/>
  <c r="L28" i="8" s="1"/>
  <c r="P189" i="8"/>
  <c r="N28" i="22" s="1"/>
  <c r="E28" i="14"/>
  <c r="G28" i="14" s="1"/>
  <c r="G26" i="26"/>
  <c r="I26" i="26" s="1"/>
  <c r="J1274" i="8"/>
  <c r="J1290" i="8" s="1"/>
  <c r="J1294" i="8" s="1"/>
  <c r="Q912" i="8"/>
  <c r="M722" i="8"/>
  <c r="M727" i="8" s="1"/>
  <c r="M190" i="8" s="1"/>
  <c r="M1329" i="8" s="1"/>
  <c r="G19" i="26"/>
  <c r="E23" i="14"/>
  <c r="G23" i="14" s="1"/>
  <c r="G1361" i="8"/>
  <c r="G1362" i="8" s="1"/>
  <c r="M1315" i="8"/>
  <c r="I265" i="8"/>
  <c r="I1331" i="8" s="1"/>
  <c r="E1292" i="8"/>
  <c r="H21" i="8"/>
  <c r="H28" i="14"/>
  <c r="L1290" i="8"/>
  <c r="L1294" i="8" s="1"/>
  <c r="L1330" i="8" s="1"/>
  <c r="P435" i="3"/>
  <c r="Q1275" i="20"/>
  <c r="P436" i="3"/>
  <c r="Q723" i="20"/>
  <c r="T80" i="20" s="1"/>
  <c r="J20" i="22"/>
  <c r="L21" i="8"/>
  <c r="Q725" i="8"/>
  <c r="T81" i="8" s="1"/>
  <c r="Q158" i="20"/>
  <c r="R1361" i="8"/>
  <c r="R1362" i="8" s="1"/>
  <c r="I188" i="8"/>
  <c r="L1309" i="8"/>
  <c r="I160" i="8"/>
  <c r="Q160" i="8" s="1"/>
  <c r="R1355" i="8"/>
  <c r="R1356" i="8" s="1"/>
  <c r="Q1266" i="20"/>
  <c r="Q1361" i="8"/>
  <c r="Q1362" i="8" s="1"/>
  <c r="Q668" i="8"/>
  <c r="P180" i="3"/>
  <c r="I1292" i="8"/>
  <c r="H148" i="8"/>
  <c r="Q611" i="8"/>
  <c r="G1276" i="8"/>
  <c r="H1314" i="8"/>
  <c r="H1315" i="8" s="1"/>
  <c r="H145" i="20"/>
  <c r="Q145" i="20" s="1"/>
  <c r="Q609" i="20"/>
  <c r="G1294" i="8"/>
  <c r="G1330" i="8" s="1"/>
  <c r="I722" i="8"/>
  <c r="I727" i="8" s="1"/>
  <c r="I190" i="8" s="1"/>
  <c r="I1329" i="8" s="1"/>
  <c r="P429" i="3"/>
  <c r="G38" i="14"/>
  <c r="R1260" i="8"/>
  <c r="H1290" i="8"/>
  <c r="H1294" i="8" s="1"/>
  <c r="H1330" i="8" s="1"/>
  <c r="Q1292" i="20"/>
  <c r="O722" i="8"/>
  <c r="O727" i="8" s="1"/>
  <c r="O190" i="8" s="1"/>
  <c r="O1329" i="8" s="1"/>
  <c r="O188" i="8"/>
  <c r="M1275" i="8"/>
  <c r="M1292" i="8" s="1"/>
  <c r="C41" i="22"/>
  <c r="C43" i="22" s="1"/>
  <c r="Q257" i="8"/>
  <c r="D40" i="14" s="1"/>
  <c r="O189" i="8"/>
  <c r="M28" i="22" s="1"/>
  <c r="O1274" i="8"/>
  <c r="O1290" i="8" s="1"/>
  <c r="F1274" i="20"/>
  <c r="F1290" i="20" s="1"/>
  <c r="F185" i="20"/>
  <c r="D76" i="22" s="1"/>
  <c r="C85" i="22"/>
  <c r="Q183" i="20"/>
  <c r="F1289" i="8"/>
  <c r="P1320" i="8"/>
  <c r="P1323" i="8" s="1"/>
  <c r="P1309" i="8"/>
  <c r="D30" i="14"/>
  <c r="Q720" i="8"/>
  <c r="F96" i="26" s="1"/>
  <c r="F101" i="26" s="1"/>
  <c r="Q161" i="8"/>
  <c r="I1268" i="8"/>
  <c r="O1314" i="8"/>
  <c r="O1315" i="8" s="1"/>
  <c r="O1048" i="8"/>
  <c r="Q973" i="8"/>
  <c r="G153" i="26" s="1"/>
  <c r="E975" i="8"/>
  <c r="E1314" i="8"/>
  <c r="E1315" i="8" s="1"/>
  <c r="O1289" i="8"/>
  <c r="N292" i="8"/>
  <c r="N1052" i="8"/>
  <c r="N294" i="8" s="1"/>
  <c r="N28" i="8" s="1"/>
  <c r="G1308" i="8"/>
  <c r="G1218" i="8"/>
  <c r="Q1218" i="8" s="1"/>
  <c r="H292" i="8"/>
  <c r="H1052" i="8"/>
  <c r="H294" i="8" s="1"/>
  <c r="M1274" i="8"/>
  <c r="M189" i="8"/>
  <c r="Q252" i="20"/>
  <c r="O1275" i="8"/>
  <c r="O1292" i="8" s="1"/>
  <c r="N1320" i="8"/>
  <c r="N1323" i="8" s="1"/>
  <c r="N1309" i="8"/>
  <c r="H258" i="8"/>
  <c r="H979" i="8"/>
  <c r="H260" i="8" s="1"/>
  <c r="E185" i="20"/>
  <c r="C76" i="22" s="1"/>
  <c r="E1274" i="20"/>
  <c r="E1290" i="20" s="1"/>
  <c r="F258" i="8"/>
  <c r="F979" i="8"/>
  <c r="F260" i="8" s="1"/>
  <c r="I1290" i="20"/>
  <c r="M188" i="8"/>
  <c r="F189" i="8"/>
  <c r="D28" i="22" s="1"/>
  <c r="F1274" i="8"/>
  <c r="F1290" i="8" s="1"/>
  <c r="P30" i="23"/>
  <c r="P56" i="23" s="1"/>
  <c r="D56" i="23"/>
  <c r="I1274" i="8"/>
  <c r="I1276" i="8" s="1"/>
  <c r="I189" i="8"/>
  <c r="G28" i="22" s="1"/>
  <c r="Q718" i="20"/>
  <c r="H96" i="26" s="1"/>
  <c r="H101" i="26" s="1"/>
  <c r="N354" i="8"/>
  <c r="N1222" i="8"/>
  <c r="N356" i="8" s="1"/>
  <c r="N27" i="8" s="1"/>
  <c r="J1222" i="8"/>
  <c r="J356" i="8" s="1"/>
  <c r="J354" i="8"/>
  <c r="F1275" i="8"/>
  <c r="F1292" i="8" s="1"/>
  <c r="F1361" i="8"/>
  <c r="F1362" i="8" s="1"/>
  <c r="E1268" i="8"/>
  <c r="F1308" i="8"/>
  <c r="F1309" i="8" s="1"/>
  <c r="F1020" i="8"/>
  <c r="E1308" i="8"/>
  <c r="E1020" i="8"/>
  <c r="Q1018" i="8"/>
  <c r="N1290" i="8"/>
  <c r="N1294" i="8" s="1"/>
  <c r="N1330" i="8" s="1"/>
  <c r="N1268" i="8"/>
  <c r="O1361" i="8"/>
  <c r="O1362" i="8" s="1"/>
  <c r="K1308" i="8"/>
  <c r="K1020" i="8"/>
  <c r="G1048" i="8"/>
  <c r="G1314" i="8"/>
  <c r="G1315" i="8" s="1"/>
  <c r="K1052" i="8"/>
  <c r="K294" i="8" s="1"/>
  <c r="K28" i="8" s="1"/>
  <c r="K292" i="8"/>
  <c r="E1273" i="8"/>
  <c r="Q1273" i="8" s="1"/>
  <c r="E718" i="8"/>
  <c r="Q718" i="8" s="1"/>
  <c r="F188" i="8"/>
  <c r="F722" i="8"/>
  <c r="F727" i="8" s="1"/>
  <c r="F190" i="8" s="1"/>
  <c r="F1329" i="8" s="1"/>
  <c r="E1274" i="8"/>
  <c r="E1290" i="8" s="1"/>
  <c r="E189" i="8"/>
  <c r="C28" i="22" s="1"/>
  <c r="P265" i="8"/>
  <c r="P1331" i="8" s="1"/>
  <c r="P1024" i="8"/>
  <c r="P267" i="8" s="1"/>
  <c r="G32" i="26"/>
  <c r="I32" i="26" s="1"/>
  <c r="H49" i="14"/>
  <c r="E47" i="14"/>
  <c r="G47" i="14" s="1"/>
  <c r="M1323" i="8"/>
  <c r="L1323" i="8"/>
  <c r="G24" i="22"/>
  <c r="G31" i="26"/>
  <c r="I31" i="26" s="1"/>
  <c r="H24" i="26"/>
  <c r="H47" i="14"/>
  <c r="E18" i="22"/>
  <c r="I1323" i="8"/>
  <c r="G19" i="8"/>
  <c r="F19" i="8"/>
  <c r="H23" i="14"/>
  <c r="H25" i="14"/>
  <c r="H46" i="14"/>
  <c r="E20" i="22"/>
  <c r="G21" i="8"/>
  <c r="H29" i="26"/>
  <c r="E51" i="19" s="1"/>
  <c r="H45" i="14"/>
  <c r="Q1287" i="8"/>
  <c r="I1333" i="8"/>
  <c r="Q237" i="8"/>
  <c r="K24" i="22"/>
  <c r="M1333" i="8"/>
  <c r="L20" i="22"/>
  <c r="N21" i="8"/>
  <c r="H22" i="26"/>
  <c r="G22" i="26" s="1"/>
  <c r="I22" i="26" s="1"/>
  <c r="H21" i="14"/>
  <c r="F30" i="26"/>
  <c r="E46" i="14"/>
  <c r="D18" i="22"/>
  <c r="G239" i="8"/>
  <c r="Q239" i="8" s="1"/>
  <c r="E37" i="14" s="1"/>
  <c r="G37" i="14" s="1"/>
  <c r="Q867" i="8"/>
  <c r="F29" i="26"/>
  <c r="E45" i="14"/>
  <c r="K1294" i="8"/>
  <c r="F20" i="26"/>
  <c r="G176" i="26" s="1"/>
  <c r="E24" i="14"/>
  <c r="G24" i="14" s="1"/>
  <c r="G28" i="26"/>
  <c r="I28" i="26" s="1"/>
  <c r="F24" i="26"/>
  <c r="E26" i="14"/>
  <c r="G26" i="14" s="1"/>
  <c r="I26" i="14" s="1"/>
  <c r="J26" i="14" s="1"/>
  <c r="Q1288" i="8"/>
  <c r="K21" i="8"/>
  <c r="I20" i="22"/>
  <c r="F23" i="26"/>
  <c r="E25" i="14"/>
  <c r="G25" i="14" s="1"/>
  <c r="E31" i="14"/>
  <c r="L1331" i="8"/>
  <c r="I204" i="8"/>
  <c r="Q797" i="8"/>
  <c r="Q77" i="8"/>
  <c r="J954" i="8"/>
  <c r="J251" i="8"/>
  <c r="Q950" i="8"/>
  <c r="E44" i="14"/>
  <c r="J1319" i="8"/>
  <c r="Q1319" i="8" s="1"/>
  <c r="Q1307" i="8"/>
  <c r="D89" i="22"/>
  <c r="D91" i="22" s="1"/>
  <c r="Q287" i="20"/>
  <c r="D41" i="22"/>
  <c r="D43" i="22" s="1"/>
  <c r="Q291" i="8"/>
  <c r="D42" i="14" s="1"/>
  <c r="H267" i="8"/>
  <c r="H27" i="8" s="1"/>
  <c r="H24" i="14"/>
  <c r="H44" i="14"/>
  <c r="E43" i="14"/>
  <c r="J1319" i="20"/>
  <c r="Q1319" i="20" s="1"/>
  <c r="Q1307" i="20"/>
  <c r="T72" i="8"/>
  <c r="H20" i="14"/>
  <c r="T75" i="8"/>
  <c r="J1318" i="8"/>
  <c r="J1309" i="8"/>
  <c r="Q1306" i="8"/>
  <c r="F1314" i="8"/>
  <c r="F1048" i="8"/>
  <c r="Q1046" i="8"/>
  <c r="J188" i="8"/>
  <c r="J722" i="8"/>
  <c r="J727" i="8" s="1"/>
  <c r="J190" i="8" s="1"/>
  <c r="J1329" i="8" s="1"/>
  <c r="Q672" i="8"/>
  <c r="N39" i="22"/>
  <c r="N43" i="22" s="1"/>
  <c r="L232" i="8"/>
  <c r="Q839" i="8"/>
  <c r="P722" i="8"/>
  <c r="P188" i="8"/>
  <c r="E49" i="14"/>
  <c r="E19" i="14"/>
  <c r="G19" i="14" s="1"/>
  <c r="P1290" i="8"/>
  <c r="P1289" i="8"/>
  <c r="O1309" i="8"/>
  <c r="M43" i="22"/>
  <c r="O1222" i="8"/>
  <c r="O354" i="8"/>
  <c r="E162" i="8"/>
  <c r="Q677" i="8"/>
  <c r="E78" i="26" l="1"/>
  <c r="C69" i="28"/>
  <c r="E65" i="28"/>
  <c r="E218" i="28"/>
  <c r="C219" i="28"/>
  <c r="C168" i="28"/>
  <c r="E166" i="28"/>
  <c r="G232" i="26"/>
  <c r="F1328" i="8"/>
  <c r="I1328" i="8"/>
  <c r="K1330" i="8"/>
  <c r="K28" i="22"/>
  <c r="M1328" i="8"/>
  <c r="J1330" i="8"/>
  <c r="P1328" i="8"/>
  <c r="O1328" i="8"/>
  <c r="P1292" i="8"/>
  <c r="M365" i="8"/>
  <c r="M377" i="8" s="1"/>
  <c r="N365" i="8"/>
  <c r="N377" i="8" s="1"/>
  <c r="L365" i="8"/>
  <c r="L377" i="8" s="1"/>
  <c r="H365" i="8"/>
  <c r="H377" i="8" s="1"/>
  <c r="I365" i="8"/>
  <c r="I377" i="8" s="1"/>
  <c r="O37" i="22"/>
  <c r="O39" i="22" s="1"/>
  <c r="F21" i="26"/>
  <c r="G21" i="26" s="1"/>
  <c r="I21" i="26" s="1"/>
  <c r="C19" i="22"/>
  <c r="E20" i="8"/>
  <c r="A121" i="2"/>
  <c r="A122" i="2" s="1"/>
  <c r="A124" i="2" s="1"/>
  <c r="A125" i="2" s="1"/>
  <c r="A126" i="2" s="1"/>
  <c r="A127" i="2" s="1"/>
  <c r="A128" i="2" s="1"/>
  <c r="A130" i="2" s="1"/>
  <c r="A131" i="2" s="1"/>
  <c r="A132" i="2" s="1"/>
  <c r="A133" i="2" s="1"/>
  <c r="A134" i="2" s="1"/>
  <c r="A136" i="2" s="1"/>
  <c r="A137" i="2" s="1"/>
  <c r="A138" i="2" s="1"/>
  <c r="A139" i="2" s="1"/>
  <c r="A140" i="2" s="1"/>
  <c r="A142" i="2" s="1"/>
  <c r="A143" i="2" s="1"/>
  <c r="A144" i="2" s="1"/>
  <c r="A145" i="2" s="1"/>
  <c r="A146" i="2" s="1"/>
  <c r="H214" i="26"/>
  <c r="I210" i="26" s="1"/>
  <c r="H241" i="26"/>
  <c r="I239" i="26" s="1"/>
  <c r="F153" i="26"/>
  <c r="G199" i="26"/>
  <c r="F147" i="26"/>
  <c r="T66" i="20"/>
  <c r="G96" i="26"/>
  <c r="E1328" i="20"/>
  <c r="H118" i="26"/>
  <c r="F148" i="26" s="1"/>
  <c r="F1328" i="20"/>
  <c r="G272" i="26"/>
  <c r="G23" i="26"/>
  <c r="I23" i="26" s="1"/>
  <c r="G30" i="26"/>
  <c r="I30" i="26" s="1"/>
  <c r="H28" i="8"/>
  <c r="P27" i="8"/>
  <c r="P34" i="8" s="1"/>
  <c r="G21" i="14"/>
  <c r="I21" i="14" s="1"/>
  <c r="J21" i="14" s="1"/>
  <c r="I21" i="8"/>
  <c r="I28" i="14"/>
  <c r="J28" i="14" s="1"/>
  <c r="J22" i="22"/>
  <c r="G18" i="26"/>
  <c r="I18" i="26" s="1"/>
  <c r="J1276" i="8"/>
  <c r="L23" i="8"/>
  <c r="M21" i="8"/>
  <c r="M23" i="8" s="1"/>
  <c r="M36" i="8" s="1"/>
  <c r="Q185" i="20"/>
  <c r="T68" i="20" s="1"/>
  <c r="T73" i="8"/>
  <c r="Q1268" i="8"/>
  <c r="T67" i="8"/>
  <c r="Q1308" i="8"/>
  <c r="Q1309" i="8" s="1"/>
  <c r="G20" i="22"/>
  <c r="E35" i="19"/>
  <c r="G24" i="26"/>
  <c r="I24" i="26" s="1"/>
  <c r="P1333" i="8"/>
  <c r="P1334" i="8" s="1"/>
  <c r="H1320" i="8"/>
  <c r="H1323" i="8" s="1"/>
  <c r="Q1274" i="20"/>
  <c r="H19" i="8"/>
  <c r="H23" i="8" s="1"/>
  <c r="Q148" i="8"/>
  <c r="F18" i="22"/>
  <c r="F22" i="22" s="1"/>
  <c r="K20" i="22"/>
  <c r="K22" i="22" s="1"/>
  <c r="K27" i="22" s="1"/>
  <c r="O89" i="22"/>
  <c r="H25" i="26"/>
  <c r="H27" i="14"/>
  <c r="N24" i="22"/>
  <c r="Q1290" i="20"/>
  <c r="O1276" i="8"/>
  <c r="N34" i="8"/>
  <c r="H1331" i="8"/>
  <c r="L24" i="22"/>
  <c r="N1333" i="8"/>
  <c r="N1335" i="8" s="1"/>
  <c r="N1331" i="8"/>
  <c r="L22" i="22"/>
  <c r="E265" i="8"/>
  <c r="E1024" i="8"/>
  <c r="Q1020" i="8"/>
  <c r="F1024" i="8"/>
  <c r="F267" i="8" s="1"/>
  <c r="F27" i="8" s="1"/>
  <c r="F265" i="8"/>
  <c r="F1294" i="8"/>
  <c r="F1330" i="8" s="1"/>
  <c r="Q189" i="8"/>
  <c r="T69" i="8" s="1"/>
  <c r="E1289" i="8"/>
  <c r="E1276" i="8"/>
  <c r="G1052" i="8"/>
  <c r="G294" i="8" s="1"/>
  <c r="G292" i="8"/>
  <c r="E1309" i="8"/>
  <c r="E1320" i="8"/>
  <c r="E1323" i="8" s="1"/>
  <c r="O1294" i="8"/>
  <c r="O1330" i="8" s="1"/>
  <c r="E979" i="8"/>
  <c r="E258" i="8"/>
  <c r="Q975" i="8"/>
  <c r="E722" i="8"/>
  <c r="E727" i="8" s="1"/>
  <c r="E190" i="8" s="1"/>
  <c r="E1329" i="8" s="1"/>
  <c r="E188" i="8"/>
  <c r="G1309" i="8"/>
  <c r="G1320" i="8"/>
  <c r="G1323" i="8" s="1"/>
  <c r="C87" i="22"/>
  <c r="C91" i="22" s="1"/>
  <c r="O91" i="22" s="1"/>
  <c r="O85" i="22"/>
  <c r="O87" i="22" s="1"/>
  <c r="M20" i="22"/>
  <c r="M22" i="22" s="1"/>
  <c r="O21" i="8"/>
  <c r="O23" i="8" s="1"/>
  <c r="Q1275" i="8"/>
  <c r="O41" i="22"/>
  <c r="O1320" i="8"/>
  <c r="O1323" i="8" s="1"/>
  <c r="Q1292" i="8"/>
  <c r="N23" i="8"/>
  <c r="K265" i="8"/>
  <c r="K1331" i="8" s="1"/>
  <c r="K1024" i="8"/>
  <c r="K267" i="8" s="1"/>
  <c r="I1290" i="8"/>
  <c r="I1294" i="8" s="1"/>
  <c r="I1330" i="8" s="1"/>
  <c r="M1276" i="8"/>
  <c r="M1290" i="8"/>
  <c r="M1294" i="8" s="1"/>
  <c r="M1330" i="8" s="1"/>
  <c r="O43" i="22"/>
  <c r="Q1274" i="8"/>
  <c r="K1320" i="8"/>
  <c r="K1323" i="8" s="1"/>
  <c r="K1309" i="8"/>
  <c r="G354" i="8"/>
  <c r="Q354" i="8" s="1"/>
  <c r="G1222" i="8"/>
  <c r="G356" i="8" s="1"/>
  <c r="G27" i="8" s="1"/>
  <c r="O1052" i="8"/>
  <c r="O294" i="8" s="1"/>
  <c r="O28" i="8" s="1"/>
  <c r="O292" i="8"/>
  <c r="O1331" i="8" s="1"/>
  <c r="F1276" i="8"/>
  <c r="M1334" i="8"/>
  <c r="I47" i="14"/>
  <c r="J47" i="14" s="1"/>
  <c r="E22" i="22"/>
  <c r="G23" i="8"/>
  <c r="I25" i="14"/>
  <c r="J25" i="14" s="1"/>
  <c r="I1334" i="8"/>
  <c r="M1335" i="8"/>
  <c r="I23" i="14"/>
  <c r="J23" i="14" s="1"/>
  <c r="E25" i="19"/>
  <c r="I24" i="14"/>
  <c r="J24" i="14" s="1"/>
  <c r="G29" i="26"/>
  <c r="I29" i="26" s="1"/>
  <c r="I22" i="22"/>
  <c r="K23" i="8"/>
  <c r="E33" i="19"/>
  <c r="G45" i="14"/>
  <c r="I45" i="14" s="1"/>
  <c r="J45" i="14" s="1"/>
  <c r="G20" i="26"/>
  <c r="I20" i="26" s="1"/>
  <c r="E34" i="19"/>
  <c r="G46" i="14"/>
  <c r="I46" i="14" s="1"/>
  <c r="J46" i="14" s="1"/>
  <c r="G31" i="14"/>
  <c r="E22" i="19"/>
  <c r="L1333" i="8"/>
  <c r="L1334" i="8" s="1"/>
  <c r="J24" i="22"/>
  <c r="F1052" i="8"/>
  <c r="F292" i="8"/>
  <c r="Q1048" i="8"/>
  <c r="Q1318" i="8"/>
  <c r="J1323" i="8"/>
  <c r="J1331" i="8"/>
  <c r="Q251" i="8"/>
  <c r="H20" i="22"/>
  <c r="H22" i="22" s="1"/>
  <c r="J21" i="8"/>
  <c r="J23" i="8" s="1"/>
  <c r="F1315" i="8"/>
  <c r="F1320" i="8"/>
  <c r="F1323" i="8" s="1"/>
  <c r="Q1314" i="8"/>
  <c r="Q1315" i="8" s="1"/>
  <c r="E32" i="19"/>
  <c r="G44" i="14"/>
  <c r="I44" i="14" s="1"/>
  <c r="J44" i="14" s="1"/>
  <c r="J253" i="8"/>
  <c r="J365" i="8" s="1"/>
  <c r="Q954" i="8"/>
  <c r="E20" i="14"/>
  <c r="I22" i="8"/>
  <c r="G21" i="22"/>
  <c r="Q204" i="8"/>
  <c r="G43" i="14"/>
  <c r="E31" i="19"/>
  <c r="F24" i="22"/>
  <c r="H1333" i="8"/>
  <c r="P1294" i="8"/>
  <c r="E17" i="19"/>
  <c r="P727" i="8"/>
  <c r="E37" i="19"/>
  <c r="G49" i="14"/>
  <c r="I49" i="14" s="1"/>
  <c r="J49" i="14" s="1"/>
  <c r="L26" i="8"/>
  <c r="Q26" i="8" s="1"/>
  <c r="Q232" i="8"/>
  <c r="Q162" i="8"/>
  <c r="R20" i="8" s="1"/>
  <c r="O356" i="8"/>
  <c r="O27" i="8" s="1"/>
  <c r="D20" i="22"/>
  <c r="F21" i="8"/>
  <c r="D147" i="26" l="1"/>
  <c r="F150" i="26"/>
  <c r="G203" i="26" s="1"/>
  <c r="G156" i="26"/>
  <c r="E219" i="28"/>
  <c r="E221" i="28" s="1"/>
  <c r="C221" i="28"/>
  <c r="C229" i="28" s="1"/>
  <c r="C230" i="28" s="1"/>
  <c r="E168" i="28"/>
  <c r="C72" i="28"/>
  <c r="C71" i="28"/>
  <c r="E71" i="28" s="1"/>
  <c r="C70" i="28"/>
  <c r="E70" i="28" s="1"/>
  <c r="E69" i="28"/>
  <c r="Q1328" i="8"/>
  <c r="D148" i="26"/>
  <c r="I96" i="26"/>
  <c r="G101" i="26"/>
  <c r="I101" i="26" s="1"/>
  <c r="G256" i="26"/>
  <c r="K27" i="8"/>
  <c r="K34" i="8" s="1"/>
  <c r="K36" i="8" s="1"/>
  <c r="K365" i="8"/>
  <c r="K377" i="8" s="1"/>
  <c r="G28" i="8"/>
  <c r="G34" i="8" s="1"/>
  <c r="G36" i="8" s="1"/>
  <c r="G365" i="8"/>
  <c r="G377" i="8" s="1"/>
  <c r="O365" i="8"/>
  <c r="O377" i="8" s="1"/>
  <c r="I212" i="26"/>
  <c r="I213" i="26"/>
  <c r="I211" i="26"/>
  <c r="I240" i="26"/>
  <c r="I241" i="26" s="1"/>
  <c r="D153" i="26"/>
  <c r="I154" i="26" s="1"/>
  <c r="F78" i="26"/>
  <c r="G200" i="26"/>
  <c r="F121" i="26"/>
  <c r="Q1276" i="8"/>
  <c r="G118" i="26"/>
  <c r="H121" i="26"/>
  <c r="R26" i="8"/>
  <c r="J377" i="8"/>
  <c r="J27" i="8"/>
  <c r="J34" i="8" s="1"/>
  <c r="J36" i="8" s="1"/>
  <c r="J27" i="22"/>
  <c r="J30" i="22" s="1"/>
  <c r="O18" i="22"/>
  <c r="Q1328" i="20"/>
  <c r="H34" i="8"/>
  <c r="H36" i="8" s="1"/>
  <c r="Q1222" i="8"/>
  <c r="Q19" i="8"/>
  <c r="O76" i="22"/>
  <c r="O28" i="22"/>
  <c r="Q188" i="8"/>
  <c r="F25" i="26"/>
  <c r="E27" i="14"/>
  <c r="G27" i="14" s="1"/>
  <c r="I27" i="14" s="1"/>
  <c r="J27" i="14" s="1"/>
  <c r="Q1320" i="8"/>
  <c r="Q1323" i="8" s="1"/>
  <c r="F27" i="22"/>
  <c r="F30" i="22" s="1"/>
  <c r="N36" i="8"/>
  <c r="N1334" i="8"/>
  <c r="L27" i="22"/>
  <c r="L30" i="22" s="1"/>
  <c r="E21" i="8"/>
  <c r="E23" i="8" s="1"/>
  <c r="C20" i="22"/>
  <c r="C22" i="22" s="1"/>
  <c r="Q722" i="8"/>
  <c r="G1333" i="8"/>
  <c r="I24" i="22"/>
  <c r="I27" i="22" s="1"/>
  <c r="I30" i="22" s="1"/>
  <c r="K1333" i="8"/>
  <c r="E260" i="8"/>
  <c r="Q979" i="8"/>
  <c r="E267" i="8"/>
  <c r="E27" i="8" s="1"/>
  <c r="Q1024" i="8"/>
  <c r="E24" i="22"/>
  <c r="E27" i="22" s="1"/>
  <c r="E30" i="22" s="1"/>
  <c r="E1294" i="8"/>
  <c r="E1330" i="8" s="1"/>
  <c r="Q1289" i="8"/>
  <c r="Q265" i="8"/>
  <c r="E1331" i="8"/>
  <c r="Q258" i="8"/>
  <c r="K30" i="22"/>
  <c r="G1331" i="8"/>
  <c r="Q1290" i="8"/>
  <c r="L1335" i="8"/>
  <c r="F1331" i="8"/>
  <c r="Q292" i="8"/>
  <c r="G22" i="22"/>
  <c r="G27" i="22" s="1"/>
  <c r="G30" i="22" s="1"/>
  <c r="O21" i="22"/>
  <c r="F294" i="8"/>
  <c r="F28" i="8" s="1"/>
  <c r="Q1052" i="8"/>
  <c r="H1334" i="8"/>
  <c r="H1335" i="8"/>
  <c r="E32" i="14"/>
  <c r="I23" i="8"/>
  <c r="I36" i="8" s="1"/>
  <c r="Q22" i="8"/>
  <c r="H24" i="22"/>
  <c r="H27" i="22" s="1"/>
  <c r="H30" i="22" s="1"/>
  <c r="J1333" i="8"/>
  <c r="J1335" i="8" s="1"/>
  <c r="Q253" i="8"/>
  <c r="I1335" i="8"/>
  <c r="G20" i="14"/>
  <c r="I20" i="14" s="1"/>
  <c r="J20" i="14" s="1"/>
  <c r="E18" i="19"/>
  <c r="L34" i="8"/>
  <c r="L36" i="8" s="1"/>
  <c r="E36" i="14"/>
  <c r="P190" i="8"/>
  <c r="P1329" i="8" s="1"/>
  <c r="P1330" i="8" s="1"/>
  <c r="Q727" i="8"/>
  <c r="Q20" i="8"/>
  <c r="O19" i="22"/>
  <c r="D22" i="22"/>
  <c r="E29" i="14"/>
  <c r="G29" i="14" s="1"/>
  <c r="F23" i="8"/>
  <c r="O1333" i="8"/>
  <c r="O1334" i="8" s="1"/>
  <c r="M24" i="22"/>
  <c r="Q356" i="8"/>
  <c r="D150" i="26" l="1"/>
  <c r="E72" i="28"/>
  <c r="C74" i="28"/>
  <c r="C81" i="28" s="1"/>
  <c r="C85" i="28" s="1"/>
  <c r="E230" i="28"/>
  <c r="F156" i="26"/>
  <c r="F365" i="8"/>
  <c r="P365" i="8"/>
  <c r="P377" i="8" s="1"/>
  <c r="E28" i="8"/>
  <c r="E365" i="8"/>
  <c r="E377" i="8" s="1"/>
  <c r="I214" i="26"/>
  <c r="H154" i="26"/>
  <c r="G154" i="26"/>
  <c r="F154" i="26"/>
  <c r="G121" i="26"/>
  <c r="I121" i="26" s="1"/>
  <c r="I118" i="26"/>
  <c r="G168" i="26"/>
  <c r="G25" i="26"/>
  <c r="I25" i="26" s="1"/>
  <c r="R22" i="8"/>
  <c r="K1334" i="8"/>
  <c r="K1335" i="8"/>
  <c r="T68" i="8"/>
  <c r="Q1331" i="8"/>
  <c r="C24" i="22"/>
  <c r="C27" i="22" s="1"/>
  <c r="C30" i="22" s="1"/>
  <c r="E1333" i="8"/>
  <c r="Q260" i="8"/>
  <c r="G1334" i="8"/>
  <c r="G1335" i="8"/>
  <c r="Q1294" i="8"/>
  <c r="Q1330" i="8" s="1"/>
  <c r="Q267" i="8"/>
  <c r="E41" i="14" s="1"/>
  <c r="E39" i="14"/>
  <c r="E27" i="19" s="1"/>
  <c r="J1334" i="8"/>
  <c r="G32" i="14"/>
  <c r="E23" i="19"/>
  <c r="F1333" i="8"/>
  <c r="D24" i="22"/>
  <c r="D27" i="22" s="1"/>
  <c r="D30" i="22" s="1"/>
  <c r="F377" i="8"/>
  <c r="Q294" i="8"/>
  <c r="E42" i="14" s="1"/>
  <c r="E24" i="19"/>
  <c r="G36" i="14"/>
  <c r="N20" i="22"/>
  <c r="P21" i="8"/>
  <c r="Q190" i="8"/>
  <c r="Q1329" i="8" s="1"/>
  <c r="M27" i="22"/>
  <c r="M30" i="22" s="1"/>
  <c r="O34" i="8"/>
  <c r="O36" i="8" s="1"/>
  <c r="E20" i="19"/>
  <c r="E48" i="14"/>
  <c r="O1335" i="8"/>
  <c r="E74" i="28" l="1"/>
  <c r="E169" i="28"/>
  <c r="C170" i="28"/>
  <c r="E85" i="28"/>
  <c r="E154" i="26"/>
  <c r="D154" i="26" s="1"/>
  <c r="R21" i="8"/>
  <c r="E40" i="14"/>
  <c r="G40" i="14" s="1"/>
  <c r="R28" i="8"/>
  <c r="R27" i="8"/>
  <c r="Q1333" i="8"/>
  <c r="Q1334" i="8" s="1"/>
  <c r="E34" i="8"/>
  <c r="E36" i="8" s="1"/>
  <c r="Q27" i="8"/>
  <c r="E1334" i="8"/>
  <c r="E1335" i="8"/>
  <c r="G41" i="14"/>
  <c r="E29" i="19"/>
  <c r="F15" i="26"/>
  <c r="G39" i="14"/>
  <c r="T70" i="8"/>
  <c r="T79" i="8" s="1"/>
  <c r="Q365" i="8"/>
  <c r="Q377" i="8" s="1"/>
  <c r="O24" i="22"/>
  <c r="F34" i="8"/>
  <c r="F36" i="8" s="1"/>
  <c r="Q28" i="8"/>
  <c r="E30" i="19"/>
  <c r="G42" i="14"/>
  <c r="F1335" i="8"/>
  <c r="F1334" i="8"/>
  <c r="P23" i="8"/>
  <c r="Q21" i="8"/>
  <c r="P1335" i="8"/>
  <c r="N22" i="22"/>
  <c r="N27" i="22" s="1"/>
  <c r="N30" i="22" s="1"/>
  <c r="O20" i="22"/>
  <c r="O22" i="22" s="1"/>
  <c r="P21" i="22" s="1"/>
  <c r="E30" i="14"/>
  <c r="E51" i="14" s="1"/>
  <c r="G48" i="14"/>
  <c r="E36" i="19"/>
  <c r="C171" i="28" l="1"/>
  <c r="E170" i="28"/>
  <c r="C232" i="28"/>
  <c r="E231" i="28"/>
  <c r="G198" i="26"/>
  <c r="G204" i="26" s="1"/>
  <c r="G227" i="26"/>
  <c r="G233" i="26" s="1"/>
  <c r="F42" i="26"/>
  <c r="M113" i="26" s="1"/>
  <c r="E28" i="19"/>
  <c r="Q1335" i="8"/>
  <c r="Q34" i="8"/>
  <c r="O27" i="22"/>
  <c r="O30" i="22" s="1"/>
  <c r="Q30" i="22" s="1"/>
  <c r="Q32" i="22" s="1"/>
  <c r="E21" i="19"/>
  <c r="G30" i="14"/>
  <c r="G51" i="14" s="1"/>
  <c r="G63" i="14" s="1"/>
  <c r="P36" i="8"/>
  <c r="Q36" i="8" s="1"/>
  <c r="Q23" i="8"/>
  <c r="E63" i="14"/>
  <c r="U30" i="1" l="1"/>
  <c r="E23" i="27"/>
  <c r="E86" i="28"/>
  <c r="C87" i="28"/>
  <c r="E232" i="28"/>
  <c r="C233" i="28"/>
  <c r="C173" i="28"/>
  <c r="C181" i="28" s="1"/>
  <c r="C183" i="28" s="1"/>
  <c r="E171" i="28"/>
  <c r="E173" i="28" s="1"/>
  <c r="F38" i="19"/>
  <c r="F40" i="19" s="1"/>
  <c r="U45" i="1" l="1"/>
  <c r="D959" i="20" s="1"/>
  <c r="E959" i="20" s="1"/>
  <c r="U36" i="1"/>
  <c r="D750" i="20" s="1"/>
  <c r="L750" i="20" s="1"/>
  <c r="U46" i="1"/>
  <c r="U43" i="1"/>
  <c r="D890" i="20" s="1"/>
  <c r="O890" i="20" s="1"/>
  <c r="G205" i="26"/>
  <c r="G208" i="26" s="1"/>
  <c r="U42" i="1"/>
  <c r="D846" i="20" s="1"/>
  <c r="J846" i="20" s="1"/>
  <c r="U47" i="1"/>
  <c r="D1028" i="20" s="1"/>
  <c r="H1028" i="20" s="1"/>
  <c r="E16" i="27"/>
  <c r="U31" i="1"/>
  <c r="D700" i="20" s="1"/>
  <c r="O700" i="20" s="1"/>
  <c r="U44" i="1"/>
  <c r="D934" i="20" s="1"/>
  <c r="I934" i="20" s="1"/>
  <c r="U53" i="1"/>
  <c r="D1202" i="20" s="1"/>
  <c r="H1202" i="20" s="1"/>
  <c r="G234" i="26"/>
  <c r="G237" i="26" s="1"/>
  <c r="E233" i="28"/>
  <c r="C235" i="28"/>
  <c r="E87" i="28"/>
  <c r="C88" i="28"/>
  <c r="E183" i="28"/>
  <c r="D649" i="20"/>
  <c r="E78" i="28"/>
  <c r="K846" i="20"/>
  <c r="N700" i="20" l="1"/>
  <c r="D1000" i="20"/>
  <c r="L1000" i="20" s="1"/>
  <c r="E128" i="28"/>
  <c r="P846" i="20"/>
  <c r="N846" i="20"/>
  <c r="M846" i="20"/>
  <c r="L846" i="20"/>
  <c r="M959" i="20"/>
  <c r="K959" i="20"/>
  <c r="J959" i="20"/>
  <c r="E890" i="20"/>
  <c r="N890" i="20"/>
  <c r="M1028" i="20"/>
  <c r="P1000" i="20"/>
  <c r="G846" i="20"/>
  <c r="L890" i="20"/>
  <c r="G750" i="20"/>
  <c r="F846" i="20"/>
  <c r="O846" i="20"/>
  <c r="G890" i="20"/>
  <c r="I846" i="20"/>
  <c r="E846" i="20"/>
  <c r="H890" i="20"/>
  <c r="H846" i="20"/>
  <c r="J890" i="20"/>
  <c r="F890" i="20"/>
  <c r="H959" i="20"/>
  <c r="N959" i="20"/>
  <c r="G959" i="20"/>
  <c r="I750" i="20"/>
  <c r="E750" i="20"/>
  <c r="I959" i="20"/>
  <c r="P959" i="20"/>
  <c r="O959" i="20"/>
  <c r="O750" i="20"/>
  <c r="O1271" i="20" s="1"/>
  <c r="L959" i="20"/>
  <c r="F959" i="20"/>
  <c r="J750" i="20"/>
  <c r="M750" i="20"/>
  <c r="E1202" i="20"/>
  <c r="E177" i="28"/>
  <c r="L1202" i="20"/>
  <c r="M1202" i="20"/>
  <c r="F750" i="20"/>
  <c r="P750" i="20"/>
  <c r="K750" i="20"/>
  <c r="N750" i="20"/>
  <c r="H750" i="20"/>
  <c r="I890" i="20"/>
  <c r="P890" i="20"/>
  <c r="K890" i="20"/>
  <c r="M890" i="20"/>
  <c r="N1028" i="20"/>
  <c r="J1000" i="20"/>
  <c r="F700" i="20"/>
  <c r="J700" i="20"/>
  <c r="I700" i="20"/>
  <c r="H700" i="20"/>
  <c r="E700" i="20"/>
  <c r="E1271" i="20" s="1"/>
  <c r="L700" i="20"/>
  <c r="L1271" i="20" s="1"/>
  <c r="K700" i="20"/>
  <c r="P700" i="20"/>
  <c r="I1202" i="20"/>
  <c r="J1202" i="20"/>
  <c r="F1202" i="20"/>
  <c r="H1000" i="20"/>
  <c r="K1028" i="20"/>
  <c r="L1028" i="20"/>
  <c r="G1028" i="20"/>
  <c r="K1202" i="20"/>
  <c r="G1202" i="20"/>
  <c r="O1202" i="20"/>
  <c r="E1028" i="20"/>
  <c r="I1028" i="20"/>
  <c r="P1028" i="20"/>
  <c r="G700" i="20"/>
  <c r="M700" i="20"/>
  <c r="K205" i="26"/>
  <c r="G213" i="26"/>
  <c r="E20" i="27" s="1"/>
  <c r="P1202" i="20"/>
  <c r="N1202" i="20"/>
  <c r="J1028" i="20"/>
  <c r="O1028" i="20"/>
  <c r="F1028" i="20"/>
  <c r="K234" i="26"/>
  <c r="G239" i="26"/>
  <c r="K239" i="26" s="1"/>
  <c r="E88" i="28"/>
  <c r="C90" i="28"/>
  <c r="O934" i="20"/>
  <c r="F934" i="20"/>
  <c r="P934" i="20"/>
  <c r="N934" i="20"/>
  <c r="K934" i="20"/>
  <c r="G934" i="20"/>
  <c r="L934" i="20"/>
  <c r="M934" i="20"/>
  <c r="J934" i="20"/>
  <c r="E934" i="20"/>
  <c r="H934" i="20"/>
  <c r="K649" i="20"/>
  <c r="K1263" i="20" s="1"/>
  <c r="G649" i="20"/>
  <c r="G1263" i="20" s="1"/>
  <c r="N649" i="20"/>
  <c r="N1263" i="20" s="1"/>
  <c r="J649" i="20"/>
  <c r="J1263" i="20" s="1"/>
  <c r="H649" i="20"/>
  <c r="H1263" i="20" s="1"/>
  <c r="O649" i="20"/>
  <c r="O1263" i="20" s="1"/>
  <c r="L649" i="20"/>
  <c r="L1263" i="20" s="1"/>
  <c r="F649" i="20"/>
  <c r="F1263" i="20" s="1"/>
  <c r="M649" i="20"/>
  <c r="M1263" i="20" s="1"/>
  <c r="E649" i="20"/>
  <c r="I649" i="20"/>
  <c r="I1263" i="20" s="1"/>
  <c r="P649" i="20"/>
  <c r="P1263" i="20" s="1"/>
  <c r="G1271" i="20" l="1"/>
  <c r="G1000" i="20"/>
  <c r="N1000" i="20"/>
  <c r="F1000" i="20"/>
  <c r="F1306" i="20" s="1"/>
  <c r="E1000" i="20"/>
  <c r="E1306" i="20" s="1"/>
  <c r="M1000" i="20"/>
  <c r="M1306" i="20" s="1"/>
  <c r="K1000" i="20"/>
  <c r="I1000" i="20"/>
  <c r="I1306" i="20" s="1"/>
  <c r="O1000" i="20"/>
  <c r="O1306" i="20" s="1"/>
  <c r="N1271" i="20"/>
  <c r="P1306" i="20"/>
  <c r="P1271" i="20"/>
  <c r="Q846" i="20"/>
  <c r="S42" i="1"/>
  <c r="D859" i="20" s="1"/>
  <c r="Q890" i="20"/>
  <c r="I1271" i="20"/>
  <c r="M1271" i="20"/>
  <c r="Q750" i="20"/>
  <c r="Q959" i="20"/>
  <c r="J1271" i="20"/>
  <c r="K1271" i="20"/>
  <c r="L1306" i="20"/>
  <c r="E24" i="27"/>
  <c r="G240" i="26"/>
  <c r="F1271" i="20"/>
  <c r="H1271" i="20"/>
  <c r="G1306" i="20"/>
  <c r="G210" i="26"/>
  <c r="K210" i="26" s="1"/>
  <c r="K1306" i="20"/>
  <c r="Q1202" i="20"/>
  <c r="S47" i="1"/>
  <c r="D1042" i="20" s="1"/>
  <c r="S31" i="1"/>
  <c r="D713" i="20" s="1"/>
  <c r="S43" i="1"/>
  <c r="D903" i="20" s="1"/>
  <c r="G211" i="26"/>
  <c r="F211" i="26" s="1"/>
  <c r="Q42" i="1" s="1"/>
  <c r="D857" i="20" s="1"/>
  <c r="S46" i="1"/>
  <c r="D135" i="28" s="1"/>
  <c r="E135" i="28" s="1"/>
  <c r="K213" i="26"/>
  <c r="S30" i="1"/>
  <c r="D84" i="28" s="1"/>
  <c r="E84" i="28" s="1"/>
  <c r="G212" i="26"/>
  <c r="F212" i="26" s="1"/>
  <c r="E19" i="27" s="1"/>
  <c r="J1306" i="20"/>
  <c r="Q1028" i="20"/>
  <c r="Q700" i="20"/>
  <c r="H1306" i="20"/>
  <c r="N1306" i="20"/>
  <c r="E184" i="28"/>
  <c r="C185" i="28"/>
  <c r="Q934" i="20"/>
  <c r="E1263" i="20"/>
  <c r="Q1263" i="20" s="1"/>
  <c r="Q649" i="20"/>
  <c r="D1014" i="20" l="1"/>
  <c r="P1014" i="20" s="1"/>
  <c r="Q1000" i="20"/>
  <c r="Q36" i="1"/>
  <c r="Q46" i="1"/>
  <c r="K212" i="26"/>
  <c r="G241" i="26"/>
  <c r="K240" i="26"/>
  <c r="K241" i="26" s="1"/>
  <c r="K243" i="26" s="1"/>
  <c r="P36" i="1"/>
  <c r="P45" i="1"/>
  <c r="Q1271" i="20"/>
  <c r="P44" i="1"/>
  <c r="D181" i="28" s="1"/>
  <c r="E181" i="28" s="1"/>
  <c r="P53" i="1"/>
  <c r="D1211" i="20" s="1"/>
  <c r="F1211" i="20" s="1"/>
  <c r="D662" i="20"/>
  <c r="O662" i="20" s="1"/>
  <c r="Q43" i="1"/>
  <c r="D901" i="20" s="1"/>
  <c r="G901" i="20" s="1"/>
  <c r="Q30" i="1"/>
  <c r="D660" i="20" s="1"/>
  <c r="L660" i="20" s="1"/>
  <c r="F210" i="26"/>
  <c r="P46" i="1" s="1"/>
  <c r="E18" i="27"/>
  <c r="Q47" i="1"/>
  <c r="D1040" i="20" s="1"/>
  <c r="N1040" i="20" s="1"/>
  <c r="K211" i="26"/>
  <c r="Q31" i="1"/>
  <c r="D711" i="20" s="1"/>
  <c r="N711" i="20" s="1"/>
  <c r="G214" i="26"/>
  <c r="Q1306" i="20"/>
  <c r="C186" i="28"/>
  <c r="E185" i="28"/>
  <c r="R42" i="1"/>
  <c r="D858" i="20" s="1"/>
  <c r="O858" i="20" s="1"/>
  <c r="R46" i="1"/>
  <c r="R30" i="1"/>
  <c r="R31" i="1"/>
  <c r="D712" i="20" s="1"/>
  <c r="O712" i="20" s="1"/>
  <c r="R47" i="1"/>
  <c r="D1041" i="20" s="1"/>
  <c r="K1041" i="20" s="1"/>
  <c r="R43" i="1"/>
  <c r="D902" i="20" s="1"/>
  <c r="M902" i="20" s="1"/>
  <c r="J859" i="20"/>
  <c r="I859" i="20"/>
  <c r="M859" i="20"/>
  <c r="P859" i="20"/>
  <c r="F859" i="20"/>
  <c r="N859" i="20"/>
  <c r="O859" i="20"/>
  <c r="G859" i="20"/>
  <c r="L859" i="20"/>
  <c r="E859" i="20"/>
  <c r="K859" i="20"/>
  <c r="H859" i="20"/>
  <c r="O903" i="20"/>
  <c r="G903" i="20"/>
  <c r="M903" i="20"/>
  <c r="I903" i="20"/>
  <c r="N903" i="20"/>
  <c r="K903" i="20"/>
  <c r="P903" i="20"/>
  <c r="E903" i="20"/>
  <c r="H903" i="20"/>
  <c r="F903" i="20"/>
  <c r="J903" i="20"/>
  <c r="L903" i="20"/>
  <c r="E857" i="20"/>
  <c r="L857" i="20"/>
  <c r="K857" i="20"/>
  <c r="M857" i="20"/>
  <c r="J857" i="20"/>
  <c r="H857" i="20"/>
  <c r="I857" i="20"/>
  <c r="F857" i="20"/>
  <c r="N857" i="20"/>
  <c r="G857" i="20"/>
  <c r="P857" i="20"/>
  <c r="O857" i="20"/>
  <c r="J713" i="20"/>
  <c r="I713" i="20"/>
  <c r="N713" i="20"/>
  <c r="M713" i="20"/>
  <c r="O713" i="20"/>
  <c r="G713" i="20"/>
  <c r="P713" i="20"/>
  <c r="L713" i="20"/>
  <c r="H713" i="20"/>
  <c r="E713" i="20"/>
  <c r="K713" i="20"/>
  <c r="F713" i="20"/>
  <c r="L1042" i="20"/>
  <c r="O1042" i="20"/>
  <c r="F1042" i="20"/>
  <c r="P1042" i="20"/>
  <c r="N1042" i="20"/>
  <c r="H1042" i="20"/>
  <c r="I1042" i="20"/>
  <c r="M1042" i="20"/>
  <c r="K1042" i="20"/>
  <c r="E1042" i="20"/>
  <c r="G1042" i="20"/>
  <c r="J1042" i="20"/>
  <c r="G1014" i="20"/>
  <c r="M1014" i="20"/>
  <c r="J1014" i="20"/>
  <c r="K1014" i="20" l="1"/>
  <c r="F1014" i="20"/>
  <c r="N1014" i="20"/>
  <c r="L1014" i="20"/>
  <c r="H1014" i="20"/>
  <c r="E1014" i="20"/>
  <c r="O1014" i="20"/>
  <c r="I1014" i="20"/>
  <c r="Q53" i="1"/>
  <c r="D1212" i="20" s="1"/>
  <c r="E1212" i="20" s="1"/>
  <c r="Q44" i="1"/>
  <c r="D182" i="28" s="1"/>
  <c r="E182" i="28" s="1"/>
  <c r="E192" i="28" s="1"/>
  <c r="D1013" i="20"/>
  <c r="P1013" i="20" s="1"/>
  <c r="D134" i="28"/>
  <c r="E134" i="28" s="1"/>
  <c r="Q45" i="1"/>
  <c r="D1012" i="20"/>
  <c r="F1012" i="20" s="1"/>
  <c r="D133" i="28"/>
  <c r="E133" i="28" s="1"/>
  <c r="D1011" i="20"/>
  <c r="J1011" i="20" s="1"/>
  <c r="D132" i="28"/>
  <c r="E132" i="28" s="1"/>
  <c r="E25" i="27"/>
  <c r="K711" i="20"/>
  <c r="J901" i="20"/>
  <c r="O711" i="20"/>
  <c r="E17" i="27"/>
  <c r="J711" i="20"/>
  <c r="K214" i="26"/>
  <c r="K216" i="26" s="1"/>
  <c r="H662" i="20"/>
  <c r="E711" i="20"/>
  <c r="P31" i="1"/>
  <c r="D710" i="20" s="1"/>
  <c r="I710" i="20" s="1"/>
  <c r="G1040" i="20"/>
  <c r="L711" i="20"/>
  <c r="M711" i="20"/>
  <c r="P711" i="20"/>
  <c r="P47" i="1"/>
  <c r="D1039" i="20" s="1"/>
  <c r="G1039" i="20" s="1"/>
  <c r="E1040" i="20"/>
  <c r="G711" i="20"/>
  <c r="I711" i="20"/>
  <c r="P43" i="1"/>
  <c r="D900" i="20" s="1"/>
  <c r="F900" i="20" s="1"/>
  <c r="J1040" i="20"/>
  <c r="F901" i="20"/>
  <c r="D82" i="28"/>
  <c r="E82" i="28" s="1"/>
  <c r="H1040" i="20"/>
  <c r="N901" i="20"/>
  <c r="P901" i="20"/>
  <c r="O1040" i="20"/>
  <c r="K1040" i="20"/>
  <c r="H901" i="20"/>
  <c r="E901" i="20"/>
  <c r="E662" i="20"/>
  <c r="I662" i="20"/>
  <c r="H711" i="20"/>
  <c r="F711" i="20"/>
  <c r="P42" i="1"/>
  <c r="D856" i="20" s="1"/>
  <c r="H856" i="20" s="1"/>
  <c r="P30" i="1"/>
  <c r="D81" i="28" s="1"/>
  <c r="E81" i="28" s="1"/>
  <c r="L662" i="20"/>
  <c r="M662" i="20"/>
  <c r="K662" i="20"/>
  <c r="P662" i="20"/>
  <c r="N662" i="20"/>
  <c r="J662" i="20"/>
  <c r="I1212" i="20"/>
  <c r="P1211" i="20"/>
  <c r="L1212" i="20"/>
  <c r="M1211" i="20"/>
  <c r="O1211" i="20"/>
  <c r="G1211" i="20"/>
  <c r="L1211" i="20"/>
  <c r="N1211" i="20"/>
  <c r="E1211" i="20"/>
  <c r="I1211" i="20"/>
  <c r="K1211" i="20"/>
  <c r="J1211" i="20"/>
  <c r="H1211" i="20"/>
  <c r="P1040" i="20"/>
  <c r="L1040" i="20"/>
  <c r="M901" i="20"/>
  <c r="L901" i="20"/>
  <c r="I1040" i="20"/>
  <c r="F1040" i="20"/>
  <c r="M1040" i="20"/>
  <c r="F662" i="20"/>
  <c r="G662" i="20"/>
  <c r="I901" i="20"/>
  <c r="K901" i="20"/>
  <c r="O901" i="20"/>
  <c r="O902" i="20"/>
  <c r="J858" i="20"/>
  <c r="H660" i="20"/>
  <c r="E186" i="28"/>
  <c r="C188" i="28"/>
  <c r="K660" i="20"/>
  <c r="G660" i="20"/>
  <c r="O660" i="20"/>
  <c r="M660" i="20"/>
  <c r="F660" i="20"/>
  <c r="J660" i="20"/>
  <c r="N660" i="20"/>
  <c r="I660" i="20"/>
  <c r="P660" i="20"/>
  <c r="E660" i="20"/>
  <c r="I902" i="20"/>
  <c r="D661" i="20"/>
  <c r="D83" i="28"/>
  <c r="E83" i="28" s="1"/>
  <c r="P1041" i="20"/>
  <c r="L858" i="20"/>
  <c r="H1041" i="20"/>
  <c r="H858" i="20"/>
  <c r="G1041" i="20"/>
  <c r="K858" i="20"/>
  <c r="G858" i="20"/>
  <c r="M858" i="20"/>
  <c r="F1041" i="20"/>
  <c r="L1041" i="20"/>
  <c r="M1041" i="20"/>
  <c r="N858" i="20"/>
  <c r="E858" i="20"/>
  <c r="I858" i="20"/>
  <c r="I1041" i="20"/>
  <c r="J1041" i="20"/>
  <c r="E1041" i="20"/>
  <c r="F858" i="20"/>
  <c r="P858" i="20"/>
  <c r="N1041" i="20"/>
  <c r="O1041" i="20"/>
  <c r="F902" i="20"/>
  <c r="N712" i="20"/>
  <c r="H902" i="20"/>
  <c r="G902" i="20"/>
  <c r="K902" i="20"/>
  <c r="N902" i="20"/>
  <c r="L902" i="20"/>
  <c r="J902" i="20"/>
  <c r="E902" i="20"/>
  <c r="P902" i="20"/>
  <c r="H712" i="20"/>
  <c r="G712" i="20"/>
  <c r="L712" i="20"/>
  <c r="F712" i="20"/>
  <c r="P712" i="20"/>
  <c r="I712" i="20"/>
  <c r="M712" i="20"/>
  <c r="J712" i="20"/>
  <c r="E712" i="20"/>
  <c r="K712" i="20"/>
  <c r="D759" i="20"/>
  <c r="Q1042" i="20"/>
  <c r="Q713" i="20"/>
  <c r="Q903" i="20"/>
  <c r="Q857" i="20"/>
  <c r="Q859" i="20"/>
  <c r="D758" i="20"/>
  <c r="Q1014" i="20" l="1"/>
  <c r="M1212" i="20"/>
  <c r="M1213" i="20" s="1"/>
  <c r="M1215" i="20" s="1"/>
  <c r="M350" i="20" s="1"/>
  <c r="P1212" i="20"/>
  <c r="P1213" i="20" s="1"/>
  <c r="P1215" i="20" s="1"/>
  <c r="P350" i="20" s="1"/>
  <c r="J1212" i="20"/>
  <c r="J1213" i="20" s="1"/>
  <c r="J1215" i="20" s="1"/>
  <c r="J1219" i="20" s="1"/>
  <c r="J352" i="20" s="1"/>
  <c r="N1212" i="20"/>
  <c r="N1213" i="20" s="1"/>
  <c r="N1215" i="20" s="1"/>
  <c r="N350" i="20" s="1"/>
  <c r="E1213" i="20"/>
  <c r="E1215" i="20" s="1"/>
  <c r="K1212" i="20"/>
  <c r="K1213" i="20" s="1"/>
  <c r="K1215" i="20" s="1"/>
  <c r="K350" i="20" s="1"/>
  <c r="H1212" i="20"/>
  <c r="H1213" i="20" s="1"/>
  <c r="H1215" i="20" s="1"/>
  <c r="H350" i="20" s="1"/>
  <c r="F1212" i="20"/>
  <c r="F1213" i="20" s="1"/>
  <c r="F1215" i="20" s="1"/>
  <c r="F350" i="20" s="1"/>
  <c r="O1212" i="20"/>
  <c r="O1213" i="20" s="1"/>
  <c r="O1215" i="20" s="1"/>
  <c r="O350" i="20" s="1"/>
  <c r="G1212" i="20"/>
  <c r="G1213" i="20" s="1"/>
  <c r="G1215" i="20" s="1"/>
  <c r="G1219" i="20" s="1"/>
  <c r="G352" i="20" s="1"/>
  <c r="E188" i="28"/>
  <c r="E190" i="28" s="1"/>
  <c r="P1039" i="20"/>
  <c r="O1012" i="20"/>
  <c r="J1013" i="20"/>
  <c r="G1013" i="20"/>
  <c r="H1013" i="20"/>
  <c r="F1013" i="20"/>
  <c r="E1013" i="20"/>
  <c r="K1013" i="20"/>
  <c r="O1013" i="20"/>
  <c r="M1013" i="20"/>
  <c r="N1013" i="20"/>
  <c r="I1013" i="20"/>
  <c r="L1013" i="20"/>
  <c r="G1012" i="20"/>
  <c r="P1011" i="20"/>
  <c r="K1011" i="20"/>
  <c r="N1011" i="20"/>
  <c r="F1011" i="20"/>
  <c r="F1015" i="20" s="1"/>
  <c r="F1017" i="20" s="1"/>
  <c r="F1021" i="20" s="1"/>
  <c r="F262" i="20" s="1"/>
  <c r="G1011" i="20"/>
  <c r="O1011" i="20"/>
  <c r="E1011" i="20"/>
  <c r="H1011" i="20"/>
  <c r="M1011" i="20"/>
  <c r="L1011" i="20"/>
  <c r="E141" i="28"/>
  <c r="E143" i="28" s="1"/>
  <c r="I1011" i="20"/>
  <c r="H1012" i="20"/>
  <c r="M1012" i="20"/>
  <c r="L1012" i="20"/>
  <c r="N1012" i="20"/>
  <c r="P1012" i="20"/>
  <c r="J1012" i="20"/>
  <c r="E145" i="28"/>
  <c r="K1012" i="20"/>
  <c r="K1015" i="20" s="1"/>
  <c r="K1017" i="20" s="1"/>
  <c r="K260" i="20" s="1"/>
  <c r="E1012" i="20"/>
  <c r="I1012" i="20"/>
  <c r="K856" i="20"/>
  <c r="K860" i="20" s="1"/>
  <c r="K862" i="20" s="1"/>
  <c r="K232" i="20" s="1"/>
  <c r="H710" i="20"/>
  <c r="H714" i="20" s="1"/>
  <c r="H716" i="20" s="1"/>
  <c r="G710" i="20"/>
  <c r="G714" i="20" s="1"/>
  <c r="G716" i="20" s="1"/>
  <c r="J710" i="20"/>
  <c r="J714" i="20" s="1"/>
  <c r="J716" i="20" s="1"/>
  <c r="I1039" i="20"/>
  <c r="I1043" i="20" s="1"/>
  <c r="I1045" i="20" s="1"/>
  <c r="I288" i="20" s="1"/>
  <c r="L856" i="20"/>
  <c r="L860" i="20" s="1"/>
  <c r="L862" i="20" s="1"/>
  <c r="L866" i="20" s="1"/>
  <c r="L234" i="20" s="1"/>
  <c r="O1039" i="20"/>
  <c r="O1043" i="20" s="1"/>
  <c r="O1045" i="20" s="1"/>
  <c r="O1049" i="20" s="1"/>
  <c r="O290" i="20" s="1"/>
  <c r="K1039" i="20"/>
  <c r="K1043" i="20" s="1"/>
  <c r="K1045" i="20" s="1"/>
  <c r="K288" i="20" s="1"/>
  <c r="H1039" i="20"/>
  <c r="H1043" i="20" s="1"/>
  <c r="H1045" i="20" s="1"/>
  <c r="H1049" i="20" s="1"/>
  <c r="H290" i="20" s="1"/>
  <c r="L1039" i="20"/>
  <c r="L1043" i="20" s="1"/>
  <c r="L1045" i="20" s="1"/>
  <c r="L1049" i="20" s="1"/>
  <c r="L290" i="20" s="1"/>
  <c r="L710" i="20"/>
  <c r="L714" i="20" s="1"/>
  <c r="L716" i="20" s="1"/>
  <c r="M710" i="20"/>
  <c r="M714" i="20" s="1"/>
  <c r="M716" i="20" s="1"/>
  <c r="P900" i="20"/>
  <c r="P904" i="20" s="1"/>
  <c r="P906" i="20" s="1"/>
  <c r="P910" i="20" s="1"/>
  <c r="P241" i="20" s="1"/>
  <c r="I714" i="20"/>
  <c r="I716" i="20" s="1"/>
  <c r="O856" i="20"/>
  <c r="O860" i="20" s="1"/>
  <c r="O862" i="20" s="1"/>
  <c r="O232" i="20" s="1"/>
  <c r="J1039" i="20"/>
  <c r="J1043" i="20" s="1"/>
  <c r="J1045" i="20" s="1"/>
  <c r="J288" i="20" s="1"/>
  <c r="N1039" i="20"/>
  <c r="N1043" i="20" s="1"/>
  <c r="N1045" i="20" s="1"/>
  <c r="N288" i="20" s="1"/>
  <c r="M1039" i="20"/>
  <c r="M1043" i="20" s="1"/>
  <c r="M1045" i="20" s="1"/>
  <c r="M1049" i="20" s="1"/>
  <c r="M290" i="20" s="1"/>
  <c r="I856" i="20"/>
  <c r="I860" i="20" s="1"/>
  <c r="I862" i="20" s="1"/>
  <c r="I866" i="20" s="1"/>
  <c r="I234" i="20" s="1"/>
  <c r="E1039" i="20"/>
  <c r="E1043" i="20" s="1"/>
  <c r="E1045" i="20" s="1"/>
  <c r="F1039" i="20"/>
  <c r="F1043" i="20" s="1"/>
  <c r="F1045" i="20" s="1"/>
  <c r="F1049" i="20" s="1"/>
  <c r="F290" i="20" s="1"/>
  <c r="M856" i="20"/>
  <c r="M860" i="20" s="1"/>
  <c r="M862" i="20" s="1"/>
  <c r="M866" i="20" s="1"/>
  <c r="M234" i="20" s="1"/>
  <c r="L900" i="20"/>
  <c r="L904" i="20" s="1"/>
  <c r="L906" i="20" s="1"/>
  <c r="L910" i="20" s="1"/>
  <c r="L241" i="20" s="1"/>
  <c r="E900" i="20"/>
  <c r="E904" i="20" s="1"/>
  <c r="E906" i="20" s="1"/>
  <c r="P710" i="20"/>
  <c r="P714" i="20" s="1"/>
  <c r="P716" i="20" s="1"/>
  <c r="F710" i="20"/>
  <c r="F714" i="20" s="1"/>
  <c r="F716" i="20" s="1"/>
  <c r="I900" i="20"/>
  <c r="N900" i="20"/>
  <c r="N904" i="20" s="1"/>
  <c r="N906" i="20" s="1"/>
  <c r="N910" i="20" s="1"/>
  <c r="N241" i="20" s="1"/>
  <c r="G900" i="20"/>
  <c r="G904" i="20" s="1"/>
  <c r="G906" i="20" s="1"/>
  <c r="H900" i="20"/>
  <c r="H904" i="20" s="1"/>
  <c r="H906" i="20" s="1"/>
  <c r="H910" i="20" s="1"/>
  <c r="H241" i="20" s="1"/>
  <c r="J900" i="20"/>
  <c r="J904" i="20" s="1"/>
  <c r="J906" i="20" s="1"/>
  <c r="J239" i="20" s="1"/>
  <c r="O710" i="20"/>
  <c r="O714" i="20" s="1"/>
  <c r="O716" i="20" s="1"/>
  <c r="G1043" i="20"/>
  <c r="G1045" i="20" s="1"/>
  <c r="G1049" i="20" s="1"/>
  <c r="G290" i="20" s="1"/>
  <c r="K710" i="20"/>
  <c r="K714" i="20" s="1"/>
  <c r="F904" i="20"/>
  <c r="F906" i="20" s="1"/>
  <c r="F910" i="20" s="1"/>
  <c r="F241" i="20" s="1"/>
  <c r="N710" i="20"/>
  <c r="N714" i="20" s="1"/>
  <c r="N716" i="20" s="1"/>
  <c r="E710" i="20"/>
  <c r="E714" i="20" s="1"/>
  <c r="E716" i="20" s="1"/>
  <c r="M900" i="20"/>
  <c r="M904" i="20" s="1"/>
  <c r="M906" i="20" s="1"/>
  <c r="M910" i="20" s="1"/>
  <c r="M241" i="20" s="1"/>
  <c r="O900" i="20"/>
  <c r="O904" i="20" s="1"/>
  <c r="O906" i="20" s="1"/>
  <c r="O239" i="20" s="1"/>
  <c r="K900" i="20"/>
  <c r="K904" i="20" s="1"/>
  <c r="K906" i="20" s="1"/>
  <c r="K239" i="20" s="1"/>
  <c r="D659" i="20"/>
  <c r="K659" i="20" s="1"/>
  <c r="Q901" i="20"/>
  <c r="Q711" i="20"/>
  <c r="P856" i="20"/>
  <c r="P860" i="20" s="1"/>
  <c r="P862" i="20" s="1"/>
  <c r="P866" i="20" s="1"/>
  <c r="P234" i="20" s="1"/>
  <c r="J856" i="20"/>
  <c r="J860" i="20" s="1"/>
  <c r="J862" i="20" s="1"/>
  <c r="J866" i="20" s="1"/>
  <c r="J234" i="20" s="1"/>
  <c r="E856" i="20"/>
  <c r="E860" i="20" s="1"/>
  <c r="E862" i="20" s="1"/>
  <c r="F856" i="20"/>
  <c r="N856" i="20"/>
  <c r="N860" i="20" s="1"/>
  <c r="N862" i="20" s="1"/>
  <c r="G856" i="20"/>
  <c r="G860" i="20" s="1"/>
  <c r="G862" i="20" s="1"/>
  <c r="G866" i="20" s="1"/>
  <c r="G234" i="20" s="1"/>
  <c r="Q1040" i="20"/>
  <c r="Q662" i="20"/>
  <c r="L1213" i="20"/>
  <c r="L1215" i="20" s="1"/>
  <c r="L1219" i="20" s="1"/>
  <c r="L352" i="20" s="1"/>
  <c r="I1213" i="20"/>
  <c r="I1215" i="20" s="1"/>
  <c r="I1219" i="20" s="1"/>
  <c r="I352" i="20" s="1"/>
  <c r="Q1211" i="20"/>
  <c r="P1043" i="20"/>
  <c r="P1045" i="20" s="1"/>
  <c r="P1049" i="20" s="1"/>
  <c r="P290" i="20" s="1"/>
  <c r="Q660" i="20"/>
  <c r="Q1041" i="20"/>
  <c r="J661" i="20"/>
  <c r="H661" i="20"/>
  <c r="P661" i="20"/>
  <c r="E661" i="20"/>
  <c r="I661" i="20"/>
  <c r="K661" i="20"/>
  <c r="Q858" i="20"/>
  <c r="E94" i="28"/>
  <c r="E90" i="28"/>
  <c r="E92" i="28" s="1"/>
  <c r="G661" i="20"/>
  <c r="F661" i="20"/>
  <c r="L661" i="20"/>
  <c r="M661" i="20"/>
  <c r="N661" i="20"/>
  <c r="O661" i="20"/>
  <c r="H860" i="20"/>
  <c r="H862" i="20" s="1"/>
  <c r="H866" i="20" s="1"/>
  <c r="H234" i="20" s="1"/>
  <c r="Q902" i="20"/>
  <c r="Q712" i="20"/>
  <c r="P759" i="20"/>
  <c r="K759" i="20"/>
  <c r="N759" i="20"/>
  <c r="M759" i="20"/>
  <c r="H759" i="20"/>
  <c r="L759" i="20"/>
  <c r="J759" i="20"/>
  <c r="F759" i="20"/>
  <c r="I759" i="20"/>
  <c r="G759" i="20"/>
  <c r="E759" i="20"/>
  <c r="O759" i="20"/>
  <c r="L758" i="20"/>
  <c r="M758" i="20"/>
  <c r="O758" i="20"/>
  <c r="H758" i="20"/>
  <c r="N758" i="20"/>
  <c r="J758" i="20"/>
  <c r="E758" i="20"/>
  <c r="I758" i="20"/>
  <c r="K758" i="20"/>
  <c r="P758" i="20"/>
  <c r="F758" i="20"/>
  <c r="G758" i="20"/>
  <c r="D944" i="20"/>
  <c r="D969" i="20"/>
  <c r="F1219" i="20" l="1"/>
  <c r="F352" i="20" s="1"/>
  <c r="O1015" i="20"/>
  <c r="O1017" i="20" s="1"/>
  <c r="O260" i="20" s="1"/>
  <c r="P1015" i="20"/>
  <c r="P1017" i="20" s="1"/>
  <c r="P260" i="20" s="1"/>
  <c r="Q1212" i="20"/>
  <c r="H1015" i="20"/>
  <c r="H1017" i="20" s="1"/>
  <c r="H260" i="20" s="1"/>
  <c r="J1015" i="20"/>
  <c r="J1017" i="20" s="1"/>
  <c r="J1021" i="20" s="1"/>
  <c r="J262" i="20" s="1"/>
  <c r="M1015" i="20"/>
  <c r="M1017" i="20" s="1"/>
  <c r="M1021" i="20" s="1"/>
  <c r="M262" i="20" s="1"/>
  <c r="G1015" i="20"/>
  <c r="G1017" i="20" s="1"/>
  <c r="G260" i="20" s="1"/>
  <c r="L1015" i="20"/>
  <c r="L1017" i="20" s="1"/>
  <c r="L260" i="20" s="1"/>
  <c r="Q1013" i="20"/>
  <c r="N1015" i="20"/>
  <c r="N1017" i="20" s="1"/>
  <c r="N1021" i="20" s="1"/>
  <c r="N262" i="20" s="1"/>
  <c r="Q1011" i="20"/>
  <c r="E1015" i="20"/>
  <c r="E1017" i="20" s="1"/>
  <c r="E260" i="20" s="1"/>
  <c r="Q1012" i="20"/>
  <c r="I1015" i="20"/>
  <c r="I1017" i="20" s="1"/>
  <c r="I260" i="20" s="1"/>
  <c r="J260" i="20"/>
  <c r="O1219" i="20"/>
  <c r="O352" i="20" s="1"/>
  <c r="O1021" i="20"/>
  <c r="O262" i="20" s="1"/>
  <c r="G288" i="20"/>
  <c r="O866" i="20"/>
  <c r="O234" i="20" s="1"/>
  <c r="F239" i="20"/>
  <c r="K1049" i="20"/>
  <c r="K290" i="20" s="1"/>
  <c r="Q1039" i="20"/>
  <c r="J659" i="20"/>
  <c r="J663" i="20" s="1"/>
  <c r="J665" i="20" s="1"/>
  <c r="J669" i="20" s="1"/>
  <c r="J674" i="20" s="1"/>
  <c r="J159" i="20" s="1"/>
  <c r="P659" i="20"/>
  <c r="P663" i="20" s="1"/>
  <c r="P665" i="20" s="1"/>
  <c r="P669" i="20" s="1"/>
  <c r="P674" i="20" s="1"/>
  <c r="P159" i="20" s="1"/>
  <c r="Q900" i="20"/>
  <c r="L659" i="20"/>
  <c r="L663" i="20" s="1"/>
  <c r="F288" i="20"/>
  <c r="I904" i="20"/>
  <c r="I906" i="20" s="1"/>
  <c r="I910" i="20" s="1"/>
  <c r="I241" i="20" s="1"/>
  <c r="F659" i="20"/>
  <c r="F663" i="20" s="1"/>
  <c r="F1265" i="20" s="1"/>
  <c r="F1268" i="20" s="1"/>
  <c r="O659" i="20"/>
  <c r="O663" i="20" s="1"/>
  <c r="E659" i="20"/>
  <c r="E663" i="20" s="1"/>
  <c r="M239" i="20"/>
  <c r="J232" i="20"/>
  <c r="N659" i="20"/>
  <c r="N663" i="20" s="1"/>
  <c r="M659" i="20"/>
  <c r="M663" i="20" s="1"/>
  <c r="G659" i="20"/>
  <c r="G663" i="20" s="1"/>
  <c r="O288" i="20"/>
  <c r="H659" i="20"/>
  <c r="H663" i="20" s="1"/>
  <c r="H665" i="20" s="1"/>
  <c r="H669" i="20" s="1"/>
  <c r="H674" i="20" s="1"/>
  <c r="H159" i="20" s="1"/>
  <c r="I659" i="20"/>
  <c r="I663" i="20" s="1"/>
  <c r="G910" i="20"/>
  <c r="G241" i="20" s="1"/>
  <c r="G239" i="20"/>
  <c r="K1021" i="20"/>
  <c r="K262" i="20" s="1"/>
  <c r="M288" i="20"/>
  <c r="Q710" i="20"/>
  <c r="F260" i="20"/>
  <c r="N232" i="20"/>
  <c r="N866" i="20"/>
  <c r="N234" i="20" s="1"/>
  <c r="Q856" i="20"/>
  <c r="F860" i="20"/>
  <c r="F862" i="20" s="1"/>
  <c r="F866" i="20" s="1"/>
  <c r="F234" i="20" s="1"/>
  <c r="N1219" i="20"/>
  <c r="N352" i="20" s="1"/>
  <c r="I350" i="20"/>
  <c r="M1219" i="20"/>
  <c r="M352" i="20" s="1"/>
  <c r="K1219" i="20"/>
  <c r="K352" i="20" s="1"/>
  <c r="H1219" i="20"/>
  <c r="H352" i="20" s="1"/>
  <c r="P1219" i="20"/>
  <c r="P352" i="20" s="1"/>
  <c r="G350" i="20"/>
  <c r="J350" i="20"/>
  <c r="L350" i="20"/>
  <c r="Q1213" i="20"/>
  <c r="O910" i="20"/>
  <c r="O241" i="20" s="1"/>
  <c r="P288" i="20"/>
  <c r="G232" i="20"/>
  <c r="N239" i="20"/>
  <c r="J910" i="20"/>
  <c r="J241" i="20" s="1"/>
  <c r="N1049" i="20"/>
  <c r="N290" i="20" s="1"/>
  <c r="I1049" i="20"/>
  <c r="I290" i="20" s="1"/>
  <c r="L288" i="20"/>
  <c r="H288" i="20"/>
  <c r="I232" i="20"/>
  <c r="J1049" i="20"/>
  <c r="J290" i="20" s="1"/>
  <c r="H239" i="20"/>
  <c r="M232" i="20"/>
  <c r="P232" i="20"/>
  <c r="K866" i="20"/>
  <c r="K234" i="20" s="1"/>
  <c r="Q661" i="20"/>
  <c r="P239" i="20"/>
  <c r="L232" i="20"/>
  <c r="Q1043" i="20"/>
  <c r="K910" i="20"/>
  <c r="K241" i="20" s="1"/>
  <c r="H232" i="20"/>
  <c r="K663" i="20"/>
  <c r="Q714" i="20"/>
  <c r="K716" i="20"/>
  <c r="K184" i="20" s="1"/>
  <c r="L239" i="20"/>
  <c r="E1219" i="20"/>
  <c r="E350" i="20"/>
  <c r="Q1215" i="20"/>
  <c r="P760" i="20"/>
  <c r="P762" i="20" s="1"/>
  <c r="P766" i="20" s="1"/>
  <c r="P771" i="20" s="1"/>
  <c r="P193" i="20" s="1"/>
  <c r="F760" i="20"/>
  <c r="F762" i="20" s="1"/>
  <c r="F191" i="20" s="1"/>
  <c r="O760" i="20"/>
  <c r="O762" i="20" s="1"/>
  <c r="O191" i="20" s="1"/>
  <c r="M760" i="20"/>
  <c r="M762" i="20" s="1"/>
  <c r="M191" i="20" s="1"/>
  <c r="L760" i="20"/>
  <c r="L762" i="20" s="1"/>
  <c r="L766" i="20" s="1"/>
  <c r="L771" i="20" s="1"/>
  <c r="L193" i="20" s="1"/>
  <c r="I760" i="20"/>
  <c r="I762" i="20" s="1"/>
  <c r="I766" i="20" s="1"/>
  <c r="I771" i="20" s="1"/>
  <c r="I193" i="20" s="1"/>
  <c r="H760" i="20"/>
  <c r="H762" i="20" s="1"/>
  <c r="H766" i="20" s="1"/>
  <c r="H771" i="20" s="1"/>
  <c r="H193" i="20" s="1"/>
  <c r="K760" i="20"/>
  <c r="K762" i="20" s="1"/>
  <c r="K191" i="20" s="1"/>
  <c r="G760" i="20"/>
  <c r="G762" i="20" s="1"/>
  <c r="G766" i="20" s="1"/>
  <c r="G771" i="20" s="1"/>
  <c r="G193" i="20" s="1"/>
  <c r="J760" i="20"/>
  <c r="J762" i="20" s="1"/>
  <c r="J766" i="20" s="1"/>
  <c r="J771" i="20" s="1"/>
  <c r="J193" i="20" s="1"/>
  <c r="Q759" i="20"/>
  <c r="N760" i="20"/>
  <c r="Q1045" i="20"/>
  <c r="E1049" i="20"/>
  <c r="E288" i="20"/>
  <c r="G720" i="20"/>
  <c r="G725" i="20" s="1"/>
  <c r="G186" i="20" s="1"/>
  <c r="G184" i="20"/>
  <c r="E760" i="20"/>
  <c r="E1273" i="20" s="1"/>
  <c r="Q758" i="20"/>
  <c r="F720" i="20"/>
  <c r="F725" i="20" s="1"/>
  <c r="F186" i="20" s="1"/>
  <c r="F184" i="20"/>
  <c r="L720" i="20"/>
  <c r="L725" i="20" s="1"/>
  <c r="L186" i="20" s="1"/>
  <c r="L184" i="20"/>
  <c r="O720" i="20"/>
  <c r="O725" i="20" s="1"/>
  <c r="O186" i="20" s="1"/>
  <c r="O184" i="20"/>
  <c r="E910" i="20"/>
  <c r="E239" i="20"/>
  <c r="I184" i="20"/>
  <c r="I720" i="20"/>
  <c r="I725" i="20" s="1"/>
  <c r="I186" i="20" s="1"/>
  <c r="E1268" i="20"/>
  <c r="E720" i="20"/>
  <c r="E184" i="20"/>
  <c r="H184" i="20"/>
  <c r="H720" i="20"/>
  <c r="H725" i="20" s="1"/>
  <c r="H186" i="20" s="1"/>
  <c r="M720" i="20"/>
  <c r="M725" i="20" s="1"/>
  <c r="M186" i="20" s="1"/>
  <c r="M184" i="20"/>
  <c r="J184" i="20"/>
  <c r="J720" i="20"/>
  <c r="J725" i="20" s="1"/>
  <c r="J186" i="20" s="1"/>
  <c r="P184" i="20"/>
  <c r="P720" i="20"/>
  <c r="P725" i="20" s="1"/>
  <c r="P186" i="20" s="1"/>
  <c r="N720" i="20"/>
  <c r="N725" i="20" s="1"/>
  <c r="N186" i="20" s="1"/>
  <c r="N184" i="20"/>
  <c r="E232" i="20"/>
  <c r="E866" i="20"/>
  <c r="J944" i="20"/>
  <c r="I944" i="20"/>
  <c r="O944" i="20"/>
  <c r="P944" i="20"/>
  <c r="L944" i="20"/>
  <c r="K944" i="20"/>
  <c r="H944" i="20"/>
  <c r="F944" i="20"/>
  <c r="M944" i="20"/>
  <c r="G944" i="20"/>
  <c r="N944" i="20"/>
  <c r="E944" i="20"/>
  <c r="K969" i="20"/>
  <c r="L969" i="20"/>
  <c r="H969" i="20"/>
  <c r="F969" i="20"/>
  <c r="M969" i="20"/>
  <c r="J969" i="20"/>
  <c r="P969" i="20"/>
  <c r="E969" i="20"/>
  <c r="G969" i="20"/>
  <c r="O969" i="20"/>
  <c r="N969" i="20"/>
  <c r="I969" i="20"/>
  <c r="P1021" i="20" l="1"/>
  <c r="P262" i="20" s="1"/>
  <c r="M260" i="20"/>
  <c r="H1021" i="20"/>
  <c r="H262" i="20" s="1"/>
  <c r="N260" i="20"/>
  <c r="G1021" i="20"/>
  <c r="G262" i="20" s="1"/>
  <c r="L1021" i="20"/>
  <c r="L262" i="20" s="1"/>
  <c r="E1021" i="20"/>
  <c r="Q1017" i="20"/>
  <c r="Q1015" i="20"/>
  <c r="I1021" i="20"/>
  <c r="I262" i="20" s="1"/>
  <c r="Q904" i="20"/>
  <c r="J1265" i="20"/>
  <c r="J1268" i="20" s="1"/>
  <c r="J157" i="20"/>
  <c r="Q906" i="20"/>
  <c r="F665" i="20"/>
  <c r="F669" i="20" s="1"/>
  <c r="F674" i="20" s="1"/>
  <c r="F159" i="20" s="1"/>
  <c r="F20" i="20" s="1"/>
  <c r="I239" i="20"/>
  <c r="Q239" i="20" s="1"/>
  <c r="H157" i="20"/>
  <c r="H1265" i="20"/>
  <c r="H1268" i="20" s="1"/>
  <c r="Q862" i="20"/>
  <c r="Q860" i="20"/>
  <c r="O1265" i="20"/>
  <c r="O1268" i="20" s="1"/>
  <c r="O665" i="20"/>
  <c r="O669" i="20" s="1"/>
  <c r="O674" i="20" s="1"/>
  <c r="O159" i="20" s="1"/>
  <c r="M67" i="22" s="1"/>
  <c r="Q659" i="20"/>
  <c r="F232" i="20"/>
  <c r="Q232" i="20" s="1"/>
  <c r="L1273" i="20"/>
  <c r="L1276" i="20" s="1"/>
  <c r="Q350" i="20"/>
  <c r="P157" i="20"/>
  <c r="Q288" i="20"/>
  <c r="P1265" i="20"/>
  <c r="P1268" i="20" s="1"/>
  <c r="Q663" i="20"/>
  <c r="G1265" i="20"/>
  <c r="G1268" i="20" s="1"/>
  <c r="G665" i="20"/>
  <c r="K1265" i="20"/>
  <c r="K1268" i="20" s="1"/>
  <c r="K665" i="20"/>
  <c r="I665" i="20"/>
  <c r="I1265" i="20"/>
  <c r="I1268" i="20" s="1"/>
  <c r="M665" i="20"/>
  <c r="M1265" i="20"/>
  <c r="M1268" i="20" s="1"/>
  <c r="L665" i="20"/>
  <c r="L1265" i="20"/>
  <c r="L1268" i="20" s="1"/>
  <c r="N1265" i="20"/>
  <c r="N1268" i="20" s="1"/>
  <c r="N665" i="20"/>
  <c r="E1265" i="20"/>
  <c r="Q1265" i="20" s="1"/>
  <c r="Q1268" i="20" s="1"/>
  <c r="E665" i="20"/>
  <c r="K720" i="20"/>
  <c r="K725" i="20" s="1"/>
  <c r="K186" i="20" s="1"/>
  <c r="Q716" i="20"/>
  <c r="N67" i="22"/>
  <c r="P20" i="20"/>
  <c r="F67" i="22"/>
  <c r="H20" i="20"/>
  <c r="H67" i="22"/>
  <c r="J20" i="20"/>
  <c r="E352" i="20"/>
  <c r="Q352" i="20" s="1"/>
  <c r="Q1219" i="20"/>
  <c r="F766" i="20"/>
  <c r="F771" i="20" s="1"/>
  <c r="F193" i="20" s="1"/>
  <c r="D68" i="22" s="1"/>
  <c r="P191" i="20"/>
  <c r="O1273" i="20"/>
  <c r="O1276" i="20" s="1"/>
  <c r="J191" i="20"/>
  <c r="P1273" i="20"/>
  <c r="P1276" i="20" s="1"/>
  <c r="H1273" i="20"/>
  <c r="H1276" i="20" s="1"/>
  <c r="O766" i="20"/>
  <c r="O771" i="20" s="1"/>
  <c r="O193" i="20" s="1"/>
  <c r="O21" i="20" s="1"/>
  <c r="H191" i="20"/>
  <c r="F1273" i="20"/>
  <c r="F1276" i="20" s="1"/>
  <c r="M766" i="20"/>
  <c r="M771" i="20" s="1"/>
  <c r="M193" i="20" s="1"/>
  <c r="M21" i="20" s="1"/>
  <c r="M1273" i="20"/>
  <c r="M1276" i="20" s="1"/>
  <c r="K766" i="20"/>
  <c r="K771" i="20" s="1"/>
  <c r="K193" i="20" s="1"/>
  <c r="K1273" i="20"/>
  <c r="K1276" i="20" s="1"/>
  <c r="L191" i="20"/>
  <c r="I191" i="20"/>
  <c r="J1273" i="20"/>
  <c r="J1276" i="20" s="1"/>
  <c r="G1273" i="20"/>
  <c r="G1276" i="20" s="1"/>
  <c r="G191" i="20"/>
  <c r="I1273" i="20"/>
  <c r="I1276" i="20" s="1"/>
  <c r="N762" i="20"/>
  <c r="N1273" i="20"/>
  <c r="N1276" i="20" s="1"/>
  <c r="J21" i="20"/>
  <c r="H68" i="22"/>
  <c r="Q184" i="20"/>
  <c r="I21" i="20"/>
  <c r="G68" i="22"/>
  <c r="J68" i="22"/>
  <c r="L21" i="20"/>
  <c r="Q760" i="20"/>
  <c r="E762" i="20"/>
  <c r="E68" i="22"/>
  <c r="G21" i="20"/>
  <c r="E262" i="20"/>
  <c r="E725" i="20"/>
  <c r="E234" i="20"/>
  <c r="Q234" i="20" s="1"/>
  <c r="H37" i="14" s="1"/>
  <c r="I37" i="14" s="1"/>
  <c r="J37" i="14" s="1"/>
  <c r="Q866" i="20"/>
  <c r="N68" i="22"/>
  <c r="P21" i="20"/>
  <c r="H21" i="20"/>
  <c r="F68" i="22"/>
  <c r="Q1049" i="20"/>
  <c r="E290" i="20"/>
  <c r="Q290" i="20" s="1"/>
  <c r="H42" i="14" s="1"/>
  <c r="I42" i="14" s="1"/>
  <c r="J42" i="14" s="1"/>
  <c r="Q910" i="20"/>
  <c r="E241" i="20"/>
  <c r="Q241" i="20" s="1"/>
  <c r="H38" i="14" s="1"/>
  <c r="I38" i="14" s="1"/>
  <c r="J38" i="14" s="1"/>
  <c r="Q969" i="20"/>
  <c r="Q944" i="20"/>
  <c r="Q260" i="20" l="1"/>
  <c r="Q262" i="20"/>
  <c r="H41" i="14" s="1"/>
  <c r="I41" i="14" s="1"/>
  <c r="J41" i="14" s="1"/>
  <c r="Q1021" i="20"/>
  <c r="H58" i="26"/>
  <c r="G58" i="26" s="1"/>
  <c r="O157" i="20"/>
  <c r="H60" i="26"/>
  <c r="G60" i="26" s="1"/>
  <c r="O20" i="20"/>
  <c r="D67" i="22"/>
  <c r="F157" i="20"/>
  <c r="Q720" i="20"/>
  <c r="I68" i="22"/>
  <c r="K669" i="20"/>
  <c r="K674" i="20" s="1"/>
  <c r="K159" i="20" s="1"/>
  <c r="K157" i="20"/>
  <c r="M157" i="20"/>
  <c r="M669" i="20"/>
  <c r="M674" i="20" s="1"/>
  <c r="M159" i="20" s="1"/>
  <c r="E669" i="20"/>
  <c r="Q665" i="20"/>
  <c r="E157" i="20"/>
  <c r="G669" i="20"/>
  <c r="G674" i="20" s="1"/>
  <c r="G159" i="20" s="1"/>
  <c r="G157" i="20"/>
  <c r="N157" i="20"/>
  <c r="N669" i="20"/>
  <c r="N674" i="20" s="1"/>
  <c r="N159" i="20" s="1"/>
  <c r="L669" i="20"/>
  <c r="L674" i="20" s="1"/>
  <c r="L159" i="20" s="1"/>
  <c r="L157" i="20"/>
  <c r="I669" i="20"/>
  <c r="I674" i="20" s="1"/>
  <c r="I159" i="20" s="1"/>
  <c r="I157" i="20"/>
  <c r="G38" i="26"/>
  <c r="I38" i="26" s="1"/>
  <c r="H48" i="14"/>
  <c r="I48" i="14" s="1"/>
  <c r="J48" i="14" s="1"/>
  <c r="M68" i="22"/>
  <c r="F21" i="20"/>
  <c r="K21" i="20"/>
  <c r="K68" i="22"/>
  <c r="N766" i="20"/>
  <c r="N771" i="20" s="1"/>
  <c r="N193" i="20" s="1"/>
  <c r="N191" i="20"/>
  <c r="Q725" i="20"/>
  <c r="E186" i="20"/>
  <c r="Q1273" i="20"/>
  <c r="Q1276" i="20" s="1"/>
  <c r="E1276" i="20"/>
  <c r="E766" i="20"/>
  <c r="E191" i="20"/>
  <c r="Q762" i="20"/>
  <c r="J58" i="26" l="1"/>
  <c r="I58" i="26"/>
  <c r="K67" i="22"/>
  <c r="M20" i="20"/>
  <c r="L67" i="22"/>
  <c r="N20" i="20"/>
  <c r="Q157" i="20"/>
  <c r="L20" i="20"/>
  <c r="J67" i="22"/>
  <c r="G67" i="22"/>
  <c r="I20" i="20"/>
  <c r="G20" i="20"/>
  <c r="E67" i="22"/>
  <c r="E674" i="20"/>
  <c r="Q669" i="20"/>
  <c r="K20" i="20"/>
  <c r="I67" i="22"/>
  <c r="Q191" i="20"/>
  <c r="N21" i="20"/>
  <c r="L68" i="22"/>
  <c r="Q186" i="20"/>
  <c r="H30" i="14" s="1"/>
  <c r="E771" i="20"/>
  <c r="Q766" i="20"/>
  <c r="J65" i="26" l="1"/>
  <c r="J68" i="26"/>
  <c r="E159" i="20"/>
  <c r="Q674" i="20"/>
  <c r="I30" i="14"/>
  <c r="J30" i="14" s="1"/>
  <c r="E193" i="20"/>
  <c r="Q771" i="20"/>
  <c r="C67" i="22" l="1"/>
  <c r="O67" i="22" s="1"/>
  <c r="Q159" i="20"/>
  <c r="E20" i="20"/>
  <c r="Q20" i="20" s="1"/>
  <c r="Q193" i="20"/>
  <c r="E21" i="20"/>
  <c r="Q21" i="20" s="1"/>
  <c r="C68" i="22"/>
  <c r="O68" i="22" s="1"/>
  <c r="H14" i="26" l="1"/>
  <c r="H29" i="14"/>
  <c r="I29" i="14" s="1"/>
  <c r="J29" i="14" s="1"/>
  <c r="H31" i="14"/>
  <c r="H16" i="26"/>
  <c r="E47" i="19" s="1"/>
  <c r="E45" i="19" l="1"/>
  <c r="G14" i="26"/>
  <c r="J31" i="14"/>
  <c r="I31" i="14"/>
  <c r="G16" i="26"/>
  <c r="J14" i="26" l="1"/>
  <c r="I14" i="26"/>
  <c r="D943" i="20"/>
  <c r="J24" i="26" l="1"/>
  <c r="J21" i="26"/>
  <c r="E943" i="20"/>
  <c r="H943" i="20"/>
  <c r="H945" i="20" s="1"/>
  <c r="L943" i="20"/>
  <c r="L945" i="20" s="1"/>
  <c r="J943" i="20"/>
  <c r="J945" i="20" s="1"/>
  <c r="F943" i="20"/>
  <c r="F945" i="20" s="1"/>
  <c r="O943" i="20"/>
  <c r="O945" i="20" s="1"/>
  <c r="M943" i="20"/>
  <c r="M945" i="20" s="1"/>
  <c r="N943" i="20"/>
  <c r="N945" i="20" s="1"/>
  <c r="G943" i="20"/>
  <c r="G945" i="20" s="1"/>
  <c r="K943" i="20"/>
  <c r="K945" i="20" s="1"/>
  <c r="P943" i="20"/>
  <c r="P945" i="20" s="1"/>
  <c r="I943" i="20"/>
  <c r="I945" i="20" s="1"/>
  <c r="D968" i="20"/>
  <c r="K947" i="20" l="1"/>
  <c r="K1308" i="20"/>
  <c r="N947" i="20"/>
  <c r="N1308" i="20"/>
  <c r="G1308" i="20"/>
  <c r="G947" i="20"/>
  <c r="F1308" i="20"/>
  <c r="F947" i="20"/>
  <c r="Q943" i="20"/>
  <c r="E945" i="20"/>
  <c r="O1308" i="20"/>
  <c r="O947" i="20"/>
  <c r="H1308" i="20"/>
  <c r="H947" i="20"/>
  <c r="H968" i="20"/>
  <c r="H970" i="20" s="1"/>
  <c r="K968" i="20"/>
  <c r="K970" i="20" s="1"/>
  <c r="O968" i="20"/>
  <c r="O970" i="20" s="1"/>
  <c r="M968" i="20"/>
  <c r="M970" i="20" s="1"/>
  <c r="P968" i="20"/>
  <c r="P970" i="20" s="1"/>
  <c r="J968" i="20"/>
  <c r="J970" i="20" s="1"/>
  <c r="G968" i="20"/>
  <c r="G970" i="20" s="1"/>
  <c r="I968" i="20"/>
  <c r="I970" i="20" s="1"/>
  <c r="F968" i="20"/>
  <c r="F970" i="20" s="1"/>
  <c r="N968" i="20"/>
  <c r="N970" i="20" s="1"/>
  <c r="L968" i="20"/>
  <c r="L970" i="20" s="1"/>
  <c r="E968" i="20"/>
  <c r="P1308" i="20"/>
  <c r="P947" i="20"/>
  <c r="M1308" i="20"/>
  <c r="M947" i="20"/>
  <c r="L1308" i="20"/>
  <c r="L947" i="20"/>
  <c r="I1308" i="20"/>
  <c r="I947" i="20"/>
  <c r="J947" i="20"/>
  <c r="J1308" i="20"/>
  <c r="L951" i="20" l="1"/>
  <c r="L248" i="20" s="1"/>
  <c r="L246" i="20"/>
  <c r="P951" i="20"/>
  <c r="P248" i="20" s="1"/>
  <c r="P246" i="20"/>
  <c r="N972" i="20"/>
  <c r="J972" i="20"/>
  <c r="I1309" i="20"/>
  <c r="M1309" i="20"/>
  <c r="L972" i="20"/>
  <c r="G972" i="20"/>
  <c r="O972" i="20"/>
  <c r="H1309" i="20"/>
  <c r="G1309" i="20"/>
  <c r="K951" i="20"/>
  <c r="K248" i="20" s="1"/>
  <c r="K246" i="20"/>
  <c r="M951" i="20"/>
  <c r="M248" i="20" s="1"/>
  <c r="M246" i="20"/>
  <c r="M972" i="20"/>
  <c r="H951" i="20"/>
  <c r="H248" i="20" s="1"/>
  <c r="H246" i="20"/>
  <c r="Q945" i="20"/>
  <c r="E1308" i="20"/>
  <c r="E947" i="20"/>
  <c r="G951" i="20"/>
  <c r="G248" i="20" s="1"/>
  <c r="G246" i="20"/>
  <c r="K1309" i="20"/>
  <c r="I246" i="20"/>
  <c r="I951" i="20"/>
  <c r="I248" i="20" s="1"/>
  <c r="Q968" i="20"/>
  <c r="E970" i="20"/>
  <c r="I972" i="20"/>
  <c r="J951" i="20"/>
  <c r="J248" i="20" s="1"/>
  <c r="J246" i="20"/>
  <c r="L1309" i="20"/>
  <c r="P1309" i="20"/>
  <c r="F972" i="20"/>
  <c r="P972" i="20"/>
  <c r="H972" i="20"/>
  <c r="O1309" i="20"/>
  <c r="F1309" i="20"/>
  <c r="N246" i="20"/>
  <c r="N951" i="20"/>
  <c r="N248" i="20" s="1"/>
  <c r="J1309" i="20"/>
  <c r="K972" i="20"/>
  <c r="O951" i="20"/>
  <c r="O248" i="20" s="1"/>
  <c r="O246" i="20"/>
  <c r="F951" i="20"/>
  <c r="F248" i="20" s="1"/>
  <c r="F246" i="20"/>
  <c r="N1309" i="20"/>
  <c r="Q1308" i="20" l="1"/>
  <c r="Q1309" i="20" s="1"/>
  <c r="E1309" i="20"/>
  <c r="K253" i="20"/>
  <c r="K976" i="20"/>
  <c r="K255" i="20" s="1"/>
  <c r="N27" i="20"/>
  <c r="P253" i="20"/>
  <c r="P976" i="20"/>
  <c r="P255" i="20" s="1"/>
  <c r="Q970" i="20"/>
  <c r="H59" i="26" s="1"/>
  <c r="E972" i="20"/>
  <c r="E246" i="20"/>
  <c r="E951" i="20"/>
  <c r="Q947" i="20"/>
  <c r="H27" i="20"/>
  <c r="M27" i="20"/>
  <c r="N253" i="20"/>
  <c r="N976" i="20"/>
  <c r="N255" i="20" s="1"/>
  <c r="L27" i="20"/>
  <c r="G27" i="20"/>
  <c r="O253" i="20"/>
  <c r="O976" i="20"/>
  <c r="O255" i="20" s="1"/>
  <c r="L253" i="20"/>
  <c r="L976" i="20"/>
  <c r="L255" i="20" s="1"/>
  <c r="O27" i="20"/>
  <c r="H253" i="20"/>
  <c r="H976" i="20"/>
  <c r="H255" i="20" s="1"/>
  <c r="F976" i="20"/>
  <c r="F255" i="20" s="1"/>
  <c r="F253" i="20"/>
  <c r="I976" i="20"/>
  <c r="I255" i="20" s="1"/>
  <c r="I253" i="20"/>
  <c r="I27" i="20"/>
  <c r="K27" i="20"/>
  <c r="G253" i="20"/>
  <c r="G976" i="20"/>
  <c r="G255" i="20" s="1"/>
  <c r="P27" i="20"/>
  <c r="F27" i="20"/>
  <c r="J27" i="20"/>
  <c r="M253" i="20"/>
  <c r="M976" i="20"/>
  <c r="M255" i="20" s="1"/>
  <c r="J976" i="20"/>
  <c r="J255" i="20" s="1"/>
  <c r="J253" i="20"/>
  <c r="E976" i="20" l="1"/>
  <c r="Q972" i="20"/>
  <c r="E253" i="20"/>
  <c r="Q253" i="20" s="1"/>
  <c r="Q246" i="20"/>
  <c r="E248" i="20"/>
  <c r="Q951" i="20"/>
  <c r="G59" i="26" l="1"/>
  <c r="J59" i="26" s="1"/>
  <c r="E27" i="20"/>
  <c r="Q248" i="20"/>
  <c r="Q976" i="20"/>
  <c r="E255" i="20"/>
  <c r="J76" i="26" l="1"/>
  <c r="J60" i="26"/>
  <c r="J72" i="26"/>
  <c r="J73" i="26"/>
  <c r="I59" i="26"/>
  <c r="Q255" i="20"/>
  <c r="H40" i="14" s="1"/>
  <c r="I40" i="14" s="1"/>
  <c r="J40" i="14" s="1"/>
  <c r="Q27" i="20"/>
  <c r="H39" i="14"/>
  <c r="H15" i="26" l="1"/>
  <c r="I39" i="14"/>
  <c r="E46" i="19" l="1"/>
  <c r="G15" i="26"/>
  <c r="J15" i="26" s="1"/>
  <c r="J39" i="14"/>
  <c r="J28" i="26" l="1"/>
  <c r="J16" i="26"/>
  <c r="J32" i="26"/>
  <c r="J29" i="26"/>
  <c r="I15" i="26"/>
  <c r="G180" i="26" l="1"/>
  <c r="G181" i="26" l="1"/>
  <c r="E156" i="26"/>
  <c r="E12" i="27" l="1"/>
  <c r="G182" i="26"/>
  <c r="G184" i="26" s="1"/>
  <c r="U19" i="1"/>
  <c r="U41" i="1"/>
  <c r="D821" i="20" s="1"/>
  <c r="D398" i="20" l="1"/>
  <c r="M398" i="20" s="1"/>
  <c r="E29" i="28"/>
  <c r="P821" i="20"/>
  <c r="M821" i="20"/>
  <c r="G821" i="20"/>
  <c r="L821" i="20"/>
  <c r="O821" i="20"/>
  <c r="J821" i="20"/>
  <c r="F821" i="20"/>
  <c r="I821" i="20"/>
  <c r="E821" i="20"/>
  <c r="N821" i="20"/>
  <c r="K821" i="20"/>
  <c r="H821" i="20"/>
  <c r="J182" i="26"/>
  <c r="F186" i="26"/>
  <c r="E13" i="27" s="1"/>
  <c r="F398" i="20" l="1"/>
  <c r="J398" i="20"/>
  <c r="J1253" i="20" s="1"/>
  <c r="O398" i="20"/>
  <c r="O1253" i="20" s="1"/>
  <c r="P398" i="20"/>
  <c r="P1253" i="20" s="1"/>
  <c r="E398" i="20"/>
  <c r="E1253" i="20" s="1"/>
  <c r="N398" i="20"/>
  <c r="G398" i="20"/>
  <c r="G1253" i="20" s="1"/>
  <c r="I398" i="20"/>
  <c r="I1253" i="20" s="1"/>
  <c r="H398" i="20"/>
  <c r="H1253" i="20" s="1"/>
  <c r="L398" i="20"/>
  <c r="L1253" i="20" s="1"/>
  <c r="K398" i="20"/>
  <c r="K1253" i="20" s="1"/>
  <c r="G186" i="26"/>
  <c r="J186" i="26" s="1"/>
  <c r="J187" i="26" s="1"/>
  <c r="P41" i="1"/>
  <c r="D825" i="20" s="1"/>
  <c r="P19" i="1"/>
  <c r="M1253" i="20"/>
  <c r="J1298" i="20"/>
  <c r="F1253" i="20"/>
  <c r="N1253" i="20"/>
  <c r="K1298" i="20"/>
  <c r="F1298" i="20"/>
  <c r="G1298" i="20"/>
  <c r="M1298" i="20"/>
  <c r="Q821" i="20"/>
  <c r="E1298" i="20"/>
  <c r="O1298" i="20"/>
  <c r="P1298" i="20"/>
  <c r="N1298" i="20"/>
  <c r="H1298" i="20"/>
  <c r="I1298" i="20"/>
  <c r="L1298" i="20"/>
  <c r="Q398" i="20" l="1"/>
  <c r="D402" i="20"/>
  <c r="J402" i="20" s="1"/>
  <c r="D33" i="28"/>
  <c r="E33" i="28" s="1"/>
  <c r="Q1253" i="20"/>
  <c r="Q1298" i="20"/>
  <c r="G825" i="20"/>
  <c r="P825" i="20"/>
  <c r="H825" i="20"/>
  <c r="E825" i="20"/>
  <c r="L825" i="20"/>
  <c r="J825" i="20"/>
  <c r="M825" i="20"/>
  <c r="O825" i="20"/>
  <c r="N825" i="20"/>
  <c r="I825" i="20"/>
  <c r="K825" i="20"/>
  <c r="F825" i="20"/>
  <c r="I402" i="20"/>
  <c r="O402" i="20" l="1"/>
  <c r="O404" i="20" s="1"/>
  <c r="K402" i="20"/>
  <c r="K1255" i="20" s="1"/>
  <c r="L402" i="20"/>
  <c r="L404" i="20" s="1"/>
  <c r="G402" i="20"/>
  <c r="G404" i="20" s="1"/>
  <c r="P402" i="20"/>
  <c r="P404" i="20" s="1"/>
  <c r="M402" i="20"/>
  <c r="M1255" i="20" s="1"/>
  <c r="E402" i="20"/>
  <c r="E404" i="20" s="1"/>
  <c r="F402" i="20"/>
  <c r="F404" i="20" s="1"/>
  <c r="N402" i="20"/>
  <c r="N1255" i="20" s="1"/>
  <c r="H402" i="20"/>
  <c r="H1255" i="20" s="1"/>
  <c r="E43" i="28"/>
  <c r="E39" i="28"/>
  <c r="E41" i="28" s="1"/>
  <c r="I1300" i="20"/>
  <c r="I827" i="20"/>
  <c r="J1300" i="20"/>
  <c r="J827" i="20"/>
  <c r="P1300" i="20"/>
  <c r="P827" i="20"/>
  <c r="N1300" i="20"/>
  <c r="N827" i="20"/>
  <c r="G1300" i="20"/>
  <c r="G827" i="20"/>
  <c r="J1255" i="20"/>
  <c r="J404" i="20"/>
  <c r="F1300" i="20"/>
  <c r="F827" i="20"/>
  <c r="O1300" i="20"/>
  <c r="O827" i="20"/>
  <c r="E1300" i="20"/>
  <c r="Q825" i="20"/>
  <c r="E827" i="20"/>
  <c r="I1255" i="20"/>
  <c r="I404" i="20"/>
  <c r="L1300" i="20"/>
  <c r="L827" i="20"/>
  <c r="K1300" i="20"/>
  <c r="K827" i="20"/>
  <c r="M1300" i="20"/>
  <c r="M827" i="20"/>
  <c r="H1300" i="20"/>
  <c r="H827" i="20"/>
  <c r="O1255" i="20" l="1"/>
  <c r="O1260" i="20" s="1"/>
  <c r="P1255" i="20"/>
  <c r="L1255" i="20"/>
  <c r="L1260" i="20" s="1"/>
  <c r="E1255" i="20"/>
  <c r="E1260" i="20" s="1"/>
  <c r="M404" i="20"/>
  <c r="M408" i="20" s="1"/>
  <c r="M416" i="20" s="1"/>
  <c r="M69" i="20" s="1"/>
  <c r="G1255" i="20"/>
  <c r="G1260" i="20" s="1"/>
  <c r="K404" i="20"/>
  <c r="K67" i="20" s="1"/>
  <c r="H404" i="20"/>
  <c r="H408" i="20" s="1"/>
  <c r="H416" i="20" s="1"/>
  <c r="H69" i="20" s="1"/>
  <c r="F1255" i="20"/>
  <c r="N404" i="20"/>
  <c r="N67" i="20" s="1"/>
  <c r="Q402" i="20"/>
  <c r="H57" i="26" s="1"/>
  <c r="M225" i="20"/>
  <c r="M831" i="20"/>
  <c r="M838" i="20" s="1"/>
  <c r="M227" i="20" s="1"/>
  <c r="J1260" i="20"/>
  <c r="N1303" i="20"/>
  <c r="H1303" i="20"/>
  <c r="K1303" i="20"/>
  <c r="I1260" i="20"/>
  <c r="O225" i="20"/>
  <c r="O831" i="20"/>
  <c r="O838" i="20" s="1"/>
  <c r="O227" i="20" s="1"/>
  <c r="J67" i="20"/>
  <c r="J408" i="20"/>
  <c r="J416" i="20" s="1"/>
  <c r="J69" i="20" s="1"/>
  <c r="N225" i="20"/>
  <c r="N831" i="20"/>
  <c r="N838" i="20" s="1"/>
  <c r="N227" i="20" s="1"/>
  <c r="J1303" i="20"/>
  <c r="P1260" i="20"/>
  <c r="L67" i="20"/>
  <c r="L408" i="20"/>
  <c r="L416" i="20" s="1"/>
  <c r="L69" i="20" s="1"/>
  <c r="G67" i="20"/>
  <c r="G408" i="20"/>
  <c r="G416" i="20" s="1"/>
  <c r="G69" i="20" s="1"/>
  <c r="M1260" i="20"/>
  <c r="I225" i="20"/>
  <c r="I831" i="20"/>
  <c r="I838" i="20" s="1"/>
  <c r="I227" i="20" s="1"/>
  <c r="M1303" i="20"/>
  <c r="O67" i="20"/>
  <c r="O408" i="20"/>
  <c r="O416" i="20" s="1"/>
  <c r="O69" i="20" s="1"/>
  <c r="L1303" i="20"/>
  <c r="F225" i="20"/>
  <c r="F831" i="20"/>
  <c r="F838" i="20" s="1"/>
  <c r="F227" i="20" s="1"/>
  <c r="G225" i="20"/>
  <c r="G831" i="20"/>
  <c r="G838" i="20" s="1"/>
  <c r="G227" i="20" s="1"/>
  <c r="P1303" i="20"/>
  <c r="I1303" i="20"/>
  <c r="N1260" i="20"/>
  <c r="L225" i="20"/>
  <c r="L831" i="20"/>
  <c r="L838" i="20" s="1"/>
  <c r="L227" i="20" s="1"/>
  <c r="E225" i="20"/>
  <c r="Q827" i="20"/>
  <c r="E831" i="20"/>
  <c r="O1303" i="20"/>
  <c r="P225" i="20"/>
  <c r="P831" i="20"/>
  <c r="P838" i="20" s="1"/>
  <c r="P227" i="20" s="1"/>
  <c r="H225" i="20"/>
  <c r="H831" i="20"/>
  <c r="H838" i="20" s="1"/>
  <c r="H227" i="20" s="1"/>
  <c r="K225" i="20"/>
  <c r="K831" i="20"/>
  <c r="K838" i="20" s="1"/>
  <c r="K227" i="20" s="1"/>
  <c r="E67" i="20"/>
  <c r="E408" i="20"/>
  <c r="I67" i="20"/>
  <c r="I408" i="20"/>
  <c r="I416" i="20" s="1"/>
  <c r="I69" i="20" s="1"/>
  <c r="Q1300" i="20"/>
  <c r="Q1303" i="20" s="1"/>
  <c r="E1303" i="20"/>
  <c r="F1303" i="20"/>
  <c r="K1260" i="20"/>
  <c r="G1303" i="20"/>
  <c r="H1260" i="20"/>
  <c r="J225" i="20"/>
  <c r="J831" i="20"/>
  <c r="J838" i="20" s="1"/>
  <c r="J227" i="20" s="1"/>
  <c r="P67" i="20"/>
  <c r="P408" i="20"/>
  <c r="P416" i="20" s="1"/>
  <c r="P69" i="20" s="1"/>
  <c r="F67" i="20"/>
  <c r="F408" i="20"/>
  <c r="F416" i="20" s="1"/>
  <c r="F69" i="20" s="1"/>
  <c r="M67" i="20" l="1"/>
  <c r="K408" i="20"/>
  <c r="K416" i="20" s="1"/>
  <c r="K69" i="20" s="1"/>
  <c r="K19" i="20" s="1"/>
  <c r="H67" i="20"/>
  <c r="Q1255" i="20"/>
  <c r="Q1260" i="20" s="1"/>
  <c r="Q404" i="20"/>
  <c r="F1260" i="20"/>
  <c r="N408" i="20"/>
  <c r="N416" i="20" s="1"/>
  <c r="N69" i="20" s="1"/>
  <c r="N19" i="20" s="1"/>
  <c r="Q831" i="20"/>
  <c r="E838" i="20"/>
  <c r="D66" i="22"/>
  <c r="F19" i="20"/>
  <c r="J26" i="20"/>
  <c r="I19" i="20"/>
  <c r="G66" i="22"/>
  <c r="K26" i="20"/>
  <c r="L26" i="20"/>
  <c r="M66" i="22"/>
  <c r="O19" i="20"/>
  <c r="I26" i="20"/>
  <c r="O26" i="20"/>
  <c r="E416" i="20"/>
  <c r="P26" i="20"/>
  <c r="N66" i="22"/>
  <c r="P19" i="20"/>
  <c r="H26" i="20"/>
  <c r="G57" i="26"/>
  <c r="N26" i="20"/>
  <c r="H66" i="22"/>
  <c r="J19" i="20"/>
  <c r="M26" i="20"/>
  <c r="G26" i="20"/>
  <c r="F26" i="20"/>
  <c r="G19" i="20"/>
  <c r="E66" i="22"/>
  <c r="K66" i="22"/>
  <c r="M19" i="20"/>
  <c r="Q225" i="20"/>
  <c r="H19" i="20"/>
  <c r="F66" i="22"/>
  <c r="J66" i="22"/>
  <c r="L19" i="20"/>
  <c r="Q67" i="20" l="1"/>
  <c r="I66" i="22"/>
  <c r="Q408" i="20"/>
  <c r="L66" i="22"/>
  <c r="Q838" i="20"/>
  <c r="E227" i="20"/>
  <c r="Q416" i="20"/>
  <c r="E69" i="20"/>
  <c r="J57" i="26"/>
  <c r="I57" i="26"/>
  <c r="J62" i="26" l="1"/>
  <c r="J63" i="26"/>
  <c r="J66" i="26"/>
  <c r="J67" i="26"/>
  <c r="J70" i="26"/>
  <c r="J69" i="26"/>
  <c r="J64" i="26"/>
  <c r="Q227" i="20"/>
  <c r="H36" i="14" s="1"/>
  <c r="I36" i="14" s="1"/>
  <c r="J36" i="14" s="1"/>
  <c r="E26" i="20"/>
  <c r="C66" i="22"/>
  <c r="E19" i="20"/>
  <c r="Q69" i="20"/>
  <c r="O66" i="22" l="1"/>
  <c r="Q26" i="20"/>
  <c r="H19" i="14"/>
  <c r="H13" i="26"/>
  <c r="Q19" i="20"/>
  <c r="G13" i="26" l="1"/>
  <c r="E44" i="19"/>
  <c r="I19" i="14"/>
  <c r="J19" i="14" l="1"/>
  <c r="I13" i="26"/>
  <c r="J13" i="26"/>
  <c r="J22" i="26" l="1"/>
  <c r="J20" i="26"/>
  <c r="J18" i="26"/>
  <c r="J26" i="26"/>
  <c r="J25" i="26"/>
  <c r="J23" i="26"/>
  <c r="J19" i="26"/>
  <c r="F151" i="26" l="1"/>
  <c r="G151" i="26"/>
  <c r="H156" i="26"/>
  <c r="G259" i="26" l="1"/>
  <c r="H151" i="26"/>
  <c r="G261" i="26" l="1"/>
  <c r="K261" i="26" s="1"/>
  <c r="G260" i="26"/>
  <c r="U37" i="1" l="1"/>
  <c r="D779" i="20" s="1"/>
  <c r="I779" i="20" s="1"/>
  <c r="E29" i="27"/>
  <c r="G263" i="26"/>
  <c r="G265" i="26" s="1"/>
  <c r="K779" i="20" l="1"/>
  <c r="K1279" i="20" s="1"/>
  <c r="G779" i="20"/>
  <c r="G1279" i="20" s="1"/>
  <c r="O779" i="20"/>
  <c r="O1279" i="20" s="1"/>
  <c r="M779" i="20"/>
  <c r="M1279" i="20" s="1"/>
  <c r="E779" i="20"/>
  <c r="E1279" i="20" s="1"/>
  <c r="L779" i="20"/>
  <c r="L1279" i="20" s="1"/>
  <c r="N779" i="20"/>
  <c r="N1279" i="20" s="1"/>
  <c r="J779" i="20"/>
  <c r="J1279" i="20" s="1"/>
  <c r="H779" i="20"/>
  <c r="H1279" i="20" s="1"/>
  <c r="F779" i="20"/>
  <c r="F1279" i="20" s="1"/>
  <c r="P779" i="20"/>
  <c r="P1279" i="20" s="1"/>
  <c r="I1279" i="20"/>
  <c r="G266" i="26"/>
  <c r="K265" i="26"/>
  <c r="K266" i="26" s="1"/>
  <c r="K268" i="26" s="1"/>
  <c r="Q779" i="20" l="1"/>
  <c r="P37" i="1"/>
  <c r="D783" i="20" s="1"/>
  <c r="P783" i="20" s="1"/>
  <c r="E30" i="27"/>
  <c r="N1287" i="20"/>
  <c r="N1294" i="20" s="1"/>
  <c r="K1287" i="20"/>
  <c r="K1294" i="20" s="1"/>
  <c r="J1287" i="20"/>
  <c r="J1294" i="20" s="1"/>
  <c r="H1287" i="20"/>
  <c r="H1294" i="20" s="1"/>
  <c r="I1287" i="20"/>
  <c r="I1294" i="20" s="1"/>
  <c r="F1287" i="20"/>
  <c r="F1294" i="20" s="1"/>
  <c r="Q1279" i="20"/>
  <c r="E1287" i="20"/>
  <c r="L1287" i="20"/>
  <c r="L1294" i="20" s="1"/>
  <c r="O1287" i="20"/>
  <c r="O1294" i="20" s="1"/>
  <c r="P1287" i="20"/>
  <c r="P1294" i="20" s="1"/>
  <c r="G1287" i="20"/>
  <c r="G1294" i="20" s="1"/>
  <c r="M1287" i="20"/>
  <c r="M1294" i="20" s="1"/>
  <c r="L783" i="20" l="1"/>
  <c r="L785" i="20" s="1"/>
  <c r="N783" i="20"/>
  <c r="N1281" i="20" s="1"/>
  <c r="O783" i="20"/>
  <c r="O785" i="20" s="1"/>
  <c r="H783" i="20"/>
  <c r="H785" i="20" s="1"/>
  <c r="K783" i="20"/>
  <c r="K1281" i="20" s="1"/>
  <c r="M783" i="20"/>
  <c r="M785" i="20" s="1"/>
  <c r="G783" i="20"/>
  <c r="G785" i="20" s="1"/>
  <c r="I783" i="20"/>
  <c r="I785" i="20" s="1"/>
  <c r="E783" i="20"/>
  <c r="E1281" i="20" s="1"/>
  <c r="J783" i="20"/>
  <c r="J1281" i="20" s="1"/>
  <c r="F783" i="20"/>
  <c r="P1281" i="20"/>
  <c r="P785" i="20"/>
  <c r="Q1287" i="20"/>
  <c r="Q1294" i="20" s="1"/>
  <c r="E1294" i="20"/>
  <c r="L1281" i="20" l="1"/>
  <c r="L1289" i="20" s="1"/>
  <c r="K785" i="20"/>
  <c r="K789" i="20" s="1"/>
  <c r="K794" i="20" s="1"/>
  <c r="K200" i="20" s="1"/>
  <c r="N785" i="20"/>
  <c r="N198" i="20" s="1"/>
  <c r="N1327" i="20" s="1"/>
  <c r="E785" i="20"/>
  <c r="E789" i="20" s="1"/>
  <c r="G1281" i="20"/>
  <c r="G1289" i="20" s="1"/>
  <c r="O1281" i="20"/>
  <c r="O1289" i="20" s="1"/>
  <c r="M1281" i="20"/>
  <c r="M1289" i="20" s="1"/>
  <c r="I1281" i="20"/>
  <c r="I1289" i="20" s="1"/>
  <c r="H1281" i="20"/>
  <c r="H1289" i="20" s="1"/>
  <c r="Q783" i="20"/>
  <c r="H61" i="26" s="1"/>
  <c r="F785" i="20"/>
  <c r="F198" i="20" s="1"/>
  <c r="F1327" i="20" s="1"/>
  <c r="F1281" i="20"/>
  <c r="F1284" i="20" s="1"/>
  <c r="J785" i="20"/>
  <c r="J789" i="20" s="1"/>
  <c r="J794" i="20" s="1"/>
  <c r="J200" i="20" s="1"/>
  <c r="P198" i="20"/>
  <c r="P1327" i="20" s="1"/>
  <c r="P789" i="20"/>
  <c r="P794" i="20" s="1"/>
  <c r="P200" i="20" s="1"/>
  <c r="G198" i="20"/>
  <c r="G1327" i="20" s="1"/>
  <c r="G789" i="20"/>
  <c r="G794" i="20" s="1"/>
  <c r="G200" i="20" s="1"/>
  <c r="E1289" i="20"/>
  <c r="Q1289" i="20" s="1"/>
  <c r="E1284" i="20"/>
  <c r="P1289" i="20"/>
  <c r="P1284" i="20"/>
  <c r="J1289" i="20"/>
  <c r="J1284" i="20"/>
  <c r="M198" i="20"/>
  <c r="M1327" i="20" s="1"/>
  <c r="M789" i="20"/>
  <c r="M794" i="20" s="1"/>
  <c r="M200" i="20" s="1"/>
  <c r="K1289" i="20"/>
  <c r="K1284" i="20"/>
  <c r="H198" i="20"/>
  <c r="H1327" i="20" s="1"/>
  <c r="H789" i="20"/>
  <c r="H794" i="20" s="1"/>
  <c r="H200" i="20" s="1"/>
  <c r="O198" i="20"/>
  <c r="O1327" i="20" s="1"/>
  <c r="O789" i="20"/>
  <c r="O794" i="20" s="1"/>
  <c r="O200" i="20" s="1"/>
  <c r="L789" i="20"/>
  <c r="L794" i="20" s="1"/>
  <c r="L200" i="20" s="1"/>
  <c r="L198" i="20"/>
  <c r="L1327" i="20" s="1"/>
  <c r="K198" i="20"/>
  <c r="K1327" i="20" s="1"/>
  <c r="I198" i="20"/>
  <c r="I1327" i="20" s="1"/>
  <c r="I789" i="20"/>
  <c r="I794" i="20" s="1"/>
  <c r="I200" i="20" s="1"/>
  <c r="N1289" i="20"/>
  <c r="N1284" i="20"/>
  <c r="L1284" i="20" l="1"/>
  <c r="G1284" i="20"/>
  <c r="N789" i="20"/>
  <c r="N794" i="20" s="1"/>
  <c r="N200" i="20" s="1"/>
  <c r="N22" i="20" s="1"/>
  <c r="N23" i="20" s="1"/>
  <c r="M1284" i="20"/>
  <c r="E198" i="20"/>
  <c r="E1327" i="20" s="1"/>
  <c r="Q1327" i="20" s="1"/>
  <c r="O1284" i="20"/>
  <c r="F1289" i="20"/>
  <c r="H1284" i="20"/>
  <c r="I1284" i="20"/>
  <c r="Q1281" i="20"/>
  <c r="Q1284" i="20" s="1"/>
  <c r="F789" i="20"/>
  <c r="F794" i="20" s="1"/>
  <c r="F200" i="20" s="1"/>
  <c r="F1329" i="20" s="1"/>
  <c r="J198" i="20"/>
  <c r="J1327" i="20" s="1"/>
  <c r="Q785" i="20"/>
  <c r="E69" i="22"/>
  <c r="E70" i="22" s="1"/>
  <c r="G1329" i="20"/>
  <c r="G22" i="20"/>
  <c r="G23" i="20" s="1"/>
  <c r="O1329" i="20"/>
  <c r="O22" i="20"/>
  <c r="O23" i="20" s="1"/>
  <c r="M69" i="22"/>
  <c r="M70" i="22" s="1"/>
  <c r="P22" i="20"/>
  <c r="P23" i="20" s="1"/>
  <c r="P1329" i="20"/>
  <c r="N69" i="22"/>
  <c r="N70" i="22" s="1"/>
  <c r="K1329" i="20"/>
  <c r="K22" i="20"/>
  <c r="K23" i="20" s="1"/>
  <c r="I69" i="22"/>
  <c r="I70" i="22" s="1"/>
  <c r="H22" i="20"/>
  <c r="H23" i="20" s="1"/>
  <c r="H1329" i="20"/>
  <c r="F69" i="22"/>
  <c r="F70" i="22" s="1"/>
  <c r="K69" i="22"/>
  <c r="K70" i="22" s="1"/>
  <c r="M22" i="20"/>
  <c r="M23" i="20" s="1"/>
  <c r="M1329" i="20"/>
  <c r="G61" i="26"/>
  <c r="J1329" i="20"/>
  <c r="J22" i="20"/>
  <c r="J23" i="20" s="1"/>
  <c r="H69" i="22"/>
  <c r="H70" i="22" s="1"/>
  <c r="G69" i="22"/>
  <c r="G70" i="22" s="1"/>
  <c r="I22" i="20"/>
  <c r="I23" i="20" s="1"/>
  <c r="I1329" i="20"/>
  <c r="L22" i="20"/>
  <c r="L23" i="20" s="1"/>
  <c r="L1329" i="20"/>
  <c r="J69" i="22"/>
  <c r="J70" i="22" s="1"/>
  <c r="E794" i="20"/>
  <c r="N1329" i="20" l="1"/>
  <c r="N1330" i="20" s="1"/>
  <c r="L69" i="22"/>
  <c r="L70" i="22" s="1"/>
  <c r="Q198" i="20"/>
  <c r="Q789" i="20"/>
  <c r="D69" i="22"/>
  <c r="D70" i="22" s="1"/>
  <c r="F22" i="20"/>
  <c r="F23" i="20" s="1"/>
  <c r="K1330" i="20"/>
  <c r="G1330" i="20"/>
  <c r="L1330" i="20"/>
  <c r="M1330" i="20"/>
  <c r="O1330" i="20"/>
  <c r="I1330" i="20"/>
  <c r="J61" i="26"/>
  <c r="I61" i="26"/>
  <c r="Q794" i="20"/>
  <c r="E200" i="20"/>
  <c r="F1330" i="20"/>
  <c r="J1330" i="20"/>
  <c r="H1330" i="20"/>
  <c r="P1330" i="20"/>
  <c r="E22" i="20" l="1"/>
  <c r="E1329" i="20"/>
  <c r="C69" i="22"/>
  <c r="Q200" i="20"/>
  <c r="O69" i="22" l="1"/>
  <c r="O70" i="22" s="1"/>
  <c r="C70" i="22"/>
  <c r="Q1329" i="20"/>
  <c r="E1330" i="20"/>
  <c r="H32" i="14"/>
  <c r="H17" i="26"/>
  <c r="E23" i="20"/>
  <c r="Q22" i="20"/>
  <c r="G17" i="26" l="1"/>
  <c r="E48" i="19"/>
  <c r="I32" i="14"/>
  <c r="Q23" i="20"/>
  <c r="I17" i="26" l="1"/>
  <c r="J17" i="26"/>
  <c r="J32" i="14"/>
  <c r="G274" i="26"/>
  <c r="G275" i="26" l="1"/>
  <c r="I156" i="26"/>
  <c r="I151" i="26"/>
  <c r="E151" i="26" s="1"/>
  <c r="D151" i="26" s="1"/>
  <c r="F276" i="26" l="1"/>
  <c r="E33" i="27" s="1"/>
  <c r="D156" i="26"/>
  <c r="I157" i="26" s="1"/>
  <c r="G276" i="26" l="1"/>
  <c r="G278" i="26" s="1"/>
  <c r="G280" i="26" s="1"/>
  <c r="U48" i="1"/>
  <c r="D1073" i="20" s="1"/>
  <c r="G1073" i="20" s="1"/>
  <c r="H157" i="26"/>
  <c r="F157" i="26"/>
  <c r="G157" i="26"/>
  <c r="K276" i="26" l="1"/>
  <c r="E225" i="28"/>
  <c r="J1073" i="20"/>
  <c r="J1312" i="20" s="1"/>
  <c r="N1073" i="20"/>
  <c r="L1073" i="20"/>
  <c r="L1312" i="20" s="1"/>
  <c r="I1073" i="20"/>
  <c r="I1312" i="20" s="1"/>
  <c r="F1073" i="20"/>
  <c r="F1312" i="20" s="1"/>
  <c r="O1073" i="20"/>
  <c r="O1312" i="20" s="1"/>
  <c r="E1073" i="20"/>
  <c r="E1312" i="20" s="1"/>
  <c r="M1073" i="20"/>
  <c r="M1312" i="20" s="1"/>
  <c r="K1073" i="20"/>
  <c r="K1312" i="20" s="1"/>
  <c r="P1073" i="20"/>
  <c r="P1312" i="20" s="1"/>
  <c r="H1073" i="20"/>
  <c r="H1312" i="20" s="1"/>
  <c r="E157" i="26"/>
  <c r="D157" i="26" s="1"/>
  <c r="G1312" i="20"/>
  <c r="N1312" i="20"/>
  <c r="G281" i="26"/>
  <c r="K280" i="26"/>
  <c r="K281" i="26" s="1"/>
  <c r="F280" i="26"/>
  <c r="K283" i="26" l="1"/>
  <c r="Q1073" i="20"/>
  <c r="P48" i="1"/>
  <c r="E34" i="27"/>
  <c r="M1318" i="20"/>
  <c r="Q1312" i="20"/>
  <c r="E1318" i="20"/>
  <c r="P1318" i="20"/>
  <c r="L1318" i="20"/>
  <c r="N1318" i="20"/>
  <c r="J1318" i="20"/>
  <c r="H1318" i="20"/>
  <c r="G1318" i="20"/>
  <c r="T71" i="20"/>
  <c r="O1318" i="20"/>
  <c r="F1318" i="20"/>
  <c r="K1318" i="20"/>
  <c r="I1318" i="20"/>
  <c r="D1077" i="20" l="1"/>
  <c r="D229" i="28"/>
  <c r="E229" i="28" s="1"/>
  <c r="Q1318" i="20"/>
  <c r="E239" i="28" l="1"/>
  <c r="E235" i="28"/>
  <c r="E237" i="28" s="1"/>
  <c r="E1077" i="20"/>
  <c r="F1077" i="20"/>
  <c r="I1077" i="20"/>
  <c r="K1077" i="20"/>
  <c r="L1077" i="20"/>
  <c r="N1077" i="20"/>
  <c r="M1077" i="20"/>
  <c r="G1077" i="20"/>
  <c r="O1077" i="20"/>
  <c r="J1077" i="20"/>
  <c r="P1077" i="20"/>
  <c r="H1077" i="20"/>
  <c r="J1079" i="20" l="1"/>
  <c r="J1314" i="20"/>
  <c r="F1079" i="20"/>
  <c r="F1314" i="20"/>
  <c r="O1314" i="20"/>
  <c r="O1079" i="20"/>
  <c r="Q1077" i="20"/>
  <c r="H71" i="26" s="1"/>
  <c r="E1314" i="20"/>
  <c r="E1079" i="20"/>
  <c r="H1079" i="20"/>
  <c r="H1314" i="20"/>
  <c r="G1079" i="20"/>
  <c r="G1314" i="20"/>
  <c r="K1314" i="20"/>
  <c r="K1079" i="20"/>
  <c r="N1314" i="20"/>
  <c r="N1079" i="20"/>
  <c r="L1079" i="20"/>
  <c r="L1314" i="20"/>
  <c r="P1314" i="20"/>
  <c r="P1079" i="20"/>
  <c r="M1314" i="20"/>
  <c r="M1079" i="20"/>
  <c r="I1314" i="20"/>
  <c r="I1079" i="20"/>
  <c r="P1315" i="20" l="1"/>
  <c r="P1320" i="20"/>
  <c r="P1323" i="20" s="1"/>
  <c r="G295" i="20"/>
  <c r="G1331" i="20" s="1"/>
  <c r="G1083" i="20"/>
  <c r="G297" i="20" s="1"/>
  <c r="E1315" i="20"/>
  <c r="Q1314" i="20"/>
  <c r="Q1315" i="20" s="1"/>
  <c r="E1320" i="20"/>
  <c r="M1083" i="20"/>
  <c r="M297" i="20" s="1"/>
  <c r="M295" i="20"/>
  <c r="M1331" i="20" s="1"/>
  <c r="L1315" i="20"/>
  <c r="L1320" i="20"/>
  <c r="L1323" i="20" s="1"/>
  <c r="K1083" i="20"/>
  <c r="K297" i="20" s="1"/>
  <c r="K295" i="20"/>
  <c r="K1331" i="20" s="1"/>
  <c r="H1315" i="20"/>
  <c r="H1320" i="20"/>
  <c r="H1323" i="20" s="1"/>
  <c r="T72" i="20"/>
  <c r="F295" i="20"/>
  <c r="F1331" i="20" s="1"/>
  <c r="F1083" i="20"/>
  <c r="F297" i="20" s="1"/>
  <c r="I1320" i="20"/>
  <c r="I1323" i="20" s="1"/>
  <c r="I1315" i="20"/>
  <c r="N1315" i="20"/>
  <c r="N1320" i="20"/>
  <c r="N1323" i="20" s="1"/>
  <c r="F1320" i="20"/>
  <c r="F1323" i="20" s="1"/>
  <c r="F1315" i="20"/>
  <c r="M1315" i="20"/>
  <c r="M1320" i="20"/>
  <c r="M1323" i="20" s="1"/>
  <c r="L295" i="20"/>
  <c r="L1331" i="20" s="1"/>
  <c r="L1083" i="20"/>
  <c r="L297" i="20" s="1"/>
  <c r="K1315" i="20"/>
  <c r="K1320" i="20"/>
  <c r="K1323" i="20" s="1"/>
  <c r="H1083" i="20"/>
  <c r="H297" i="20" s="1"/>
  <c r="H295" i="20"/>
  <c r="H1331" i="20" s="1"/>
  <c r="O295" i="20"/>
  <c r="O1331" i="20" s="1"/>
  <c r="O1083" i="20"/>
  <c r="O297" i="20" s="1"/>
  <c r="J1315" i="20"/>
  <c r="J1320" i="20"/>
  <c r="J1323" i="20" s="1"/>
  <c r="I1083" i="20"/>
  <c r="I297" i="20" s="1"/>
  <c r="I295" i="20"/>
  <c r="I1331" i="20" s="1"/>
  <c r="P1083" i="20"/>
  <c r="P297" i="20" s="1"/>
  <c r="P295" i="20"/>
  <c r="P1331" i="20" s="1"/>
  <c r="N295" i="20"/>
  <c r="N1331" i="20" s="1"/>
  <c r="N1083" i="20"/>
  <c r="N297" i="20" s="1"/>
  <c r="G1320" i="20"/>
  <c r="G1323" i="20" s="1"/>
  <c r="G1315" i="20"/>
  <c r="E295" i="20"/>
  <c r="E1083" i="20"/>
  <c r="Q1079" i="20"/>
  <c r="O1315" i="20"/>
  <c r="O1320" i="20"/>
  <c r="O1323" i="20" s="1"/>
  <c r="J1083" i="20"/>
  <c r="J297" i="20" s="1"/>
  <c r="J295" i="20"/>
  <c r="J1331" i="20" s="1"/>
  <c r="M1333" i="20" l="1"/>
  <c r="M28" i="20"/>
  <c r="M361" i="20"/>
  <c r="K72" i="22"/>
  <c r="J28" i="20"/>
  <c r="J361" i="20"/>
  <c r="H72" i="22"/>
  <c r="J1333" i="20"/>
  <c r="J1335" i="20" s="1"/>
  <c r="E297" i="20"/>
  <c r="Q1083" i="20"/>
  <c r="N1333" i="20"/>
  <c r="N361" i="20"/>
  <c r="L72" i="22"/>
  <c r="N28" i="20"/>
  <c r="O1333" i="20"/>
  <c r="O361" i="20"/>
  <c r="M72" i="22"/>
  <c r="O28" i="20"/>
  <c r="D72" i="22"/>
  <c r="F1333" i="20"/>
  <c r="F361" i="20"/>
  <c r="F28" i="20"/>
  <c r="E1323" i="20"/>
  <c r="Q1320" i="20"/>
  <c r="Q1323" i="20" s="1"/>
  <c r="H78" i="26"/>
  <c r="G71" i="26"/>
  <c r="K1333" i="20"/>
  <c r="K28" i="20"/>
  <c r="I72" i="22"/>
  <c r="K361" i="20"/>
  <c r="E72" i="22"/>
  <c r="G1333" i="20"/>
  <c r="G1335" i="20" s="1"/>
  <c r="G361" i="20"/>
  <c r="G28" i="20"/>
  <c r="Q295" i="20"/>
  <c r="T67" i="20" s="1"/>
  <c r="E1331" i="20"/>
  <c r="Q1331" i="20" s="1"/>
  <c r="I361" i="20"/>
  <c r="I28" i="20"/>
  <c r="G72" i="22"/>
  <c r="I1333" i="20"/>
  <c r="P361" i="20"/>
  <c r="N72" i="22"/>
  <c r="P1333" i="20"/>
  <c r="P28" i="20"/>
  <c r="F72" i="22"/>
  <c r="H28" i="20"/>
  <c r="H1333" i="20"/>
  <c r="H361" i="20"/>
  <c r="J72" i="22"/>
  <c r="L28" i="20"/>
  <c r="L1333" i="20"/>
  <c r="L361" i="20"/>
  <c r="I1335" i="20" l="1"/>
  <c r="I1334" i="20"/>
  <c r="F1335" i="20"/>
  <c r="F1334" i="20"/>
  <c r="G78" i="26"/>
  <c r="J71" i="26"/>
  <c r="I71" i="26"/>
  <c r="E361" i="20"/>
  <c r="Q361" i="20" s="1"/>
  <c r="C72" i="22"/>
  <c r="O72" i="22" s="1"/>
  <c r="Q297" i="20"/>
  <c r="E1333" i="20"/>
  <c r="E28" i="20"/>
  <c r="Q28" i="20" s="1"/>
  <c r="M1335" i="20"/>
  <c r="M1334" i="20"/>
  <c r="J1334" i="20"/>
  <c r="L1335" i="20"/>
  <c r="L1334" i="20"/>
  <c r="H1335" i="20"/>
  <c r="H1334" i="20"/>
  <c r="P1335" i="20"/>
  <c r="P1334" i="20"/>
  <c r="K1335" i="20"/>
  <c r="K1334" i="20"/>
  <c r="O1335" i="20"/>
  <c r="O1334" i="20"/>
  <c r="N1335" i="20"/>
  <c r="N1334" i="20"/>
  <c r="G1334" i="20"/>
  <c r="I78" i="26" l="1"/>
  <c r="E1335" i="20"/>
  <c r="Q1333" i="20"/>
  <c r="E1334" i="20"/>
  <c r="T69" i="20"/>
  <c r="T78" i="20" s="1"/>
  <c r="H43" i="14"/>
  <c r="H27" i="26"/>
  <c r="J74" i="26"/>
  <c r="J75" i="26"/>
  <c r="E49" i="19" l="1"/>
  <c r="F55" i="19" s="1"/>
  <c r="F57" i="19" s="1"/>
  <c r="F59" i="19" s="1"/>
  <c r="G27" i="26"/>
  <c r="Q1335" i="20"/>
  <c r="Q1334" i="20"/>
  <c r="I43" i="14"/>
  <c r="H51" i="14"/>
  <c r="J27" i="26" l="1"/>
  <c r="I27" i="26"/>
  <c r="I51" i="14"/>
  <c r="J51" i="14" s="1"/>
  <c r="J43" i="14"/>
  <c r="I365" i="20"/>
  <c r="L365" i="20"/>
  <c r="H365" i="20"/>
  <c r="K365" i="20"/>
  <c r="G365" i="20"/>
  <c r="N365" i="20"/>
  <c r="M365" i="20"/>
  <c r="F365" i="20"/>
  <c r="P365" i="20"/>
  <c r="O365" i="20"/>
  <c r="J365" i="20"/>
  <c r="E365" i="20"/>
  <c r="E371" i="20" l="1"/>
  <c r="Q365" i="20"/>
  <c r="H36" i="26" s="1"/>
  <c r="E29" i="20"/>
  <c r="F371" i="20"/>
  <c r="F29" i="20"/>
  <c r="F34" i="20" s="1"/>
  <c r="F36" i="20" s="1"/>
  <c r="K29" i="20"/>
  <c r="K34" i="20" s="1"/>
  <c r="K36" i="20" s="1"/>
  <c r="K371" i="20"/>
  <c r="J29" i="20"/>
  <c r="J34" i="20" s="1"/>
  <c r="J36" i="20" s="1"/>
  <c r="J371" i="20"/>
  <c r="M371" i="20"/>
  <c r="M29" i="20"/>
  <c r="M34" i="20" s="1"/>
  <c r="M36" i="20" s="1"/>
  <c r="H29" i="20"/>
  <c r="H34" i="20" s="1"/>
  <c r="H36" i="20" s="1"/>
  <c r="H371" i="20"/>
  <c r="O29" i="20"/>
  <c r="O34" i="20" s="1"/>
  <c r="O36" i="20" s="1"/>
  <c r="O371" i="20"/>
  <c r="N29" i="20"/>
  <c r="N34" i="20" s="1"/>
  <c r="N36" i="20" s="1"/>
  <c r="N371" i="20"/>
  <c r="L29" i="20"/>
  <c r="L34" i="20" s="1"/>
  <c r="L36" i="20" s="1"/>
  <c r="L371" i="20"/>
  <c r="P371" i="20"/>
  <c r="P29" i="20"/>
  <c r="P34" i="20" s="1"/>
  <c r="P36" i="20" s="1"/>
  <c r="G371" i="20"/>
  <c r="G29" i="20"/>
  <c r="G34" i="20" s="1"/>
  <c r="G36" i="20" s="1"/>
  <c r="I29" i="20"/>
  <c r="I34" i="20" s="1"/>
  <c r="I36" i="20" s="1"/>
  <c r="I371" i="20"/>
  <c r="J30" i="26"/>
  <c r="J31" i="26"/>
  <c r="D73" i="22" l="1"/>
  <c r="D75" i="22" s="1"/>
  <c r="D78" i="22" s="1"/>
  <c r="F373" i="20"/>
  <c r="O373" i="20"/>
  <c r="M73" i="22"/>
  <c r="M75" i="22" s="1"/>
  <c r="M78" i="22" s="1"/>
  <c r="K373" i="20"/>
  <c r="I73" i="22"/>
  <c r="I75" i="22" s="1"/>
  <c r="I78" i="22" s="1"/>
  <c r="E73" i="22"/>
  <c r="E75" i="22" s="1"/>
  <c r="E78" i="22" s="1"/>
  <c r="G373" i="20"/>
  <c r="M373" i="20"/>
  <c r="K73" i="22"/>
  <c r="K75" i="22" s="1"/>
  <c r="K78" i="22" s="1"/>
  <c r="G36" i="26"/>
  <c r="M145" i="26" s="1"/>
  <c r="H42" i="26"/>
  <c r="O113" i="26" s="1"/>
  <c r="N73" i="22"/>
  <c r="N75" i="22" s="1"/>
  <c r="N78" i="22" s="1"/>
  <c r="P373" i="20"/>
  <c r="J73" i="22"/>
  <c r="J75" i="22" s="1"/>
  <c r="J78" i="22" s="1"/>
  <c r="L373" i="20"/>
  <c r="Q29" i="20"/>
  <c r="E34" i="20"/>
  <c r="E36" i="20" s="1"/>
  <c r="Q36" i="20" s="1"/>
  <c r="I373" i="20"/>
  <c r="G73" i="22"/>
  <c r="G75" i="22" s="1"/>
  <c r="G78" i="22" s="1"/>
  <c r="L73" i="22"/>
  <c r="L75" i="22" s="1"/>
  <c r="L78" i="22" s="1"/>
  <c r="N373" i="20"/>
  <c r="F73" i="22"/>
  <c r="F75" i="22" s="1"/>
  <c r="F78" i="22" s="1"/>
  <c r="H373" i="20"/>
  <c r="J373" i="20"/>
  <c r="H73" i="22"/>
  <c r="H75" i="22" s="1"/>
  <c r="H78" i="22" s="1"/>
  <c r="Q371" i="20"/>
  <c r="Q373" i="20" s="1"/>
  <c r="C73" i="22"/>
  <c r="E373" i="20"/>
  <c r="C75" i="22" l="1"/>
  <c r="O73" i="22"/>
  <c r="G42" i="26"/>
  <c r="N113" i="26" s="1"/>
  <c r="I36" i="26"/>
  <c r="Q34" i="20"/>
  <c r="H55" i="14"/>
  <c r="I42" i="26" l="1"/>
  <c r="H61" i="14"/>
  <c r="H63" i="14" s="1"/>
  <c r="I55" i="14"/>
  <c r="O75" i="22"/>
  <c r="O78" i="22" s="1"/>
  <c r="C78" i="22"/>
  <c r="J55" i="14" l="1"/>
  <c r="I61" i="14"/>
  <c r="J61" i="14" l="1"/>
  <c r="I63" i="14"/>
  <c r="J63" i="14" s="1"/>
</calcChain>
</file>

<file path=xl/comments1.xml><?xml version="1.0" encoding="utf-8"?>
<comments xmlns="http://schemas.openxmlformats.org/spreadsheetml/2006/main">
  <authors>
    <author>Bell \ Melissa \ J</author>
  </authors>
  <commentList>
    <comment ref="D310" authorId="0" shapeId="0">
      <text>
        <r>
          <rPr>
            <b/>
            <sz val="9"/>
            <color indexed="81"/>
            <rFont val="Tahoma"/>
            <family val="2"/>
          </rPr>
          <t>Bell \ Melissa \ J:</t>
        </r>
        <r>
          <rPr>
            <sz val="9"/>
            <color indexed="81"/>
            <rFont val="Tahoma"/>
            <family val="2"/>
          </rPr>
          <t xml:space="preserve">
Remove Fallback Customer Counts
</t>
        </r>
      </text>
    </comment>
  </commentList>
</comments>
</file>

<file path=xl/comments2.xml><?xml version="1.0" encoding="utf-8"?>
<comments xmlns="http://schemas.openxmlformats.org/spreadsheetml/2006/main">
  <authors>
    <author>Bell \ Melissa \ J</author>
  </authors>
  <commentList>
    <comment ref="J1" authorId="0" shapeId="0">
      <text>
        <r>
          <rPr>
            <b/>
            <sz val="9"/>
            <color indexed="81"/>
            <rFont val="Tahoma"/>
            <family val="2"/>
          </rPr>
          <t>Bell \ Melissa \ J:</t>
        </r>
        <r>
          <rPr>
            <sz val="9"/>
            <color indexed="81"/>
            <rFont val="Tahoma"/>
            <family val="2"/>
          </rPr>
          <t xml:space="preserve">
Double check attachment reference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</rPr>
          <t>Bell \ Melissa \ J:</t>
        </r>
        <r>
          <rPr>
            <sz val="9"/>
            <color indexed="81"/>
            <rFont val="Tahoma"/>
            <family val="2"/>
          </rPr>
          <t xml:space="preserve">
Double check attachment reference</t>
        </r>
      </text>
    </comment>
    <comment ref="J82" authorId="0" shapeId="0">
      <text>
        <r>
          <rPr>
            <b/>
            <sz val="9"/>
            <color indexed="81"/>
            <rFont val="Tahoma"/>
            <family val="2"/>
          </rPr>
          <t>Bell \ Melissa \ J:</t>
        </r>
        <r>
          <rPr>
            <sz val="9"/>
            <color indexed="81"/>
            <rFont val="Tahoma"/>
            <family val="2"/>
          </rPr>
          <t xml:space="preserve">
Double check attachment reference</t>
        </r>
      </text>
    </comment>
  </commentList>
</comments>
</file>

<file path=xl/sharedStrings.xml><?xml version="1.0" encoding="utf-8"?>
<sst xmlns="http://schemas.openxmlformats.org/spreadsheetml/2006/main" count="4288" uniqueCount="650">
  <si>
    <t>Rate</t>
  </si>
  <si>
    <t>Line</t>
  </si>
  <si>
    <t>Schedule</t>
  </si>
  <si>
    <t>No.</t>
  </si>
  <si>
    <t>Description</t>
  </si>
  <si>
    <t>Adjusted</t>
  </si>
  <si>
    <t>(1)</t>
  </si>
  <si>
    <t>(2)</t>
  </si>
  <si>
    <t>(4)</t>
  </si>
  <si>
    <t>Total</t>
  </si>
  <si>
    <t>Tariff Sales Summary by Customer Class</t>
  </si>
  <si>
    <t>Total Residential Sales</t>
  </si>
  <si>
    <t>Total Commercial Sales</t>
  </si>
  <si>
    <t>Total Industrial Sales</t>
  </si>
  <si>
    <t>Total Tariff Sales</t>
  </si>
  <si>
    <t>Transportation Summary by Customer Class</t>
  </si>
  <si>
    <t>Total Commercial Transportation</t>
  </si>
  <si>
    <t>Total Industrial Transportation</t>
  </si>
  <si>
    <t>Total Transportation</t>
  </si>
  <si>
    <t>Total Company Throughput</t>
  </si>
  <si>
    <t>Revenue</t>
  </si>
  <si>
    <t>(3)</t>
  </si>
  <si>
    <t>Mcf</t>
  </si>
  <si>
    <t>$/Mcf</t>
  </si>
  <si>
    <t>$</t>
  </si>
  <si>
    <t>Bills</t>
  </si>
  <si>
    <t>Volumes</t>
  </si>
  <si>
    <t>Incremental</t>
  </si>
  <si>
    <t>(Mcf)</t>
  </si>
  <si>
    <t>Mo</t>
  </si>
  <si>
    <t>Proposed</t>
  </si>
  <si>
    <t>Service</t>
  </si>
  <si>
    <t>Began/</t>
  </si>
  <si>
    <t>Acct No.</t>
  </si>
  <si>
    <t>Terminated</t>
  </si>
  <si>
    <t>Total Residential Transportation</t>
  </si>
  <si>
    <t>Columbia Gas of Kentucky, Inc.</t>
  </si>
  <si>
    <t>Schedule M</t>
  </si>
  <si>
    <t xml:space="preserve">Case No. </t>
  </si>
  <si>
    <t>(Gas Service)</t>
  </si>
  <si>
    <t>Code</t>
  </si>
  <si>
    <t>Class/</t>
  </si>
  <si>
    <t>(A)</t>
  </si>
  <si>
    <t>(B)</t>
  </si>
  <si>
    <t>Customer</t>
  </si>
  <si>
    <t>(C)</t>
  </si>
  <si>
    <t>(D)</t>
  </si>
  <si>
    <t>Current</t>
  </si>
  <si>
    <t>Rates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</si>
  <si>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</si>
  <si>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</si>
  <si>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</si>
  <si>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</si>
  <si>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</si>
  <si>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</si>
  <si>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</si>
  <si>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</si>
  <si>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</si>
  <si>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</si>
  <si>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</si>
  <si>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($)</t>
  </si>
  <si>
    <t>(%)</t>
  </si>
  <si>
    <t>Witness:</t>
  </si>
  <si>
    <t>Work Paper Reference No(s):</t>
  </si>
  <si>
    <t>Schedule M-2.1</t>
  </si>
  <si>
    <t>Schedule M-2.3</t>
  </si>
  <si>
    <t>Classification</t>
  </si>
  <si>
    <t>Revenue At</t>
  </si>
  <si>
    <t>Present</t>
  </si>
  <si>
    <t>Change</t>
  </si>
  <si>
    <t>% Of</t>
  </si>
  <si>
    <t>Total Wholesale Sales</t>
  </si>
  <si>
    <t>Total  Wholesale Sales</t>
  </si>
  <si>
    <t>DS3</t>
  </si>
  <si>
    <t>GSO</t>
  </si>
  <si>
    <t>GSR</t>
  </si>
  <si>
    <t>General Service - Residential</t>
  </si>
  <si>
    <t>G1C</t>
  </si>
  <si>
    <t>LG&amp;E Commercial</t>
  </si>
  <si>
    <t>G1R</t>
  </si>
  <si>
    <t>LG&amp;E Residential</t>
  </si>
  <si>
    <t>IN3</t>
  </si>
  <si>
    <t>Inland Gas General Service - Residential</t>
  </si>
  <si>
    <t>Inland Gas General Service - Commercial</t>
  </si>
  <si>
    <t>IN4</t>
  </si>
  <si>
    <t>IN5</t>
  </si>
  <si>
    <t>LG2</t>
  </si>
  <si>
    <t xml:space="preserve">LG&amp;E Residential </t>
  </si>
  <si>
    <t>LG3</t>
  </si>
  <si>
    <t>LG4</t>
  </si>
  <si>
    <t>General Service - Commercial</t>
  </si>
  <si>
    <t>General Service - Industrial</t>
  </si>
  <si>
    <t>IUS</t>
  </si>
  <si>
    <t>Intrastate Utility Service - Wholesale</t>
  </si>
  <si>
    <t>Sales Service</t>
  </si>
  <si>
    <t>Transportation Service</t>
  </si>
  <si>
    <t>GTR</t>
  </si>
  <si>
    <t>GTO</t>
  </si>
  <si>
    <t>FX1</t>
  </si>
  <si>
    <t>FX2</t>
  </si>
  <si>
    <t>FX5</t>
  </si>
  <si>
    <t>SC3</t>
  </si>
  <si>
    <t>Other Gas Department Revenue</t>
  </si>
  <si>
    <t>Acct. 488 Miscellaneous Service Revenue</t>
  </si>
  <si>
    <t>Acct. 495 Non-Traditional Sales</t>
  </si>
  <si>
    <t>Acct. 495 Other Gas Revenues - Other</t>
  </si>
  <si>
    <t>Total Sales and Transportation</t>
  </si>
  <si>
    <t>Total Other Gas Department Revenue</t>
  </si>
  <si>
    <t>Total Gross Revenue</t>
  </si>
  <si>
    <t>RESIDENTIAL</t>
  </si>
  <si>
    <t>All Gas Consumed</t>
  </si>
  <si>
    <t>COMMERCIAL</t>
  </si>
  <si>
    <t>INDUSTRIAL</t>
  </si>
  <si>
    <t>[1] Reflects Normalized Volumes.</t>
  </si>
  <si>
    <t xml:space="preserve">Expected Gas Cost Firm Commodity Rate: </t>
  </si>
  <si>
    <t>WHOLESALE</t>
  </si>
  <si>
    <t xml:space="preserve">GTS Choice - Residential </t>
  </si>
  <si>
    <t>GTS Choice - Commercial</t>
  </si>
  <si>
    <t>GTS Choice - Industrial</t>
  </si>
  <si>
    <t>GTS Special Rate - Industrial</t>
  </si>
  <si>
    <t>GTS Main Line Service - Industrial</t>
  </si>
  <si>
    <t>GTS Flex Rate - Industrial</t>
  </si>
  <si>
    <t>GTS Flex Rate - Commercial</t>
  </si>
  <si>
    <t>and text are shown in black.  Instructions are highlighted in yellow.</t>
  </si>
  <si>
    <t>Input area:</t>
  </si>
  <si>
    <t>Total Other Gas Departnemt Revenue</t>
  </si>
  <si>
    <t>Rate Code</t>
  </si>
  <si>
    <t>Rate Schedule Name</t>
  </si>
  <si>
    <t>First Block</t>
  </si>
  <si>
    <t>Second Block</t>
  </si>
  <si>
    <t>Third Block</t>
  </si>
  <si>
    <t>Fourth Block</t>
  </si>
  <si>
    <t>Fifth Block</t>
  </si>
  <si>
    <t>Cust Chg.</t>
  </si>
  <si>
    <t>Current Rates</t>
  </si>
  <si>
    <t>Proposed Rates</t>
  </si>
  <si>
    <t>Less:</t>
  </si>
  <si>
    <t xml:space="preserve">Data entry areas are shown in the color blue.  Calculations </t>
  </si>
  <si>
    <t>FX7</t>
  </si>
  <si>
    <t>SAS</t>
  </si>
  <si>
    <t>GTS Special Agency Service</t>
  </si>
  <si>
    <t>EAP</t>
  </si>
  <si>
    <t>R&amp;D</t>
  </si>
  <si>
    <t>M-2.2</t>
  </si>
  <si>
    <t>EAP Revenue</t>
  </si>
  <si>
    <t>Revenue @</t>
  </si>
  <si>
    <t>DESCRIPTION</t>
  </si>
  <si>
    <t>Increase</t>
  </si>
  <si>
    <t>%</t>
  </si>
  <si>
    <t>Current Rev</t>
  </si>
  <si>
    <t>Inc. (Dec.)</t>
  </si>
  <si>
    <t>Gas Cost Revenue</t>
  </si>
  <si>
    <t>Net Volumetric Base Revenue</t>
  </si>
  <si>
    <t>LG2 Residential</t>
  </si>
  <si>
    <t>LG2 Commercial</t>
  </si>
  <si>
    <t>LG3 Residential</t>
  </si>
  <si>
    <t>LG4 Residential</t>
  </si>
  <si>
    <t>Admin chg.</t>
  </si>
  <si>
    <t>Admin chg</t>
  </si>
  <si>
    <t>GSR/GTR Residential</t>
  </si>
  <si>
    <t>GSR/GTR Rate Design</t>
  </si>
  <si>
    <t>DS</t>
  </si>
  <si>
    <t>GTS Delivery Service - Commercial</t>
  </si>
  <si>
    <t>GTS Delivery Service - Industrial</t>
  </si>
  <si>
    <t>GDS</t>
  </si>
  <si>
    <t>GTS Grandfathered Delivery Service - Commercial</t>
  </si>
  <si>
    <t>GTS Grandfathered Delivery Service - Industrial</t>
  </si>
  <si>
    <t>Test Year Volumes</t>
  </si>
  <si>
    <t>DS-Ind</t>
  </si>
  <si>
    <t>Additional Volumes (First 50 Mcf)</t>
  </si>
  <si>
    <t>Additional Volumes (Next 350 Mcf)</t>
  </si>
  <si>
    <t>Additional Volumes (Next 600 Mcf)</t>
  </si>
  <si>
    <t>Additional Volumes (Over 1,000 Mcf)</t>
  </si>
  <si>
    <t>GSO/GTO/GDS</t>
  </si>
  <si>
    <t>Gas Cost Adjustment Rate:</t>
  </si>
  <si>
    <t xml:space="preserve">Gas Cost Adjustment Firm Commodity Rate: </t>
  </si>
  <si>
    <t xml:space="preserve">Gas Cost Adjustment Firm Demand Rate: </t>
  </si>
  <si>
    <t>Gas Cost Adjustment Date:</t>
  </si>
  <si>
    <t>Uncoll</t>
  </si>
  <si>
    <t>Acct. 487 Forfeited Discounts</t>
  </si>
  <si>
    <t xml:space="preserve">Acct. 487 Forfeited Discounts </t>
  </si>
  <si>
    <t>Change in Forfeited Discounts Revenue</t>
  </si>
  <si>
    <t>Detail</t>
  </si>
  <si>
    <t>Amount</t>
  </si>
  <si>
    <t>Test Year Revenue Subject to Late Payment Penalties:</t>
  </si>
  <si>
    <t>Proposed Revenue Subject to Late Payment Penalties:</t>
  </si>
  <si>
    <t>Reference</t>
  </si>
  <si>
    <t>Test Year Forfeited Discounts  (Account 487)</t>
  </si>
  <si>
    <t>Proposed  Forfeited Discounts  (Account 487)</t>
  </si>
  <si>
    <t>Proposed Adjustment to Account 487 Revenue</t>
  </si>
  <si>
    <t>Line 2 / Line 25</t>
  </si>
  <si>
    <t>DS/SAS</t>
  </si>
  <si>
    <t>EECP</t>
  </si>
  <si>
    <t>AMRP</t>
  </si>
  <si>
    <t>Current Annualized</t>
  </si>
  <si>
    <t>Number of Bills</t>
  </si>
  <si>
    <t>Riders:</t>
  </si>
  <si>
    <t>Volumes (Mcf)</t>
  </si>
  <si>
    <t>Adjustment to Test Year Bills and Mcf</t>
  </si>
  <si>
    <t>Adjustment to Bills and Mcf Generated By Industrial Customers</t>
  </si>
  <si>
    <t>Annualized Test Year Revenues at Proposed Rates</t>
  </si>
  <si>
    <t>Revenues At Present and Proposed Rates</t>
  </si>
  <si>
    <t>Customer Bills</t>
  </si>
  <si>
    <t>(P)</t>
  </si>
  <si>
    <t>Revenue Less Gas Cost</t>
  </si>
  <si>
    <t>Total Revenue</t>
  </si>
  <si>
    <t>Revenue Excluding Riders</t>
  </si>
  <si>
    <t>Commodity Charge</t>
  </si>
  <si>
    <t>Gas Cost Revenue [2]</t>
  </si>
  <si>
    <t>Volumes (Mcf) [1]</t>
  </si>
  <si>
    <t xml:space="preserve">  Customer Charge</t>
  </si>
  <si>
    <t xml:space="preserve">  Accelerated Main Replacement Program</t>
  </si>
  <si>
    <t xml:space="preserve">  Commodity Charge</t>
  </si>
  <si>
    <t xml:space="preserve">  Energy Efficiency Conservation Program</t>
  </si>
  <si>
    <t xml:space="preserve">  Gas Cost Uncollectible Charge</t>
  </si>
  <si>
    <t xml:space="preserve">  EAP Recovery</t>
  </si>
  <si>
    <t xml:space="preserve">  Total Riders</t>
  </si>
  <si>
    <t xml:space="preserve">  Administrative Charge</t>
  </si>
  <si>
    <t>Volumes (Mcf)[1]</t>
  </si>
  <si>
    <t xml:space="preserve">    Bills</t>
  </si>
  <si>
    <t xml:space="preserve">    Volumes</t>
  </si>
  <si>
    <t xml:space="preserve">    Revenue Less Gas Cost</t>
  </si>
  <si>
    <t xml:space="preserve">    Gas Cost</t>
  </si>
  <si>
    <r>
      <t xml:space="preserve">Type of Filing: </t>
    </r>
    <r>
      <rPr>
        <b/>
        <u/>
        <sz val="12"/>
        <rFont val="Arial"/>
        <family val="2"/>
      </rPr>
      <t>X</t>
    </r>
    <r>
      <rPr>
        <b/>
        <sz val="12"/>
        <rFont val="Arial"/>
        <family val="2"/>
      </rPr>
      <t xml:space="preserve"> Original _ Update _ Revised</t>
    </r>
  </si>
  <si>
    <t>FERC</t>
  </si>
  <si>
    <t>Acct</t>
  </si>
  <si>
    <t>Operating Revenue</t>
  </si>
  <si>
    <t>Sales of Gas</t>
  </si>
  <si>
    <t>Total Operating Revenue</t>
  </si>
  <si>
    <t xml:space="preserve">    Residential Sales Revenue</t>
  </si>
  <si>
    <t xml:space="preserve">    Commercial Sales Revenue</t>
  </si>
  <si>
    <t xml:space="preserve">    Industrial Sales Revenue</t>
  </si>
  <si>
    <t xml:space="preserve">    Total Sales of Gas</t>
  </si>
  <si>
    <t xml:space="preserve">    Public Utilities</t>
  </si>
  <si>
    <t xml:space="preserve">    Transportation Revenue - Residential</t>
  </si>
  <si>
    <t xml:space="preserve">    Transportation Revenue - Commercial</t>
  </si>
  <si>
    <t xml:space="preserve">    Transportation Revenue - Industrial</t>
  </si>
  <si>
    <t xml:space="preserve">    Forfeited Discounts</t>
  </si>
  <si>
    <t xml:space="preserve">    Miscellaneous Service Revenue</t>
  </si>
  <si>
    <t xml:space="preserve">    Non-Traditional Sales</t>
  </si>
  <si>
    <t xml:space="preserve">    Other Gas Revenues - Other</t>
  </si>
  <si>
    <t>Rate Schedule GSR - Residential</t>
  </si>
  <si>
    <t>Rate Schedule G1C - Commercial</t>
  </si>
  <si>
    <t>Rate Schedule G1R - Residential</t>
  </si>
  <si>
    <t xml:space="preserve">  Industrial Adjustment</t>
  </si>
  <si>
    <t>Rate Schedule IN3 - Residential</t>
  </si>
  <si>
    <t>Rate Schedule IN4 - Residential</t>
  </si>
  <si>
    <t>Rate Schedule IN5 - Residential</t>
  </si>
  <si>
    <t>Rate Schedule LG2 - Residential</t>
  </si>
  <si>
    <t>Rate Schedule LG2 - Commercial</t>
  </si>
  <si>
    <t>Rate Schedule LG3 - Residential</t>
  </si>
  <si>
    <t xml:space="preserve">    First 2 Mcf</t>
  </si>
  <si>
    <t xml:space="preserve">    Over 2 Mcf</t>
  </si>
  <si>
    <t>Rate Schedule LG4 - Residential</t>
  </si>
  <si>
    <t>Rate Schedule GSO - Commercial</t>
  </si>
  <si>
    <t xml:space="preserve">    First 50 Mcf</t>
  </si>
  <si>
    <t xml:space="preserve">    Next 350 Mcf</t>
  </si>
  <si>
    <t xml:space="preserve">    Next 600 Mcf</t>
  </si>
  <si>
    <t xml:space="preserve">    Over 1,000 Mcf</t>
  </si>
  <si>
    <t xml:space="preserve">  Adjusted Bills</t>
  </si>
  <si>
    <t>Rate Schedule DS - Commercial</t>
  </si>
  <si>
    <t>Rate Schedule GDS - Industrial</t>
  </si>
  <si>
    <t>Rate Schedule DS - Industrial</t>
  </si>
  <si>
    <t xml:space="preserve">  Adjusted Volumes</t>
  </si>
  <si>
    <t>Rate Schedule GSO - Industrial</t>
  </si>
  <si>
    <t>Rate Schedule IUS - Wholesale</t>
  </si>
  <si>
    <t>Rate Schedule GTR - Residential</t>
  </si>
  <si>
    <t>Rate Schedule GTO - Commercial</t>
  </si>
  <si>
    <t>Rate Schedule GTO - Industrial</t>
  </si>
  <si>
    <t xml:space="preserve">    First 30,000 Mcf</t>
  </si>
  <si>
    <t xml:space="preserve">    Over 30,000 Mcf</t>
  </si>
  <si>
    <t>Rate Schedule GDS - Commercial</t>
  </si>
  <si>
    <t>Rate Schedule DS3 - Industrial</t>
  </si>
  <si>
    <t>Rate Schedule FX1 - Commercial</t>
  </si>
  <si>
    <t>Rate Schedule FX2 - Commercial</t>
  </si>
  <si>
    <t>Rate Schedule FX5 - Industrial</t>
  </si>
  <si>
    <t>Rate Schedule FX7 - Industrial</t>
  </si>
  <si>
    <t xml:space="preserve">    First 25,000 Mcf</t>
  </si>
  <si>
    <t xml:space="preserve">    Over 25,000 Mcf</t>
  </si>
  <si>
    <t>Rate Schedule SAS - Commercial</t>
  </si>
  <si>
    <t>Rate Schedule SC3 - Industrial</t>
  </si>
  <si>
    <t xml:space="preserve">    First 150,000 Mcf</t>
  </si>
  <si>
    <t xml:space="preserve">    Over 150,000 Mcf</t>
  </si>
  <si>
    <t xml:space="preserve">IS </t>
  </si>
  <si>
    <t>Rate Schedule IS - Industrial</t>
  </si>
  <si>
    <t>Other Operating Revenue</t>
  </si>
  <si>
    <t xml:space="preserve">    Total Other Operating Revenue</t>
  </si>
  <si>
    <t>Total Adjusted Bills</t>
  </si>
  <si>
    <t>Total Adjusted Volumes</t>
  </si>
  <si>
    <t xml:space="preserve">  Bills</t>
  </si>
  <si>
    <t xml:space="preserve">  Finaled Bills</t>
  </si>
  <si>
    <t>IS</t>
  </si>
  <si>
    <t>Interruptible Service - Industrial</t>
  </si>
  <si>
    <t xml:space="preserve">Bills </t>
  </si>
  <si>
    <t>Proposed Annualized</t>
  </si>
  <si>
    <t>GST</t>
  </si>
  <si>
    <t>General Service - Trans Fallback - Comm</t>
  </si>
  <si>
    <t>General Service - Trans Fallback - Ind</t>
  </si>
  <si>
    <t>IST</t>
  </si>
  <si>
    <t>Interruptible Service  - Fallback - Commercial</t>
  </si>
  <si>
    <t>Interruptible Service  - Fallback - Industrial</t>
  </si>
  <si>
    <t>DO NOT FILE</t>
  </si>
  <si>
    <t>Total Company Bills</t>
  </si>
  <si>
    <t>12 Months Forecasted</t>
  </si>
  <si>
    <t>DO NOT FILE - CHECK ONLY</t>
  </si>
  <si>
    <t>M-2.3</t>
  </si>
  <si>
    <t>Residential Sales</t>
  </si>
  <si>
    <t>Commercial Sales</t>
  </si>
  <si>
    <t>Industrial Sales</t>
  </si>
  <si>
    <t>Public Utilities</t>
  </si>
  <si>
    <t>Total Sales</t>
  </si>
  <si>
    <t>Transportation</t>
  </si>
  <si>
    <t>Other Revenue</t>
  </si>
  <si>
    <t>Total Operating Revenues</t>
  </si>
  <si>
    <t>Total Revenue (Excluding Gas Cost)</t>
  </si>
  <si>
    <t>Total Volumes</t>
  </si>
  <si>
    <t>Acct. 493 Rent from Gas Property</t>
  </si>
  <si>
    <t xml:space="preserve">    Rent from Gas Property</t>
  </si>
  <si>
    <t>Schedule M 2.1</t>
  </si>
  <si>
    <t>Total Gas Revenue</t>
  </si>
  <si>
    <t>Acct. 493 Rent From Gas Property</t>
  </si>
  <si>
    <t>PRESENT AND PROPOSED REVENUE AT FORECASTED PERIOD</t>
  </si>
  <si>
    <t>M-2.1</t>
  </si>
  <si>
    <t>BASE AND FORECASTED PERIOD AT PRESENT RATES</t>
  </si>
  <si>
    <t>M</t>
  </si>
  <si>
    <t>SCHEDULE</t>
  </si>
  <si>
    <t>FORECASTED PERIOD:</t>
  </si>
  <si>
    <t>BASE PERIOD :</t>
  </si>
  <si>
    <t>COLUMBIA GAS OF KENTUCKY, INC.</t>
  </si>
  <si>
    <t>REVENUE SUMMARY FOR BASE PERIOD AND FORECASTED PERIOD</t>
  </si>
  <si>
    <t>SCHEDULE  M</t>
  </si>
  <si>
    <t>X:\ERATE\CKY\RATECASE\1994\SCHC\INDEX.WK1</t>
  </si>
  <si>
    <r>
      <t xml:space="preserve">Data: __ Base Period </t>
    </r>
    <r>
      <rPr>
        <b/>
        <u/>
        <sz val="12"/>
        <rFont val="Arial"/>
        <family val="2"/>
      </rPr>
      <t>_X_</t>
    </r>
    <r>
      <rPr>
        <b/>
        <sz val="12"/>
        <rFont val="Arial"/>
        <family val="2"/>
      </rPr>
      <t>Forecasted Period</t>
    </r>
  </si>
  <si>
    <t>Page 3 of 3</t>
  </si>
  <si>
    <t>Page 2 of 3</t>
  </si>
  <si>
    <t>Workpaper WPM-A.2</t>
  </si>
  <si>
    <t>Workpaper WPM-B.2</t>
  </si>
  <si>
    <t>Workpaper WPM-C.2</t>
  </si>
  <si>
    <t>Ratio of Late Payment Penalties to Total Revenue</t>
  </si>
  <si>
    <t>Tariff now includes late payment charge on ALL bills</t>
  </si>
  <si>
    <t>Exclude IN's and LG's</t>
  </si>
  <si>
    <t>Rev</t>
  </si>
  <si>
    <t>GCR</t>
  </si>
  <si>
    <t>Rider</t>
  </si>
  <si>
    <t>Difference</t>
  </si>
  <si>
    <t>Vols</t>
  </si>
  <si>
    <t>Amrp</t>
  </si>
  <si>
    <t>Base</t>
  </si>
  <si>
    <t>CC</t>
  </si>
  <si>
    <r>
      <t>Data:</t>
    </r>
    <r>
      <rPr>
        <b/>
        <u/>
        <sz val="12"/>
        <rFont val="Arial"/>
        <family val="2"/>
      </rPr>
      <t xml:space="preserve"> __</t>
    </r>
    <r>
      <rPr>
        <b/>
        <sz val="12"/>
        <rFont val="Arial"/>
        <family val="2"/>
      </rPr>
      <t xml:space="preserve"> Base Period_</t>
    </r>
    <r>
      <rPr>
        <b/>
        <u/>
        <sz val="12"/>
        <rFont val="Arial"/>
        <family val="2"/>
      </rPr>
      <t>X</t>
    </r>
    <r>
      <rPr>
        <b/>
        <sz val="12"/>
        <rFont val="Arial"/>
        <family val="2"/>
      </rPr>
      <t>_Forecasted Period</t>
    </r>
  </si>
  <si>
    <t>DO NOT FILE - CHECK Only</t>
  </si>
  <si>
    <t>Tariff</t>
  </si>
  <si>
    <t>Gas Cost</t>
  </si>
  <si>
    <t>Trans</t>
  </si>
  <si>
    <t>Tar</t>
  </si>
  <si>
    <t>bf Gas</t>
  </si>
  <si>
    <t>Res</t>
  </si>
  <si>
    <t>Com</t>
  </si>
  <si>
    <t>Ind</t>
  </si>
  <si>
    <t>Cho Com</t>
  </si>
  <si>
    <t>Co Ind</t>
  </si>
  <si>
    <t xml:space="preserve">WS </t>
  </si>
  <si>
    <t>EG</t>
  </si>
  <si>
    <t>RPS</t>
  </si>
  <si>
    <t>Pricing</t>
  </si>
  <si>
    <t>Gas Cost Rate [1]</t>
  </si>
  <si>
    <t>Determination of Test Year Gas Cost Revenue</t>
  </si>
  <si>
    <t>Sheet 1 of 1</t>
  </si>
  <si>
    <t xml:space="preserve">  Volumes</t>
  </si>
  <si>
    <t xml:space="preserve">    Adjusted Volumes</t>
  </si>
  <si>
    <t>Workpaper WPM-D.2</t>
  </si>
  <si>
    <t>(WPM-D)</t>
  </si>
  <si>
    <t>Sheet 1 of 8</t>
  </si>
  <si>
    <t>Sheet 2 of 8</t>
  </si>
  <si>
    <t>Sheet 3 of 8</t>
  </si>
  <si>
    <t>Sheet 4 of 8</t>
  </si>
  <si>
    <t>Sheet 5 of 8</t>
  </si>
  <si>
    <t>Sheet 7 of 8</t>
  </si>
  <si>
    <t>Sheet 8 of 8</t>
  </si>
  <si>
    <t>Large Com/Ind Customers</t>
  </si>
  <si>
    <t>Large Com/Ind Volumes</t>
  </si>
  <si>
    <t>without LCR Adjustment</t>
  </si>
  <si>
    <t>with LCR Adjustment</t>
  </si>
  <si>
    <t>in FP 2+10</t>
  </si>
  <si>
    <t>Tran</t>
  </si>
  <si>
    <t>Residential Tariff</t>
  </si>
  <si>
    <t>Vol Rec</t>
  </si>
  <si>
    <t>EECP Rider</t>
  </si>
  <si>
    <t>Uncoll Rider</t>
  </si>
  <si>
    <t>EAP Rider</t>
  </si>
  <si>
    <t>Commercial Tariff</t>
  </si>
  <si>
    <t>Uncoll. Rider</t>
  </si>
  <si>
    <t>Industrial Tariff</t>
  </si>
  <si>
    <t>Wholesale Tariff</t>
  </si>
  <si>
    <t>Total Tariff</t>
  </si>
  <si>
    <t>Commercial Transportation</t>
  </si>
  <si>
    <t>Residential Choice/ Trans</t>
  </si>
  <si>
    <t>Industrial Transportation</t>
  </si>
  <si>
    <t>Summary from pages 1 - 7</t>
  </si>
  <si>
    <t>Page 1 of 1</t>
  </si>
  <si>
    <t>D-2.4</t>
  </si>
  <si>
    <t>Adjustment</t>
  </si>
  <si>
    <t>(5)</t>
  </si>
  <si>
    <t>(6)</t>
  </si>
  <si>
    <t xml:space="preserve">Ratemaking </t>
  </si>
  <si>
    <t>(H=G-F)</t>
  </si>
  <si>
    <t>(I=H/D)</t>
  </si>
  <si>
    <t>Schedule M-2.2</t>
  </si>
  <si>
    <t>M-2.2B</t>
  </si>
  <si>
    <t>BILLING ANALYSIS FOR THE FORECASTED PERIOD AT PRESENT RATES</t>
  </si>
  <si>
    <t>BILLING ANALYSIS FOR THE FORECASTED PERIOD AT PROPOSED RATES</t>
  </si>
  <si>
    <t>Revenue by Customer Class</t>
  </si>
  <si>
    <t>Mcf by Customer Class</t>
  </si>
  <si>
    <t>BILLING ANALYSIS FOR THE BASE PERIOD AT CURRENT RATES</t>
  </si>
  <si>
    <t>March 1, 2016</t>
  </si>
  <si>
    <t>GCA - uncollectible</t>
  </si>
  <si>
    <t>For the 12 Months Ended December 31, 2017</t>
  </si>
  <si>
    <t>Jan-17</t>
  </si>
  <si>
    <t>Feb-17</t>
  </si>
  <si>
    <t>Mar-17</t>
  </si>
  <si>
    <t>Apr-17</t>
  </si>
  <si>
    <t>May-17</t>
  </si>
  <si>
    <t>Jun-17</t>
  </si>
  <si>
    <t>Jul-17</t>
  </si>
  <si>
    <t>Aug-17</t>
  </si>
  <si>
    <t>Sep-17</t>
  </si>
  <si>
    <t>Oct-17</t>
  </si>
  <si>
    <t>Nov-17</t>
  </si>
  <si>
    <t>Dec-17</t>
  </si>
  <si>
    <t>[1] Gas Cost Rate as of March 1, 2016, excluding Gas Cost Uncollectible Rider.</t>
  </si>
  <si>
    <t>Witness:  M. J. Bell</t>
  </si>
  <si>
    <t>Allocation of Proposed Annual Revenues by Rate Schedule Based on Revenue Requirement</t>
  </si>
  <si>
    <t>Witness: M. J. Bell</t>
  </si>
  <si>
    <t xml:space="preserve">Revenue </t>
  </si>
  <si>
    <t>By Rate Sched</t>
  </si>
  <si>
    <t>(5=3+4)</t>
  </si>
  <si>
    <t>(7)</t>
  </si>
  <si>
    <t>Total Revenues</t>
  </si>
  <si>
    <t>Total Base Revenues</t>
  </si>
  <si>
    <t>Check --&gt; s/b zero</t>
  </si>
  <si>
    <t xml:space="preserve"> </t>
  </si>
  <si>
    <t>Determination of Revenue Distribution</t>
  </si>
  <si>
    <t>Proposed Unitized Return</t>
  </si>
  <si>
    <t>Change in Unitized Return</t>
  </si>
  <si>
    <t>Rate of Return Requested</t>
  </si>
  <si>
    <t>Gross Converstion Factor</t>
  </si>
  <si>
    <t>Percent Distribution to Rate Classes</t>
  </si>
  <si>
    <t>Proposed Increase to Base Revenue</t>
  </si>
  <si>
    <t>Current Base Revenue</t>
  </si>
  <si>
    <t>Current Percent Distribution of Rate Classes</t>
  </si>
  <si>
    <t>Proposed Base Revenue</t>
  </si>
  <si>
    <t>Proposed Percent Distribution of Rate Classes</t>
  </si>
  <si>
    <t>Dth</t>
  </si>
  <si>
    <t>Total Revenue @ Current Rates</t>
  </si>
  <si>
    <t>Plus:</t>
  </si>
  <si>
    <t>Proposed Increase to Base Rates</t>
  </si>
  <si>
    <t>Total Base Revenue Change</t>
  </si>
  <si>
    <t>Net Base Revenue</t>
  </si>
  <si>
    <t>Attachment MPB-1</t>
  </si>
  <si>
    <t>Witness: M. P. Balmert</t>
  </si>
  <si>
    <t>EECP Revenue</t>
  </si>
  <si>
    <t>WPM B.2</t>
  </si>
  <si>
    <t>WPM C.2</t>
  </si>
  <si>
    <t>Sch. M 2.2</t>
  </si>
  <si>
    <t>Sch. M 2.3</t>
  </si>
  <si>
    <t>Sheet 1 of 6</t>
  </si>
  <si>
    <t>Sheet 2 of 6</t>
  </si>
  <si>
    <t>Sheet 3 of 6</t>
  </si>
  <si>
    <t>Sheet 5 of 6</t>
  </si>
  <si>
    <t>Sheet 6 of 6</t>
  </si>
  <si>
    <t>Sheet 4 of 6</t>
  </si>
  <si>
    <t>Forecasted Period</t>
  </si>
  <si>
    <t>Check - Do Not File</t>
  </si>
  <si>
    <t>Per Above</t>
  </si>
  <si>
    <t>Per Rev. Summ.</t>
  </si>
  <si>
    <t>Diff</t>
  </si>
  <si>
    <t>Residential Tariff DIS</t>
  </si>
  <si>
    <t>Residential Choice DIS</t>
  </si>
  <si>
    <t xml:space="preserve">C&amp;I Tariff </t>
  </si>
  <si>
    <t>C&amp;I Choice</t>
  </si>
  <si>
    <t>Per</t>
  </si>
  <si>
    <t>Rev. Summ.</t>
  </si>
  <si>
    <t>Customers who have been added between January 1, 2017 and December 31, 2017</t>
  </si>
  <si>
    <t>19773521-001</t>
  </si>
  <si>
    <t>01/17</t>
  </si>
  <si>
    <t>New Customer</t>
  </si>
  <si>
    <t>GSO-ind</t>
  </si>
  <si>
    <t>Customers who have become inactive between January 1, 2017 and and December 31, 2017</t>
  </si>
  <si>
    <t>13228118-002</t>
  </si>
  <si>
    <t>SC3-Ind</t>
  </si>
  <si>
    <t>14401089-002</t>
  </si>
  <si>
    <t>GSO-Com</t>
  </si>
  <si>
    <t>10/15</t>
  </si>
  <si>
    <t>First 150,000 Mcf</t>
  </si>
  <si>
    <t>Over 150,000 Mcf</t>
  </si>
  <si>
    <t>14064515-001</t>
  </si>
  <si>
    <t>First 30,000 Mcf</t>
  </si>
  <si>
    <t>Over 30,000 Mcf</t>
  </si>
  <si>
    <t>Customers who have significant usage change between January 1, 2017 and December 31, 2017</t>
  </si>
  <si>
    <t>Sheet 2 of 2</t>
  </si>
  <si>
    <t>Sheet 1 of 2</t>
  </si>
  <si>
    <t xml:space="preserve">    Next 150,000 Mcf</t>
  </si>
  <si>
    <t>Annualized Test Year Revenues at Current Rates</t>
  </si>
  <si>
    <t>Annualized Test Year Revenues at  Current Rates</t>
  </si>
  <si>
    <t xml:space="preserve"> Annualized Test Year Revenues at  Current Rates</t>
  </si>
  <si>
    <t>Page 1 of 21</t>
  </si>
  <si>
    <t>Page 2 of 21</t>
  </si>
  <si>
    <t>Page 3 of 21</t>
  </si>
  <si>
    <t>Page 5 of 21</t>
  </si>
  <si>
    <t>Page 6 of 21</t>
  </si>
  <si>
    <t>Page 8 of 21</t>
  </si>
  <si>
    <t>Page 10 of 21</t>
  </si>
  <si>
    <t>Page 12 of 21</t>
  </si>
  <si>
    <t>Page 14 of 21</t>
  </si>
  <si>
    <t>Page 16 of 21</t>
  </si>
  <si>
    <t>Page 18 of 21</t>
  </si>
  <si>
    <t>Page 20 of 21</t>
  </si>
  <si>
    <t>Page 21 of 21</t>
  </si>
  <si>
    <t>Page 19 of 21</t>
  </si>
  <si>
    <t>Page 17 of 21</t>
  </si>
  <si>
    <t>Page 15 of 21</t>
  </si>
  <si>
    <t>Page 13 of 21</t>
  </si>
  <si>
    <t>Page 11 of 21</t>
  </si>
  <si>
    <t>Page 9 of 21</t>
  </si>
  <si>
    <t>Page 7 of 21</t>
  </si>
  <si>
    <t>Page 4 of 21</t>
  </si>
  <si>
    <t>IS/DS</t>
  </si>
  <si>
    <t>Gas Cost Revenue Only</t>
  </si>
  <si>
    <t>Total Gas Cost Revenues</t>
  </si>
  <si>
    <t>Total EAP Revenues</t>
  </si>
  <si>
    <t>Total Energy Efficiencty Conservation Revenues</t>
  </si>
  <si>
    <t>Energy Efficiency Conservation Program</t>
  </si>
  <si>
    <t xml:space="preserve">GSR/GTR </t>
  </si>
  <si>
    <t>Acct. 487 Forefited Discounts</t>
  </si>
  <si>
    <t>Acct. 495 Prior Yr. Rate Refund - Net.</t>
  </si>
  <si>
    <t>Administrative Charge</t>
  </si>
  <si>
    <r>
      <t>Data:</t>
    </r>
    <r>
      <rPr>
        <b/>
        <u/>
        <sz val="8"/>
        <rFont val="Arial"/>
        <family val="2"/>
      </rPr>
      <t xml:space="preserve"> __</t>
    </r>
    <r>
      <rPr>
        <b/>
        <sz val="8"/>
        <rFont val="Arial"/>
        <family val="2"/>
      </rPr>
      <t xml:space="preserve"> Base Period _</t>
    </r>
    <r>
      <rPr>
        <b/>
        <u/>
        <sz val="8"/>
        <rFont val="Arial"/>
        <family val="2"/>
      </rPr>
      <t>X</t>
    </r>
    <r>
      <rPr>
        <b/>
        <sz val="8"/>
        <rFont val="Arial"/>
        <family val="2"/>
      </rPr>
      <t>_ Forecasted Period</t>
    </r>
  </si>
  <si>
    <r>
      <t xml:space="preserve">Type of Filing: </t>
    </r>
    <r>
      <rPr>
        <b/>
        <u/>
        <sz val="8"/>
        <rFont val="Arial"/>
        <family val="2"/>
      </rPr>
      <t>X</t>
    </r>
    <r>
      <rPr>
        <b/>
        <sz val="8"/>
        <rFont val="Arial"/>
        <family val="2"/>
      </rPr>
      <t xml:space="preserve"> Original _ Update _ Revised</t>
    </r>
  </si>
  <si>
    <r>
      <t>Data:</t>
    </r>
    <r>
      <rPr>
        <b/>
        <u/>
        <sz val="8"/>
        <rFont val="Arial"/>
        <family val="2"/>
      </rPr>
      <t xml:space="preserve"> __</t>
    </r>
    <r>
      <rPr>
        <b/>
        <sz val="8"/>
        <rFont val="Arial"/>
        <family val="2"/>
      </rPr>
      <t xml:space="preserve"> Base Period_</t>
    </r>
    <r>
      <rPr>
        <b/>
        <u/>
        <sz val="8"/>
        <rFont val="Arial"/>
        <family val="2"/>
      </rPr>
      <t>X</t>
    </r>
    <r>
      <rPr>
        <b/>
        <sz val="8"/>
        <rFont val="Arial"/>
        <family val="2"/>
      </rPr>
      <t>_Forecasted Period</t>
    </r>
  </si>
  <si>
    <t>Gas Cost Uncollectible Charge</t>
  </si>
  <si>
    <t>Total Gas Cost Uncollectible Charge</t>
  </si>
  <si>
    <t>DS-ML</t>
  </si>
  <si>
    <t>Increase by</t>
  </si>
  <si>
    <t>Rate Class</t>
  </si>
  <si>
    <t>IN3 Residential</t>
  </si>
  <si>
    <t>G1R Base Revenue</t>
  </si>
  <si>
    <t>IN3 Base Revenue</t>
  </si>
  <si>
    <t>IN4 Base Revenue</t>
  </si>
  <si>
    <t>IN5 Base Revenue</t>
  </si>
  <si>
    <t>LG2 - Residential Base Revenue</t>
  </si>
  <si>
    <t>LG3 - Residential Base Revenue</t>
  </si>
  <si>
    <t>LG4 - Residential Base Revenue</t>
  </si>
  <si>
    <t xml:space="preserve">Customer Charge Revenue </t>
  </si>
  <si>
    <t>GSO/GTO/GDS Rate Design</t>
  </si>
  <si>
    <t>G1C Base Revenue</t>
  </si>
  <si>
    <t>LG2 Commercial Base Revenue</t>
  </si>
  <si>
    <t>Total Commodity</t>
  </si>
  <si>
    <t>First 50 Mcf</t>
  </si>
  <si>
    <t>Next 350 Mcf</t>
  </si>
  <si>
    <t>Next 600 Mcf</t>
  </si>
  <si>
    <t>Over 1,000 Mcf</t>
  </si>
  <si>
    <t>Pct. Of</t>
  </si>
  <si>
    <t>IS/DS Rate Design</t>
  </si>
  <si>
    <t>DS-ML Rate Design</t>
  </si>
  <si>
    <t>FX1 Base Revenue</t>
  </si>
  <si>
    <t>FX2 Base Revenue</t>
  </si>
  <si>
    <t>SC3 Base Revenue</t>
  </si>
  <si>
    <t>FX5 Base Revenue</t>
  </si>
  <si>
    <t>FX7 Base Revenue</t>
  </si>
  <si>
    <t>IUS Rate Design</t>
  </si>
  <si>
    <r>
      <t xml:space="preserve">Data: __ Base Period </t>
    </r>
    <r>
      <rPr>
        <b/>
        <u/>
        <sz val="8"/>
        <rFont val="Arial"/>
        <family val="2"/>
      </rPr>
      <t>_X_</t>
    </r>
    <r>
      <rPr>
        <b/>
        <sz val="8"/>
        <rFont val="Arial"/>
        <family val="2"/>
      </rPr>
      <t>Forecasted Period</t>
    </r>
  </si>
  <si>
    <t>Attachment MPB-1, Page 1</t>
  </si>
  <si>
    <t>Line 26 x Line 39</t>
  </si>
  <si>
    <t>Line 40 - Line 2</t>
  </si>
  <si>
    <t>Attachment MPB-2</t>
  </si>
  <si>
    <t>Schedule of Additional Revenues by Rate Schedule Based on Revenue Requirement - Late Payment Charge</t>
  </si>
  <si>
    <t xml:space="preserve">    Volumes [1]</t>
  </si>
  <si>
    <t xml:space="preserve">    Total Revenue [2]</t>
  </si>
  <si>
    <t xml:space="preserve">  Commodity Charge $/Mcf</t>
  </si>
  <si>
    <t>Gas Cost Revenue $/Mcf [2]</t>
  </si>
  <si>
    <t xml:space="preserve">  Gas Cost Uncollectible Charge $/Mcf</t>
  </si>
  <si>
    <t xml:space="preserve">  EAP Recovery $/Mcf</t>
  </si>
  <si>
    <t>[2] See Schedule M-2.2 Pages 8 through 21 for detail.</t>
  </si>
  <si>
    <t>Case No. 2016-00162</t>
  </si>
  <si>
    <t>Proposed Change Other Gas Department Revenue (Attachment MPB-2)</t>
  </si>
  <si>
    <t>Unitized Return @ Current Rates</t>
  </si>
  <si>
    <t>Net Operating Income @ Current Rates</t>
  </si>
  <si>
    <t>Revenue Required Increase</t>
  </si>
  <si>
    <t>Gas Cost Uncollectible Charge @ Current Rates</t>
  </si>
  <si>
    <t xml:space="preserve">Less: </t>
  </si>
  <si>
    <t>Gas Cost Uncollectible Charge @ Proposed Rates</t>
  </si>
  <si>
    <t>Exhibit No.: _____</t>
  </si>
  <si>
    <t>Non-Gas Base Rates</t>
  </si>
  <si>
    <t>Customer Charge</t>
  </si>
  <si>
    <t>March 2016</t>
  </si>
  <si>
    <t>Component</t>
  </si>
  <si>
    <t>Sales</t>
  </si>
  <si>
    <t>Prior Approved Rates</t>
  </si>
  <si>
    <t>Monthly Customer Charge</t>
  </si>
  <si>
    <t>Total Bill</t>
  </si>
  <si>
    <t>Percent Increase - Total</t>
  </si>
  <si>
    <t>Percent Increase - Delivery Charges only</t>
  </si>
  <si>
    <t>Attachment MPB-3</t>
  </si>
  <si>
    <t>General Service - Residential (GSR &amp; GRT)</t>
  </si>
  <si>
    <t>General Service - Other (GSO/GTR/GDS)</t>
  </si>
  <si>
    <t>Interruptible / Delivery Service (IS/DS)</t>
  </si>
  <si>
    <t>Intrastate Utility Sales Service (IUS)</t>
  </si>
  <si>
    <t>Delivery Service - Mainline (DS-ML)</t>
  </si>
  <si>
    <t>Page 1 of  1</t>
  </si>
  <si>
    <t>Calculation of Average GSR/GTR Bill</t>
  </si>
  <si>
    <t>Accelerated Mains Replacement Program (AMRP)</t>
  </si>
  <si>
    <t>Research &amp; Development</t>
  </si>
  <si>
    <t>Energy Efficiency Conservation Program (EECP)</t>
  </si>
  <si>
    <t>Energy Assistance Plan (EAP)</t>
  </si>
  <si>
    <t>Gas Cost Adjustment (GCA)</t>
  </si>
  <si>
    <t>1/ Prior Approved Rates as of 3-1-2016.  Commodity cost imputed for GRT for illustrative purposes.</t>
  </si>
  <si>
    <t>GSO/GTO</t>
  </si>
  <si>
    <t>Attachment MPB-4</t>
  </si>
  <si>
    <t>Per Mcf</t>
  </si>
  <si>
    <t>1/ Prior Approved Rates as of 3-1-2016.  Commodity cost imputed for GTO for illustrative purposes.</t>
  </si>
  <si>
    <t>Calculation of Average DS Bill</t>
  </si>
  <si>
    <t>1/ Prior Approved Rates as of 3-1-2016.  Commodity cost imputed for DS for illustrative purposes.</t>
  </si>
  <si>
    <t>Calculation of Average DS-ML Bill</t>
  </si>
  <si>
    <t>1/ Prior Approved Rates as of 3-1-2016.  Commodity cost imputed for DS-ML for illustrative purposes.</t>
  </si>
  <si>
    <t>Rate Base (Attachment CEN-3 Page 4, Line 12)</t>
  </si>
  <si>
    <t>OGDR Increase</t>
  </si>
  <si>
    <t xml:space="preserve">Administrative Charge Revenue </t>
  </si>
  <si>
    <t>COS Rev Req --&gt; s/b zero</t>
  </si>
  <si>
    <t>Calculation of Average GSO/GTO Bill</t>
  </si>
  <si>
    <t>Page 3 of 5</t>
  </si>
  <si>
    <t>Calculation of Average GDS Bill</t>
  </si>
  <si>
    <t>Page 1 of 5</t>
  </si>
  <si>
    <t>Page 2 of 5</t>
  </si>
  <si>
    <t>Page 4 of 5</t>
  </si>
  <si>
    <t>Page 5 of 5</t>
  </si>
  <si>
    <t>Sheet 6 of 8</t>
  </si>
  <si>
    <t>Delivery Charge Revenue Only (Base Rates, Admin. Charge &amp; AMRP Charge)</t>
  </si>
  <si>
    <t>Accelerated Mains Replacement Program</t>
  </si>
  <si>
    <t>Page 1 of 8</t>
  </si>
  <si>
    <t>Page 2 of 8</t>
  </si>
  <si>
    <t>Page 3 of 8</t>
  </si>
  <si>
    <t>Page 4 of 8</t>
  </si>
  <si>
    <t>Page 5 of 8</t>
  </si>
  <si>
    <t>Page 6 of 8</t>
  </si>
  <si>
    <t>Page 7 of 8</t>
  </si>
  <si>
    <t>Page 8 of 8</t>
  </si>
  <si>
    <t>FOR THE TWELVE MONTHS ENDED AUGUST 31, 2016</t>
  </si>
  <si>
    <t>FOR THE TWELVE MONTHS ENDED DECEMBER 31, 2017</t>
  </si>
  <si>
    <t>CASE NO. 2016-00162</t>
  </si>
  <si>
    <t>Sch. M2.2 &amp; D2.4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</si>
</sst>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#,##0.0_);\(#,##0.0\)"/>
    <numFmt numFmtId="166" formatCode="#,##0.000_);\(#,##0.000\)"/>
    <numFmt numFmtId="167" formatCode="#,##0.0000_);\(#,##0.0000\)"/>
    <numFmt numFmtId="168" formatCode="0.0000_);\(0.0000\)"/>
    <numFmt numFmtId="169" formatCode="#,##0.0"/>
    <numFmt numFmtId="170" formatCode="&quot;$&quot;#,##0"/>
    <numFmt numFmtId="171" formatCode="0.0"/>
    <numFmt numFmtId="172" formatCode="0.0000"/>
    <numFmt numFmtId="173" formatCode="#,##0.0000"/>
    <numFmt numFmtId="174" formatCode="#,##0.000000000_);\(#,##0.000000000\)"/>
    <numFmt numFmtId="175" formatCode="0.000000000"/>
    <numFmt numFmtId="176" formatCode="[$-409]mmm\-yy;@"/>
    <numFmt numFmtId="177" formatCode="_(* #,##0.0_);_(* \(#,##0.0\);_(* &quot;-&quot;??_);_(@_)"/>
    <numFmt numFmtId="178" formatCode="_(* #,##0_);_(* \(#,##0\);_(* &quot;-&quot;??_);_(@_)"/>
    <numFmt numFmtId="179" formatCode="_(&quot;$&quot;* #,##0_);_(&quot;$&quot;* \(#,##0\);_(&quot;$&quot;* &quot;-&quot;??_);_(@_)"/>
    <numFmt numFmtId="180" formatCode=";;;"/>
    <numFmt numFmtId="181" formatCode="&quot;$&quot;#,##0.0000_);\(&quot;$&quot;#,##0.0000\)"/>
    <numFmt numFmtId="182" formatCode="#,##0.000000_);\(#,##0.000000\)"/>
    <numFmt numFmtId="183" formatCode="#,##0.00000_);\(#,##0.00000\)"/>
    <numFmt numFmtId="184" formatCode="0.000%"/>
    <numFmt numFmtId="185" formatCode="_(* #,##0_);_(* \(#,##0\);_(* &quot;-&quot;?_);_(@_)"/>
    <numFmt numFmtId="186" formatCode="#,##0;[Red]#,##0"/>
    <numFmt numFmtId="187" formatCode="&quot;$&quot;#,##0.000_);\(&quot;$&quot;#,##0.000\)"/>
    <numFmt numFmtId="188" formatCode="_(* #,##0.00000_);_(* \(#,##0.00000\);_(* &quot;-&quot;??_);_(@_)"/>
    <numFmt numFmtId="189" formatCode="_(* #,##0.0000_);_(* \(#,##0.0000\);_(* &quot;-&quot;??_);_(@_)"/>
  </numFmts>
  <fonts count="61" x14ac:knownFonts="1">
    <font>
      <sz val="8"/>
      <name val="Tms Rmn"/>
    </font>
    <font>
      <sz val="10"/>
      <name val="Arial"/>
      <family val="2"/>
    </font>
    <font>
      <sz val="8"/>
      <name val="Tms Rmn"/>
    </font>
    <font>
      <sz val="10"/>
      <color indexed="12"/>
      <name val="Arial"/>
      <family val="2"/>
    </font>
    <font>
      <b/>
      <u/>
      <sz val="10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color indexed="12"/>
      <name val="Arial"/>
      <family val="2"/>
    </font>
    <font>
      <u/>
      <sz val="12"/>
      <name val="Arial"/>
      <family val="2"/>
    </font>
    <font>
      <u/>
      <sz val="12"/>
      <color indexed="12"/>
      <name val="Arial"/>
      <family val="2"/>
    </font>
    <font>
      <u val="singleAccounting"/>
      <sz val="12"/>
      <name val="Arial"/>
      <family val="2"/>
    </font>
    <font>
      <i/>
      <sz val="12"/>
      <name val="Arial"/>
      <family val="2"/>
    </font>
    <font>
      <sz val="12"/>
      <color indexed="39"/>
      <name val="Arial"/>
      <family val="2"/>
    </font>
    <font>
      <u/>
      <sz val="12"/>
      <color indexed="39"/>
      <name val="Arial"/>
      <family val="2"/>
    </font>
    <font>
      <b/>
      <sz val="12"/>
      <color indexed="39"/>
      <name val="Arial"/>
      <family val="2"/>
    </font>
    <font>
      <sz val="8"/>
      <name val="Helv"/>
    </font>
    <font>
      <sz val="12"/>
      <color rgb="FF0000FF"/>
      <name val="Arial"/>
      <family val="2"/>
    </font>
    <font>
      <u/>
      <sz val="12"/>
      <color rgb="FF0000FF"/>
      <name val="Arial"/>
      <family val="2"/>
    </font>
    <font>
      <b/>
      <sz val="12"/>
      <color rgb="FF0000FF"/>
      <name val="Arial"/>
      <family val="2"/>
    </font>
    <font>
      <u val="singleAccounting"/>
      <sz val="12"/>
      <color rgb="FF0000FF"/>
      <name val="Arial"/>
      <family val="2"/>
    </font>
    <font>
      <sz val="10"/>
      <color rgb="FF0000FF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8"/>
      <color rgb="FF0000FF"/>
      <name val="Arial"/>
      <family val="2"/>
    </font>
    <font>
      <sz val="8"/>
      <color indexed="8"/>
      <name val="Arial"/>
      <family val="2"/>
    </font>
    <font>
      <b/>
      <sz val="8"/>
      <color rgb="FF0000FF"/>
      <name val="Arial"/>
      <family val="2"/>
    </font>
    <font>
      <u/>
      <sz val="8"/>
      <color rgb="FF0000FF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u/>
      <sz val="11"/>
      <color indexed="12"/>
      <name val="Arial"/>
      <family val="2"/>
    </font>
    <font>
      <sz val="11"/>
      <color indexed="12"/>
      <name val="Arial"/>
      <family val="2"/>
    </font>
    <font>
      <sz val="11"/>
      <color indexed="20"/>
      <name val="Arial"/>
      <family val="2"/>
    </font>
    <font>
      <b/>
      <u/>
      <sz val="11"/>
      <color indexed="39"/>
      <name val="Arial"/>
      <family val="2"/>
    </font>
    <font>
      <u/>
      <sz val="11"/>
      <color indexed="39"/>
      <name val="Arial"/>
      <family val="2"/>
    </font>
    <font>
      <sz val="11"/>
      <color indexed="39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indexed="12"/>
      <name val="Arial"/>
      <family val="2"/>
    </font>
    <font>
      <sz val="8"/>
      <color indexed="20"/>
      <name val="Arial"/>
      <family val="2"/>
    </font>
    <font>
      <u/>
      <sz val="8"/>
      <color indexed="20"/>
      <name val="Arial"/>
      <family val="2"/>
    </font>
    <font>
      <u/>
      <sz val="8"/>
      <color indexed="12"/>
      <name val="Arial"/>
      <family val="2"/>
    </font>
    <font>
      <u val="singleAccounting"/>
      <sz val="8"/>
      <name val="Arial"/>
      <family val="2"/>
    </font>
    <font>
      <u val="singleAccounting"/>
      <sz val="8"/>
      <color rgb="FFFF0000"/>
      <name val="Arial"/>
      <family val="2"/>
    </font>
    <font>
      <b/>
      <sz val="8"/>
      <color indexed="12"/>
      <name val="Arial"/>
      <family val="2"/>
    </font>
    <font>
      <u/>
      <sz val="8"/>
      <color indexed="39"/>
      <name val="Arial"/>
      <family val="2"/>
    </font>
    <font>
      <i/>
      <sz val="8"/>
      <name val="Arial"/>
      <family val="2"/>
    </font>
    <font>
      <b/>
      <sz val="10"/>
      <color rgb="FF0000FF"/>
      <name val="Arial"/>
      <family val="2"/>
    </font>
    <font>
      <u val="singleAccounting"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  <xf numFmtId="44" fontId="1" fillId="0" borderId="0" applyFont="0" applyFill="0" applyBorder="0" applyAlignment="0" applyProtection="0"/>
  </cellStyleXfs>
  <cellXfs count="899">
    <xf numFmtId="0" fontId="0" fillId="0" borderId="0" xfId="0"/>
    <xf numFmtId="0" fontId="1" fillId="0" borderId="0" xfId="0" applyFont="1"/>
    <xf numFmtId="37" fontId="1" fillId="0" borderId="0" xfId="0" applyNumberFormat="1" applyFont="1"/>
    <xf numFmtId="0" fontId="4" fillId="0" borderId="0" xfId="0" applyFont="1" applyFill="1" applyAlignment="1">
      <alignment horizontal="center"/>
    </xf>
    <xf numFmtId="167" fontId="4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3" fillId="0" borderId="0" xfId="0" applyFont="1" applyFill="1"/>
    <xf numFmtId="0" fontId="3" fillId="0" borderId="0" xfId="0" applyFont="1"/>
    <xf numFmtId="0" fontId="1" fillId="0" borderId="0" xfId="0" applyFont="1" applyFill="1"/>
    <xf numFmtId="0" fontId="4" fillId="0" borderId="0" xfId="0" applyFont="1" applyFill="1"/>
    <xf numFmtId="0" fontId="3" fillId="0" borderId="1" xfId="0" applyFont="1" applyFill="1" applyBorder="1"/>
    <xf numFmtId="167" fontId="3" fillId="0" borderId="1" xfId="0" applyNumberFormat="1" applyFont="1" applyFill="1" applyBorder="1"/>
    <xf numFmtId="4" fontId="3" fillId="0" borderId="1" xfId="0" applyNumberFormat="1" applyFont="1" applyFill="1" applyBorder="1"/>
    <xf numFmtId="167" fontId="1" fillId="0" borderId="0" xfId="0" applyNumberFormat="1" applyFont="1"/>
    <xf numFmtId="4" fontId="1" fillId="0" borderId="0" xfId="0" applyNumberFormat="1" applyFont="1"/>
    <xf numFmtId="37" fontId="1" fillId="0" borderId="0" xfId="0" applyNumberFormat="1" applyFont="1" applyProtection="1"/>
    <xf numFmtId="165" fontId="3" fillId="0" borderId="0" xfId="0" applyNumberFormat="1" applyFont="1"/>
    <xf numFmtId="167" fontId="3" fillId="0" borderId="0" xfId="0" applyNumberFormat="1" applyFont="1"/>
    <xf numFmtId="165" fontId="1" fillId="0" borderId="0" xfId="0" applyNumberFormat="1" applyFont="1"/>
    <xf numFmtId="0" fontId="6" fillId="0" borderId="0" xfId="0" applyFont="1"/>
    <xf numFmtId="0" fontId="1" fillId="2" borderId="0" xfId="0" applyFont="1" applyFill="1"/>
    <xf numFmtId="167" fontId="1" fillId="2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67" fontId="1" fillId="0" borderId="0" xfId="0" applyNumberFormat="1" applyFont="1" applyFill="1"/>
    <xf numFmtId="0" fontId="6" fillId="2" borderId="0" xfId="0" applyFont="1" applyFill="1" applyAlignment="1">
      <alignment horizontal="center"/>
    </xf>
    <xf numFmtId="167" fontId="3" fillId="0" borderId="0" xfId="0" applyNumberFormat="1" applyFont="1" applyFill="1"/>
    <xf numFmtId="4" fontId="3" fillId="0" borderId="0" xfId="0" applyNumberFormat="1" applyFont="1" applyFill="1"/>
    <xf numFmtId="4" fontId="3" fillId="0" borderId="0" xfId="0" applyNumberFormat="1" applyFont="1"/>
    <xf numFmtId="173" fontId="3" fillId="0" borderId="0" xfId="0" applyNumberFormat="1" applyFont="1" applyFill="1"/>
    <xf numFmtId="173" fontId="1" fillId="0" borderId="0" xfId="0" applyNumberFormat="1" applyFont="1"/>
    <xf numFmtId="167" fontId="5" fillId="0" borderId="0" xfId="0" applyNumberFormat="1" applyFont="1" applyFill="1"/>
    <xf numFmtId="4" fontId="1" fillId="0" borderId="0" xfId="0" applyNumberFormat="1" applyFont="1" applyFill="1"/>
    <xf numFmtId="173" fontId="1" fillId="0" borderId="0" xfId="0" applyNumberFormat="1" applyFont="1" applyFill="1"/>
    <xf numFmtId="0" fontId="1" fillId="0" borderId="0" xfId="0" applyFont="1" applyFill="1" applyAlignment="1" applyProtection="1">
      <alignment horizontal="right"/>
      <protection locked="0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  <xf numFmtId="3" fontId="6" fillId="0" borderId="0" xfId="0" applyNumberFormat="1" applyFont="1" applyFill="1" applyAlignment="1"/>
    <xf numFmtId="0" fontId="1" fillId="0" borderId="0" xfId="0" quotePrefix="1" applyFont="1"/>
    <xf numFmtId="0" fontId="1" fillId="0" borderId="0" xfId="0" quotePrefix="1" applyFont="1" applyAlignment="1">
      <alignment horizontal="center"/>
    </xf>
    <xf numFmtId="37" fontId="6" fillId="0" borderId="0" xfId="0" applyNumberFormat="1" applyFont="1"/>
    <xf numFmtId="0" fontId="6" fillId="0" borderId="0" xfId="0" applyFont="1" applyFill="1" applyAlignment="1"/>
    <xf numFmtId="0" fontId="6" fillId="0" borderId="0" xfId="0" applyFont="1" applyFill="1" applyAlignment="1" applyProtection="1">
      <protection locked="0"/>
    </xf>
    <xf numFmtId="175" fontId="1" fillId="0" borderId="0" xfId="0" applyNumberFormat="1" applyFont="1"/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9" fillId="0" borderId="0" xfId="0" applyFont="1"/>
    <xf numFmtId="37" fontId="10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 applyBorder="1"/>
    <xf numFmtId="0" fontId="10" fillId="0" borderId="0" xfId="0" applyFont="1" applyBorder="1"/>
    <xf numFmtId="165" fontId="10" fillId="0" borderId="0" xfId="0" applyNumberFormat="1" applyFont="1" applyBorder="1"/>
    <xf numFmtId="39" fontId="9" fillId="0" borderId="0" xfId="0" applyNumberFormat="1" applyFont="1" applyAlignment="1">
      <alignment horizontal="center"/>
    </xf>
    <xf numFmtId="165" fontId="9" fillId="0" borderId="0" xfId="0" quotePrefix="1" applyNumberFormat="1" applyFont="1" applyAlignment="1">
      <alignment horizontal="center"/>
    </xf>
    <xf numFmtId="0" fontId="11" fillId="0" borderId="0" xfId="0" applyFont="1" applyAlignment="1">
      <alignment horizontal="center"/>
    </xf>
    <xf numFmtId="176" fontId="11" fillId="0" borderId="0" xfId="0" applyNumberFormat="1" applyFont="1" applyAlignment="1">
      <alignment horizontal="center"/>
    </xf>
    <xf numFmtId="0" fontId="11" fillId="0" borderId="0" xfId="0" quotePrefix="1" applyFont="1" applyAlignment="1">
      <alignment horizontal="center"/>
    </xf>
    <xf numFmtId="39" fontId="9" fillId="0" borderId="0" xfId="0" quotePrefix="1" applyNumberFormat="1" applyFont="1" applyAlignment="1">
      <alignment horizontal="center"/>
    </xf>
    <xf numFmtId="39" fontId="10" fillId="0" borderId="0" xfId="0" applyNumberFormat="1" applyFont="1" applyFill="1"/>
    <xf numFmtId="37" fontId="10" fillId="0" borderId="0" xfId="0" applyNumberFormat="1" applyFont="1" applyFill="1"/>
    <xf numFmtId="165" fontId="10" fillId="0" borderId="0" xfId="0" applyNumberFormat="1" applyFont="1" applyFill="1"/>
    <xf numFmtId="0" fontId="10" fillId="0" borderId="0" xfId="0" applyFont="1" applyFill="1"/>
    <xf numFmtId="37" fontId="13" fillId="0" borderId="0" xfId="0" applyNumberFormat="1" applyFont="1"/>
    <xf numFmtId="178" fontId="10" fillId="0" borderId="0" xfId="1" applyNumberFormat="1" applyFont="1"/>
    <xf numFmtId="177" fontId="10" fillId="0" borderId="0" xfId="1" applyNumberFormat="1" applyFont="1"/>
    <xf numFmtId="0" fontId="10" fillId="0" borderId="0" xfId="0" quotePrefix="1" applyFont="1" applyBorder="1" applyAlignment="1">
      <alignment horizontal="left"/>
    </xf>
    <xf numFmtId="178" fontId="10" fillId="0" borderId="0" xfId="0" applyNumberFormat="1" applyFont="1"/>
    <xf numFmtId="165" fontId="13" fillId="0" borderId="0" xfId="0" applyNumberFormat="1" applyFont="1" applyFill="1"/>
    <xf numFmtId="39" fontId="10" fillId="0" borderId="0" xfId="0" applyNumberFormat="1" applyFont="1" applyFill="1" applyBorder="1"/>
    <xf numFmtId="165" fontId="10" fillId="0" borderId="0" xfId="0" applyNumberFormat="1" applyFont="1" applyFill="1" applyBorder="1"/>
    <xf numFmtId="165" fontId="21" fillId="0" borderId="0" xfId="0" applyNumberFormat="1" applyFont="1" applyFill="1"/>
    <xf numFmtId="165" fontId="22" fillId="0" borderId="0" xfId="0" applyNumberFormat="1" applyFont="1" applyFill="1"/>
    <xf numFmtId="0" fontId="10" fillId="0" borderId="0" xfId="0" applyFont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11" fillId="0" borderId="0" xfId="0" applyFont="1" applyFill="1" applyAlignment="1">
      <alignment horizontal="center"/>
    </xf>
    <xf numFmtId="0" fontId="9" fillId="0" borderId="0" xfId="0" quotePrefix="1" applyFont="1" applyFill="1" applyAlignment="1">
      <alignment horizontal="center"/>
    </xf>
    <xf numFmtId="165" fontId="10" fillId="0" borderId="0" xfId="0" applyNumberFormat="1" applyFont="1" applyFill="1" applyProtection="1"/>
    <xf numFmtId="37" fontId="10" fillId="0" borderId="0" xfId="0" applyNumberFormat="1" applyFont="1" applyProtection="1"/>
    <xf numFmtId="165" fontId="12" fillId="0" borderId="0" xfId="0" applyNumberFormat="1" applyFont="1" applyFill="1" applyProtection="1">
      <protection locked="0"/>
    </xf>
    <xf numFmtId="165" fontId="13" fillId="0" borderId="0" xfId="0" applyNumberFormat="1" applyFont="1" applyFill="1" applyProtection="1"/>
    <xf numFmtId="37" fontId="10" fillId="0" borderId="0" xfId="0" applyNumberFormat="1" applyFont="1" applyFill="1" applyProtection="1"/>
    <xf numFmtId="37" fontId="12" fillId="0" borderId="0" xfId="0" applyNumberFormat="1" applyFont="1" applyFill="1" applyProtection="1">
      <protection locked="0"/>
    </xf>
    <xf numFmtId="37" fontId="12" fillId="0" borderId="0" xfId="0" applyNumberFormat="1" applyFont="1" applyProtection="1">
      <protection locked="0"/>
    </xf>
    <xf numFmtId="165" fontId="10" fillId="0" borderId="0" xfId="0" applyNumberFormat="1" applyFont="1" applyFill="1" applyBorder="1" applyProtection="1"/>
    <xf numFmtId="165" fontId="10" fillId="0" borderId="0" xfId="0" applyNumberFormat="1" applyFont="1" applyFill="1" applyProtection="1">
      <protection locked="0"/>
    </xf>
    <xf numFmtId="0" fontId="10" fillId="0" borderId="0" xfId="0" applyFont="1" applyAlignment="1">
      <alignment horizontal="center"/>
    </xf>
    <xf numFmtId="164" fontId="9" fillId="0" borderId="0" xfId="0" applyNumberFormat="1" applyFont="1" applyAlignment="1" applyProtection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23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37" fontId="13" fillId="0" borderId="0" xfId="0" applyNumberFormat="1" applyFont="1" applyProtection="1"/>
    <xf numFmtId="0" fontId="10" fillId="0" borderId="0" xfId="0" applyFont="1" applyFill="1" applyBorder="1"/>
    <xf numFmtId="39" fontId="10" fillId="0" borderId="0" xfId="0" applyNumberFormat="1" applyFont="1" applyFill="1" applyProtection="1"/>
    <xf numFmtId="165" fontId="13" fillId="0" borderId="0" xfId="0" applyNumberFormat="1" applyFont="1" applyFill="1" applyProtection="1">
      <protection locked="0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49" fontId="23" fillId="0" borderId="0" xfId="0" applyNumberFormat="1" applyFont="1" applyBorder="1" applyAlignment="1">
      <alignment horizontal="left"/>
    </xf>
    <xf numFmtId="177" fontId="21" fillId="0" borderId="0" xfId="1" applyNumberFormat="1" applyFont="1" applyFill="1"/>
    <xf numFmtId="0" fontId="10" fillId="0" borderId="4" xfId="0" applyFont="1" applyBorder="1"/>
    <xf numFmtId="0" fontId="9" fillId="0" borderId="0" xfId="0" applyFont="1" applyFill="1" applyBorder="1"/>
    <xf numFmtId="177" fontId="10" fillId="0" borderId="0" xfId="1" applyNumberFormat="1" applyFont="1" applyFill="1" applyBorder="1"/>
    <xf numFmtId="177" fontId="10" fillId="0" borderId="0" xfId="1" applyNumberFormat="1" applyFont="1" applyBorder="1"/>
    <xf numFmtId="0" fontId="10" fillId="0" borderId="0" xfId="0" applyNumberFormat="1" applyFont="1" applyBorder="1"/>
    <xf numFmtId="0" fontId="9" fillId="0" borderId="0" xfId="0" applyFont="1" applyFill="1" applyBorder="1" applyAlignment="1">
      <alignment horizontal="center"/>
    </xf>
    <xf numFmtId="0" fontId="10" fillId="0" borderId="0" xfId="0" quotePrefix="1" applyFont="1" applyFill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10" fillId="0" borderId="0" xfId="0" applyFont="1" applyFill="1" applyAlignment="1" applyProtection="1">
      <alignment horizontal="right"/>
      <protection locked="0"/>
    </xf>
    <xf numFmtId="37" fontId="13" fillId="0" borderId="0" xfId="0" applyNumberFormat="1" applyFont="1" applyFill="1" applyProtection="1"/>
    <xf numFmtId="0" fontId="10" fillId="0" borderId="0" xfId="0" applyFont="1" applyFill="1" applyProtection="1">
      <protection locked="0"/>
    </xf>
    <xf numFmtId="37" fontId="13" fillId="0" borderId="0" xfId="0" applyNumberFormat="1" applyFont="1" applyFill="1" applyProtection="1">
      <protection locked="0"/>
    </xf>
    <xf numFmtId="37" fontId="10" fillId="0" borderId="0" xfId="0" applyNumberFormat="1" applyFont="1" applyFill="1" applyProtection="1">
      <protection locked="0"/>
    </xf>
    <xf numFmtId="0" fontId="10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Fill="1"/>
    <xf numFmtId="37" fontId="18" fillId="0" borderId="0" xfId="0" applyNumberFormat="1" applyFont="1" applyProtection="1">
      <protection locked="0"/>
    </xf>
    <xf numFmtId="165" fontId="18" fillId="0" borderId="0" xfId="0" applyNumberFormat="1" applyFont="1" applyFill="1" applyProtection="1">
      <protection locked="0"/>
    </xf>
    <xf numFmtId="165" fontId="14" fillId="0" borderId="0" xfId="0" applyNumberFormat="1" applyFont="1" applyFill="1" applyProtection="1">
      <protection locked="0"/>
    </xf>
    <xf numFmtId="0" fontId="10" fillId="0" borderId="0" xfId="0" applyNumberFormat="1" applyFont="1" applyAlignment="1">
      <alignment horizontal="center"/>
    </xf>
    <xf numFmtId="165" fontId="13" fillId="0" borderId="0" xfId="0" applyNumberFormat="1" applyFont="1" applyFill="1" applyBorder="1" applyProtection="1"/>
    <xf numFmtId="0" fontId="9" fillId="0" borderId="0" xfId="0" applyFont="1" applyBorder="1" applyAlignment="1">
      <alignment horizontal="center"/>
    </xf>
    <xf numFmtId="0" fontId="9" fillId="0" borderId="5" xfId="0" applyFont="1" applyBorder="1"/>
    <xf numFmtId="165" fontId="10" fillId="0" borderId="5" xfId="0" applyNumberFormat="1" applyFont="1" applyFill="1" applyBorder="1" applyProtection="1"/>
    <xf numFmtId="165" fontId="10" fillId="0" borderId="3" xfId="0" applyNumberFormat="1" applyFont="1" applyBorder="1"/>
    <xf numFmtId="0" fontId="10" fillId="0" borderId="3" xfId="0" applyFont="1" applyBorder="1"/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0" xfId="0" quotePrefix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9" fillId="0" borderId="0" xfId="0" applyNumberFormat="1" applyFont="1" applyBorder="1"/>
    <xf numFmtId="0" fontId="9" fillId="0" borderId="0" xfId="0" quotePrefix="1" applyFont="1" applyBorder="1" applyAlignment="1">
      <alignment horizontal="center"/>
    </xf>
    <xf numFmtId="39" fontId="9" fillId="0" borderId="0" xfId="0" quotePrefix="1" applyNumberFormat="1" applyFont="1" applyBorder="1" applyAlignment="1">
      <alignment horizontal="center"/>
    </xf>
    <xf numFmtId="0" fontId="9" fillId="0" borderId="0" xfId="0" applyFont="1" applyFill="1" applyProtection="1">
      <protection locked="0"/>
    </xf>
    <xf numFmtId="165" fontId="13" fillId="0" borderId="0" xfId="0" applyNumberFormat="1" applyFont="1" applyFill="1" applyBorder="1"/>
    <xf numFmtId="0" fontId="10" fillId="0" borderId="0" xfId="0" applyFont="1" applyFill="1" applyBorder="1" applyAlignment="1">
      <alignment horizontal="left"/>
    </xf>
    <xf numFmtId="165" fontId="13" fillId="0" borderId="0" xfId="0" quotePrefix="1" applyNumberFormat="1" applyFont="1" applyFill="1" applyBorder="1" applyAlignment="1">
      <alignment horizontal="right"/>
    </xf>
    <xf numFmtId="0" fontId="10" fillId="0" borderId="10" xfId="0" applyFont="1" applyBorder="1" applyAlignment="1">
      <alignment horizontal="center"/>
    </xf>
    <xf numFmtId="0" fontId="10" fillId="0" borderId="6" xfId="0" applyFont="1" applyBorder="1"/>
    <xf numFmtId="0" fontId="10" fillId="0" borderId="0" xfId="0" quotePrefix="1" applyFont="1" applyFill="1" applyBorder="1" applyAlignment="1">
      <alignment horizontal="center"/>
    </xf>
    <xf numFmtId="0" fontId="10" fillId="0" borderId="1" xfId="0" applyFont="1" applyBorder="1"/>
    <xf numFmtId="0" fontId="10" fillId="0" borderId="1" xfId="0" quotePrefix="1" applyFont="1" applyFill="1" applyBorder="1" applyAlignment="1">
      <alignment horizontal="center"/>
    </xf>
    <xf numFmtId="165" fontId="10" fillId="0" borderId="1" xfId="0" applyNumberFormat="1" applyFont="1" applyFill="1" applyBorder="1"/>
    <xf numFmtId="165" fontId="10" fillId="0" borderId="9" xfId="0" applyNumberFormat="1" applyFont="1" applyFill="1" applyBorder="1"/>
    <xf numFmtId="0" fontId="10" fillId="0" borderId="5" xfId="0" applyFont="1" applyFill="1" applyBorder="1"/>
    <xf numFmtId="165" fontId="10" fillId="0" borderId="3" xfId="0" applyNumberFormat="1" applyFont="1" applyFill="1" applyBorder="1"/>
    <xf numFmtId="164" fontId="9" fillId="0" borderId="0" xfId="0" applyNumberFormat="1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  <protection locked="0"/>
    </xf>
    <xf numFmtId="178" fontId="10" fillId="0" borderId="0" xfId="1" applyNumberFormat="1" applyFont="1" applyFill="1" applyBorder="1"/>
    <xf numFmtId="37" fontId="10" fillId="0" borderId="0" xfId="0" applyNumberFormat="1" applyFont="1" applyFill="1" applyBorder="1"/>
    <xf numFmtId="37" fontId="10" fillId="0" borderId="0" xfId="0" applyNumberFormat="1" applyFont="1" applyFill="1" applyBorder="1" applyProtection="1"/>
    <xf numFmtId="37" fontId="9" fillId="0" borderId="0" xfId="0" applyNumberFormat="1" applyFont="1" applyFill="1" applyBorder="1"/>
    <xf numFmtId="4" fontId="1" fillId="4" borderId="0" xfId="0" applyNumberFormat="1" applyFont="1" applyFill="1"/>
    <xf numFmtId="37" fontId="10" fillId="0" borderId="0" xfId="0" applyNumberFormat="1" applyFont="1" applyAlignment="1" applyProtection="1">
      <alignment horizontal="right"/>
    </xf>
    <xf numFmtId="0" fontId="10" fillId="0" borderId="0" xfId="0" applyFont="1" applyFill="1" applyAlignment="1">
      <alignment horizontal="left"/>
    </xf>
    <xf numFmtId="173" fontId="25" fillId="0" borderId="0" xfId="0" applyNumberFormat="1" applyFont="1" applyFill="1"/>
    <xf numFmtId="0" fontId="25" fillId="0" borderId="0" xfId="0" applyFont="1" applyFill="1"/>
    <xf numFmtId="176" fontId="11" fillId="0" borderId="0" xfId="0" applyNumberFormat="1" applyFont="1" applyFill="1" applyAlignment="1">
      <alignment horizontal="center"/>
    </xf>
    <xf numFmtId="39" fontId="9" fillId="0" borderId="0" xfId="0" quotePrefix="1" applyNumberFormat="1" applyFont="1" applyFill="1" applyAlignment="1">
      <alignment horizontal="center"/>
    </xf>
    <xf numFmtId="37" fontId="21" fillId="0" borderId="0" xfId="0" applyNumberFormat="1" applyFont="1" applyFill="1"/>
    <xf numFmtId="165" fontId="9" fillId="0" borderId="0" xfId="0" quotePrefix="1" applyNumberFormat="1" applyFont="1" applyFill="1" applyAlignment="1">
      <alignment horizontal="center"/>
    </xf>
    <xf numFmtId="165" fontId="10" fillId="0" borderId="0" xfId="0" quotePrefix="1" applyNumberFormat="1" applyFont="1" applyFill="1" applyBorder="1" applyAlignment="1">
      <alignment horizontal="right"/>
    </xf>
    <xf numFmtId="0" fontId="10" fillId="0" borderId="0" xfId="0" quotePrefix="1" applyFont="1" applyFill="1" applyAlignment="1">
      <alignment horizontal="left"/>
    </xf>
    <xf numFmtId="37" fontId="9" fillId="0" borderId="0" xfId="0" applyNumberFormat="1" applyFont="1" applyFill="1" applyAlignment="1">
      <alignment horizontal="center"/>
    </xf>
    <xf numFmtId="39" fontId="9" fillId="0" borderId="0" xfId="0" applyNumberFormat="1" applyFont="1" applyFill="1" applyAlignment="1">
      <alignment horizontal="center"/>
    </xf>
    <xf numFmtId="169" fontId="9" fillId="0" borderId="0" xfId="0" applyNumberFormat="1" applyFont="1" applyFill="1" applyAlignment="1">
      <alignment horizontal="center"/>
    </xf>
    <xf numFmtId="165" fontId="9" fillId="0" borderId="0" xfId="0" applyNumberFormat="1" applyFont="1" applyFill="1" applyAlignment="1">
      <alignment horizontal="center"/>
    </xf>
    <xf numFmtId="37" fontId="9" fillId="0" borderId="0" xfId="0" quotePrefix="1" applyNumberFormat="1" applyFont="1" applyFill="1" applyAlignment="1">
      <alignment horizontal="center"/>
    </xf>
    <xf numFmtId="165" fontId="9" fillId="0" borderId="0" xfId="0" quotePrefix="1" applyNumberFormat="1" applyFont="1" applyFill="1" applyBorder="1" applyAlignment="1">
      <alignment horizontal="center"/>
    </xf>
    <xf numFmtId="39" fontId="9" fillId="0" borderId="0" xfId="0" quotePrefix="1" applyNumberFormat="1" applyFont="1" applyFill="1" applyBorder="1" applyAlignment="1">
      <alignment horizontal="center"/>
    </xf>
    <xf numFmtId="37" fontId="17" fillId="0" borderId="0" xfId="0" applyNumberFormat="1" applyFont="1" applyFill="1" applyProtection="1"/>
    <xf numFmtId="0" fontId="17" fillId="0" borderId="0" xfId="0" applyFont="1" applyFill="1"/>
    <xf numFmtId="37" fontId="18" fillId="0" borderId="0" xfId="0" applyNumberFormat="1" applyFont="1" applyFill="1" applyProtection="1">
      <protection locked="0"/>
    </xf>
    <xf numFmtId="0" fontId="19" fillId="0" borderId="0" xfId="0" applyFont="1" applyFill="1" applyProtection="1">
      <protection locked="0"/>
    </xf>
    <xf numFmtId="179" fontId="10" fillId="0" borderId="0" xfId="2" quotePrefix="1" applyNumberFormat="1" applyFont="1" applyFill="1" applyAlignment="1"/>
    <xf numFmtId="179" fontId="10" fillId="0" borderId="0" xfId="0" applyNumberFormat="1" applyFont="1" applyFill="1" applyAlignment="1">
      <alignment horizontal="center"/>
    </xf>
    <xf numFmtId="178" fontId="10" fillId="0" borderId="0" xfId="0" applyNumberFormat="1" applyFont="1" applyFill="1" applyAlignment="1"/>
    <xf numFmtId="178" fontId="10" fillId="0" borderId="0" xfId="0" applyNumberFormat="1" applyFont="1" applyFill="1" applyAlignment="1">
      <alignment horizontal="center"/>
    </xf>
    <xf numFmtId="39" fontId="10" fillId="0" borderId="0" xfId="0" applyNumberFormat="1" applyFont="1" applyFill="1" applyAlignment="1"/>
    <xf numFmtId="179" fontId="10" fillId="0" borderId="0" xfId="0" applyNumberFormat="1" applyFont="1" applyFill="1"/>
    <xf numFmtId="0" fontId="10" fillId="0" borderId="0" xfId="0" applyFont="1" applyFill="1" applyAlignment="1"/>
    <xf numFmtId="37" fontId="10" fillId="0" borderId="0" xfId="0" applyNumberFormat="1" applyFont="1" applyFill="1" applyAlignment="1"/>
    <xf numFmtId="39" fontId="10" fillId="0" borderId="0" xfId="0" applyNumberFormat="1" applyFont="1" applyFill="1" applyAlignment="1">
      <alignment horizontal="center"/>
    </xf>
    <xf numFmtId="37" fontId="10" fillId="0" borderId="0" xfId="0" quotePrefix="1" applyNumberFormat="1" applyFont="1" applyFill="1" applyAlignment="1"/>
    <xf numFmtId="179" fontId="10" fillId="0" borderId="12" xfId="2" quotePrefix="1" applyNumberFormat="1" applyFont="1" applyFill="1" applyBorder="1" applyAlignment="1"/>
    <xf numFmtId="39" fontId="10" fillId="0" borderId="0" xfId="0" applyNumberFormat="1" applyFont="1" applyFill="1" applyBorder="1" applyAlignment="1"/>
    <xf numFmtId="0" fontId="10" fillId="0" borderId="0" xfId="0" quotePrefix="1" applyFont="1" applyFill="1" applyBorder="1" applyAlignment="1"/>
    <xf numFmtId="37" fontId="10" fillId="0" borderId="0" xfId="0" quotePrefix="1" applyNumberFormat="1" applyFont="1" applyFill="1" applyBorder="1" applyAlignment="1"/>
    <xf numFmtId="39" fontId="9" fillId="0" borderId="0" xfId="0" applyNumberFormat="1" applyFont="1" applyFill="1" applyAlignment="1"/>
    <xf numFmtId="37" fontId="13" fillId="0" borderId="0" xfId="0" applyNumberFormat="1" applyFont="1" applyFill="1" applyAlignment="1"/>
    <xf numFmtId="37" fontId="10" fillId="0" borderId="12" xfId="0" applyNumberFormat="1" applyFont="1" applyFill="1" applyBorder="1" applyAlignment="1"/>
    <xf numFmtId="39" fontId="18" fillId="0" borderId="0" xfId="0" applyNumberFormat="1" applyFont="1" applyFill="1" applyAlignment="1" applyProtection="1">
      <protection locked="0"/>
    </xf>
    <xf numFmtId="39" fontId="13" fillId="0" borderId="0" xfId="0" applyNumberFormat="1" applyFont="1" applyFill="1" applyAlignment="1" applyProtection="1"/>
    <xf numFmtId="39" fontId="13" fillId="0" borderId="0" xfId="0" applyNumberFormat="1" applyFont="1" applyFill="1" applyProtection="1"/>
    <xf numFmtId="39" fontId="10" fillId="0" borderId="0" xfId="0" applyNumberFormat="1" applyFont="1" applyFill="1" applyAlignment="1" applyProtection="1"/>
    <xf numFmtId="39" fontId="12" fillId="0" borderId="0" xfId="0" applyNumberFormat="1" applyFont="1" applyFill="1" applyProtection="1">
      <protection locked="0"/>
    </xf>
    <xf numFmtId="0" fontId="20" fillId="0" borderId="0" xfId="3" applyFont="1"/>
    <xf numFmtId="0" fontId="1" fillId="0" borderId="0" xfId="3" applyFont="1"/>
    <xf numFmtId="0" fontId="1" fillId="0" borderId="0" xfId="3" applyFont="1" applyFill="1" applyAlignment="1" applyProtection="1">
      <alignment horizontal="left"/>
    </xf>
    <xf numFmtId="0" fontId="1" fillId="0" borderId="0" xfId="3" applyFont="1" applyFill="1"/>
    <xf numFmtId="0" fontId="20" fillId="0" borderId="0" xfId="3" applyFont="1" applyBorder="1"/>
    <xf numFmtId="0" fontId="8" fillId="0" borderId="0" xfId="3" applyFont="1" applyBorder="1" applyAlignment="1" applyProtection="1">
      <alignment horizontal="left"/>
    </xf>
    <xf numFmtId="0" fontId="8" fillId="0" borderId="0" xfId="3" applyFont="1" applyBorder="1"/>
    <xf numFmtId="0" fontId="1" fillId="0" borderId="0" xfId="3" applyFont="1" applyAlignment="1" applyProtection="1">
      <alignment horizontal="left"/>
    </xf>
    <xf numFmtId="180" fontId="1" fillId="0" borderId="0" xfId="3" applyNumberFormat="1" applyFont="1" applyAlignment="1" applyProtection="1">
      <alignment horizontal="left"/>
    </xf>
    <xf numFmtId="0" fontId="9" fillId="0" borderId="0" xfId="0" applyFont="1" applyBorder="1" applyAlignment="1">
      <alignment horizontal="right"/>
    </xf>
    <xf numFmtId="49" fontId="23" fillId="0" borderId="0" xfId="0" applyNumberFormat="1" applyFont="1" applyBorder="1"/>
    <xf numFmtId="0" fontId="10" fillId="0" borderId="0" xfId="0" quotePrefix="1" applyFont="1" applyFill="1" applyBorder="1" applyAlignment="1">
      <alignment horizontal="left"/>
    </xf>
    <xf numFmtId="37" fontId="13" fillId="0" borderId="0" xfId="0" applyNumberFormat="1" applyFont="1" applyFill="1"/>
    <xf numFmtId="0" fontId="10" fillId="0" borderId="7" xfId="0" applyFont="1" applyFill="1" applyBorder="1" applyAlignment="1">
      <alignment horizontal="center"/>
    </xf>
    <xf numFmtId="165" fontId="10" fillId="0" borderId="1" xfId="0" applyNumberFormat="1" applyFont="1" applyFill="1" applyBorder="1" applyProtection="1"/>
    <xf numFmtId="0" fontId="11" fillId="0" borderId="0" xfId="0" quotePrefix="1" applyFont="1" applyBorder="1" applyAlignment="1">
      <alignment horizontal="center"/>
    </xf>
    <xf numFmtId="179" fontId="10" fillId="0" borderId="0" xfId="0" applyNumberFormat="1" applyFont="1"/>
    <xf numFmtId="0" fontId="21" fillId="0" borderId="0" xfId="0" applyFont="1" applyFill="1" applyBorder="1"/>
    <xf numFmtId="176" fontId="11" fillId="0" borderId="0" xfId="0" applyNumberFormat="1" applyFont="1" applyBorder="1" applyAlignment="1">
      <alignment horizontal="center"/>
    </xf>
    <xf numFmtId="0" fontId="25" fillId="0" borderId="0" xfId="3" applyFont="1" applyAlignment="1" applyProtection="1">
      <alignment horizontal="left"/>
    </xf>
    <xf numFmtId="178" fontId="15" fillId="3" borderId="0" xfId="1" applyNumberFormat="1" applyFont="1" applyFill="1"/>
    <xf numFmtId="0" fontId="30" fillId="0" borderId="0" xfId="0" applyFont="1"/>
    <xf numFmtId="0" fontId="30" fillId="0" borderId="0" xfId="0" applyFont="1" applyFill="1" applyAlignment="1" applyProtection="1">
      <alignment horizontal="right"/>
      <protection locked="0"/>
    </xf>
    <xf numFmtId="0" fontId="30" fillId="0" borderId="0" xfId="0" applyFont="1" applyFill="1" applyAlignment="1">
      <alignment horizontal="right"/>
    </xf>
    <xf numFmtId="0" fontId="30" fillId="0" borderId="0" xfId="0" applyFont="1" applyFill="1"/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0" xfId="0" quotePrefix="1" applyFont="1" applyFill="1" applyAlignment="1">
      <alignment horizontal="center"/>
    </xf>
    <xf numFmtId="0" fontId="29" fillId="0" borderId="0" xfId="0" quotePrefix="1" applyFont="1" applyAlignment="1">
      <alignment horizontal="center"/>
    </xf>
    <xf numFmtId="0" fontId="29" fillId="0" borderId="0" xfId="0" quotePrefix="1" applyFont="1" applyFill="1" applyAlignment="1">
      <alignment horizontal="center"/>
    </xf>
    <xf numFmtId="0" fontId="30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/>
    <xf numFmtId="37" fontId="34" fillId="0" borderId="0" xfId="0" applyNumberFormat="1" applyFont="1" applyProtection="1"/>
    <xf numFmtId="165" fontId="34" fillId="0" borderId="0" xfId="0" applyNumberFormat="1" applyFont="1" applyProtection="1"/>
    <xf numFmtId="5" fontId="34" fillId="0" borderId="0" xfId="0" applyNumberFormat="1" applyFont="1" applyProtection="1"/>
    <xf numFmtId="5" fontId="30" fillId="0" borderId="0" xfId="0" applyNumberFormat="1" applyFont="1" applyFill="1" applyProtection="1"/>
    <xf numFmtId="10" fontId="30" fillId="0" borderId="0" xfId="0" applyNumberFormat="1" applyFont="1" applyFill="1" applyProtection="1"/>
    <xf numFmtId="39" fontId="33" fillId="0" borderId="0" xfId="0" applyNumberFormat="1" applyFont="1"/>
    <xf numFmtId="37" fontId="30" fillId="0" borderId="0" xfId="0" applyNumberFormat="1" applyFont="1"/>
    <xf numFmtId="0" fontId="30" fillId="0" borderId="0" xfId="0" quotePrefix="1" applyFont="1"/>
    <xf numFmtId="37" fontId="30" fillId="0" borderId="0" xfId="0" applyNumberFormat="1" applyFont="1" applyFill="1" applyProtection="1"/>
    <xf numFmtId="37" fontId="34" fillId="0" borderId="0" xfId="0" applyNumberFormat="1" applyFont="1" applyBorder="1" applyProtection="1"/>
    <xf numFmtId="165" fontId="34" fillId="0" borderId="0" xfId="0" applyNumberFormat="1" applyFont="1" applyBorder="1" applyProtection="1"/>
    <xf numFmtId="165" fontId="30" fillId="0" borderId="0" xfId="0" applyNumberFormat="1" applyFont="1"/>
    <xf numFmtId="37" fontId="30" fillId="0" borderId="14" xfId="0" applyNumberFormat="1" applyFont="1" applyBorder="1" applyProtection="1"/>
    <xf numFmtId="165" fontId="30" fillId="0" borderId="14" xfId="0" applyNumberFormat="1" applyFont="1" applyBorder="1" applyProtection="1"/>
    <xf numFmtId="5" fontId="30" fillId="0" borderId="12" xfId="0" applyNumberFormat="1" applyFont="1" applyBorder="1" applyProtection="1"/>
    <xf numFmtId="5" fontId="30" fillId="0" borderId="14" xfId="0" applyNumberFormat="1" applyFont="1" applyFill="1" applyBorder="1" applyProtection="1"/>
    <xf numFmtId="10" fontId="30" fillId="0" borderId="0" xfId="0" applyNumberFormat="1" applyFont="1" applyFill="1" applyBorder="1" applyProtection="1"/>
    <xf numFmtId="167" fontId="30" fillId="0" borderId="0" xfId="0" applyNumberFormat="1" applyFont="1" applyBorder="1" applyProtection="1"/>
    <xf numFmtId="181" fontId="30" fillId="0" borderId="0" xfId="0" applyNumberFormat="1" applyFont="1" applyBorder="1" applyProtection="1"/>
    <xf numFmtId="5" fontId="30" fillId="0" borderId="0" xfId="0" applyNumberFormat="1" applyFont="1" applyFill="1" applyBorder="1" applyProtection="1"/>
    <xf numFmtId="10" fontId="30" fillId="0" borderId="0" xfId="0" applyNumberFormat="1" applyFont="1" applyProtection="1"/>
    <xf numFmtId="10" fontId="30" fillId="0" borderId="0" xfId="0" applyNumberFormat="1" applyFont="1" applyBorder="1" applyProtection="1"/>
    <xf numFmtId="165" fontId="30" fillId="0" borderId="0" xfId="0" applyNumberFormat="1" applyFont="1" applyBorder="1" applyProtection="1"/>
    <xf numFmtId="5" fontId="30" fillId="0" borderId="0" xfId="0" applyNumberFormat="1" applyFont="1" applyBorder="1" applyProtection="1"/>
    <xf numFmtId="37" fontId="30" fillId="0" borderId="0" xfId="0" applyNumberFormat="1" applyFont="1" applyBorder="1" applyProtection="1"/>
    <xf numFmtId="0" fontId="30" fillId="0" borderId="15" xfId="0" applyFont="1" applyBorder="1"/>
    <xf numFmtId="0" fontId="31" fillId="0" borderId="0" xfId="0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5" fontId="30" fillId="0" borderId="0" xfId="0" applyNumberFormat="1" applyFont="1" applyFill="1" applyAlignment="1">
      <alignment horizontal="right"/>
    </xf>
    <xf numFmtId="182" fontId="33" fillId="0" borderId="0" xfId="0" applyNumberFormat="1" applyFont="1" applyFill="1" applyAlignment="1">
      <alignment horizontal="right"/>
    </xf>
    <xf numFmtId="0" fontId="29" fillId="0" borderId="0" xfId="0" applyFont="1" applyFill="1"/>
    <xf numFmtId="182" fontId="35" fillId="0" borderId="0" xfId="0" applyNumberFormat="1" applyFont="1" applyFill="1" applyAlignment="1">
      <alignment horizontal="right"/>
    </xf>
    <xf numFmtId="182" fontId="29" fillId="0" borderId="0" xfId="0" applyNumberFormat="1" applyFont="1" applyFill="1" applyAlignment="1">
      <alignment horizontal="right"/>
    </xf>
    <xf numFmtId="183" fontId="35" fillId="0" borderId="0" xfId="0" applyNumberFormat="1" applyFont="1" applyFill="1" applyAlignment="1">
      <alignment horizontal="right"/>
    </xf>
    <xf numFmtId="184" fontId="33" fillId="0" borderId="0" xfId="0" applyNumberFormat="1" applyFont="1" applyFill="1" applyAlignment="1">
      <alignment horizontal="right"/>
    </xf>
    <xf numFmtId="184" fontId="30" fillId="0" borderId="0" xfId="0" applyNumberFormat="1" applyFont="1" applyFill="1" applyAlignment="1">
      <alignment horizontal="right"/>
    </xf>
    <xf numFmtId="5" fontId="30" fillId="7" borderId="17" xfId="0" applyNumberFormat="1" applyFont="1" applyFill="1" applyBorder="1"/>
    <xf numFmtId="5" fontId="32" fillId="0" borderId="0" xfId="0" applyNumberFormat="1" applyFont="1" applyFill="1" applyAlignment="1">
      <alignment horizontal="right"/>
    </xf>
    <xf numFmtId="0" fontId="32" fillId="0" borderId="0" xfId="0" applyFont="1" applyFill="1" applyAlignment="1">
      <alignment horizontal="right"/>
    </xf>
    <xf numFmtId="37" fontId="29" fillId="0" borderId="0" xfId="0" applyNumberFormat="1" applyFont="1" applyFill="1"/>
    <xf numFmtId="184" fontId="29" fillId="0" borderId="0" xfId="0" applyNumberFormat="1" applyFont="1" applyFill="1"/>
    <xf numFmtId="37" fontId="32" fillId="0" borderId="0" xfId="0" applyNumberFormat="1" applyFont="1" applyFill="1"/>
    <xf numFmtId="5" fontId="29" fillId="0" borderId="0" xfId="0" applyNumberFormat="1" applyFont="1" applyFill="1" applyProtection="1"/>
    <xf numFmtId="184" fontId="29" fillId="0" borderId="0" xfId="0" applyNumberFormat="1" applyFont="1" applyFill="1" applyAlignment="1" applyProtection="1">
      <alignment horizontal="right"/>
    </xf>
    <xf numFmtId="167" fontId="29" fillId="0" borderId="0" xfId="0" applyNumberFormat="1" applyFont="1" applyFill="1" applyAlignment="1" applyProtection="1">
      <alignment horizontal="center"/>
    </xf>
    <xf numFmtId="37" fontId="29" fillId="0" borderId="0" xfId="0" applyNumberFormat="1" applyFont="1" applyFill="1" applyAlignment="1" applyProtection="1"/>
    <xf numFmtId="37" fontId="29" fillId="0" borderId="0" xfId="0" applyNumberFormat="1" applyFont="1" applyFill="1" applyAlignment="1"/>
    <xf numFmtId="167" fontId="30" fillId="0" borderId="0" xfId="0" applyNumberFormat="1" applyFont="1" applyFill="1" applyAlignment="1" applyProtection="1">
      <alignment horizontal="center"/>
    </xf>
    <xf numFmtId="5" fontId="30" fillId="0" borderId="0" xfId="0" applyNumberFormat="1" applyFont="1" applyFill="1"/>
    <xf numFmtId="0" fontId="31" fillId="0" borderId="0" xfId="0" applyFont="1" applyFill="1" applyAlignment="1">
      <alignment horizontal="center"/>
    </xf>
    <xf numFmtId="0" fontId="31" fillId="0" borderId="0" xfId="0" quotePrefix="1" applyFont="1" applyAlignment="1">
      <alignment horizontal="center"/>
    </xf>
    <xf numFmtId="0" fontId="30" fillId="0" borderId="0" xfId="0" quotePrefix="1" applyFont="1" applyFill="1" applyAlignment="1">
      <alignment horizontal="center"/>
    </xf>
    <xf numFmtId="0" fontId="30" fillId="0" borderId="0" xfId="0" quotePrefix="1" applyFont="1" applyAlignment="1">
      <alignment horizontal="center"/>
    </xf>
    <xf numFmtId="0" fontId="29" fillId="0" borderId="0" xfId="0" quotePrefix="1" applyFont="1" applyFill="1"/>
    <xf numFmtId="37" fontId="30" fillId="0" borderId="0" xfId="0" applyNumberFormat="1" applyFont="1" applyFill="1"/>
    <xf numFmtId="37" fontId="34" fillId="0" borderId="0" xfId="0" applyNumberFormat="1" applyFont="1" applyFill="1" applyProtection="1"/>
    <xf numFmtId="39" fontId="30" fillId="0" borderId="0" xfId="0" applyNumberFormat="1" applyFont="1" applyFill="1"/>
    <xf numFmtId="167" fontId="30" fillId="0" borderId="0" xfId="0" applyNumberFormat="1" applyFont="1"/>
    <xf numFmtId="39" fontId="30" fillId="0" borderId="0" xfId="0" applyNumberFormat="1" applyFont="1"/>
    <xf numFmtId="39" fontId="29" fillId="0" borderId="0" xfId="0" applyNumberFormat="1" applyFont="1" applyFill="1"/>
    <xf numFmtId="183" fontId="30" fillId="0" borderId="0" xfId="0" applyNumberFormat="1" applyFont="1"/>
    <xf numFmtId="165" fontId="30" fillId="0" borderId="0" xfId="0" applyNumberFormat="1" applyFont="1" applyFill="1"/>
    <xf numFmtId="167" fontId="29" fillId="0" borderId="0" xfId="0" applyNumberFormat="1" applyFont="1" applyFill="1"/>
    <xf numFmtId="167" fontId="30" fillId="0" borderId="0" xfId="0" applyNumberFormat="1" applyFont="1" applyFill="1"/>
    <xf numFmtId="165" fontId="29" fillId="0" borderId="0" xfId="0" applyNumberFormat="1" applyFont="1" applyFill="1"/>
    <xf numFmtId="166" fontId="29" fillId="0" borderId="0" xfId="0" applyNumberFormat="1" applyFont="1" applyFill="1"/>
    <xf numFmtId="174" fontId="29" fillId="0" borderId="0" xfId="0" applyNumberFormat="1" applyFont="1" applyFill="1"/>
    <xf numFmtId="37" fontId="29" fillId="0" borderId="0" xfId="0" applyNumberFormat="1" applyFont="1"/>
    <xf numFmtId="37" fontId="30" fillId="0" borderId="0" xfId="0" applyNumberFormat="1" applyFont="1" applyBorder="1"/>
    <xf numFmtId="0" fontId="30" fillId="0" borderId="0" xfId="0" applyFont="1" applyBorder="1"/>
    <xf numFmtId="0" fontId="30" fillId="0" borderId="0" xfId="0" applyFont="1" applyFill="1" applyBorder="1"/>
    <xf numFmtId="37" fontId="32" fillId="0" borderId="0" xfId="0" applyNumberFormat="1" applyFont="1" applyFill="1" applyBorder="1"/>
    <xf numFmtId="37" fontId="30" fillId="0" borderId="0" xfId="0" applyNumberFormat="1" applyFont="1" applyFill="1" applyBorder="1"/>
    <xf numFmtId="0" fontId="9" fillId="0" borderId="0" xfId="0" applyFont="1" applyFill="1" applyBorder="1" applyAlignment="1">
      <alignment horizontal="right"/>
    </xf>
    <xf numFmtId="37" fontId="30" fillId="0" borderId="13" xfId="0" applyNumberFormat="1" applyFont="1" applyBorder="1" applyProtection="1"/>
    <xf numFmtId="165" fontId="30" fillId="0" borderId="13" xfId="0" applyNumberFormat="1" applyFont="1" applyBorder="1" applyProtection="1"/>
    <xf numFmtId="177" fontId="21" fillId="0" borderId="0" xfId="1" applyNumberFormat="1" applyFont="1" applyFill="1" applyBorder="1"/>
    <xf numFmtId="165" fontId="9" fillId="0" borderId="0" xfId="0" quotePrefix="1" applyNumberFormat="1" applyFont="1" applyBorder="1" applyAlignment="1">
      <alignment horizontal="center"/>
    </xf>
    <xf numFmtId="39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 applyProtection="1">
      <alignment horizontal="right"/>
      <protection locked="0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76" fontId="11" fillId="0" borderId="0" xfId="0" applyNumberFormat="1" applyFont="1" applyFill="1" applyBorder="1" applyAlignment="1">
      <alignment horizontal="center"/>
    </xf>
    <xf numFmtId="0" fontId="9" fillId="5" borderId="10" xfId="0" applyFont="1" applyFill="1" applyBorder="1" applyAlignment="1"/>
    <xf numFmtId="0" fontId="9" fillId="5" borderId="5" xfId="0" applyFont="1" applyFill="1" applyBorder="1" applyAlignment="1">
      <alignment horizontal="center"/>
    </xf>
    <xf numFmtId="165" fontId="10" fillId="5" borderId="6" xfId="0" applyNumberFormat="1" applyFont="1" applyFill="1" applyBorder="1"/>
    <xf numFmtId="0" fontId="10" fillId="5" borderId="7" xfId="0" applyFont="1" applyFill="1" applyBorder="1" applyAlignment="1">
      <alignment horizontal="center"/>
    </xf>
    <xf numFmtId="0" fontId="10" fillId="5" borderId="0" xfId="0" quotePrefix="1" applyFont="1" applyFill="1" applyBorder="1" applyAlignment="1">
      <alignment horizontal="center"/>
    </xf>
    <xf numFmtId="165" fontId="10" fillId="5" borderId="3" xfId="0" quotePrefix="1" applyNumberFormat="1" applyFont="1" applyFill="1" applyBorder="1" applyAlignment="1">
      <alignment horizontal="center"/>
    </xf>
    <xf numFmtId="0" fontId="10" fillId="5" borderId="7" xfId="0" quotePrefix="1" applyFont="1" applyFill="1" applyBorder="1" applyAlignment="1"/>
    <xf numFmtId="0" fontId="10" fillId="5" borderId="7" xfId="0" applyFont="1" applyFill="1" applyBorder="1"/>
    <xf numFmtId="0" fontId="10" fillId="5" borderId="8" xfId="0" applyFont="1" applyFill="1" applyBorder="1"/>
    <xf numFmtId="0" fontId="10" fillId="0" borderId="0" xfId="0" applyFont="1" applyFill="1" applyBorder="1" applyAlignment="1" applyProtection="1">
      <alignment horizontal="right"/>
      <protection locked="0"/>
    </xf>
    <xf numFmtId="165" fontId="21" fillId="0" borderId="0" xfId="0" applyNumberFormat="1" applyFont="1" applyFill="1" applyBorder="1"/>
    <xf numFmtId="164" fontId="9" fillId="0" borderId="0" xfId="0" applyNumberFormat="1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37" fontId="9" fillId="0" borderId="0" xfId="0" applyNumberFormat="1" applyFont="1" applyFill="1" applyBorder="1" applyAlignment="1">
      <alignment horizontal="center"/>
    </xf>
    <xf numFmtId="39" fontId="9" fillId="0" borderId="0" xfId="0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Protection="1">
      <protection locked="0"/>
    </xf>
    <xf numFmtId="165" fontId="24" fillId="0" borderId="0" xfId="0" applyNumberFormat="1" applyFont="1" applyFill="1" applyBorder="1"/>
    <xf numFmtId="165" fontId="22" fillId="0" borderId="0" xfId="0" applyNumberFormat="1" applyFont="1" applyFill="1" applyBorder="1"/>
    <xf numFmtId="165" fontId="26" fillId="0" borderId="0" xfId="0" applyNumberFormat="1" applyFont="1" applyFill="1" applyBorder="1"/>
    <xf numFmtId="165" fontId="27" fillId="0" borderId="0" xfId="0" applyNumberFormat="1" applyFont="1" applyFill="1" applyBorder="1"/>
    <xf numFmtId="177" fontId="24" fillId="0" borderId="0" xfId="1" applyNumberFormat="1" applyFont="1" applyFill="1" applyBorder="1"/>
    <xf numFmtId="177" fontId="15" fillId="0" borderId="0" xfId="1" applyNumberFormat="1" applyFont="1" applyBorder="1"/>
    <xf numFmtId="177" fontId="22" fillId="0" borderId="0" xfId="1" applyNumberFormat="1" applyFont="1" applyFill="1" applyBorder="1"/>
    <xf numFmtId="177" fontId="21" fillId="5" borderId="0" xfId="1" quotePrefix="1" applyNumberFormat="1" applyFont="1" applyFill="1" applyBorder="1" applyAlignment="1">
      <alignment horizontal="right"/>
    </xf>
    <xf numFmtId="43" fontId="10" fillId="5" borderId="3" xfId="0" quotePrefix="1" applyNumberFormat="1" applyFont="1" applyFill="1" applyBorder="1" applyAlignment="1">
      <alignment horizontal="right"/>
    </xf>
    <xf numFmtId="165" fontId="10" fillId="5" borderId="0" xfId="0" quotePrefix="1" applyNumberFormat="1" applyFont="1" applyFill="1" applyBorder="1" applyAlignment="1">
      <alignment horizontal="right"/>
    </xf>
    <xf numFmtId="177" fontId="10" fillId="5" borderId="0" xfId="0" quotePrefix="1" applyNumberFormat="1" applyFont="1" applyFill="1" applyBorder="1" applyAlignment="1">
      <alignment horizontal="right"/>
    </xf>
    <xf numFmtId="43" fontId="13" fillId="5" borderId="0" xfId="0" quotePrefix="1" applyNumberFormat="1" applyFont="1" applyFill="1" applyBorder="1" applyAlignment="1">
      <alignment horizontal="right"/>
    </xf>
    <xf numFmtId="177" fontId="22" fillId="5" borderId="0" xfId="1" quotePrefix="1" applyNumberFormat="1" applyFont="1" applyFill="1" applyBorder="1" applyAlignment="1">
      <alignment horizontal="right"/>
    </xf>
    <xf numFmtId="43" fontId="15" fillId="5" borderId="3" xfId="0" quotePrefix="1" applyNumberFormat="1" applyFont="1" applyFill="1" applyBorder="1" applyAlignment="1">
      <alignment horizontal="right"/>
    </xf>
    <xf numFmtId="177" fontId="10" fillId="5" borderId="1" xfId="1" applyNumberFormat="1" applyFont="1" applyFill="1" applyBorder="1"/>
    <xf numFmtId="177" fontId="10" fillId="5" borderId="9" xfId="1" applyNumberFormat="1" applyFont="1" applyFill="1" applyBorder="1"/>
    <xf numFmtId="43" fontId="10" fillId="5" borderId="0" xfId="0" quotePrefix="1" applyNumberFormat="1" applyFont="1" applyFill="1" applyBorder="1" applyAlignment="1">
      <alignment horizontal="right"/>
    </xf>
    <xf numFmtId="165" fontId="10" fillId="0" borderId="9" xfId="0" applyNumberFormat="1" applyFont="1" applyBorder="1"/>
    <xf numFmtId="0" fontId="9" fillId="0" borderId="1" xfId="0" applyFont="1" applyFill="1" applyBorder="1" applyAlignment="1">
      <alignment horizontal="center"/>
    </xf>
    <xf numFmtId="165" fontId="13" fillId="0" borderId="3" xfId="0" applyNumberFormat="1" applyFont="1" applyFill="1" applyBorder="1"/>
    <xf numFmtId="37" fontId="22" fillId="0" borderId="0" xfId="0" applyNumberFormat="1" applyFont="1" applyFill="1"/>
    <xf numFmtId="0" fontId="16" fillId="0" borderId="0" xfId="0" applyFont="1" applyFill="1" applyBorder="1"/>
    <xf numFmtId="0" fontId="40" fillId="0" borderId="0" xfId="0" applyFont="1"/>
    <xf numFmtId="0" fontId="39" fillId="0" borderId="0" xfId="0" applyFont="1" applyAlignment="1">
      <alignment horizontal="center"/>
    </xf>
    <xf numFmtId="164" fontId="39" fillId="0" borderId="0" xfId="0" applyNumberFormat="1" applyFont="1" applyFill="1" applyAlignment="1" applyProtection="1">
      <alignment horizontal="right"/>
    </xf>
    <xf numFmtId="0" fontId="39" fillId="0" borderId="0" xfId="0" applyFont="1" applyFill="1"/>
    <xf numFmtId="0" fontId="39" fillId="0" borderId="0" xfId="0" applyFont="1" applyFill="1" applyAlignment="1">
      <alignment horizontal="center"/>
    </xf>
    <xf numFmtId="0" fontId="40" fillId="0" borderId="0" xfId="0" applyFont="1" applyFill="1"/>
    <xf numFmtId="0" fontId="39" fillId="0" borderId="0" xfId="0" applyFont="1" applyFill="1" applyAlignment="1" applyProtection="1">
      <alignment horizontal="right"/>
      <protection locked="0"/>
    </xf>
    <xf numFmtId="0" fontId="39" fillId="0" borderId="0" xfId="0" applyFont="1" applyFill="1" applyAlignment="1">
      <alignment horizontal="left"/>
    </xf>
    <xf numFmtId="0" fontId="41" fillId="0" borderId="0" xfId="0" applyFont="1" applyFill="1" applyAlignment="1">
      <alignment horizontal="center"/>
    </xf>
    <xf numFmtId="176" fontId="41" fillId="0" borderId="0" xfId="0" applyNumberFormat="1" applyFont="1" applyFill="1" applyAlignment="1">
      <alignment horizontal="center"/>
    </xf>
    <xf numFmtId="39" fontId="39" fillId="0" borderId="0" xfId="0" applyNumberFormat="1" applyFont="1" applyFill="1" applyAlignment="1" applyProtection="1">
      <alignment horizontal="center"/>
    </xf>
    <xf numFmtId="0" fontId="40" fillId="0" borderId="0" xfId="0" applyFont="1" applyFill="1" applyAlignment="1">
      <alignment horizontal="center"/>
    </xf>
    <xf numFmtId="0" fontId="42" fillId="0" borderId="0" xfId="0" applyFont="1" applyFill="1" applyProtection="1">
      <protection locked="0"/>
    </xf>
    <xf numFmtId="0" fontId="43" fillId="0" borderId="0" xfId="0" applyFont="1" applyFill="1" applyProtection="1">
      <protection locked="0"/>
    </xf>
    <xf numFmtId="165" fontId="43" fillId="0" borderId="0" xfId="0" applyNumberFormat="1" applyFont="1" applyFill="1" applyProtection="1">
      <protection locked="0"/>
    </xf>
    <xf numFmtId="165" fontId="40" fillId="0" borderId="0" xfId="0" applyNumberFormat="1" applyFont="1" applyFill="1" applyProtection="1"/>
    <xf numFmtId="0" fontId="43" fillId="0" borderId="0" xfId="0" quotePrefix="1" applyFont="1" applyFill="1" applyProtection="1">
      <protection locked="0"/>
    </xf>
    <xf numFmtId="0" fontId="43" fillId="0" borderId="0" xfId="0" quotePrefix="1" applyFont="1" applyFill="1" applyAlignment="1" applyProtection="1">
      <alignment horizontal="center"/>
      <protection locked="0"/>
    </xf>
    <xf numFmtId="0" fontId="44" fillId="0" borderId="0" xfId="0" applyFont="1" applyFill="1" applyAlignment="1">
      <alignment horizontal="center"/>
    </xf>
    <xf numFmtId="0" fontId="40" fillId="0" borderId="0" xfId="0" applyFont="1" applyFill="1" applyProtection="1">
      <protection locked="0"/>
    </xf>
    <xf numFmtId="37" fontId="43" fillId="0" borderId="0" xfId="0" applyNumberFormat="1" applyFont="1" applyFill="1" applyAlignment="1" applyProtection="1">
      <alignment horizontal="center"/>
      <protection locked="0"/>
    </xf>
    <xf numFmtId="165" fontId="40" fillId="0" borderId="0" xfId="0" applyNumberFormat="1" applyFont="1" applyFill="1"/>
    <xf numFmtId="0" fontId="43" fillId="0" borderId="0" xfId="0" applyFont="1" applyFill="1" applyAlignment="1">
      <alignment horizontal="center"/>
    </xf>
    <xf numFmtId="0" fontId="44" fillId="0" borderId="0" xfId="0" applyFont="1" applyFill="1"/>
    <xf numFmtId="0" fontId="45" fillId="0" borderId="0" xfId="0" applyFont="1" applyFill="1" applyProtection="1">
      <protection locked="0"/>
    </xf>
    <xf numFmtId="0" fontId="43" fillId="0" borderId="0" xfId="0" applyFont="1" applyFill="1"/>
    <xf numFmtId="0" fontId="40" fillId="0" borderId="0" xfId="0" applyFont="1" applyAlignment="1">
      <alignment horizontal="center"/>
    </xf>
    <xf numFmtId="37" fontId="43" fillId="0" borderId="0" xfId="0" applyNumberFormat="1" applyFont="1" applyFill="1" applyProtection="1">
      <protection locked="0"/>
    </xf>
    <xf numFmtId="165" fontId="43" fillId="0" borderId="0" xfId="0" applyNumberFormat="1" applyFont="1" applyProtection="1">
      <protection locked="0"/>
    </xf>
    <xf numFmtId="165" fontId="40" fillId="0" borderId="0" xfId="0" applyNumberFormat="1" applyFont="1" applyProtection="1"/>
    <xf numFmtId="0" fontId="43" fillId="0" borderId="0" xfId="0" applyFont="1" applyProtection="1">
      <protection locked="0"/>
    </xf>
    <xf numFmtId="37" fontId="43" fillId="0" borderId="0" xfId="0" applyNumberFormat="1" applyFont="1" applyProtection="1">
      <protection locked="0"/>
    </xf>
    <xf numFmtId="0" fontId="45" fillId="0" borderId="0" xfId="0" applyFont="1" applyProtection="1">
      <protection locked="0"/>
    </xf>
    <xf numFmtId="0" fontId="43" fillId="0" borderId="0" xfId="0" quotePrefix="1" applyFont="1" applyProtection="1">
      <protection locked="0"/>
    </xf>
    <xf numFmtId="0" fontId="43" fillId="0" borderId="0" xfId="0" quotePrefix="1" applyFont="1" applyAlignment="1" applyProtection="1">
      <alignment horizontal="center"/>
      <protection locked="0"/>
    </xf>
    <xf numFmtId="165" fontId="39" fillId="0" borderId="0" xfId="0" applyNumberFormat="1" applyFont="1" applyProtection="1"/>
    <xf numFmtId="0" fontId="39" fillId="0" borderId="0" xfId="0" applyFont="1"/>
    <xf numFmtId="165" fontId="40" fillId="0" borderId="0" xfId="0" applyNumberFormat="1" applyFont="1" applyProtection="1">
      <protection locked="0"/>
    </xf>
    <xf numFmtId="0" fontId="39" fillId="0" borderId="0" xfId="0" applyFont="1" applyAlignment="1">
      <alignment horizontal="left"/>
    </xf>
    <xf numFmtId="0" fontId="41" fillId="0" borderId="0" xfId="0" applyFont="1" applyAlignment="1">
      <alignment horizontal="center"/>
    </xf>
    <xf numFmtId="165" fontId="41" fillId="0" borderId="0" xfId="0" applyNumberFormat="1" applyFont="1" applyAlignment="1" applyProtection="1">
      <alignment horizontal="center"/>
    </xf>
    <xf numFmtId="165" fontId="39" fillId="0" borderId="0" xfId="0" applyNumberFormat="1" applyFont="1" applyAlignment="1" applyProtection="1">
      <alignment horizontal="center"/>
    </xf>
    <xf numFmtId="165" fontId="40" fillId="0" borderId="0" xfId="0" applyNumberFormat="1" applyFont="1"/>
    <xf numFmtId="37" fontId="40" fillId="0" borderId="0" xfId="0" applyNumberFormat="1" applyFont="1"/>
    <xf numFmtId="168" fontId="46" fillId="0" borderId="0" xfId="0" applyNumberFormat="1" applyFont="1"/>
    <xf numFmtId="37" fontId="47" fillId="0" borderId="0" xfId="0" applyNumberFormat="1" applyFont="1"/>
    <xf numFmtId="178" fontId="13" fillId="0" borderId="0" xfId="0" applyNumberFormat="1" applyFont="1" applyFill="1" applyAlignment="1">
      <alignment horizontal="center"/>
    </xf>
    <xf numFmtId="179" fontId="10" fillId="0" borderId="0" xfId="2" quotePrefix="1" applyNumberFormat="1" applyFont="1" applyFill="1" applyBorder="1" applyAlignment="1"/>
    <xf numFmtId="178" fontId="15" fillId="0" borderId="0" xfId="0" applyNumberFormat="1" applyFont="1" applyFill="1" applyAlignment="1">
      <alignment horizontal="center"/>
    </xf>
    <xf numFmtId="37" fontId="15" fillId="0" borderId="0" xfId="0" quotePrefix="1" applyNumberFormat="1" applyFont="1" applyFill="1" applyAlignment="1"/>
    <xf numFmtId="165" fontId="34" fillId="0" borderId="0" xfId="0" applyNumberFormat="1" applyFont="1" applyFill="1" applyProtection="1"/>
    <xf numFmtId="165" fontId="34" fillId="0" borderId="0" xfId="0" applyNumberFormat="1" applyFont="1" applyFill="1" applyBorder="1" applyProtection="1"/>
    <xf numFmtId="37" fontId="34" fillId="0" borderId="0" xfId="0" applyNumberFormat="1" applyFont="1" applyFill="1" applyBorder="1" applyProtection="1"/>
    <xf numFmtId="5" fontId="34" fillId="0" borderId="0" xfId="0" applyNumberFormat="1" applyFont="1" applyFill="1" applyProtection="1"/>
    <xf numFmtId="0" fontId="29" fillId="0" borderId="0" xfId="0" applyFont="1" applyFill="1" applyAlignment="1">
      <alignment horizontal="center"/>
    </xf>
    <xf numFmtId="0" fontId="29" fillId="0" borderId="0" xfId="0" applyFont="1" applyFill="1" applyAlignment="1" applyProtection="1">
      <alignment horizontal="center"/>
      <protection locked="0"/>
    </xf>
    <xf numFmtId="165" fontId="13" fillId="0" borderId="3" xfId="0" applyNumberFormat="1" applyFont="1" applyBorder="1"/>
    <xf numFmtId="0" fontId="29" fillId="0" borderId="0" xfId="0" applyFont="1" applyFill="1" applyAlignment="1">
      <alignment horizontal="center"/>
    </xf>
    <xf numFmtId="5" fontId="30" fillId="0" borderId="12" xfId="0" applyNumberFormat="1" applyFont="1" applyFill="1" applyBorder="1" applyProtection="1"/>
    <xf numFmtId="0" fontId="29" fillId="0" borderId="0" xfId="0" quotePrefix="1" applyFont="1" applyAlignment="1">
      <alignment horizontal="center"/>
    </xf>
    <xf numFmtId="169" fontId="30" fillId="0" borderId="0" xfId="0" applyNumberFormat="1" applyFont="1"/>
    <xf numFmtId="0" fontId="29" fillId="0" borderId="0" xfId="0" applyFont="1" applyAlignment="1">
      <alignment horizontal="right"/>
    </xf>
    <xf numFmtId="49" fontId="29" fillId="0" borderId="0" xfId="0" applyNumberFormat="1" applyFont="1" applyFill="1" applyBorder="1"/>
    <xf numFmtId="39" fontId="30" fillId="0" borderId="0" xfId="0" applyNumberFormat="1" applyFont="1" applyBorder="1"/>
    <xf numFmtId="37" fontId="29" fillId="0" borderId="0" xfId="0" applyNumberFormat="1" applyFont="1" applyAlignment="1">
      <alignment horizontal="center"/>
    </xf>
    <xf numFmtId="39" fontId="29" fillId="0" borderId="0" xfId="0" applyNumberFormat="1" applyFont="1" applyAlignment="1">
      <alignment horizontal="center"/>
    </xf>
    <xf numFmtId="169" fontId="29" fillId="0" borderId="0" xfId="0" applyNumberFormat="1" applyFont="1" applyAlignment="1">
      <alignment horizontal="center"/>
    </xf>
    <xf numFmtId="165" fontId="29" fillId="0" borderId="0" xfId="0" applyNumberFormat="1" applyFont="1" applyAlignment="1">
      <alignment horizontal="center"/>
    </xf>
    <xf numFmtId="37" fontId="31" fillId="0" borderId="0" xfId="0" applyNumberFormat="1" applyFont="1" applyAlignment="1">
      <alignment horizontal="center"/>
    </xf>
    <xf numFmtId="176" fontId="31" fillId="0" borderId="0" xfId="0" applyNumberFormat="1" applyFont="1" applyFill="1" applyAlignment="1">
      <alignment horizontal="center"/>
    </xf>
    <xf numFmtId="176" fontId="31" fillId="0" borderId="0" xfId="0" applyNumberFormat="1" applyFont="1" applyAlignment="1">
      <alignment horizontal="center"/>
    </xf>
    <xf numFmtId="37" fontId="29" fillId="0" borderId="0" xfId="0" quotePrefix="1" applyNumberFormat="1" applyFont="1" applyAlignment="1">
      <alignment horizontal="center"/>
    </xf>
    <xf numFmtId="165" fontId="29" fillId="0" borderId="0" xfId="0" quotePrefix="1" applyNumberFormat="1" applyFont="1" applyAlignment="1">
      <alignment horizontal="center"/>
    </xf>
    <xf numFmtId="39" fontId="29" fillId="0" borderId="0" xfId="0" quotePrefix="1" applyNumberFormat="1" applyFont="1" applyAlignment="1">
      <alignment horizontal="center"/>
    </xf>
    <xf numFmtId="0" fontId="32" fillId="0" borderId="0" xfId="0" applyFont="1" applyFill="1"/>
    <xf numFmtId="5" fontId="30" fillId="0" borderId="0" xfId="2" applyNumberFormat="1" applyFont="1"/>
    <xf numFmtId="5" fontId="30" fillId="0" borderId="0" xfId="0" applyNumberFormat="1" applyFont="1"/>
    <xf numFmtId="37" fontId="30" fillId="0" borderId="0" xfId="1" applyNumberFormat="1" applyFont="1"/>
    <xf numFmtId="171" fontId="30" fillId="0" borderId="0" xfId="0" applyNumberFormat="1" applyFont="1" applyFill="1" applyAlignment="1">
      <alignment horizontal="center"/>
    </xf>
    <xf numFmtId="37" fontId="32" fillId="0" borderId="0" xfId="0" applyNumberFormat="1" applyFont="1"/>
    <xf numFmtId="7" fontId="30" fillId="0" borderId="0" xfId="0" applyNumberFormat="1" applyFont="1"/>
    <xf numFmtId="0" fontId="29" fillId="0" borderId="0" xfId="0" applyFont="1" applyFill="1" applyBorder="1"/>
    <xf numFmtId="49" fontId="35" fillId="0" borderId="0" xfId="0" applyNumberFormat="1" applyFont="1" applyFill="1" applyBorder="1"/>
    <xf numFmtId="169" fontId="30" fillId="0" borderId="0" xfId="0" applyNumberFormat="1" applyFont="1" applyBorder="1"/>
    <xf numFmtId="165" fontId="30" fillId="0" borderId="0" xfId="0" applyNumberFormat="1" applyFont="1" applyBorder="1"/>
    <xf numFmtId="169" fontId="29" fillId="0" borderId="0" xfId="0" quotePrefix="1" applyNumberFormat="1" applyFont="1" applyAlignment="1">
      <alignment horizontal="center"/>
    </xf>
    <xf numFmtId="0" fontId="31" fillId="0" borderId="0" xfId="0" applyFont="1"/>
    <xf numFmtId="0" fontId="30" fillId="0" borderId="10" xfId="0" applyFont="1" applyBorder="1"/>
    <xf numFmtId="0" fontId="30" fillId="0" borderId="5" xfId="0" applyFont="1" applyBorder="1"/>
    <xf numFmtId="0" fontId="30" fillId="0" borderId="6" xfId="0" applyFont="1" applyBorder="1"/>
    <xf numFmtId="0" fontId="29" fillId="0" borderId="7" xfId="0" applyFont="1" applyBorder="1"/>
    <xf numFmtId="0" fontId="30" fillId="0" borderId="3" xfId="0" applyFont="1" applyBorder="1"/>
    <xf numFmtId="0" fontId="30" fillId="0" borderId="0" xfId="0" applyFont="1" applyAlignment="1">
      <alignment horizontal="left"/>
    </xf>
    <xf numFmtId="0" fontId="30" fillId="0" borderId="7" xfId="0" applyFont="1" applyBorder="1"/>
    <xf numFmtId="0" fontId="30" fillId="0" borderId="2" xfId="0" applyFont="1" applyFill="1" applyBorder="1"/>
    <xf numFmtId="0" fontId="30" fillId="0" borderId="2" xfId="0" applyFont="1" applyBorder="1"/>
    <xf numFmtId="0" fontId="30" fillId="0" borderId="2" xfId="0" applyFont="1" applyBorder="1" applyAlignment="1">
      <alignment horizontal="left"/>
    </xf>
    <xf numFmtId="37" fontId="30" fillId="0" borderId="2" xfId="0" applyNumberFormat="1" applyFont="1" applyBorder="1"/>
    <xf numFmtId="5" fontId="30" fillId="0" borderId="2" xfId="2" applyNumberFormat="1" applyFont="1" applyBorder="1"/>
    <xf numFmtId="43" fontId="30" fillId="0" borderId="0" xfId="0" applyNumberFormat="1" applyFont="1" applyBorder="1"/>
    <xf numFmtId="0" fontId="30" fillId="0" borderId="8" xfId="0" applyFont="1" applyBorder="1"/>
    <xf numFmtId="0" fontId="30" fillId="0" borderId="1" xfId="0" applyFont="1" applyBorder="1"/>
    <xf numFmtId="0" fontId="30" fillId="0" borderId="9" xfId="0" applyFont="1" applyBorder="1"/>
    <xf numFmtId="0" fontId="30" fillId="0" borderId="0" xfId="0" applyFont="1" applyBorder="1" applyAlignment="1">
      <alignment horizontal="left"/>
    </xf>
    <xf numFmtId="0" fontId="50" fillId="0" borderId="0" xfId="0" applyFont="1" applyFill="1"/>
    <xf numFmtId="0" fontId="50" fillId="0" borderId="0" xfId="0" quotePrefix="1" applyFont="1" applyFill="1"/>
    <xf numFmtId="0" fontId="30" fillId="0" borderId="0" xfId="0" applyFont="1" applyAlignment="1"/>
    <xf numFmtId="179" fontId="30" fillId="0" borderId="0" xfId="2" applyNumberFormat="1" applyFont="1"/>
    <xf numFmtId="0" fontId="30" fillId="0" borderId="0" xfId="0" quotePrefix="1" applyFont="1" applyFill="1"/>
    <xf numFmtId="37" fontId="30" fillId="0" borderId="2" xfId="0" applyNumberFormat="1" applyFont="1" applyFill="1" applyBorder="1"/>
    <xf numFmtId="0" fontId="32" fillId="0" borderId="0" xfId="0" applyFont="1"/>
    <xf numFmtId="39" fontId="32" fillId="0" borderId="0" xfId="0" applyNumberFormat="1" applyFont="1"/>
    <xf numFmtId="165" fontId="32" fillId="0" borderId="0" xfId="0" applyNumberFormat="1" applyFont="1"/>
    <xf numFmtId="37" fontId="32" fillId="0" borderId="2" xfId="0" applyNumberFormat="1" applyFont="1" applyBorder="1"/>
    <xf numFmtId="179" fontId="30" fillId="0" borderId="0" xfId="2" applyNumberFormat="1" applyFont="1" applyFill="1"/>
    <xf numFmtId="37" fontId="50" fillId="0" borderId="0" xfId="3" applyNumberFormat="1" applyFont="1" applyFill="1" applyProtection="1"/>
    <xf numFmtId="5" fontId="33" fillId="0" borderId="0" xfId="2" applyNumberFormat="1" applyFont="1" applyFill="1"/>
    <xf numFmtId="169" fontId="30" fillId="0" borderId="0" xfId="0" applyNumberFormat="1" applyFont="1" applyFill="1"/>
    <xf numFmtId="5" fontId="30" fillId="0" borderId="0" xfId="2" applyNumberFormat="1" applyFont="1" applyFill="1"/>
    <xf numFmtId="43" fontId="30" fillId="0" borderId="0" xfId="1" applyFont="1"/>
    <xf numFmtId="178" fontId="30" fillId="0" borderId="0" xfId="1" applyNumberFormat="1" applyFont="1" applyFill="1"/>
    <xf numFmtId="178" fontId="30" fillId="0" borderId="0" xfId="1" applyNumberFormat="1" applyFont="1"/>
    <xf numFmtId="2" fontId="30" fillId="0" borderId="0" xfId="1" applyNumberFormat="1" applyFont="1"/>
    <xf numFmtId="0" fontId="51" fillId="0" borderId="0" xfId="0" applyFont="1"/>
    <xf numFmtId="177" fontId="30" fillId="0" borderId="0" xfId="1" applyNumberFormat="1" applyFont="1" applyFill="1"/>
    <xf numFmtId="177" fontId="30" fillId="0" borderId="0" xfId="1" applyNumberFormat="1" applyFont="1"/>
    <xf numFmtId="0" fontId="30" fillId="0" borderId="0" xfId="0" quotePrefix="1" applyFont="1" applyBorder="1" applyAlignment="1">
      <alignment horizontal="left"/>
    </xf>
    <xf numFmtId="172" fontId="30" fillId="0" borderId="0" xfId="1" applyNumberFormat="1" applyFont="1"/>
    <xf numFmtId="39" fontId="32" fillId="0" borderId="0" xfId="0" applyNumberFormat="1" applyFont="1" applyBorder="1"/>
    <xf numFmtId="43" fontId="32" fillId="0" borderId="0" xfId="0" applyNumberFormat="1" applyFont="1" applyBorder="1"/>
    <xf numFmtId="43" fontId="30" fillId="0" borderId="0" xfId="1" applyFont="1" applyFill="1"/>
    <xf numFmtId="5" fontId="32" fillId="0" borderId="0" xfId="2" applyNumberFormat="1" applyFont="1"/>
    <xf numFmtId="179" fontId="32" fillId="0" borderId="0" xfId="2" applyNumberFormat="1" applyFont="1"/>
    <xf numFmtId="2" fontId="30" fillId="0" borderId="0" xfId="1" applyNumberFormat="1" applyFont="1" applyBorder="1"/>
    <xf numFmtId="5" fontId="30" fillId="0" borderId="0" xfId="2" applyNumberFormat="1" applyFont="1" applyBorder="1"/>
    <xf numFmtId="2" fontId="51" fillId="0" borderId="0" xfId="1" applyNumberFormat="1" applyFont="1"/>
    <xf numFmtId="0" fontId="30" fillId="0" borderId="13" xfId="0" applyFont="1" applyFill="1" applyBorder="1"/>
    <xf numFmtId="0" fontId="30" fillId="0" borderId="13" xfId="0" applyFont="1" applyBorder="1"/>
    <xf numFmtId="37" fontId="30" fillId="0" borderId="13" xfId="0" applyNumberFormat="1" applyFont="1" applyBorder="1"/>
    <xf numFmtId="2" fontId="30" fillId="0" borderId="13" xfId="1" applyNumberFormat="1" applyFont="1" applyBorder="1"/>
    <xf numFmtId="5" fontId="30" fillId="0" borderId="13" xfId="2" applyNumberFormat="1" applyFont="1" applyBorder="1"/>
    <xf numFmtId="43" fontId="30" fillId="0" borderId="0" xfId="1" applyFont="1" applyBorder="1"/>
    <xf numFmtId="0" fontId="29" fillId="0" borderId="0" xfId="0" applyFont="1" applyBorder="1"/>
    <xf numFmtId="39" fontId="30" fillId="0" borderId="0" xfId="0" applyNumberFormat="1" applyFont="1" applyFill="1" applyBorder="1"/>
    <xf numFmtId="169" fontId="30" fillId="0" borderId="0" xfId="0" applyNumberFormat="1" applyFont="1" applyFill="1" applyBorder="1"/>
    <xf numFmtId="165" fontId="30" fillId="0" borderId="0" xfId="0" applyNumberFormat="1" applyFont="1" applyFill="1" applyBorder="1"/>
    <xf numFmtId="178" fontId="30" fillId="0" borderId="0" xfId="1" applyNumberFormat="1" applyFont="1" applyFill="1" applyBorder="1"/>
    <xf numFmtId="178" fontId="30" fillId="0" borderId="0" xfId="0" applyNumberFormat="1" applyFont="1" applyBorder="1"/>
    <xf numFmtId="177" fontId="30" fillId="0" borderId="0" xfId="1" applyNumberFormat="1" applyFont="1" applyFill="1" applyBorder="1"/>
    <xf numFmtId="177" fontId="30" fillId="0" borderId="0" xfId="0" applyNumberFormat="1" applyFont="1" applyBorder="1"/>
    <xf numFmtId="169" fontId="32" fillId="0" borderId="0" xfId="0" applyNumberFormat="1" applyFont="1" applyBorder="1"/>
    <xf numFmtId="179" fontId="30" fillId="0" borderId="0" xfId="2" applyNumberFormat="1" applyFont="1" applyBorder="1"/>
    <xf numFmtId="5" fontId="32" fillId="0" borderId="0" xfId="2" applyNumberFormat="1" applyFont="1" applyBorder="1"/>
    <xf numFmtId="178" fontId="30" fillId="0" borderId="0" xfId="0" applyNumberFormat="1" applyFont="1"/>
    <xf numFmtId="177" fontId="30" fillId="0" borderId="0" xfId="0" applyNumberFormat="1" applyFont="1"/>
    <xf numFmtId="39" fontId="50" fillId="0" borderId="0" xfId="0" applyNumberFormat="1" applyFont="1" applyFill="1"/>
    <xf numFmtId="172" fontId="30" fillId="0" borderId="0" xfId="0" applyNumberFormat="1" applyFont="1"/>
    <xf numFmtId="172" fontId="30" fillId="0" borderId="0" xfId="0" applyNumberFormat="1" applyFont="1" applyFill="1"/>
    <xf numFmtId="5" fontId="33" fillId="0" borderId="0" xfId="2" applyNumberFormat="1" applyFont="1"/>
    <xf numFmtId="37" fontId="51" fillId="0" borderId="0" xfId="0" applyNumberFormat="1" applyFont="1"/>
    <xf numFmtId="37" fontId="51" fillId="0" borderId="0" xfId="0" applyNumberFormat="1" applyFont="1" applyFill="1"/>
    <xf numFmtId="4" fontId="30" fillId="0" borderId="0" xfId="0" applyNumberFormat="1" applyFont="1" applyFill="1"/>
    <xf numFmtId="0" fontId="51" fillId="0" borderId="0" xfId="0" applyFont="1" applyFill="1"/>
    <xf numFmtId="165" fontId="32" fillId="0" borderId="0" xfId="0" applyNumberFormat="1" applyFont="1" applyFill="1"/>
    <xf numFmtId="0" fontId="30" fillId="0" borderId="0" xfId="0" applyNumberFormat="1" applyFont="1"/>
    <xf numFmtId="169" fontId="32" fillId="0" borderId="0" xfId="0" applyNumberFormat="1" applyFont="1"/>
    <xf numFmtId="178" fontId="32" fillId="0" borderId="0" xfId="1" applyNumberFormat="1" applyFont="1"/>
    <xf numFmtId="0" fontId="30" fillId="0" borderId="2" xfId="0" applyNumberFormat="1" applyFont="1" applyBorder="1"/>
    <xf numFmtId="0" fontId="52" fillId="0" borderId="0" xfId="0" applyNumberFormat="1" applyFont="1"/>
    <xf numFmtId="178" fontId="32" fillId="0" borderId="0" xfId="0" applyNumberFormat="1" applyFont="1" applyFill="1"/>
    <xf numFmtId="178" fontId="32" fillId="0" borderId="0" xfId="0" applyNumberFormat="1" applyFont="1"/>
    <xf numFmtId="165" fontId="33" fillId="0" borderId="0" xfId="0" applyNumberFormat="1" applyFont="1" applyFill="1"/>
    <xf numFmtId="165" fontId="30" fillId="0" borderId="0" xfId="1" applyNumberFormat="1" applyFont="1" applyFill="1"/>
    <xf numFmtId="165" fontId="30" fillId="0" borderId="0" xfId="1" applyNumberFormat="1" applyFont="1"/>
    <xf numFmtId="43" fontId="30" fillId="0" borderId="0" xfId="0" applyNumberFormat="1" applyFont="1"/>
    <xf numFmtId="37" fontId="51" fillId="0" borderId="13" xfId="0" applyNumberFormat="1" applyFont="1" applyBorder="1"/>
    <xf numFmtId="178" fontId="30" fillId="0" borderId="0" xfId="0" applyNumberFormat="1" applyFont="1" applyFill="1"/>
    <xf numFmtId="37" fontId="52" fillId="0" borderId="0" xfId="0" applyNumberFormat="1" applyFont="1" applyFill="1"/>
    <xf numFmtId="39" fontId="50" fillId="0" borderId="0" xfId="0" applyNumberFormat="1" applyFont="1" applyFill="1" applyBorder="1"/>
    <xf numFmtId="179" fontId="30" fillId="0" borderId="0" xfId="2" applyNumberFormat="1" applyFont="1" applyFill="1" applyBorder="1"/>
    <xf numFmtId="179" fontId="50" fillId="0" borderId="0" xfId="2" applyNumberFormat="1" applyFont="1" applyFill="1" applyBorder="1"/>
    <xf numFmtId="179" fontId="53" fillId="0" borderId="0" xfId="2" applyNumberFormat="1" applyFont="1" applyFill="1"/>
    <xf numFmtId="178" fontId="54" fillId="0" borderId="0" xfId="1" applyNumberFormat="1" applyFont="1"/>
    <xf numFmtId="39" fontId="32" fillId="0" borderId="0" xfId="0" applyNumberFormat="1" applyFont="1" applyFill="1"/>
    <xf numFmtId="169" fontId="32" fillId="0" borderId="0" xfId="0" applyNumberFormat="1" applyFont="1" applyFill="1"/>
    <xf numFmtId="39" fontId="53" fillId="0" borderId="0" xfId="0" applyNumberFormat="1" applyFont="1" applyFill="1"/>
    <xf numFmtId="179" fontId="32" fillId="0" borderId="0" xfId="2" applyNumberFormat="1" applyFont="1" applyFill="1"/>
    <xf numFmtId="37" fontId="30" fillId="0" borderId="5" xfId="0" applyNumberFormat="1" applyFont="1" applyBorder="1"/>
    <xf numFmtId="39" fontId="30" fillId="0" borderId="5" xfId="0" applyNumberFormat="1" applyFont="1" applyBorder="1"/>
    <xf numFmtId="169" fontId="30" fillId="0" borderId="5" xfId="0" applyNumberFormat="1" applyFont="1" applyBorder="1"/>
    <xf numFmtId="165" fontId="30" fillId="0" borderId="5" xfId="0" applyNumberFormat="1" applyFont="1" applyBorder="1"/>
    <xf numFmtId="178" fontId="30" fillId="0" borderId="3" xfId="0" applyNumberFormat="1" applyFont="1" applyBorder="1"/>
    <xf numFmtId="178" fontId="54" fillId="0" borderId="0" xfId="0" applyNumberFormat="1" applyFont="1" applyBorder="1"/>
    <xf numFmtId="178" fontId="54" fillId="0" borderId="3" xfId="0" applyNumberFormat="1" applyFont="1" applyBorder="1"/>
    <xf numFmtId="0" fontId="29" fillId="0" borderId="10" xfId="0" applyFont="1" applyBorder="1"/>
    <xf numFmtId="178" fontId="30" fillId="0" borderId="5" xfId="0" applyNumberFormat="1" applyFont="1" applyBorder="1"/>
    <xf numFmtId="178" fontId="30" fillId="0" borderId="6" xfId="0" applyNumberFormat="1" applyFont="1" applyBorder="1"/>
    <xf numFmtId="37" fontId="30" fillId="0" borderId="7" xfId="0" applyNumberFormat="1" applyFont="1" applyBorder="1"/>
    <xf numFmtId="37" fontId="30" fillId="0" borderId="1" xfId="0" applyNumberFormat="1" applyFont="1" applyBorder="1"/>
    <xf numFmtId="178" fontId="30" fillId="0" borderId="1" xfId="0" applyNumberFormat="1" applyFont="1" applyBorder="1"/>
    <xf numFmtId="178" fontId="30" fillId="0" borderId="9" xfId="0" applyNumberFormat="1" applyFont="1" applyBorder="1"/>
    <xf numFmtId="39" fontId="30" fillId="0" borderId="1" xfId="0" applyNumberFormat="1" applyFont="1" applyBorder="1"/>
    <xf numFmtId="169" fontId="30" fillId="0" borderId="1" xfId="0" applyNumberFormat="1" applyFont="1" applyBorder="1"/>
    <xf numFmtId="165" fontId="30" fillId="0" borderId="1" xfId="0" applyNumberFormat="1" applyFont="1" applyBorder="1"/>
    <xf numFmtId="0" fontId="30" fillId="7" borderId="10" xfId="0" applyFont="1" applyFill="1" applyBorder="1"/>
    <xf numFmtId="37" fontId="30" fillId="7" borderId="5" xfId="0" applyNumberFormat="1" applyFont="1" applyFill="1" applyBorder="1"/>
    <xf numFmtId="0" fontId="30" fillId="7" borderId="5" xfId="0" applyFont="1" applyFill="1" applyBorder="1"/>
    <xf numFmtId="39" fontId="30" fillId="7" borderId="5" xfId="0" applyNumberFormat="1" applyFont="1" applyFill="1" applyBorder="1"/>
    <xf numFmtId="169" fontId="30" fillId="7" borderId="5" xfId="0" applyNumberFormat="1" applyFont="1" applyFill="1" applyBorder="1"/>
    <xf numFmtId="165" fontId="30" fillId="7" borderId="5" xfId="0" applyNumberFormat="1" applyFont="1" applyFill="1" applyBorder="1"/>
    <xf numFmtId="0" fontId="30" fillId="7" borderId="6" xfId="0" applyFont="1" applyFill="1" applyBorder="1"/>
    <xf numFmtId="0" fontId="30" fillId="7" borderId="7" xfId="0" applyFont="1" applyFill="1" applyBorder="1"/>
    <xf numFmtId="37" fontId="30" fillId="7" borderId="0" xfId="0" applyNumberFormat="1" applyFont="1" applyFill="1" applyBorder="1"/>
    <xf numFmtId="178" fontId="48" fillId="7" borderId="0" xfId="0" applyNumberFormat="1" applyFont="1" applyFill="1" applyBorder="1"/>
    <xf numFmtId="178" fontId="30" fillId="7" borderId="3" xfId="0" applyNumberFormat="1" applyFont="1" applyFill="1" applyBorder="1"/>
    <xf numFmtId="178" fontId="55" fillId="7" borderId="0" xfId="0" applyNumberFormat="1" applyFont="1" applyFill="1" applyBorder="1"/>
    <xf numFmtId="178" fontId="54" fillId="7" borderId="3" xfId="0" applyNumberFormat="1" applyFont="1" applyFill="1" applyBorder="1"/>
    <xf numFmtId="178" fontId="30" fillId="7" borderId="0" xfId="0" applyNumberFormat="1" applyFont="1" applyFill="1" applyBorder="1"/>
    <xf numFmtId="39" fontId="30" fillId="7" borderId="0" xfId="0" applyNumberFormat="1" applyFont="1" applyFill="1" applyBorder="1"/>
    <xf numFmtId="169" fontId="30" fillId="7" borderId="0" xfId="0" applyNumberFormat="1" applyFont="1" applyFill="1" applyBorder="1"/>
    <xf numFmtId="165" fontId="30" fillId="7" borderId="0" xfId="0" applyNumberFormat="1" applyFont="1" applyFill="1" applyBorder="1"/>
    <xf numFmtId="0" fontId="30" fillId="7" borderId="3" xfId="0" applyFont="1" applyFill="1" applyBorder="1"/>
    <xf numFmtId="0" fontId="30" fillId="7" borderId="8" xfId="0" applyFont="1" applyFill="1" applyBorder="1"/>
    <xf numFmtId="37" fontId="30" fillId="7" borderId="1" xfId="0" applyNumberFormat="1" applyFont="1" applyFill="1" applyBorder="1"/>
    <xf numFmtId="178" fontId="30" fillId="7" borderId="1" xfId="0" applyNumberFormat="1" applyFont="1" applyFill="1" applyBorder="1"/>
    <xf numFmtId="178" fontId="30" fillId="7" borderId="9" xfId="0" applyNumberFormat="1" applyFont="1" applyFill="1" applyBorder="1"/>
    <xf numFmtId="0" fontId="56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 applyBorder="1" applyAlignment="1">
      <alignment horizontal="left"/>
    </xf>
    <xf numFmtId="164" fontId="29" fillId="0" borderId="0" xfId="0" applyNumberFormat="1" applyFont="1" applyFill="1" applyBorder="1" applyAlignment="1" applyProtection="1">
      <alignment horizontal="right"/>
    </xf>
    <xf numFmtId="49" fontId="35" fillId="0" borderId="0" xfId="0" applyNumberFormat="1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39" fontId="29" fillId="0" borderId="0" xfId="0" applyNumberFormat="1" applyFont="1" applyBorder="1" applyAlignment="1">
      <alignment horizontal="center"/>
    </xf>
    <xf numFmtId="169" fontId="29" fillId="0" borderId="0" xfId="0" applyNumberFormat="1" applyFont="1" applyBorder="1" applyAlignment="1">
      <alignment horizontal="center"/>
    </xf>
    <xf numFmtId="165" fontId="29" fillId="0" borderId="0" xfId="0" applyNumberFormat="1" applyFont="1" applyBorder="1" applyAlignment="1">
      <alignment horizontal="center"/>
    </xf>
    <xf numFmtId="0" fontId="29" fillId="0" borderId="0" xfId="0" applyFont="1" applyFill="1" applyBorder="1" applyAlignment="1" applyProtection="1">
      <alignment horizontal="right"/>
      <protection locked="0"/>
    </xf>
    <xf numFmtId="176" fontId="31" fillId="0" borderId="0" xfId="0" applyNumberFormat="1" applyFont="1" applyFill="1" applyBorder="1" applyAlignment="1">
      <alignment horizontal="center"/>
    </xf>
    <xf numFmtId="37" fontId="29" fillId="0" borderId="0" xfId="0" quotePrefix="1" applyNumberFormat="1" applyFont="1" applyBorder="1" applyAlignment="1">
      <alignment horizontal="center"/>
    </xf>
    <xf numFmtId="165" fontId="29" fillId="0" borderId="0" xfId="0" quotePrefix="1" applyNumberFormat="1" applyFont="1" applyBorder="1" applyAlignment="1">
      <alignment horizontal="center"/>
    </xf>
    <xf numFmtId="39" fontId="29" fillId="0" borderId="0" xfId="0" quotePrefix="1" applyNumberFormat="1" applyFont="1" applyBorder="1" applyAlignment="1">
      <alignment horizontal="center"/>
    </xf>
    <xf numFmtId="172" fontId="30" fillId="0" borderId="0" xfId="0" applyNumberFormat="1" applyFont="1" applyFill="1" applyBorder="1"/>
    <xf numFmtId="0" fontId="32" fillId="0" borderId="0" xfId="0" applyFont="1" applyFill="1" applyAlignment="1">
      <alignment horizontal="center"/>
    </xf>
    <xf numFmtId="172" fontId="33" fillId="0" borderId="0" xfId="0" applyNumberFormat="1" applyFont="1" applyFill="1" applyBorder="1" applyAlignment="1">
      <alignment horizontal="right"/>
    </xf>
    <xf numFmtId="172" fontId="30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Protection="1">
      <protection locked="0"/>
    </xf>
    <xf numFmtId="172" fontId="50" fillId="0" borderId="0" xfId="0" applyNumberFormat="1" applyFont="1" applyFill="1" applyProtection="1">
      <protection locked="0"/>
    </xf>
    <xf numFmtId="172" fontId="30" fillId="0" borderId="0" xfId="0" applyNumberFormat="1" applyFont="1" applyFill="1" applyProtection="1"/>
    <xf numFmtId="165" fontId="50" fillId="0" borderId="0" xfId="0" applyNumberFormat="1" applyFont="1" applyFill="1"/>
    <xf numFmtId="177" fontId="54" fillId="0" borderId="0" xfId="1" applyNumberFormat="1" applyFont="1" applyFill="1" applyBorder="1"/>
    <xf numFmtId="170" fontId="30" fillId="0" borderId="0" xfId="1" applyNumberFormat="1" applyFont="1" applyFill="1" applyBorder="1"/>
    <xf numFmtId="170" fontId="30" fillId="0" borderId="0" xfId="0" applyNumberFormat="1" applyFont="1" applyFill="1" applyBorder="1" applyProtection="1">
      <protection locked="0"/>
    </xf>
    <xf numFmtId="165" fontId="30" fillId="0" borderId="0" xfId="0" applyNumberFormat="1" applyFont="1" applyFill="1" applyBorder="1" applyProtection="1"/>
    <xf numFmtId="37" fontId="30" fillId="0" borderId="0" xfId="0" applyNumberFormat="1" applyFont="1" applyFill="1" applyBorder="1" applyProtection="1"/>
    <xf numFmtId="172" fontId="30" fillId="0" borderId="0" xfId="0" applyNumberFormat="1" applyFont="1" applyBorder="1"/>
    <xf numFmtId="43" fontId="30" fillId="0" borderId="0" xfId="1" applyFont="1" applyFill="1" applyBorder="1"/>
    <xf numFmtId="39" fontId="30" fillId="0" borderId="0" xfId="0" applyNumberFormat="1" applyFont="1" applyFill="1" applyBorder="1" applyProtection="1">
      <protection locked="0"/>
    </xf>
    <xf numFmtId="0" fontId="50" fillId="0" borderId="0" xfId="0" applyFont="1" applyFill="1" applyBorder="1"/>
    <xf numFmtId="172" fontId="50" fillId="0" borderId="0" xfId="0" applyNumberFormat="1" applyFont="1" applyFill="1" applyBorder="1" applyProtection="1">
      <protection locked="0"/>
    </xf>
    <xf numFmtId="172" fontId="30" fillId="0" borderId="0" xfId="0" applyNumberFormat="1" applyFont="1" applyFill="1" applyBorder="1" applyProtection="1"/>
    <xf numFmtId="165" fontId="50" fillId="0" borderId="0" xfId="0" applyNumberFormat="1" applyFont="1" applyFill="1" applyBorder="1"/>
    <xf numFmtId="172" fontId="30" fillId="0" borderId="0" xfId="0" applyNumberFormat="1" applyFont="1" applyFill="1" applyBorder="1" applyProtection="1">
      <protection locked="0"/>
    </xf>
    <xf numFmtId="167" fontId="30" fillId="0" borderId="0" xfId="0" applyNumberFormat="1" applyFont="1" applyFill="1" applyBorder="1" applyProtection="1"/>
    <xf numFmtId="0" fontId="30" fillId="0" borderId="0" xfId="0" applyFont="1" applyFill="1" applyBorder="1" applyAlignment="1">
      <alignment horizontal="center"/>
    </xf>
    <xf numFmtId="170" fontId="30" fillId="0" borderId="0" xfId="2" applyNumberFormat="1" applyFont="1" applyFill="1" applyBorder="1" applyProtection="1">
      <protection locked="0"/>
    </xf>
    <xf numFmtId="165" fontId="50" fillId="0" borderId="0" xfId="0" applyNumberFormat="1" applyFont="1" applyFill="1" applyProtection="1">
      <protection locked="0"/>
    </xf>
    <xf numFmtId="165" fontId="32" fillId="0" borderId="0" xfId="0" applyNumberFormat="1" applyFont="1" applyFill="1" applyBorder="1" applyProtection="1">
      <protection locked="0"/>
    </xf>
    <xf numFmtId="37" fontId="32" fillId="0" borderId="0" xfId="0" applyNumberFormat="1" applyFont="1" applyFill="1" applyBorder="1" applyProtection="1"/>
    <xf numFmtId="165" fontId="53" fillId="0" borderId="0" xfId="0" applyNumberFormat="1" applyFont="1" applyFill="1"/>
    <xf numFmtId="165" fontId="57" fillId="0" borderId="0" xfId="0" applyNumberFormat="1" applyFont="1" applyFill="1" applyProtection="1">
      <protection locked="0"/>
    </xf>
    <xf numFmtId="0" fontId="30" fillId="0" borderId="0" xfId="0" applyFont="1" applyFill="1" applyAlignment="1">
      <alignment horizontal="left"/>
    </xf>
    <xf numFmtId="39" fontId="30" fillId="0" borderId="0" xfId="0" applyNumberFormat="1" applyFont="1" applyFill="1" applyBorder="1" applyProtection="1"/>
    <xf numFmtId="165" fontId="30" fillId="0" borderId="0" xfId="0" applyNumberFormat="1" applyFont="1" applyFill="1" applyProtection="1"/>
    <xf numFmtId="165" fontId="29" fillId="0" borderId="0" xfId="0" applyNumberFormat="1" applyFont="1" applyFill="1" applyBorder="1" applyProtection="1"/>
    <xf numFmtId="165" fontId="29" fillId="0" borderId="0" xfId="0" applyNumberFormat="1" applyFont="1" applyFill="1" applyBorder="1" applyAlignment="1" applyProtection="1">
      <alignment horizontal="center"/>
    </xf>
    <xf numFmtId="165" fontId="31" fillId="0" borderId="0" xfId="0" applyNumberFormat="1" applyFont="1" applyFill="1" applyBorder="1" applyAlignment="1" applyProtection="1">
      <alignment horizontal="center"/>
    </xf>
    <xf numFmtId="167" fontId="50" fillId="0" borderId="0" xfId="0" applyNumberFormat="1" applyFont="1" applyFill="1" applyBorder="1" applyProtection="1">
      <protection locked="0"/>
    </xf>
    <xf numFmtId="165" fontId="50" fillId="0" borderId="0" xfId="0" applyNumberFormat="1" applyFont="1" applyFill="1" applyBorder="1" applyProtection="1">
      <protection locked="0"/>
    </xf>
    <xf numFmtId="165" fontId="57" fillId="0" borderId="0" xfId="0" applyNumberFormat="1" applyFont="1" applyFill="1" applyBorder="1" applyProtection="1">
      <protection locked="0"/>
    </xf>
    <xf numFmtId="39" fontId="50" fillId="0" borderId="0" xfId="0" applyNumberFormat="1" applyFont="1" applyFill="1" applyBorder="1" applyProtection="1">
      <protection locked="0"/>
    </xf>
    <xf numFmtId="165" fontId="53" fillId="0" borderId="0" xfId="0" applyNumberFormat="1" applyFont="1" applyFill="1" applyBorder="1" applyProtection="1">
      <protection locked="0"/>
    </xf>
    <xf numFmtId="165" fontId="53" fillId="0" borderId="0" xfId="0" applyNumberFormat="1" applyFont="1" applyFill="1" applyProtection="1">
      <protection locked="0"/>
    </xf>
    <xf numFmtId="166" fontId="50" fillId="0" borderId="0" xfId="0" applyNumberFormat="1" applyFont="1" applyFill="1" applyBorder="1" applyProtection="1">
      <protection locked="0"/>
    </xf>
    <xf numFmtId="166" fontId="30" fillId="0" borderId="0" xfId="0" applyNumberFormat="1" applyFont="1" applyFill="1" applyBorder="1" applyProtection="1"/>
    <xf numFmtId="165" fontId="32" fillId="0" borderId="0" xfId="0" applyNumberFormat="1" applyFont="1" applyFill="1" applyBorder="1"/>
    <xf numFmtId="0" fontId="31" fillId="0" borderId="0" xfId="0" applyFont="1" applyFill="1" applyBorder="1"/>
    <xf numFmtId="3" fontId="30" fillId="0" borderId="0" xfId="0" applyNumberFormat="1" applyFont="1" applyFill="1" applyBorder="1" applyProtection="1"/>
    <xf numFmtId="0" fontId="32" fillId="0" borderId="0" xfId="0" applyFont="1" applyFill="1" applyBorder="1"/>
    <xf numFmtId="3" fontId="30" fillId="0" borderId="0" xfId="0" applyNumberFormat="1" applyFont="1" applyFill="1" applyBorder="1"/>
    <xf numFmtId="3" fontId="32" fillId="0" borderId="0" xfId="0" applyNumberFormat="1" applyFont="1" applyFill="1" applyBorder="1" applyProtection="1"/>
    <xf numFmtId="37" fontId="50" fillId="0" borderId="0" xfId="0" applyNumberFormat="1" applyFont="1" applyFill="1" applyBorder="1" applyProtection="1"/>
    <xf numFmtId="37" fontId="50" fillId="0" borderId="0" xfId="0" applyNumberFormat="1" applyFont="1" applyFill="1" applyBorder="1" applyProtection="1">
      <protection locked="0"/>
    </xf>
    <xf numFmtId="0" fontId="32" fillId="0" borderId="0" xfId="0" applyFont="1" applyFill="1" applyBorder="1" applyAlignment="1">
      <alignment horizontal="center"/>
    </xf>
    <xf numFmtId="169" fontId="50" fillId="0" borderId="0" xfId="0" applyNumberFormat="1" applyFont="1" applyFill="1" applyBorder="1"/>
    <xf numFmtId="164" fontId="29" fillId="0" borderId="0" xfId="0" applyNumberFormat="1" applyFont="1" applyFill="1" applyAlignment="1" applyProtection="1">
      <alignment horizontal="right"/>
    </xf>
    <xf numFmtId="0" fontId="29" fillId="0" borderId="0" xfId="0" applyFont="1" applyFill="1" applyAlignment="1" applyProtection="1">
      <alignment horizontal="right"/>
      <protection locked="0"/>
    </xf>
    <xf numFmtId="49" fontId="35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0" xfId="0" quotePrefix="1" applyFont="1" applyFill="1" applyBorder="1" applyAlignment="1">
      <alignment horizontal="center"/>
    </xf>
    <xf numFmtId="178" fontId="33" fillId="0" borderId="0" xfId="1" applyNumberFormat="1" applyFont="1" applyFill="1" applyBorder="1"/>
    <xf numFmtId="178" fontId="30" fillId="0" borderId="0" xfId="1" applyNumberFormat="1" applyFont="1" applyBorder="1"/>
    <xf numFmtId="37" fontId="33" fillId="0" borderId="0" xfId="0" applyNumberFormat="1" applyFont="1" applyFill="1" applyBorder="1"/>
    <xf numFmtId="37" fontId="36" fillId="0" borderId="0" xfId="0" applyNumberFormat="1" applyFont="1" applyFill="1" applyBorder="1"/>
    <xf numFmtId="177" fontId="33" fillId="0" borderId="0" xfId="1" applyNumberFormat="1" applyFont="1" applyFill="1" applyBorder="1"/>
    <xf numFmtId="177" fontId="33" fillId="0" borderId="0" xfId="1" applyNumberFormat="1" applyFont="1" applyBorder="1"/>
    <xf numFmtId="177" fontId="30" fillId="0" borderId="0" xfId="1" applyNumberFormat="1" applyFont="1" applyBorder="1"/>
    <xf numFmtId="0" fontId="29" fillId="0" borderId="0" xfId="0" quotePrefix="1" applyFont="1" applyFill="1" applyBorder="1" applyAlignment="1">
      <alignment horizontal="center"/>
    </xf>
    <xf numFmtId="165" fontId="30" fillId="0" borderId="0" xfId="0" quotePrefix="1" applyNumberFormat="1" applyFont="1" applyBorder="1" applyAlignment="1">
      <alignment horizontal="left"/>
    </xf>
    <xf numFmtId="39" fontId="30" fillId="0" borderId="0" xfId="0" quotePrefix="1" applyNumberFormat="1" applyFont="1" applyBorder="1" applyAlignment="1">
      <alignment horizontal="left"/>
    </xf>
    <xf numFmtId="165" fontId="29" fillId="0" borderId="0" xfId="0" quotePrefix="1" applyNumberFormat="1" applyFont="1" applyFill="1" applyBorder="1" applyAlignment="1">
      <alignment horizontal="center"/>
    </xf>
    <xf numFmtId="39" fontId="29" fillId="0" borderId="0" xfId="0" quotePrefix="1" applyNumberFormat="1" applyFont="1" applyFill="1" applyBorder="1" applyAlignment="1">
      <alignment horizontal="center"/>
    </xf>
    <xf numFmtId="0" fontId="29" fillId="0" borderId="0" xfId="0" quotePrefix="1" applyFont="1" applyBorder="1" applyAlignment="1">
      <alignment horizontal="left"/>
    </xf>
    <xf numFmtId="49" fontId="29" fillId="0" borderId="0" xfId="0" applyNumberFormat="1" applyFont="1" applyBorder="1" applyAlignment="1">
      <alignment horizontal="left"/>
    </xf>
    <xf numFmtId="37" fontId="29" fillId="0" borderId="0" xfId="0" applyNumberFormat="1" applyFont="1" applyBorder="1" applyAlignment="1">
      <alignment horizontal="center"/>
    </xf>
    <xf numFmtId="176" fontId="31" fillId="0" borderId="0" xfId="0" applyNumberFormat="1" applyFont="1" applyBorder="1" applyAlignment="1">
      <alignment horizontal="center"/>
    </xf>
    <xf numFmtId="0" fontId="29" fillId="0" borderId="0" xfId="0" quotePrefix="1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29" fillId="0" borderId="5" xfId="0" applyFont="1" applyBorder="1"/>
    <xf numFmtId="37" fontId="50" fillId="0" borderId="5" xfId="0" applyNumberFormat="1" applyFont="1" applyFill="1" applyBorder="1"/>
    <xf numFmtId="37" fontId="30" fillId="0" borderId="5" xfId="0" applyNumberFormat="1" applyFont="1" applyFill="1" applyBorder="1"/>
    <xf numFmtId="0" fontId="30" fillId="0" borderId="7" xfId="0" applyFont="1" applyBorder="1" applyAlignment="1">
      <alignment horizontal="center"/>
    </xf>
    <xf numFmtId="37" fontId="50" fillId="0" borderId="0" xfId="0" applyNumberFormat="1" applyFont="1" applyFill="1" applyBorder="1"/>
    <xf numFmtId="178" fontId="30" fillId="0" borderId="3" xfId="1" applyNumberFormat="1" applyFont="1" applyBorder="1"/>
    <xf numFmtId="37" fontId="30" fillId="0" borderId="3" xfId="0" applyNumberFormat="1" applyFont="1" applyFill="1" applyBorder="1"/>
    <xf numFmtId="178" fontId="54" fillId="0" borderId="0" xfId="1" applyNumberFormat="1" applyFont="1" applyFill="1" applyBorder="1"/>
    <xf numFmtId="37" fontId="54" fillId="0" borderId="3" xfId="0" applyNumberFormat="1" applyFont="1" applyFill="1" applyBorder="1"/>
    <xf numFmtId="37" fontId="32" fillId="0" borderId="3" xfId="0" applyNumberFormat="1" applyFont="1" applyFill="1" applyBorder="1"/>
    <xf numFmtId="37" fontId="32" fillId="0" borderId="0" xfId="0" applyNumberFormat="1" applyFont="1" applyBorder="1" applyProtection="1"/>
    <xf numFmtId="0" fontId="30" fillId="0" borderId="8" xfId="0" applyFont="1" applyBorder="1" applyAlignment="1">
      <alignment horizontal="center"/>
    </xf>
    <xf numFmtId="0" fontId="30" fillId="0" borderId="1" xfId="0" quotePrefix="1" applyFont="1" applyBorder="1" applyAlignment="1">
      <alignment horizontal="left"/>
    </xf>
    <xf numFmtId="0" fontId="30" fillId="0" borderId="1" xfId="0" quotePrefix="1" applyFont="1" applyFill="1" applyBorder="1" applyAlignment="1">
      <alignment horizontal="center"/>
    </xf>
    <xf numFmtId="178" fontId="30" fillId="0" borderId="1" xfId="1" applyNumberFormat="1" applyFont="1" applyFill="1" applyBorder="1"/>
    <xf numFmtId="178" fontId="30" fillId="0" borderId="9" xfId="1" applyNumberFormat="1" applyFont="1" applyBorder="1"/>
    <xf numFmtId="0" fontId="30" fillId="0" borderId="0" xfId="0" quotePrefix="1" applyFont="1" applyFill="1" applyBorder="1" applyAlignment="1">
      <alignment horizontal="left"/>
    </xf>
    <xf numFmtId="37" fontId="29" fillId="0" borderId="0" xfId="0" applyNumberFormat="1" applyFont="1" applyFill="1" applyBorder="1"/>
    <xf numFmtId="37" fontId="49" fillId="0" borderId="0" xfId="0" applyNumberFormat="1" applyFont="1" applyFill="1" applyBorder="1"/>
    <xf numFmtId="37" fontId="54" fillId="0" borderId="0" xfId="0" applyNumberFormat="1" applyFont="1" applyFill="1" applyBorder="1"/>
    <xf numFmtId="0" fontId="29" fillId="5" borderId="10" xfId="0" applyFont="1" applyFill="1" applyBorder="1" applyAlignment="1"/>
    <xf numFmtId="0" fontId="29" fillId="5" borderId="5" xfId="0" applyFont="1" applyFill="1" applyBorder="1" applyAlignment="1">
      <alignment horizontal="center"/>
    </xf>
    <xf numFmtId="0" fontId="30" fillId="5" borderId="5" xfId="0" applyFont="1" applyFill="1" applyBorder="1" applyAlignment="1">
      <alignment horizontal="center"/>
    </xf>
    <xf numFmtId="165" fontId="30" fillId="5" borderId="6" xfId="0" applyNumberFormat="1" applyFont="1" applyFill="1" applyBorder="1"/>
    <xf numFmtId="0" fontId="30" fillId="5" borderId="7" xfId="0" applyFont="1" applyFill="1" applyBorder="1" applyAlignment="1">
      <alignment horizontal="center"/>
    </xf>
    <xf numFmtId="0" fontId="30" fillId="5" borderId="0" xfId="0" quotePrefix="1" applyFont="1" applyFill="1" applyBorder="1" applyAlignment="1">
      <alignment horizontal="center"/>
    </xf>
    <xf numFmtId="165" fontId="30" fillId="5" borderId="3" xfId="0" quotePrefix="1" applyNumberFormat="1" applyFont="1" applyFill="1" applyBorder="1" applyAlignment="1">
      <alignment horizontal="center"/>
    </xf>
    <xf numFmtId="0" fontId="30" fillId="5" borderId="7" xfId="0" quotePrefix="1" applyFont="1" applyFill="1" applyBorder="1" applyAlignment="1"/>
    <xf numFmtId="185" fontId="30" fillId="5" borderId="0" xfId="0" quotePrefix="1" applyNumberFormat="1" applyFont="1" applyFill="1" applyBorder="1" applyAlignment="1">
      <alignment horizontal="right"/>
    </xf>
    <xf numFmtId="185" fontId="33" fillId="5" borderId="0" xfId="1" quotePrefix="1" applyNumberFormat="1" applyFont="1" applyFill="1" applyBorder="1" applyAlignment="1">
      <alignment horizontal="right"/>
    </xf>
    <xf numFmtId="185" fontId="30" fillId="5" borderId="3" xfId="0" quotePrefix="1" applyNumberFormat="1" applyFont="1" applyFill="1" applyBorder="1" applyAlignment="1">
      <alignment horizontal="right"/>
    </xf>
    <xf numFmtId="0" fontId="30" fillId="5" borderId="7" xfId="0" applyFont="1" applyFill="1" applyBorder="1"/>
    <xf numFmtId="185" fontId="32" fillId="5" borderId="0" xfId="0" quotePrefix="1" applyNumberFormat="1" applyFont="1" applyFill="1" applyBorder="1" applyAlignment="1">
      <alignment horizontal="right"/>
    </xf>
    <xf numFmtId="185" fontId="36" fillId="5" borderId="0" xfId="1" quotePrefix="1" applyNumberFormat="1" applyFont="1" applyFill="1" applyBorder="1" applyAlignment="1">
      <alignment horizontal="right"/>
    </xf>
    <xf numFmtId="185" fontId="54" fillId="5" borderId="3" xfId="0" quotePrefix="1" applyNumberFormat="1" applyFont="1" applyFill="1" applyBorder="1" applyAlignment="1">
      <alignment horizontal="right"/>
    </xf>
    <xf numFmtId="0" fontId="30" fillId="5" borderId="8" xfId="0" applyFont="1" applyFill="1" applyBorder="1"/>
    <xf numFmtId="185" fontId="30" fillId="5" borderId="1" xfId="1" applyNumberFormat="1" applyFont="1" applyFill="1" applyBorder="1"/>
    <xf numFmtId="185" fontId="30" fillId="5" borderId="9" xfId="1" applyNumberFormat="1" applyFont="1" applyFill="1" applyBorder="1"/>
    <xf numFmtId="0" fontId="35" fillId="0" borderId="0" xfId="0" quotePrefix="1" applyFont="1" applyFill="1" applyBorder="1" applyAlignment="1">
      <alignment horizontal="left"/>
    </xf>
    <xf numFmtId="0" fontId="35" fillId="0" borderId="0" xfId="0" quotePrefix="1" applyFont="1" applyFill="1" applyBorder="1" applyAlignment="1">
      <alignment horizontal="center"/>
    </xf>
    <xf numFmtId="165" fontId="35" fillId="0" borderId="0" xfId="0" quotePrefix="1" applyNumberFormat="1" applyFont="1" applyFill="1" applyBorder="1" applyAlignment="1">
      <alignment horizontal="center"/>
    </xf>
    <xf numFmtId="0" fontId="33" fillId="0" borderId="0" xfId="0" applyFont="1" applyFill="1" applyBorder="1"/>
    <xf numFmtId="0" fontId="29" fillId="0" borderId="0" xfId="0" applyFont="1" applyFill="1" applyAlignment="1">
      <alignment horizontal="left"/>
    </xf>
    <xf numFmtId="49" fontId="29" fillId="0" borderId="0" xfId="0" applyNumberFormat="1" applyFont="1" applyFill="1" applyBorder="1" applyAlignment="1">
      <alignment horizontal="left"/>
    </xf>
    <xf numFmtId="0" fontId="30" fillId="0" borderId="2" xfId="0" applyFont="1" applyFill="1" applyBorder="1" applyAlignment="1">
      <alignment horizontal="center"/>
    </xf>
    <xf numFmtId="0" fontId="33" fillId="0" borderId="0" xfId="0" applyFont="1" applyFill="1" applyAlignment="1">
      <alignment horizontal="left"/>
    </xf>
    <xf numFmtId="43" fontId="32" fillId="0" borderId="0" xfId="1" applyFont="1"/>
    <xf numFmtId="2" fontId="30" fillId="0" borderId="2" xfId="1" applyNumberFormat="1" applyFont="1" applyBorder="1"/>
    <xf numFmtId="0" fontId="30" fillId="0" borderId="13" xfId="0" applyFont="1" applyFill="1" applyBorder="1" applyAlignment="1">
      <alignment horizontal="center"/>
    </xf>
    <xf numFmtId="170" fontId="30" fillId="0" borderId="13" xfId="0" applyNumberFormat="1" applyFont="1" applyBorder="1"/>
    <xf numFmtId="170" fontId="30" fillId="0" borderId="13" xfId="1" applyNumberFormat="1" applyFont="1" applyBorder="1"/>
    <xf numFmtId="0" fontId="29" fillId="0" borderId="0" xfId="0" applyFont="1" applyFill="1" applyAlignment="1">
      <alignment horizontal="right"/>
    </xf>
    <xf numFmtId="37" fontId="29" fillId="0" borderId="0" xfId="0" applyNumberFormat="1" applyFont="1" applyFill="1" applyAlignment="1">
      <alignment horizontal="center"/>
    </xf>
    <xf numFmtId="39" fontId="29" fillId="0" borderId="0" xfId="0" applyNumberFormat="1" applyFont="1" applyFill="1" applyAlignment="1">
      <alignment horizontal="center"/>
    </xf>
    <xf numFmtId="169" fontId="29" fillId="0" borderId="0" xfId="0" quotePrefix="1" applyNumberFormat="1" applyFont="1" applyFill="1" applyAlignment="1">
      <alignment horizontal="center"/>
    </xf>
    <xf numFmtId="165" fontId="29" fillId="0" borderId="0" xfId="0" quotePrefix="1" applyNumberFormat="1" applyFont="1" applyFill="1" applyAlignment="1">
      <alignment horizontal="center"/>
    </xf>
    <xf numFmtId="169" fontId="29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horizontal="center"/>
    </xf>
    <xf numFmtId="39" fontId="29" fillId="0" borderId="0" xfId="0" quotePrefix="1" applyNumberFormat="1" applyFont="1" applyFill="1" applyAlignment="1">
      <alignment horizontal="center"/>
    </xf>
    <xf numFmtId="177" fontId="30" fillId="0" borderId="0" xfId="0" applyNumberFormat="1" applyFont="1" applyFill="1"/>
    <xf numFmtId="43" fontId="30" fillId="0" borderId="0" xfId="0" applyNumberFormat="1" applyFont="1" applyFill="1" applyBorder="1"/>
    <xf numFmtId="173" fontId="30" fillId="0" borderId="0" xfId="0" applyNumberFormat="1" applyFont="1" applyFill="1"/>
    <xf numFmtId="0" fontId="30" fillId="0" borderId="0" xfId="0" applyNumberFormat="1" applyFont="1" applyFill="1"/>
    <xf numFmtId="0" fontId="30" fillId="0" borderId="2" xfId="0" applyNumberFormat="1" applyFont="1" applyFill="1" applyBorder="1"/>
    <xf numFmtId="0" fontId="52" fillId="0" borderId="0" xfId="0" applyNumberFormat="1" applyFont="1" applyFill="1"/>
    <xf numFmtId="39" fontId="32" fillId="0" borderId="0" xfId="0" applyNumberFormat="1" applyFont="1" applyFill="1" applyBorder="1"/>
    <xf numFmtId="43" fontId="32" fillId="0" borderId="0" xfId="0" applyNumberFormat="1" applyFont="1" applyFill="1" applyBorder="1"/>
    <xf numFmtId="43" fontId="32" fillId="0" borderId="0" xfId="1" applyFont="1" applyFill="1"/>
    <xf numFmtId="170" fontId="33" fillId="0" borderId="0" xfId="0" applyNumberFormat="1" applyFont="1" applyFill="1"/>
    <xf numFmtId="170" fontId="30" fillId="0" borderId="0" xfId="0" applyNumberFormat="1" applyFont="1"/>
    <xf numFmtId="178" fontId="54" fillId="0" borderId="0" xfId="1" applyNumberFormat="1" applyFont="1" applyFill="1"/>
    <xf numFmtId="0" fontId="29" fillId="0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quotePrefix="1" applyFont="1" applyAlignment="1">
      <alignment horizontal="center"/>
    </xf>
    <xf numFmtId="0" fontId="29" fillId="0" borderId="0" xfId="0" quotePrefix="1" applyFont="1" applyFill="1" applyAlignment="1">
      <alignment horizontal="center"/>
    </xf>
    <xf numFmtId="0" fontId="29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quotePrefix="1" applyFont="1" applyAlignment="1">
      <alignment horizontal="center"/>
    </xf>
    <xf numFmtId="5" fontId="33" fillId="0" borderId="0" xfId="0" applyNumberFormat="1" applyFont="1" applyFill="1" applyAlignment="1">
      <alignment horizontal="right"/>
    </xf>
    <xf numFmtId="5" fontId="36" fillId="0" borderId="0" xfId="0" applyNumberFormat="1" applyFont="1" applyFill="1" applyAlignment="1">
      <alignment horizontal="right"/>
    </xf>
    <xf numFmtId="0" fontId="36" fillId="0" borderId="0" xfId="0" applyFont="1" applyFill="1" applyAlignment="1">
      <alignment horizontal="right"/>
    </xf>
    <xf numFmtId="0" fontId="30" fillId="7" borderId="15" xfId="0" applyFont="1" applyFill="1" applyBorder="1"/>
    <xf numFmtId="5" fontId="30" fillId="7" borderId="16" xfId="0" applyNumberFormat="1" applyFont="1" applyFill="1" applyBorder="1"/>
    <xf numFmtId="174" fontId="30" fillId="0" borderId="0" xfId="0" applyNumberFormat="1" applyFont="1" applyFill="1"/>
    <xf numFmtId="174" fontId="32" fillId="0" borderId="0" xfId="0" applyNumberFormat="1" applyFont="1" applyFill="1"/>
    <xf numFmtId="186" fontId="30" fillId="0" borderId="0" xfId="0" applyNumberFormat="1" applyFont="1"/>
    <xf numFmtId="37" fontId="30" fillId="0" borderId="0" xfId="4" applyNumberFormat="1" applyFont="1" applyFill="1"/>
    <xf numFmtId="37" fontId="33" fillId="0" borderId="0" xfId="4" applyNumberFormat="1" applyFont="1" applyFill="1"/>
    <xf numFmtId="37" fontId="30" fillId="0" borderId="0" xfId="1" applyNumberFormat="1" applyFont="1" applyFill="1"/>
    <xf numFmtId="10" fontId="30" fillId="0" borderId="0" xfId="0" applyNumberFormat="1" applyFont="1"/>
    <xf numFmtId="49" fontId="35" fillId="0" borderId="11" xfId="0" applyNumberFormat="1" applyFont="1" applyFill="1" applyBorder="1"/>
    <xf numFmtId="0" fontId="30" fillId="0" borderId="11" xfId="0" applyFont="1" applyBorder="1"/>
    <xf numFmtId="0" fontId="29" fillId="0" borderId="11" xfId="0" applyFont="1" applyBorder="1"/>
    <xf numFmtId="0" fontId="29" fillId="0" borderId="11" xfId="0" applyFont="1" applyBorder="1" applyAlignment="1">
      <alignment horizontal="right"/>
    </xf>
    <xf numFmtId="5" fontId="30" fillId="8" borderId="0" xfId="2" applyNumberFormat="1" applyFont="1" applyFill="1"/>
    <xf numFmtId="37" fontId="33" fillId="0" borderId="0" xfId="0" applyNumberFormat="1" applyFont="1"/>
    <xf numFmtId="0" fontId="30" fillId="0" borderId="0" xfId="0" applyFont="1" applyAlignment="1">
      <alignment horizontal="right"/>
    </xf>
    <xf numFmtId="5" fontId="30" fillId="5" borderId="0" xfId="2" applyNumberFormat="1" applyFont="1" applyFill="1"/>
    <xf numFmtId="0" fontId="58" fillId="0" borderId="0" xfId="0" applyFont="1"/>
    <xf numFmtId="39" fontId="30" fillId="0" borderId="0" xfId="0" applyNumberFormat="1" applyFont="1" applyProtection="1"/>
    <xf numFmtId="37" fontId="30" fillId="0" borderId="0" xfId="0" applyNumberFormat="1" applyFont="1" applyProtection="1"/>
    <xf numFmtId="37" fontId="50" fillId="0" borderId="0" xfId="0" applyNumberFormat="1" applyFont="1" applyProtection="1">
      <protection locked="0"/>
    </xf>
    <xf numFmtId="37" fontId="32" fillId="0" borderId="0" xfId="0" applyNumberFormat="1" applyFont="1" applyProtection="1"/>
    <xf numFmtId="37" fontId="57" fillId="0" borderId="0" xfId="0" applyNumberFormat="1" applyFont="1" applyProtection="1">
      <protection locked="0"/>
    </xf>
    <xf numFmtId="39" fontId="50" fillId="0" borderId="0" xfId="0" applyNumberFormat="1" applyFont="1" applyProtection="1">
      <protection locked="0"/>
    </xf>
    <xf numFmtId="37" fontId="30" fillId="5" borderId="0" xfId="0" applyNumberFormat="1" applyFont="1" applyFill="1"/>
    <xf numFmtId="37" fontId="30" fillId="6" borderId="0" xfId="0" applyNumberFormat="1" applyFont="1" applyFill="1"/>
    <xf numFmtId="37" fontId="30" fillId="0" borderId="0" xfId="0" applyNumberFormat="1" applyFont="1" applyAlignment="1" applyProtection="1">
      <alignment horizontal="right"/>
    </xf>
    <xf numFmtId="37" fontId="29" fillId="0" borderId="0" xfId="0" applyNumberFormat="1" applyFont="1" applyAlignment="1" applyProtection="1">
      <alignment horizontal="center"/>
    </xf>
    <xf numFmtId="37" fontId="36" fillId="0" borderId="0" xfId="0" applyNumberFormat="1" applyFont="1"/>
    <xf numFmtId="165" fontId="30" fillId="0" borderId="0" xfId="0" applyNumberFormat="1" applyFont="1" applyProtection="1"/>
    <xf numFmtId="37" fontId="33" fillId="0" borderId="0" xfId="0" applyNumberFormat="1" applyFont="1" applyProtection="1"/>
    <xf numFmtId="37" fontId="36" fillId="0" borderId="0" xfId="0" applyNumberFormat="1" applyFont="1" applyProtection="1"/>
    <xf numFmtId="37" fontId="29" fillId="0" borderId="0" xfId="0" applyNumberFormat="1" applyFont="1" applyProtection="1"/>
    <xf numFmtId="7" fontId="30" fillId="0" borderId="0" xfId="2" applyNumberFormat="1" applyFont="1" applyFill="1"/>
    <xf numFmtId="181" fontId="30" fillId="0" borderId="0" xfId="2" applyNumberFormat="1" applyFont="1" applyFill="1"/>
    <xf numFmtId="181" fontId="33" fillId="0" borderId="0" xfId="2" applyNumberFormat="1" applyFont="1" applyFill="1"/>
    <xf numFmtId="0" fontId="30" fillId="0" borderId="7" xfId="0" applyFont="1" applyBorder="1" applyAlignment="1">
      <alignment horizontal="right"/>
    </xf>
    <xf numFmtId="170" fontId="30" fillId="0" borderId="0" xfId="0" applyNumberFormat="1" applyFont="1" applyBorder="1"/>
    <xf numFmtId="170" fontId="30" fillId="0" borderId="0" xfId="1" applyNumberFormat="1" applyFont="1" applyBorder="1"/>
    <xf numFmtId="0" fontId="29" fillId="0" borderId="0" xfId="0" applyFont="1" applyFill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quotePrefix="1" applyFont="1" applyAlignment="1">
      <alignment horizontal="center"/>
    </xf>
    <xf numFmtId="165" fontId="29" fillId="0" borderId="0" xfId="0" applyNumberFormat="1" applyFont="1" applyAlignment="1">
      <alignment horizontal="center"/>
    </xf>
    <xf numFmtId="37" fontId="29" fillId="0" borderId="0" xfId="0" applyNumberFormat="1" applyFont="1" applyAlignment="1">
      <alignment horizontal="center"/>
    </xf>
    <xf numFmtId="0" fontId="29" fillId="0" borderId="0" xfId="0" quotePrefix="1" applyFont="1" applyFill="1" applyAlignment="1">
      <alignment horizontal="center"/>
    </xf>
    <xf numFmtId="42" fontId="10" fillId="0" borderId="0" xfId="2" quotePrefix="1" applyNumberFormat="1" applyFont="1" applyFill="1" applyAlignment="1"/>
    <xf numFmtId="7" fontId="30" fillId="6" borderId="0" xfId="2" applyNumberFormat="1" applyFont="1" applyFill="1"/>
    <xf numFmtId="7" fontId="30" fillId="9" borderId="0" xfId="2" applyNumberFormat="1" applyFont="1" applyFill="1"/>
    <xf numFmtId="5" fontId="30" fillId="0" borderId="0" xfId="0" applyNumberFormat="1" applyFont="1" applyProtection="1"/>
    <xf numFmtId="0" fontId="29" fillId="0" borderId="0" xfId="0" applyFont="1" applyFill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7" fillId="0" borderId="0" xfId="0" quotePrefix="1" applyFont="1" applyFill="1"/>
    <xf numFmtId="37" fontId="32" fillId="0" borderId="0" xfId="4" applyNumberFormat="1" applyFont="1" applyFill="1" applyBorder="1"/>
    <xf numFmtId="5" fontId="29" fillId="0" borderId="0" xfId="0" applyNumberFormat="1" applyFont="1" applyFill="1" applyBorder="1" applyProtection="1"/>
    <xf numFmtId="5" fontId="29" fillId="0" borderId="0" xfId="0" applyNumberFormat="1" applyFont="1" applyFill="1" applyBorder="1" applyAlignment="1" applyProtection="1">
      <alignment horizontal="right"/>
    </xf>
    <xf numFmtId="184" fontId="29" fillId="0" borderId="0" xfId="0" applyNumberFormat="1" applyFont="1" applyFill="1" applyBorder="1" applyAlignment="1" applyProtection="1">
      <alignment horizontal="right"/>
    </xf>
    <xf numFmtId="184" fontId="29" fillId="0" borderId="0" xfId="0" applyNumberFormat="1" applyFont="1" applyFill="1" applyBorder="1"/>
    <xf numFmtId="167" fontId="29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1" fillId="0" borderId="0" xfId="0" applyNumberFormat="1" applyFont="1" applyFill="1" applyAlignment="1">
      <alignment horizontal="right"/>
    </xf>
    <xf numFmtId="7" fontId="1" fillId="0" borderId="0" xfId="0" applyNumberFormat="1" applyFont="1" applyFill="1" applyAlignment="1">
      <alignment horizontal="right"/>
    </xf>
    <xf numFmtId="39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187" fontId="1" fillId="0" borderId="0" xfId="0" applyNumberFormat="1" applyFont="1" applyFill="1" applyAlignment="1">
      <alignment horizontal="right"/>
    </xf>
    <xf numFmtId="187" fontId="30" fillId="0" borderId="0" xfId="0" applyNumberFormat="1" applyFont="1"/>
    <xf numFmtId="181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39" fontId="1" fillId="0" borderId="0" xfId="0" applyNumberFormat="1" applyFont="1" applyFill="1"/>
    <xf numFmtId="165" fontId="1" fillId="0" borderId="0" xfId="0" applyNumberFormat="1" applyFont="1" applyFill="1"/>
    <xf numFmtId="39" fontId="25" fillId="0" borderId="0" xfId="1" applyNumberFormat="1" applyFont="1" applyFill="1"/>
    <xf numFmtId="39" fontId="1" fillId="0" borderId="0" xfId="1" applyNumberFormat="1" applyFont="1" applyFill="1"/>
    <xf numFmtId="43" fontId="1" fillId="0" borderId="0" xfId="1" applyNumberFormat="1" applyFont="1" applyFill="1"/>
    <xf numFmtId="188" fontId="25" fillId="0" borderId="0" xfId="1" applyNumberFormat="1" applyFont="1" applyFill="1"/>
    <xf numFmtId="188" fontId="1" fillId="0" borderId="0" xfId="1" applyNumberFormat="1" applyFont="1" applyFill="1"/>
    <xf numFmtId="167" fontId="1" fillId="0" borderId="0" xfId="1" applyNumberFormat="1" applyFont="1" applyFill="1"/>
    <xf numFmtId="39" fontId="60" fillId="0" borderId="0" xfId="1" applyNumberFormat="1" applyFont="1" applyFill="1"/>
    <xf numFmtId="39" fontId="1" fillId="0" borderId="0" xfId="1" applyNumberFormat="1" applyFont="1" applyFill="1" applyBorder="1"/>
    <xf numFmtId="39" fontId="1" fillId="0" borderId="12" xfId="1" applyNumberFormat="1" applyFont="1" applyFill="1" applyBorder="1"/>
    <xf numFmtId="189" fontId="1" fillId="0" borderId="0" xfId="1" applyNumberFormat="1" applyFont="1" applyFill="1"/>
    <xf numFmtId="167" fontId="6" fillId="0" borderId="0" xfId="0" applyNumberFormat="1" applyFont="1" applyFill="1" applyAlignment="1">
      <alignment horizontal="center"/>
    </xf>
    <xf numFmtId="39" fontId="6" fillId="0" borderId="0" xfId="0" applyNumberFormat="1" applyFont="1" applyFill="1" applyAlignment="1">
      <alignment horizontal="center"/>
    </xf>
    <xf numFmtId="39" fontId="1" fillId="0" borderId="11" xfId="1" applyNumberFormat="1" applyFont="1" applyFill="1" applyBorder="1"/>
    <xf numFmtId="39" fontId="1" fillId="0" borderId="13" xfId="1" applyNumberFormat="1" applyFont="1" applyFill="1" applyBorder="1"/>
    <xf numFmtId="0" fontId="6" fillId="0" borderId="15" xfId="0" applyFont="1" applyFill="1" applyBorder="1"/>
    <xf numFmtId="0" fontId="6" fillId="0" borderId="16" xfId="0" applyFont="1" applyFill="1" applyBorder="1"/>
    <xf numFmtId="10" fontId="6" fillId="0" borderId="17" xfId="0" applyNumberFormat="1" applyFont="1" applyFill="1" applyBorder="1"/>
    <xf numFmtId="10" fontId="6" fillId="0" borderId="0" xfId="0" applyNumberFormat="1" applyFont="1" applyFill="1"/>
    <xf numFmtId="165" fontId="25" fillId="0" borderId="0" xfId="0" applyNumberFormat="1" applyFont="1" applyFill="1"/>
    <xf numFmtId="39" fontId="8" fillId="0" borderId="0" xfId="0" applyNumberFormat="1" applyFont="1" applyFill="1"/>
    <xf numFmtId="172" fontId="7" fillId="0" borderId="0" xfId="0" applyNumberFormat="1" applyFont="1" applyFill="1"/>
    <xf numFmtId="172" fontId="6" fillId="0" borderId="0" xfId="0" applyNumberFormat="1" applyFont="1" applyFill="1"/>
    <xf numFmtId="172" fontId="28" fillId="0" borderId="0" xfId="0" applyNumberFormat="1" applyFont="1" applyFill="1"/>
    <xf numFmtId="0" fontId="6" fillId="0" borderId="0" xfId="0" applyFont="1" applyFill="1" applyAlignment="1">
      <alignment horizontal="center"/>
    </xf>
    <xf numFmtId="0" fontId="29" fillId="0" borderId="0" xfId="0" quotePrefix="1" applyFont="1" applyFill="1" applyAlignment="1">
      <alignment horizontal="center"/>
    </xf>
    <xf numFmtId="37" fontId="33" fillId="7" borderId="17" xfId="0" applyNumberFormat="1" applyFont="1" applyFill="1" applyBorder="1"/>
    <xf numFmtId="39" fontId="35" fillId="0" borderId="0" xfId="0" applyNumberFormat="1" applyFont="1" applyFill="1"/>
    <xf numFmtId="0" fontId="30" fillId="0" borderId="0" xfId="0" quotePrefix="1" applyFont="1" applyFill="1" applyAlignment="1">
      <alignment horizontal="left"/>
    </xf>
    <xf numFmtId="0" fontId="29" fillId="0" borderId="0" xfId="0" applyFont="1" applyFill="1" applyAlignment="1">
      <alignment horizontal="center"/>
    </xf>
    <xf numFmtId="10" fontId="30" fillId="0" borderId="0" xfId="0" applyNumberFormat="1" applyFont="1" applyFill="1"/>
    <xf numFmtId="37" fontId="36" fillId="0" borderId="0" xfId="4" applyNumberFormat="1" applyFont="1" applyFill="1" applyBorder="1"/>
    <xf numFmtId="0" fontId="29" fillId="0" borderId="0" xfId="0" quotePrefix="1" applyFont="1" applyAlignment="1">
      <alignment horizontal="center"/>
    </xf>
    <xf numFmtId="167" fontId="35" fillId="0" borderId="0" xfId="0" applyNumberFormat="1" applyFont="1" applyFill="1"/>
    <xf numFmtId="0" fontId="1" fillId="0" borderId="0" xfId="3" applyFont="1" applyAlignment="1" applyProtection="1">
      <alignment horizontal="center"/>
    </xf>
    <xf numFmtId="0" fontId="25" fillId="0" borderId="0" xfId="3" applyFont="1" applyAlignment="1" applyProtection="1">
      <alignment horizontal="center"/>
    </xf>
    <xf numFmtId="0" fontId="6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56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35" fillId="0" borderId="11" xfId="0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7" fontId="9" fillId="0" borderId="0" xfId="0" applyNumberFormat="1" applyFont="1" applyFill="1" applyAlignment="1" applyProtection="1">
      <alignment horizontal="center"/>
    </xf>
    <xf numFmtId="0" fontId="9" fillId="0" borderId="0" xfId="0" applyFont="1" applyFill="1" applyBorder="1" applyAlignment="1">
      <alignment horizontal="center"/>
    </xf>
    <xf numFmtId="37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0" fontId="9" fillId="0" borderId="0" xfId="0" quotePrefix="1" applyFont="1" applyAlignment="1">
      <alignment horizontal="center"/>
    </xf>
    <xf numFmtId="0" fontId="29" fillId="0" borderId="0" xfId="0" quotePrefix="1" applyFont="1" applyAlignment="1">
      <alignment horizontal="center"/>
    </xf>
    <xf numFmtId="165" fontId="29" fillId="0" borderId="11" xfId="0" applyNumberFormat="1" applyFont="1" applyBorder="1" applyAlignment="1">
      <alignment horizontal="center"/>
    </xf>
    <xf numFmtId="165" fontId="29" fillId="0" borderId="0" xfId="0" applyNumberFormat="1" applyFont="1" applyAlignment="1">
      <alignment horizontal="center"/>
    </xf>
    <xf numFmtId="37" fontId="29" fillId="0" borderId="0" xfId="0" applyNumberFormat="1" applyFont="1" applyAlignment="1">
      <alignment horizontal="center"/>
    </xf>
    <xf numFmtId="165" fontId="29" fillId="0" borderId="0" xfId="0" applyNumberFormat="1" applyFont="1" applyFill="1" applyAlignment="1">
      <alignment horizontal="center"/>
    </xf>
    <xf numFmtId="0" fontId="29" fillId="0" borderId="0" xfId="0" quotePrefix="1" applyFont="1" applyFill="1" applyAlignment="1">
      <alignment horizontal="center"/>
    </xf>
    <xf numFmtId="165" fontId="29" fillId="0" borderId="11" xfId="0" applyNumberFormat="1" applyFont="1" applyFill="1" applyBorder="1" applyAlignment="1">
      <alignment horizontal="center"/>
    </xf>
    <xf numFmtId="37" fontId="29" fillId="0" borderId="0" xfId="0" applyNumberFormat="1" applyFont="1" applyFill="1" applyAlignment="1">
      <alignment horizontal="center"/>
    </xf>
    <xf numFmtId="0" fontId="29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" fontId="59" fillId="0" borderId="0" xfId="0" quotePrefix="1" applyNumberFormat="1" applyFont="1" applyFill="1" applyAlignment="1">
      <alignment horizontal="center"/>
    </xf>
    <xf numFmtId="0" fontId="59" fillId="0" borderId="0" xfId="0" applyFont="1" applyFill="1" applyAlignment="1">
      <alignment horizontal="center"/>
    </xf>
  </cellXfs>
  <cellStyles count="5">
    <cellStyle name="Comma" xfId="1" builtinId="3"/>
    <cellStyle name="Currency" xfId="2" builtinId="4"/>
    <cellStyle name="Currency 2" xfId="4"/>
    <cellStyle name="Normal" xfId="0" builtinId="0"/>
    <cellStyle name="Normal_Schedules A thru L Cost of Servive June 30, 2009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2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27.xml"/><Relationship Id="rId47" Type="http://schemas.openxmlformats.org/officeDocument/2006/relationships/externalLink" Target="externalLinks/externalLink32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3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25.xml"/><Relationship Id="rId45" Type="http://schemas.openxmlformats.org/officeDocument/2006/relationships/externalLink" Target="externalLinks/externalLink30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49" Type="http://schemas.openxmlformats.org/officeDocument/2006/relationships/externalLink" Target="externalLinks/externalLink3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4" Type="http://schemas.openxmlformats.org/officeDocument/2006/relationships/externalLink" Target="externalLinks/externalLink29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28.xml"/><Relationship Id="rId48" Type="http://schemas.openxmlformats.org/officeDocument/2006/relationships/externalLink" Target="externalLinks/externalLink33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Documents%20and%20Settings\Catharine%20Lacy\My%20Documents\Work%20Projects\Columbia3\TS1&amp;TS2\DataFa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Models\IT\IT%20Financial%20Model%20Tool\2006-08-08%20Nisource%20-%20IT%20Financial%20Management%20Tool_Amendment%203%20Updat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loyd%20Spann\My%20Documents\Excel\2004\BCBSRI\Governance%20Financial%20Management\Service%20Credits\BCBSRI%20Service%20Level%20Credit%20Tracking%20Draft_v11_LDS_0128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MD\Rate%20Case\2008\Class%20Cost%20of%20Service\Sep%2012.%202008\Demand.Commodity%20Stud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rate\CMD\ratecase\1995\EXH10.WK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yorConsolidated\Accounts\Blue%20Cross\Financials\2003\05\PYR_SVC_BLUERI_AP%20IMAG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t65791\Local%20Settings\Temporary%20Internet%20Files\Content.Outlook\PQT8T9TM\Schedules%20TME%20Nov%202014\Schedule%20M%20-%20Revenue\Sch%20M%20-%20Revenue%20and%20Rate%20Design%20(Base%20Period)%20w%20Actual%20Rates%20TO%20BE%20FILE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t65791\Local%20Settings\Temporary%20Internet%20Files\Content.Outlook\PQT8T9TM\Schedule%20C%20&amp;%20D%20-%20Operating%20Income\Sch%20C%20&amp;%20D%20-%20Operating%20Income%20Forecast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Models\IT\IT%20Financial%20Model%20Tool\Financial%20Models\Nisource%20-%20Customer%20Contact%20Center%20Financial%20Management%20Tool%20v1%20(10.18.05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BMS%20People%20Analysis2.ppt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Documents%20and%20Settings\Catharine%20Lacy\My%20Documents\Work%20Projects\Columbia3\PGA-ACA\(WORKINGCOPY)PGA-EffectiveNovember29,2005\(WORKINGCOPY)PGA-EffectiveNovember29,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\data\Schedule%20E%20-%20Income%20Taxes\E-1%20Income%20Tax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gbmk001\Data1\Documents%20and%20Settings\MMeade\Desktop\BT%20quote%20template-%20May%202004%20V1.02%20-%20TEST%20FIL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V\RATE%20CASE\2010%20Rate%20Case%20&amp;%20ET%20(Actual%2012-31-09)\Settlement\Proposed%20Rate%20Design%20based%20off%20$0.5%20million%20propos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KY\Rate%20Case%20-%202009\Rate%20Case%20Schedules\Base\Schedule%20C%20-%20Operating%20Income\Operating%20Incom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%20Return%20on%20Rate%20Base\2003\2003%203rd%20Qtr\NH%20Return%20on%20Rate%20Base%20ReportFiled%20-%2009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KY\Ratecase%20-%202007\Schedules\Workpapers\Payroll%20Tax%20Adjustmen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urcing%20Initiative\ADM%20Support\APR04IMSS,%20v2.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aylor\LOCALS~1\Temp\notesC9812B\CMD%20-%20Cost%20of%20Service%2011-30-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arlouJ\Local%20Settings\Temporary%20Internet%20Files\OLK8\208522\0901Wellpoin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KY\Ratecase%20-%202007\Schedules\Schedule%20A%20thru%20L%20Updates%20&amp;%20Revisions\Copy%20of%20Schedules%20A%20thru%20L%20Cost%20of%20Servive%20September30,%202006%20Outcome%2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\data\Schedule%20B%20-%20Rate%20Base%20&amp;%20Balance%20Sheet\B-2%20Plant%20&amp;%20Propert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Cgv\RATECASE\2006%20Rate%20Case%20TME%2012-31-05,%20Proforma%209-30-06\Revenue\TS1&amp;TS2splitworksheet-2005-(4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gbmk001\Data1\DOCUME~1\npatel\LOCALS~1\Temp\IPBS%20Quotation%20Tool%20v2.1%20-%20November%20Issue%2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erler\My%20Documents\Cendant\Denver%20Resource%20Baselines\Asset%20Tracking%2010_16_01.Lee1%20Rev%20PC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MD\Rate%20Case\2016\Revenue\2016%20Exhibit%202%20with%20Rate%20Design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701433~1\LOCALS~1\Temp\PB06BaseSept2004BMSGlobalOutsourceallocations_MA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kegj\LOCALS~1\Temp\d.My%20Documents.Notes.Data\2004%20GIS\Submitted%20Files\20458p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21726\AppData\Local\Temp\notesC9812B\CMD%202013%20Rate%20Case%20-%20Cost%20of%20Serv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v\RATECASE\2006%20Rate%20Case%20TME%2012-31-05,%20Proforma%209-30-06\Revenue\TS1&amp;TS2splitworksheet-2005-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MD/Rate%20Case/2016/Cost%20of%20Service/CMD%202016%20Rate%20Case%20-%20Cost%20of%20Service%20model%20(WORKING)%20Updated%20for%2012-31-15%20Plant%20Data%2001-14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A\Rate%20Case\2008\Forecasted\Adjustments%20-%20O&amp;M%20Expense\Projected%20CAP%20for%20PA%20rate%20case%20test%20year%209-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PA/Rate%20Case/2016/Revenue/CPA%202016%20Rate%20Case%20Exh%20003%20Sch%2001%20Thru%2010%20and%20pgs%2006-10%20(Draft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Models\IT\IT%20Financial%20Model%20Tool\Nisource%20-%20MTC%20Financial%20Management%20Tool%20v20%20(11.1.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&amp;B"/>
      <sheetName val="PGA 95 B&amp;B Monica"/>
      <sheetName val="Demand Data"/>
      <sheetName val="Demand Summary"/>
      <sheetName val="ACAvsCGVStorage&amp;Peaking"/>
      <sheetName val="TRANSPORTS-revised"/>
      <sheetName val="TS1&amp;TS2data"/>
      <sheetName val="B&amp;B Tol LVTS"/>
      <sheetName val="B&amp;B Tol TS1"/>
      <sheetName val="B&amp;B Tol TS2"/>
      <sheetName val="B&amp;B Tol All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A (Input) Inv MO Service Charge"/>
      <sheetName val="B (Input) MO Volumes"/>
      <sheetName val="C (Input) MO ARC - RRC Charges"/>
      <sheetName val="D (Output)- Volume Analysis"/>
      <sheetName val="E (Calc) -MO ARC-RRC Charge"/>
      <sheetName val="F (Valid) - MO Service Charge"/>
      <sheetName val="G (Valid) - MO ARC-RRC Charge"/>
      <sheetName val="H (Ref) - Mnthly Svc Fees"/>
      <sheetName val="I (Ref) - Mnthly Baseline Units"/>
      <sheetName val="J (Ref) - ARC RRC Rates"/>
      <sheetName val="K Graph (Input)"/>
      <sheetName val="L Graph (Data)"/>
      <sheetName val="M Graph (Baseline)"/>
      <sheetName val="N Graph (RU)"/>
      <sheetName val="New Graph"/>
      <sheetName val="O Graph (Charges)"/>
      <sheetName val="SLA Menu"/>
      <sheetName val="K (Input) SLA Achieved"/>
      <sheetName val="L (Output) Service Credit"/>
      <sheetName val="M (Output) Srvice Credt True Up"/>
      <sheetName val="N (Valid) Service Credit Sum"/>
      <sheetName val="O (Ref) At Risk"/>
      <sheetName val="P (Ref) Pool Allocation"/>
      <sheetName val="Q (Ref) SLA Consolidation"/>
      <sheetName val="R (Ref) SLA Updated"/>
      <sheetName val="(Ref) IT Tower (Original)"/>
      <sheetName val="(Ref) Invoice Detail 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LCs Due &amp; Recd"/>
      <sheetName val="1 - Totals"/>
      <sheetName val="2 - All Towers"/>
      <sheetName val="3-Pie Chart"/>
      <sheetName val="4-Indiv Towers"/>
      <sheetName val="% Invoice"/>
      <sheetName val="DSUM Explanation"/>
      <sheetName val="DB Functions"/>
      <sheetName val="Membership"/>
      <sheetName val="Infrastructure"/>
      <sheetName val="Blue Card"/>
      <sheetName val="FEP"/>
      <sheetName val="Basic Claims"/>
      <sheetName val="Applications"/>
      <sheetName val="Claims"/>
      <sheetName val="Mo1"/>
      <sheetName val="Mo2"/>
      <sheetName val="Mo3"/>
      <sheetName val="Mo4"/>
      <sheetName val="Mo5"/>
      <sheetName val="Mo6"/>
      <sheetName val="Mo7"/>
      <sheetName val="Mo8"/>
      <sheetName val="Mo9"/>
      <sheetName val="Mo10"/>
      <sheetName val="Mo11"/>
      <sheetName val="Mo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lant"/>
      <sheetName val="Revenue"/>
      <sheetName val="O&amp;M"/>
      <sheetName val="Rate Base &amp; Taxes"/>
      <sheetName val="VLOOKUP"/>
      <sheetName val="Allocations"/>
      <sheetName val="Allocations II"/>
      <sheetName val="Title Page"/>
      <sheetName val="ROR @ Proforma - 1"/>
      <sheetName val="ROR @ Current - 2"/>
      <sheetName val="Gross Plant - 3"/>
      <sheetName val="Depr. Reserve - 4"/>
      <sheetName val="Depr. Expense - 5"/>
      <sheetName val="Operating Rev - 6"/>
      <sheetName val="Dist O&amp;M Expense - 7"/>
      <sheetName val="O&amp;M Expense - 8"/>
      <sheetName val="Taxes Other Than Inc - 9"/>
      <sheetName val="Rate Base - 10"/>
      <sheetName val="Income Tax - 11"/>
      <sheetName val="Allocation Factors - 12"/>
      <sheetName val="Allocation Factors - 13"/>
      <sheetName val="Customer Charge a1"/>
      <sheetName val="Cust-Based Gas Plant a2"/>
      <sheetName val="Customer Charge b1"/>
      <sheetName val="Cust-Based Gas Plant b2"/>
      <sheetName val="Conversion Factors"/>
      <sheetName val="A&amp;E"/>
      <sheetName val="Metr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1</v>
          </cell>
          <cell r="B2" t="str">
            <v>DESIGN DAY</v>
          </cell>
          <cell r="C2" t="str">
            <v>NON-COINCIDENT PEAK</v>
          </cell>
          <cell r="D2" t="str">
            <v>11c</v>
          </cell>
          <cell r="E2">
            <v>61900</v>
          </cell>
          <cell r="F2">
            <v>30100</v>
          </cell>
          <cell r="G2">
            <v>21100</v>
          </cell>
          <cell r="H2">
            <v>600</v>
          </cell>
          <cell r="I2">
            <v>10100.000000000002</v>
          </cell>
          <cell r="N2">
            <v>0.48626817447495962</v>
          </cell>
          <cell r="O2">
            <v>0.34087237479806137</v>
          </cell>
          <cell r="P2">
            <v>9.6930533117932146E-3</v>
          </cell>
          <cell r="Q2">
            <v>0.16316639741518582</v>
          </cell>
          <cell r="S2">
            <v>1</v>
          </cell>
        </row>
        <row r="3">
          <cell r="A3">
            <v>2</v>
          </cell>
          <cell r="B3" t="str">
            <v>THROUGHPUT EXCL. TRANSPORTATION</v>
          </cell>
          <cell r="E3">
            <v>3653023.1999999997</v>
          </cell>
          <cell r="F3">
            <v>2196082</v>
          </cell>
          <cell r="G3">
            <v>1401215.8</v>
          </cell>
          <cell r="H3">
            <v>55725.4</v>
          </cell>
          <cell r="I3">
            <v>0</v>
          </cell>
          <cell r="N3">
            <v>0.60116836925645589</v>
          </cell>
          <cell r="O3">
            <v>0.38357703285322692</v>
          </cell>
          <cell r="P3">
            <v>1.5254597890317259E-2</v>
          </cell>
          <cell r="Q3">
            <v>0</v>
          </cell>
          <cell r="S3">
            <v>1</v>
          </cell>
        </row>
        <row r="4">
          <cell r="A4">
            <v>3</v>
          </cell>
          <cell r="B4" t="str">
            <v>TOTAL THROUGHPUT</v>
          </cell>
          <cell r="E4">
            <v>5959250</v>
          </cell>
          <cell r="F4">
            <v>2269801</v>
          </cell>
          <cell r="G4">
            <v>1467726.7</v>
          </cell>
          <cell r="H4">
            <v>55725.4</v>
          </cell>
          <cell r="I4">
            <v>2165996.9000000004</v>
          </cell>
          <cell r="N4">
            <v>0.38088702437387256</v>
          </cell>
          <cell r="O4">
            <v>0.24629386248269497</v>
          </cell>
          <cell r="P4">
            <v>9.3510760582288036E-3</v>
          </cell>
          <cell r="Q4">
            <v>0.36346803708520375</v>
          </cell>
          <cell r="S4">
            <v>1</v>
          </cell>
        </row>
        <row r="5">
          <cell r="A5">
            <v>4</v>
          </cell>
          <cell r="B5" t="str">
            <v>DIRECT ASSIGNMENT - GAS PURCHASE EXPENSE</v>
          </cell>
          <cell r="E5">
            <v>52718497</v>
          </cell>
          <cell r="F5">
            <v>31699928</v>
          </cell>
          <cell r="G5">
            <v>20272155</v>
          </cell>
          <cell r="H5">
            <v>746414</v>
          </cell>
          <cell r="I5">
            <v>0</v>
          </cell>
          <cell r="N5">
            <v>0.60130561005940664</v>
          </cell>
          <cell r="O5">
            <v>0.3845359058700023</v>
          </cell>
          <cell r="P5">
            <v>1.4158484070591011E-2</v>
          </cell>
          <cell r="Q5">
            <v>0</v>
          </cell>
          <cell r="S5">
            <v>1</v>
          </cell>
        </row>
        <row r="6">
          <cell r="A6">
            <v>5</v>
          </cell>
          <cell r="B6" t="str">
            <v>COMPOSITE ALLOCATORS #1 &amp; #3</v>
          </cell>
          <cell r="C6" t="str">
            <v>DEMAND/COMMODITY</v>
          </cell>
          <cell r="D6" t="str">
            <v>11b</v>
          </cell>
          <cell r="E6">
            <v>1.0000000000000002</v>
          </cell>
          <cell r="F6">
            <v>0.43357759942441609</v>
          </cell>
          <cell r="G6">
            <v>0.29358311864037817</v>
          </cell>
          <cell r="H6">
            <v>9.5220646850110099E-3</v>
          </cell>
          <cell r="I6">
            <v>0.2633172172501948</v>
          </cell>
          <cell r="N6">
            <v>0.43357759942441598</v>
          </cell>
          <cell r="O6">
            <v>0.29358311864037812</v>
          </cell>
          <cell r="P6">
            <v>9.5220646850110082E-3</v>
          </cell>
          <cell r="Q6">
            <v>0.26331721725019475</v>
          </cell>
          <cell r="S6">
            <v>1</v>
          </cell>
        </row>
        <row r="7">
          <cell r="A7">
            <v>6</v>
          </cell>
          <cell r="B7" t="str">
            <v>AVERAGE NO. OF CUSTOMERS</v>
          </cell>
          <cell r="E7">
            <v>32348.833333333332</v>
          </cell>
          <cell r="F7">
            <v>28628.833333333332</v>
          </cell>
          <cell r="G7">
            <v>3600.333333333333</v>
          </cell>
          <cell r="H7">
            <v>27</v>
          </cell>
          <cell r="I7">
            <v>92.666666666666671</v>
          </cell>
          <cell r="N7">
            <v>0.88500358075767804</v>
          </cell>
          <cell r="O7">
            <v>0.11129716166992111</v>
          </cell>
          <cell r="P7">
            <v>8.3465142998459508E-4</v>
          </cell>
          <cell r="Q7">
            <v>2.8646061424162646E-3</v>
          </cell>
          <cell r="S7">
            <v>1</v>
          </cell>
        </row>
        <row r="8">
          <cell r="A8">
            <v>7</v>
          </cell>
          <cell r="B8" t="str">
            <v>DIRECT ASSIGNMENT - CONSUMPTION TAX</v>
          </cell>
          <cell r="E8">
            <v>208890</v>
          </cell>
          <cell r="F8">
            <v>94651</v>
          </cell>
          <cell r="G8">
            <v>61203</v>
          </cell>
          <cell r="H8">
            <v>2324</v>
          </cell>
          <cell r="I8">
            <v>50712</v>
          </cell>
          <cell r="N8">
            <v>0.4531140791804299</v>
          </cell>
          <cell r="O8">
            <v>0.29299152664081574</v>
          </cell>
          <cell r="P8">
            <v>1.1125472736847145E-2</v>
          </cell>
          <cell r="Q8">
            <v>0.24276892144190723</v>
          </cell>
          <cell r="S8">
            <v>1</v>
          </cell>
        </row>
        <row r="9">
          <cell r="A9">
            <v>8</v>
          </cell>
          <cell r="B9" t="str">
            <v>CURRENT REVENUE EXCL FORFEITED DIS &amp; OTHER</v>
          </cell>
          <cell r="E9">
            <v>69810883</v>
          </cell>
          <cell r="F9">
            <v>41382846.399999999</v>
          </cell>
          <cell r="G9">
            <v>25296454</v>
          </cell>
          <cell r="H9">
            <v>835580.7</v>
          </cell>
          <cell r="I9">
            <v>2296001.9</v>
          </cell>
          <cell r="N9">
            <v>0.59278503037986208</v>
          </cell>
          <cell r="O9">
            <v>0.36235688352487966</v>
          </cell>
          <cell r="P9">
            <v>1.1969203999324862E-2</v>
          </cell>
          <cell r="Q9">
            <v>3.2888882095933381E-2</v>
          </cell>
          <cell r="S9">
            <v>1</v>
          </cell>
        </row>
        <row r="10">
          <cell r="A10">
            <v>9</v>
          </cell>
          <cell r="B10" t="str">
            <v>DIRECT ASSIGNMENT - CUSTOMER DEPOSITS</v>
          </cell>
          <cell r="E10">
            <v>341775</v>
          </cell>
          <cell r="F10">
            <v>223584</v>
          </cell>
          <cell r="G10">
            <v>118191</v>
          </cell>
          <cell r="H10">
            <v>0</v>
          </cell>
          <cell r="I10">
            <v>0</v>
          </cell>
          <cell r="N10">
            <v>0.6541847706824665</v>
          </cell>
          <cell r="O10">
            <v>0.34581522931753345</v>
          </cell>
          <cell r="P10">
            <v>0</v>
          </cell>
          <cell r="Q10">
            <v>0</v>
          </cell>
          <cell r="S10">
            <v>1</v>
          </cell>
        </row>
        <row r="11">
          <cell r="A11">
            <v>10</v>
          </cell>
          <cell r="B11" t="str">
            <v>DIRECT ASSIGNMENT - FRANCHISE TAX BASED ON GROSS RECEIPTS</v>
          </cell>
          <cell r="E11">
            <v>326619.34039999999</v>
          </cell>
          <cell r="F11">
            <v>183990.008</v>
          </cell>
          <cell r="G11">
            <v>94900.96639999999</v>
          </cell>
          <cell r="H11">
            <v>1789.9260000000011</v>
          </cell>
          <cell r="I11">
            <v>45938.44</v>
          </cell>
          <cell r="N11">
            <v>0.56331632956784949</v>
          </cell>
          <cell r="O11">
            <v>0.29055525702727186</v>
          </cell>
          <cell r="P11">
            <v>5.480159251463607E-3</v>
          </cell>
          <cell r="Q11">
            <v>0.14064825415341511</v>
          </cell>
          <cell r="S11">
            <v>1</v>
          </cell>
        </row>
        <row r="12">
          <cell r="A12">
            <v>11</v>
          </cell>
          <cell r="B12" t="str">
            <v>DIST. PLANT EXCL ACCTS 375.70, 375.71, &amp; 387</v>
          </cell>
          <cell r="E12">
            <v>100881778.80000001</v>
          </cell>
          <cell r="F12">
            <v>59268813.399999999</v>
          </cell>
          <cell r="G12">
            <v>24033605</v>
          </cell>
          <cell r="H12">
            <v>798509.4</v>
          </cell>
          <cell r="I12">
            <v>16780851</v>
          </cell>
          <cell r="N12">
            <v>0.58750761639028504</v>
          </cell>
          <cell r="O12">
            <v>0.23823534126660342</v>
          </cell>
          <cell r="P12">
            <v>7.9152985752071209E-3</v>
          </cell>
          <cell r="Q12">
            <v>0.16634174376790428</v>
          </cell>
          <cell r="S12">
            <v>1</v>
          </cell>
        </row>
        <row r="13">
          <cell r="A13">
            <v>12</v>
          </cell>
          <cell r="B13" t="str">
            <v>GROSS PLANT</v>
          </cell>
          <cell r="E13">
            <v>107211465.59999999</v>
          </cell>
          <cell r="F13">
            <v>62654477.600000001</v>
          </cell>
          <cell r="G13">
            <v>25879233</v>
          </cell>
          <cell r="H13">
            <v>854459.6</v>
          </cell>
          <cell r="I13">
            <v>17823295.400000002</v>
          </cell>
          <cell r="N13">
            <v>0.58440090571805414</v>
          </cell>
          <cell r="O13">
            <v>0.24138493821690654</v>
          </cell>
          <cell r="P13">
            <v>7.9698528064893834E-3</v>
          </cell>
          <cell r="Q13">
            <v>0.16624430325855002</v>
          </cell>
          <cell r="S13">
            <v>1</v>
          </cell>
        </row>
        <row r="14">
          <cell r="A14">
            <v>13</v>
          </cell>
          <cell r="B14" t="str">
            <v>DIRECT PLANT - MAINS</v>
          </cell>
          <cell r="E14">
            <v>58076733</v>
          </cell>
          <cell r="F14">
            <v>25180770.5</v>
          </cell>
          <cell r="G14">
            <v>17050348.399999999</v>
          </cell>
          <cell r="H14">
            <v>553010.4</v>
          </cell>
          <cell r="I14">
            <v>15292603.699999999</v>
          </cell>
          <cell r="N14">
            <v>0.43357759982814459</v>
          </cell>
          <cell r="O14">
            <v>0.29358311873362436</v>
          </cell>
          <cell r="P14">
            <v>9.522064541750308E-3</v>
          </cell>
          <cell r="Q14">
            <v>0.26331721689648074</v>
          </cell>
          <cell r="S14">
            <v>1</v>
          </cell>
        </row>
        <row r="15">
          <cell r="A15">
            <v>14</v>
          </cell>
          <cell r="B15" t="str">
            <v>COMPOSITE DIRECT PLANT - ACCTS 376 &amp; 380</v>
          </cell>
          <cell r="E15">
            <v>90324477</v>
          </cell>
          <cell r="F15">
            <v>53337142.399999999</v>
          </cell>
          <cell r="G15">
            <v>20690703.099999998</v>
          </cell>
          <cell r="H15">
            <v>617441.5</v>
          </cell>
          <cell r="I15">
            <v>15679190</v>
          </cell>
          <cell r="N15">
            <v>0.59050596440209668</v>
          </cell>
          <cell r="O15">
            <v>0.229070832040356</v>
          </cell>
          <cell r="P15">
            <v>6.8358159438886099E-3</v>
          </cell>
          <cell r="Q15">
            <v>0.17358738761365869</v>
          </cell>
          <cell r="S15">
            <v>1</v>
          </cell>
        </row>
        <row r="16">
          <cell r="A16">
            <v>15</v>
          </cell>
          <cell r="B16" t="str">
            <v>DIRECT ASSIGNMENT - SERVICES</v>
          </cell>
          <cell r="E16">
            <v>1.0009999999999999</v>
          </cell>
          <cell r="F16">
            <v>0.874</v>
          </cell>
          <cell r="G16">
            <v>0.113</v>
          </cell>
          <cell r="H16">
            <v>2E-3</v>
          </cell>
          <cell r="I16">
            <v>1.2E-2</v>
          </cell>
          <cell r="N16">
            <v>0.8731268731268732</v>
          </cell>
          <cell r="O16">
            <v>0.11288711288711291</v>
          </cell>
          <cell r="P16">
            <v>1.9980019980019984E-3</v>
          </cell>
          <cell r="Q16">
            <v>1.198801198801199E-2</v>
          </cell>
          <cell r="S16">
            <v>1</v>
          </cell>
        </row>
        <row r="17">
          <cell r="A17">
            <v>16</v>
          </cell>
          <cell r="B17" t="str">
            <v>DIRECT ASSIGNMENT - METERS</v>
          </cell>
          <cell r="E17">
            <v>1</v>
          </cell>
          <cell r="F17">
            <v>0.63100000000000001</v>
          </cell>
          <cell r="G17">
            <v>0.32100000000000001</v>
          </cell>
          <cell r="H17">
            <v>7.0000000000000001E-3</v>
          </cell>
          <cell r="I17">
            <v>4.1000000000000002E-2</v>
          </cell>
          <cell r="N17">
            <v>0.63100000000000001</v>
          </cell>
          <cell r="O17">
            <v>0.32100000000000001</v>
          </cell>
          <cell r="P17">
            <v>7.0000000000000001E-3</v>
          </cell>
          <cell r="Q17">
            <v>4.1000000000000002E-2</v>
          </cell>
          <cell r="S17">
            <v>1</v>
          </cell>
        </row>
        <row r="18">
          <cell r="A18">
            <v>17</v>
          </cell>
          <cell r="B18" t="str">
            <v>DIRECT ASSIGNMENT - IND M &amp; R</v>
          </cell>
          <cell r="E18">
            <v>1</v>
          </cell>
          <cell r="F18">
            <v>0</v>
          </cell>
          <cell r="G18">
            <v>0.32900000000000001</v>
          </cell>
          <cell r="H18">
            <v>0.184</v>
          </cell>
          <cell r="I18">
            <v>0.48699999999999999</v>
          </cell>
          <cell r="N18">
            <v>0</v>
          </cell>
          <cell r="O18">
            <v>0.32900000000000001</v>
          </cell>
          <cell r="P18">
            <v>0.184</v>
          </cell>
          <cell r="Q18">
            <v>0.48699999999999999</v>
          </cell>
          <cell r="S18">
            <v>1</v>
          </cell>
        </row>
        <row r="19">
          <cell r="A19">
            <v>18</v>
          </cell>
          <cell r="B19" t="str">
            <v>OTHER DISTRIBUTION O &amp; M EXPENSE</v>
          </cell>
          <cell r="E19">
            <v>1930041.3091895485</v>
          </cell>
          <cell r="F19">
            <v>1079046.1000000001</v>
          </cell>
          <cell r="G19">
            <v>533901.98</v>
          </cell>
          <cell r="H19">
            <v>21657.47</v>
          </cell>
          <cell r="I19">
            <v>295435.88000000006</v>
          </cell>
          <cell r="N19">
            <v>0.55907927714412842</v>
          </cell>
          <cell r="O19">
            <v>0.27662722940587886</v>
          </cell>
          <cell r="P19">
            <v>1.1221246870148223E-2</v>
          </cell>
          <cell r="Q19">
            <v>0.15307230917459366</v>
          </cell>
          <cell r="S19">
            <v>1</v>
          </cell>
        </row>
        <row r="20">
          <cell r="A20">
            <v>19</v>
          </cell>
          <cell r="B20" t="str">
            <v xml:space="preserve">O &amp; M EXCL GAS PUR, UNCOLLECTIBLES, &amp; A &amp; G </v>
          </cell>
          <cell r="E20">
            <v>3632896.7122915387</v>
          </cell>
          <cell r="F20">
            <v>2260664.3000000003</v>
          </cell>
          <cell r="G20">
            <v>897361.89000000025</v>
          </cell>
          <cell r="H20">
            <v>33336.47</v>
          </cell>
          <cell r="I20">
            <v>441533.77000000008</v>
          </cell>
          <cell r="N20">
            <v>0.6222759629667618</v>
          </cell>
          <cell r="O20">
            <v>0.24701002012082177</v>
          </cell>
          <cell r="P20">
            <v>9.176277951203354E-3</v>
          </cell>
          <cell r="Q20">
            <v>0.12153766125695653</v>
          </cell>
          <cell r="S20">
            <v>1</v>
          </cell>
        </row>
        <row r="21">
          <cell r="A21">
            <v>20</v>
          </cell>
          <cell r="B21" t="str">
            <v>MINIMUM SYSTEM MAINS</v>
          </cell>
          <cell r="C21" t="str">
            <v>CUSTOMER/DEMAND</v>
          </cell>
          <cell r="D21" t="str">
            <v>11a</v>
          </cell>
          <cell r="E21">
            <v>1</v>
          </cell>
          <cell r="F21">
            <v>0.75</v>
          </cell>
          <cell r="G21">
            <v>0.189</v>
          </cell>
          <cell r="H21">
            <v>3.8999999999999998E-3</v>
          </cell>
          <cell r="I21">
            <v>5.7099999999999998E-2</v>
          </cell>
          <cell r="N21">
            <v>0.75</v>
          </cell>
          <cell r="O21">
            <v>0.189</v>
          </cell>
          <cell r="P21">
            <v>3.8999999999999998E-3</v>
          </cell>
          <cell r="Q21">
            <v>5.7099999999999998E-2</v>
          </cell>
          <cell r="S21">
            <v>1</v>
          </cell>
        </row>
        <row r="22">
          <cell r="A22">
            <v>21</v>
          </cell>
          <cell r="B22" t="str">
            <v>DIRECT ASSIGNMENT - CUR REV BILLED THROUGH DIS</v>
          </cell>
          <cell r="E22">
            <v>64496162</v>
          </cell>
          <cell r="F22">
            <v>41364041</v>
          </cell>
          <cell r="G22">
            <v>23132121</v>
          </cell>
          <cell r="H22">
            <v>0</v>
          </cell>
          <cell r="I22">
            <v>0</v>
          </cell>
          <cell r="N22">
            <v>0.64134112352297801</v>
          </cell>
          <cell r="O22">
            <v>0.35865887647702199</v>
          </cell>
          <cell r="P22">
            <v>0</v>
          </cell>
          <cell r="Q22">
            <v>0</v>
          </cell>
          <cell r="S22">
            <v>1</v>
          </cell>
        </row>
        <row r="23">
          <cell r="A23">
            <v>22</v>
          </cell>
          <cell r="B23" t="str">
            <v>NOT USED</v>
          </cell>
          <cell r="C23" t="str">
            <v>AVERAGE &amp; EXCESS</v>
          </cell>
          <cell r="D23" t="str">
            <v>11d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N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S23" t="e">
            <v>#DIV/0!</v>
          </cell>
        </row>
        <row r="24">
          <cell r="A24">
            <v>23</v>
          </cell>
          <cell r="B24" t="str">
            <v>NOT USED</v>
          </cell>
          <cell r="N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S24" t="e">
            <v>#DIV/0!</v>
          </cell>
        </row>
        <row r="25">
          <cell r="A25">
            <v>24</v>
          </cell>
          <cell r="B25" t="str">
            <v>NOT USED</v>
          </cell>
          <cell r="N25" t="e">
            <v>#DIV/0!</v>
          </cell>
          <cell r="O25" t="e">
            <v>#DIV/0!</v>
          </cell>
          <cell r="P25" t="e">
            <v>#DIV/0!</v>
          </cell>
          <cell r="Q25" t="e">
            <v>#DIV/0!</v>
          </cell>
          <cell r="S25" t="e">
            <v>#DIV/0!</v>
          </cell>
        </row>
        <row r="26">
          <cell r="A26">
            <v>25</v>
          </cell>
          <cell r="B26" t="str">
            <v>NOT USED</v>
          </cell>
          <cell r="N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S26" t="e">
            <v>#DIV/0!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10"/>
    </sheetNames>
    <sheetDataSet>
      <sheetData sheetId="0" refreshError="1">
        <row r="1">
          <cell r="H1" t="str">
            <v>Exhibit No. 10</v>
          </cell>
        </row>
        <row r="2">
          <cell r="H2" t="str">
            <v>Sheet 1 of</v>
          </cell>
        </row>
        <row r="3">
          <cell r="H3" t="str">
            <v>14 Sheets</v>
          </cell>
        </row>
        <row r="4">
          <cell r="H4" t="str">
            <v>Witness:  R.D. Gibbons</v>
          </cell>
        </row>
        <row r="5">
          <cell r="D5" t="str">
            <v>COLUMBIA GAS OF MARYLAND, INC.</v>
          </cell>
        </row>
        <row r="7">
          <cell r="D7" t="str">
            <v>SUMMARY OF CASH WORKING CAPITAL ALLOWANCE</v>
          </cell>
        </row>
        <row r="9">
          <cell r="D9" t="str">
            <v>FOR THE TWELVE MONTHS ENDED SEPTEMBER 30, 1996</v>
          </cell>
        </row>
        <row r="11">
          <cell r="A11" t="str">
            <v>Line</v>
          </cell>
          <cell r="H11" t="str">
            <v>Pro Forma</v>
          </cell>
        </row>
        <row r="12">
          <cell r="A12" t="str">
            <v>No.</v>
          </cell>
          <cell r="D12" t="str">
            <v>Description</v>
          </cell>
          <cell r="H12" t="str">
            <v>at Proposed Rates</v>
          </cell>
        </row>
        <row r="15">
          <cell r="A15" t="str">
            <v>1</v>
          </cell>
          <cell r="C15" t="str">
            <v>(1) Cash working capital allowance resulting from</v>
          </cell>
        </row>
        <row r="16">
          <cell r="A16" t="str">
            <v>2</v>
          </cell>
          <cell r="C16" t="str">
            <v xml:space="preserve">    the lag in the collection of revenue being</v>
          </cell>
        </row>
        <row r="17">
          <cell r="A17" t="str">
            <v>3</v>
          </cell>
          <cell r="C17" t="str">
            <v xml:space="preserve">    greater than the lag in the payment of expenses</v>
          </cell>
          <cell r="H17">
            <v>966607</v>
          </cell>
        </row>
        <row r="19">
          <cell r="A19" t="str">
            <v>4</v>
          </cell>
          <cell r="C19" t="str">
            <v>(2) Minimum bank balances to compensate banking</v>
          </cell>
        </row>
        <row r="20">
          <cell r="A20" t="str">
            <v>5</v>
          </cell>
          <cell r="C20" t="str">
            <v xml:space="preserve">    institutions for banking services:</v>
          </cell>
        </row>
        <row r="22">
          <cell r="A22" t="str">
            <v>6</v>
          </cell>
          <cell r="C22" t="str">
            <v xml:space="preserve">      General Fund (average daily balance)</v>
          </cell>
          <cell r="H22">
            <v>22002</v>
          </cell>
        </row>
        <row r="23">
          <cell r="A23" t="str">
            <v>7</v>
          </cell>
          <cell r="C23" t="str">
            <v xml:space="preserve">      Local Offices Working Fund</v>
          </cell>
          <cell r="H23">
            <v>980</v>
          </cell>
        </row>
        <row r="25">
          <cell r="A25" t="str">
            <v>8</v>
          </cell>
          <cell r="C25" t="str">
            <v xml:space="preserve">      Total Minimum Bank Balances</v>
          </cell>
          <cell r="H25">
            <v>22982</v>
          </cell>
        </row>
        <row r="28">
          <cell r="A28" t="str">
            <v>9</v>
          </cell>
          <cell r="C28" t="str">
            <v>TOTAL CASH WORKING CAPITAL ALLOWANCE</v>
          </cell>
          <cell r="H28">
            <v>989589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"/>
      <sheetName val="EX"/>
      <sheetName val="END FXrates"/>
      <sheetName val="AVG FXrat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D-2.1 Output"/>
      <sheetName val="Input"/>
      <sheetName val="A"/>
      <sheetName val="B"/>
      <sheetName val="C"/>
      <sheetName val="D - Do Not Use"/>
      <sheetName val="E pg 1 thru 4"/>
      <sheetName val="E pg 5 to 6"/>
      <sheetName val="E pg 7 to 8"/>
      <sheetName val="Sch M"/>
      <sheetName val="Sch M 2.1"/>
      <sheetName val="Sch M 2.2"/>
      <sheetName val="Sch M 2.3"/>
      <sheetName val="Sch M - Do Not Use"/>
      <sheetName val="MPB-6 Page 4"/>
      <sheetName val="MPB-6 Rate Design"/>
      <sheetName val="Macros"/>
    </sheetNames>
    <sheetDataSet>
      <sheetData sheetId="0" refreshError="1"/>
      <sheetData sheetId="1" refreshError="1">
        <row r="12">
          <cell r="B12" t="str">
            <v>Case No. 2013-</v>
          </cell>
        </row>
        <row r="14">
          <cell r="B14" t="str">
            <v>Witness: C. E. Notestone</v>
          </cell>
        </row>
        <row r="16">
          <cell r="C16">
            <v>4.3373999999999997</v>
          </cell>
        </row>
        <row r="17">
          <cell r="C17">
            <v>4.1236999999999995</v>
          </cell>
        </row>
        <row r="20">
          <cell r="C20" t="str">
            <v>February 28, 2013</v>
          </cell>
        </row>
      </sheetData>
      <sheetData sheetId="2" refreshError="1"/>
      <sheetData sheetId="3" refreshError="1">
        <row r="1">
          <cell r="A1" t="str">
            <v>Columbia Gas of Kentucky, Inc.</v>
          </cell>
        </row>
        <row r="3">
          <cell r="A3" t="str">
            <v>For the 12 Months Ended July 31, 2013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ng Income Sum Index C"/>
      <sheetName val="Operating Income Sum Index D"/>
      <sheetName val="Operating Income Summary C-1"/>
      <sheetName val="Adj Operating Income Sum C-2"/>
      <sheetName val="Oper Rev&amp;Exp by Accts C2.1A"/>
      <sheetName val="Oper Rev&amp;Exp by Accts C2.1B"/>
      <sheetName val="Total Co Accts Activ C2.2A"/>
      <sheetName val="Total Co Accts Activ C2.2B"/>
      <sheetName val="Input O&amp;M FERC 7-13"/>
      <sheetName val="Input O&amp;M FERC 11-14"/>
      <sheetName val="DO NOT USE - Accts Activ C2.2A"/>
      <sheetName val="DO NOT USE - Accts Activ C2.2B"/>
      <sheetName val="D-1"/>
      <sheetName val="D-2.1"/>
      <sheetName val="D-2.2"/>
      <sheetName val="D-2.3"/>
      <sheetName val="D-2.4"/>
      <sheetName val="Input O&amp;M CE Adjustments"/>
    </sheetNames>
    <sheetDataSet>
      <sheetData sheetId="0" refreshError="1"/>
      <sheetData sheetId="1" refreshError="1"/>
      <sheetData sheetId="2" refreshError="1">
        <row r="1">
          <cell r="A1" t="str">
            <v>COLUMBIA GAS OF KENTUCKY, INC.</v>
          </cell>
        </row>
        <row r="2">
          <cell r="A2" t="str">
            <v>CASE NO. 2013-XXXXX</v>
          </cell>
        </row>
        <row r="4">
          <cell r="A4" t="str">
            <v>FOR THE BASE PERIOD 12 MONTHS ENDED JULY 31, 2013 AND THE FORECAST PERIOD 12 MONTHS ENDED NOVEMBER 30, 2014</v>
          </cell>
        </row>
        <row r="9">
          <cell r="M9" t="str">
            <v>WITNESS:  S. M. KATKO</v>
          </cell>
        </row>
      </sheetData>
      <sheetData sheetId="3" refreshError="1"/>
      <sheetData sheetId="4" refreshError="1">
        <row r="4">
          <cell r="A4" t="str">
            <v>FOR THE TWELVE MONTHS ENDED JULY 31, 2013</v>
          </cell>
        </row>
      </sheetData>
      <sheetData sheetId="5" refreshError="1">
        <row r="4">
          <cell r="A4" t="str">
            <v>FOR THE TWELVE MONTHS ENDED NOVEMBER 30, 2014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A (Input) Inv MO Service Charge"/>
      <sheetName val="B (Input) MO Volumes"/>
      <sheetName val="C (Input) MO ARC - RRC Charges"/>
      <sheetName val="D (Output)- Volume Analysis"/>
      <sheetName val="E (Calc) -MO ARC-RRC Charge"/>
      <sheetName val="F (Valid) - MO Service Charge"/>
      <sheetName val="G (Valid) - MO ARC-RRC Charge"/>
      <sheetName val="H (Ref) - Mnthly Svc Fees"/>
      <sheetName val="I (Ref) - Mnthly Baseline Units"/>
      <sheetName val="I(a) (Ref) Mnth Baseline %"/>
      <sheetName val="J (Ref) - ARC RRC Rates"/>
      <sheetName val="K Graph (Input)"/>
      <sheetName val="L Graph (Data)"/>
      <sheetName val="M Graph (Baseline)"/>
      <sheetName val="N Graph (RU)"/>
      <sheetName val="O Graph (Charges)"/>
      <sheetName val="SLA Menu"/>
      <sheetName val="K (Input) SLA Achieved"/>
      <sheetName val="L (Output) Service Credit"/>
      <sheetName val="M (Output) Srvice Credt True Up"/>
      <sheetName val="N (Valid) Service Credit Sum"/>
      <sheetName val="O (Ref) At Risk"/>
      <sheetName val="P (Ref) Pool Allocation"/>
      <sheetName val="(Ref) Invoice Detail 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S List"/>
      <sheetName val="Assumptions"/>
      <sheetName val="Analysi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Sources"/>
      <sheetName val="Input"/>
      <sheetName val="Cover"/>
      <sheetName val="Table of Contents"/>
      <sheetName val="Sheet 1- Summary"/>
      <sheetName val="Pg. 2 - Composite"/>
      <sheetName val="Pg. 3 - Daily Demand"/>
      <sheetName val="Pg. 4 - Ann. Demand"/>
      <sheetName val="Pg. 5 - Commodity"/>
      <sheetName val="Pg. 6 - Comm. Rates &amp; Vol."/>
      <sheetName val="Pg. 7 - TCO&amp;CGT Rates"/>
      <sheetName val="Pg. 8 - Transco Rates"/>
      <sheetName val="Pg. 9 - Sales"/>
      <sheetName val="Pg. 10 - Banking"/>
      <sheetName val="Pg. 11 - Misc."/>
      <sheetName val="Pg. 12 PDS"/>
      <sheetName val="Pg. 13 - Balancing Charge"/>
      <sheetName val="Pg. 14 - Variable Storage"/>
      <sheetName val="Pg. 15 - Total Gas Cost"/>
      <sheetName val="Pg 16- Comm. Actual"/>
      <sheetName val="Pg. 17 - Dem Actual"/>
      <sheetName val="Pg. 18 - Alloc"/>
      <sheetName val="Pg. 19 - EBS"/>
      <sheetName val="Pg. 20 - SIS"/>
      <sheetName val="Tabs"/>
    </sheetNames>
    <sheetDataSet>
      <sheetData sheetId="0"/>
      <sheetData sheetId="1">
        <row r="11">
          <cell r="B11">
            <v>1.0379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1.1"/>
      <sheetName val="E-2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ter Configuration"/>
      <sheetName val="Location"/>
      <sheetName val="BT Order Form - Equipment"/>
      <sheetName val="BT Order Form - Services"/>
      <sheetName val="Maint Countries"/>
      <sheetName val="Clarification"/>
      <sheetName val="Cisco Price List"/>
      <sheetName val="Baseline Support"/>
      <sheetName val="Getronics in-Country Ent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resent Rates"/>
      <sheetName val="4-A"/>
      <sheetName val="4-B"/>
      <sheetName val="4-C"/>
      <sheetName val="4-D"/>
      <sheetName val="4-E-1"/>
      <sheetName val="4-E-2"/>
      <sheetName val="4-F"/>
      <sheetName val="4-F-2"/>
      <sheetName val="4-G"/>
      <sheetName val="4-H"/>
      <sheetName val="4-I"/>
      <sheetName val="4-J"/>
      <sheetName val="Adj 4"/>
      <sheetName val="1-2-3"/>
      <sheetName val="SR"/>
      <sheetName val="Sch 42-A"/>
      <sheetName val="Sch 42-B"/>
      <sheetName val="Rate Design"/>
      <sheetName val="Sch 41-A"/>
      <sheetName val="Sch43"/>
      <sheetName val="Macros"/>
    </sheetNames>
    <sheetDataSet>
      <sheetData sheetId="0"/>
      <sheetData sheetId="1"/>
      <sheetData sheetId="2">
        <row r="15">
          <cell r="H15">
            <v>12.25</v>
          </cell>
        </row>
      </sheetData>
      <sheetData sheetId="3">
        <row r="1">
          <cell r="A1" t="str">
            <v>Columbia Gas of Virginia, Inc.</v>
          </cell>
        </row>
      </sheetData>
      <sheetData sheetId="4">
        <row r="155">
          <cell r="M155">
            <v>308525</v>
          </cell>
        </row>
      </sheetData>
      <sheetData sheetId="5"/>
      <sheetData sheetId="6"/>
      <sheetData sheetId="7"/>
      <sheetData sheetId="8"/>
      <sheetData sheetId="9"/>
      <sheetData sheetId="10">
        <row r="626">
          <cell r="J626">
            <v>151694945</v>
          </cell>
        </row>
      </sheetData>
      <sheetData sheetId="11"/>
      <sheetData sheetId="12"/>
      <sheetData sheetId="13"/>
      <sheetData sheetId="14">
        <row r="23">
          <cell r="N23">
            <v>22528937</v>
          </cell>
        </row>
      </sheetData>
      <sheetData sheetId="15"/>
      <sheetData sheetId="16"/>
      <sheetData sheetId="17">
        <row r="16">
          <cell r="F16">
            <v>2586191</v>
          </cell>
        </row>
      </sheetData>
      <sheetData sheetId="18">
        <row r="33">
          <cell r="F33">
            <v>217230</v>
          </cell>
        </row>
      </sheetData>
      <sheetData sheetId="19"/>
      <sheetData sheetId="20"/>
      <sheetData sheetId="21"/>
      <sheetData sheetId="2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ng Income Sum Index C"/>
      <sheetName val="Operating Income Summary C-1"/>
      <sheetName val="Adj Operating Income Sum C-2"/>
      <sheetName val="Oper Rev&amp;Exp by Accts C2.1p1-2"/>
      <sheetName val="Total Co Accts Activ C2.2p1-10"/>
    </sheetNames>
    <sheetDataSet>
      <sheetData sheetId="0" refreshError="1"/>
      <sheetData sheetId="1">
        <row r="4">
          <cell r="A4" t="str">
            <v>FOR THE TWELVE MONTHS ENDED JUNE 30, 2009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B"/>
      <sheetName val="526849-48"/>
      <sheetName val="106200"/>
      <sheetName val="Input"/>
      <sheetName val="Weather"/>
      <sheetName val="Calculations"/>
      <sheetName val="Cash Working Cap"/>
      <sheetName val="Debt and Equity"/>
      <sheetName val="issue nxt qtr"/>
      <sheetName val="NH Return on Rate Base ReportFi"/>
      <sheetName val="#REF"/>
    </sheetNames>
    <sheetDataSet>
      <sheetData sheetId="0" refreshError="1">
        <row r="2">
          <cell r="B2" t="str">
            <v>New Hampshire Division</v>
          </cell>
        </row>
        <row r="3">
          <cell r="B3" t="str">
            <v>Historical Rates of Return - Normalized</v>
          </cell>
        </row>
        <row r="4">
          <cell r="B4" t="str">
            <v>12 Months Ending  09/30/03</v>
          </cell>
        </row>
        <row r="7">
          <cell r="B7" t="str">
            <v>Cost of Service :</v>
          </cell>
          <cell r="D7" t="str">
            <v>Actuals</v>
          </cell>
          <cell r="E7" t="str">
            <v>Per Settlement</v>
          </cell>
        </row>
        <row r="9">
          <cell r="B9" t="str">
            <v xml:space="preserve">Revenues </v>
          </cell>
          <cell r="D9">
            <v>55676556.019999996</v>
          </cell>
          <cell r="E9">
            <v>47746999</v>
          </cell>
        </row>
        <row r="10">
          <cell r="B10" t="str">
            <v>Weather Adjustment ( After Tax )</v>
          </cell>
          <cell r="D10">
            <v>-579544.02674999996</v>
          </cell>
        </row>
        <row r="11">
          <cell r="B11" t="str">
            <v>Gas Costs</v>
          </cell>
          <cell r="D11">
            <v>-35263858.420000002</v>
          </cell>
          <cell r="E11">
            <v>-28866180</v>
          </cell>
        </row>
        <row r="12">
          <cell r="B12" t="str">
            <v>Normalized Revenues</v>
          </cell>
          <cell r="D12">
            <v>19833153.573249996</v>
          </cell>
          <cell r="E12">
            <v>18880819</v>
          </cell>
        </row>
        <row r="13">
          <cell r="F13">
            <v>513401</v>
          </cell>
        </row>
        <row r="14">
          <cell r="B14" t="str">
            <v>O&amp;M:</v>
          </cell>
        </row>
        <row r="15">
          <cell r="B15" t="str">
            <v>Other Production</v>
          </cell>
          <cell r="D15">
            <v>87642.079999999987</v>
          </cell>
          <cell r="E15">
            <v>94112</v>
          </cell>
        </row>
        <row r="16">
          <cell r="B16" t="str">
            <v>Distribution</v>
          </cell>
          <cell r="D16">
            <v>1613597.9500000002</v>
          </cell>
          <cell r="E16">
            <v>2435651</v>
          </cell>
        </row>
        <row r="17">
          <cell r="B17" t="str">
            <v>Customer Accounting</v>
          </cell>
          <cell r="D17">
            <v>1375486.29</v>
          </cell>
          <cell r="E17">
            <v>651787</v>
          </cell>
        </row>
        <row r="18">
          <cell r="B18" t="str">
            <v>Sales &amp; New Business</v>
          </cell>
          <cell r="D18">
            <v>786319.4</v>
          </cell>
          <cell r="E18">
            <v>362580</v>
          </cell>
        </row>
        <row r="19">
          <cell r="B19" t="str">
            <v>Admin. &amp; General</v>
          </cell>
          <cell r="D19">
            <v>5400521.0600000005</v>
          </cell>
          <cell r="E19">
            <v>4185559</v>
          </cell>
          <cell r="F19" t="str">
            <v>(a)</v>
          </cell>
        </row>
        <row r="20">
          <cell r="B20" t="str">
            <v>Subtotal O&amp;M</v>
          </cell>
          <cell r="D20">
            <v>9263566.7800000012</v>
          </cell>
          <cell r="E20">
            <v>7729689</v>
          </cell>
        </row>
        <row r="21">
          <cell r="F21" t="str">
            <v>523722</v>
          </cell>
        </row>
        <row r="22">
          <cell r="B22" t="str">
            <v>Federal &amp; State Income Tax</v>
          </cell>
          <cell r="D22">
            <v>2728469.0292175002</v>
          </cell>
          <cell r="E22">
            <v>2072231</v>
          </cell>
        </row>
        <row r="23">
          <cell r="B23" t="str">
            <v>Property Tax</v>
          </cell>
          <cell r="D23">
            <v>1325069.69</v>
          </cell>
          <cell r="E23">
            <v>1415023</v>
          </cell>
        </row>
        <row r="24">
          <cell r="B24" t="str">
            <v>Other Tax</v>
          </cell>
          <cell r="C24" t="str">
            <v>?</v>
          </cell>
          <cell r="D24">
            <v>198077.43999999994</v>
          </cell>
          <cell r="E24">
            <v>388546</v>
          </cell>
          <cell r="F24" t="str">
            <v>523603</v>
          </cell>
        </row>
        <row r="25">
          <cell r="B25" t="str">
            <v>Depreciation</v>
          </cell>
          <cell r="D25">
            <v>2980385.88</v>
          </cell>
          <cell r="E25">
            <v>2869213</v>
          </cell>
          <cell r="F25" t="str">
            <v>523611</v>
          </cell>
          <cell r="G25" t="str">
            <v>Pension &amp; Benefit Reserves</v>
          </cell>
        </row>
        <row r="26">
          <cell r="B26" t="str">
            <v>Amortization</v>
          </cell>
          <cell r="D26">
            <v>414129.72</v>
          </cell>
          <cell r="E26">
            <v>164759</v>
          </cell>
          <cell r="F26" t="str">
            <v>(a)</v>
          </cell>
        </row>
        <row r="27">
          <cell r="B27" t="str">
            <v>Operating Rents</v>
          </cell>
          <cell r="D27">
            <v>-404214.45</v>
          </cell>
          <cell r="E27">
            <v>-400982</v>
          </cell>
          <cell r="F27" t="str">
            <v>526300</v>
          </cell>
          <cell r="G27" t="str">
            <v>Total Rate Base</v>
          </cell>
        </row>
        <row r="28">
          <cell r="B28" t="str">
            <v>Interest on Customer Deposits</v>
          </cell>
          <cell r="D28">
            <v>19051.25</v>
          </cell>
          <cell r="E28">
            <v>18676</v>
          </cell>
        </row>
        <row r="29">
          <cell r="G29" t="str">
            <v>Utility Operating Income</v>
          </cell>
        </row>
        <row r="30">
          <cell r="B30" t="str">
            <v xml:space="preserve">     Subtotal Operating Expenses</v>
          </cell>
          <cell r="D30">
            <v>16524535.339217499</v>
          </cell>
          <cell r="E30">
            <v>14257155</v>
          </cell>
        </row>
        <row r="33">
          <cell r="G33" t="str">
            <v>Return on Rate Base</v>
          </cell>
        </row>
        <row r="35">
          <cell r="B35" t="str">
            <v>Total Operating Expenses</v>
          </cell>
          <cell r="D35">
            <v>16524535.339217499</v>
          </cell>
          <cell r="E35">
            <v>14257155</v>
          </cell>
          <cell r="G35" t="str">
            <v>Return on Common Equity</v>
          </cell>
        </row>
        <row r="37">
          <cell r="B37" t="str">
            <v>Utility Operating Income</v>
          </cell>
          <cell r="D37">
            <v>3308618.2340324968</v>
          </cell>
          <cell r="E37">
            <v>4623664</v>
          </cell>
        </row>
        <row r="40">
          <cell r="A40" t="str">
            <v xml:space="preserve"> </v>
          </cell>
          <cell r="B40" t="str">
            <v>Return Surplus (Deficiency)</v>
          </cell>
          <cell r="D40">
            <v>-1117794.9672567276</v>
          </cell>
        </row>
        <row r="41">
          <cell r="B41" t="str">
            <v>Revenue Surplus (Deficiency)</v>
          </cell>
          <cell r="D41">
            <v>-1879436.683071421</v>
          </cell>
        </row>
        <row r="45">
          <cell r="B45" t="str">
            <v>Notes:</v>
          </cell>
        </row>
        <row r="47">
          <cell r="B47" t="str">
            <v>Northern's last rate case, D601-182, was settled.  The per</v>
          </cell>
          <cell r="G47" t="str">
            <v>Debt</v>
          </cell>
        </row>
        <row r="48">
          <cell r="B48" t="str">
            <v>settlement numbers are from the Staff's schedules.</v>
          </cell>
          <cell r="G48" t="str">
            <v>Preferred Stock</v>
          </cell>
        </row>
        <row r="49">
          <cell r="G49" t="str">
            <v>Common Equity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 t="str">
            <v>CASE NO. 2002-00145</v>
          </cell>
        </row>
        <row r="3">
          <cell r="A3" t="str">
            <v>ADJUSTMENT TO PAYROLL TAXES</v>
          </cell>
        </row>
        <row r="4">
          <cell r="A4" t="str">
            <v>FOR THE TWELVE MONTHS ENDED DECEMBER 31, 2001</v>
          </cell>
        </row>
        <row r="6">
          <cell r="F6" t="str">
            <v>WPD-2.10</v>
          </cell>
        </row>
        <row r="7">
          <cell r="F7" t="str">
            <v>SHEET 1 OF 1</v>
          </cell>
        </row>
        <row r="8">
          <cell r="F8" t="str">
            <v>REFERENCE: WPD-2.4</v>
          </cell>
        </row>
        <row r="11">
          <cell r="A11" t="str">
            <v>LINE</v>
          </cell>
          <cell r="E11" t="str">
            <v xml:space="preserve">TAXABLE @ </v>
          </cell>
          <cell r="G11" t="str">
            <v xml:space="preserve">TAXABLE @ </v>
          </cell>
        </row>
        <row r="12">
          <cell r="A12" t="str">
            <v>NO.</v>
          </cell>
          <cell r="C12" t="str">
            <v>DESCRIPTION</v>
          </cell>
          <cell r="E12" t="str">
            <v>OASDI &amp; HI</v>
          </cell>
          <cell r="G12" t="str">
            <v>HI ONLY</v>
          </cell>
        </row>
        <row r="13">
          <cell r="E13" t="str">
            <v>(1)</v>
          </cell>
          <cell r="G13" t="str">
            <v>(2)</v>
          </cell>
        </row>
        <row r="14">
          <cell r="E14" t="str">
            <v>$</v>
          </cell>
        </row>
        <row r="15">
          <cell r="A15">
            <v>1</v>
          </cell>
          <cell r="C15" t="str">
            <v>O&amp;M PAYROLL ADJUSTMENT [1]</v>
          </cell>
          <cell r="E15">
            <v>129205</v>
          </cell>
        </row>
        <row r="17">
          <cell r="A17">
            <v>2</v>
          </cell>
          <cell r="C17" t="str">
            <v>TAX RATE</v>
          </cell>
          <cell r="E17">
            <v>7.6499999999999999E-2</v>
          </cell>
        </row>
        <row r="19">
          <cell r="A19">
            <v>3</v>
          </cell>
          <cell r="C19" t="str">
            <v>SUBTOTAL</v>
          </cell>
          <cell r="E19">
            <v>9884</v>
          </cell>
        </row>
        <row r="21">
          <cell r="A21">
            <v>4</v>
          </cell>
          <cell r="C21" t="str">
            <v>INCREASE IN MAXIMUM SUBJECT TO SOCIAL SECURITY</v>
          </cell>
          <cell r="E21">
            <v>4500</v>
          </cell>
        </row>
        <row r="22">
          <cell r="A22">
            <v>5</v>
          </cell>
          <cell r="C22" t="str">
            <v>($84,900 - $80,400)</v>
          </cell>
        </row>
        <row r="24">
          <cell r="A24">
            <v>6</v>
          </cell>
          <cell r="C24" t="str">
            <v>NUMBER OF EMPLOYEES</v>
          </cell>
          <cell r="E24">
            <v>4</v>
          </cell>
        </row>
        <row r="26">
          <cell r="A26">
            <v>7</v>
          </cell>
          <cell r="C26" t="str">
            <v>INCREASE IN BASE</v>
          </cell>
          <cell r="E26">
            <v>18000</v>
          </cell>
        </row>
        <row r="28">
          <cell r="A28">
            <v>8</v>
          </cell>
          <cell r="C28" t="str">
            <v>TAX RATE</v>
          </cell>
          <cell r="E28">
            <v>6.2E-2</v>
          </cell>
        </row>
        <row r="30">
          <cell r="A30">
            <v>9</v>
          </cell>
          <cell r="C30" t="str">
            <v>SUBTOTAL</v>
          </cell>
          <cell r="E30">
            <v>1116</v>
          </cell>
        </row>
        <row r="32">
          <cell r="A32">
            <v>10</v>
          </cell>
          <cell r="C32" t="str">
            <v>TOTAL FICA ADJUSTMENT</v>
          </cell>
          <cell r="E32">
            <v>11000</v>
          </cell>
        </row>
        <row r="35">
          <cell r="C35" t="str">
            <v>NOTES:</v>
          </cell>
        </row>
        <row r="36">
          <cell r="C36" t="str">
            <v>[1]  SEE SHEET 1 OF WPD-2.4</v>
          </cell>
        </row>
      </sheetData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  <sheetName val="Instructions"/>
      <sheetName val="Reconciliation"/>
      <sheetName val="US Detail"/>
      <sheetName val="AS"/>
      <sheetName val="Client Svcs"/>
      <sheetName val="GNS"/>
      <sheetName val="Tech Svcs"/>
      <sheetName val="Client Mgmt"/>
      <sheetName val="HQ"/>
      <sheetName val="INTL Other"/>
      <sheetName val="Total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ng Sheet"/>
      <sheetName val="Index"/>
      <sheetName val="Rev Def Sum"/>
      <sheetName val="Rev Requirement"/>
      <sheetName val="Gross Conversion Factor"/>
      <sheetName val="Proforma Adjustments"/>
      <sheetName val="Revenue  Sheet 1"/>
      <sheetName val="Summary Sheet 2"/>
      <sheetName val="Per Books Purchase Gas Exp"/>
      <sheetName val="Annualized Purchase Gas Exp "/>
      <sheetName val="Unadj. Rev 2-A"/>
      <sheetName val="Bills 2-B"/>
      <sheetName val="Mcf 2-C"/>
      <sheetName val="Norm 2-D"/>
      <sheetName val="Adj. Exhibt 2-E"/>
      <sheetName val="Adj to OGDR 2-F"/>
      <sheetName val="O&amp;M Expenses"/>
      <sheetName val="O&amp;M Adjustment Summary"/>
      <sheetName val="Labor Adj. Summary"/>
      <sheetName val="Wage Increase"/>
      <sheetName val="Gross Payroll Summary"/>
      <sheetName val="O&amp;M Percentage"/>
      <sheetName val="Incentive"/>
      <sheetName val="Profit Sharing"/>
      <sheetName val="Pensions &amp; Benefits Adj "/>
      <sheetName val="NCSC Test Year Adj"/>
      <sheetName val="Incentive Comp"/>
      <sheetName val="IBM IT"/>
      <sheetName val="NCSC Labor &amp; Benefits"/>
      <sheetName val="Lobbying Adj"/>
      <sheetName val="Lease Expense"/>
      <sheetName val="Corporate Insurance"/>
      <sheetName val="Fuel Used in Co Operations"/>
      <sheetName val="Uncollectible Adj."/>
      <sheetName val="Rate Case Expense Adj"/>
      <sheetName val="DSM Surcharge Adjustment"/>
      <sheetName val="PSC &amp; PC Fees Adj"/>
      <sheetName val="Injuries&amp; Damages Adj"/>
      <sheetName val="Meter Reading Costs"/>
      <sheetName val="Depreciation Expense Summary"/>
      <sheetName val="Taxes Other than Income Sum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Rate Base"/>
      <sheetName val="In Ser Acct 101 Sum"/>
      <sheetName val="106 "/>
      <sheetName val="107 "/>
      <sheetName val="Depreciation Reserve "/>
      <sheetName val="Material &amp; Supplies"/>
      <sheetName val="Def Tx CIAC"/>
      <sheetName val="Def Tx Inv"/>
      <sheetName val="Customer Deposits"/>
      <sheetName val="Cust Adv  Const"/>
      <sheetName val="Def Inc Taxes"/>
      <sheetName val="Def Tx Hdqts Bldg"/>
      <sheetName val="Lead Lag"/>
      <sheetName val="Cost of Capital"/>
      <sheetName val="Annualized Labor 6-30-08 Wpa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Remit"/>
      <sheetName val="August Timesheets"/>
      <sheetName val="September Timesheets"/>
      <sheetName val="September Travel Detail"/>
      <sheetName val="HWS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Corrections &amp; Updat "/>
      <sheetName val="Schedule M Input"/>
      <sheetName val="Pensions &amp; Retirement Income"/>
      <sheetName val="Overall Fin Sum Sch-A"/>
      <sheetName val="Rate Base Summary Sch B-1"/>
      <sheetName val="Plant in Service B-2"/>
      <sheetName val="PP&amp;E  by Accounts B-2.1"/>
      <sheetName val="PP&amp;E by Accts by Type B-2.1a"/>
      <sheetName val="PP&amp;E Add. Retire. Trans. B-2.3"/>
      <sheetName val="Accum Depr &amp; Amort Summary B-3"/>
      <sheetName val="Dep Accur Rates &amp; Acc Bal B-3.2"/>
      <sheetName val="CWIP B-4"/>
      <sheetName val="Allowance for Work Capital B-5"/>
      <sheetName val="WC Comp 13 Mon Avg Bal B-5.1"/>
      <sheetName val="WC Comp 1-8 O&amp;M Exp  B-5.2"/>
      <sheetName val="Def Cr &amp; Accum Def Inc Tax B-6"/>
      <sheetName val="Comparative Bal Sheets B-8"/>
      <sheetName val="Operating Income Summary C-1"/>
      <sheetName val="Adj Operating Income Sum C-2"/>
      <sheetName val="Oper Rev&amp;Exp by Accts C2.1p1-2"/>
      <sheetName val="Total Co Accts Activ C2.2p1-10"/>
      <sheetName val="Sum Adj  Oper Inc D-1, Sht 1-2"/>
      <sheetName val="Ann of Sales Rev D-2.1, Sht 1-6"/>
      <sheetName val="Labor Adj D-2.2"/>
      <sheetName val="Bonus Accrual-Incen Comp  D-2.3"/>
      <sheetName val="Benefits Adj D-2.4"/>
      <sheetName val="Rent Exp. Civic Cent Bldg D-2.5"/>
      <sheetName val="Depr Exp Adj D-2.6"/>
      <sheetName val="Depr Exp Adj D-2.6 p2"/>
      <sheetName val="Rate Case Expense D-2.7"/>
      <sheetName val="NCSC D-2.8 p1"/>
      <sheetName val="NCSC D-2.8 p2 "/>
      <sheetName val="Corporate Insurance  D-2.9"/>
      <sheetName val="Payroll Tax Adj D-2.10"/>
      <sheetName val="Property Tax Adj D-2.11"/>
      <sheetName val="Fed &amp; State Income Taxes E-1.1"/>
      <sheetName val="Gross Conversion Factor H-1"/>
      <sheetName val="Cost of Capital Summary J-1"/>
      <sheetName val="Avg Base Period  Cap Str J-1.1"/>
      <sheetName val="Embedded Cost of STD J-2"/>
      <sheetName val="Embedded Cost of LTD J-3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2"/>
      <sheetName val="B2.1"/>
      <sheetName val="B-2.1a"/>
      <sheetName val="B-2.2"/>
      <sheetName val="B-2.3"/>
      <sheetName val="B-2.4"/>
      <sheetName val="B-2.5"/>
      <sheetName val="B-2.6"/>
      <sheetName val="B-2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33 A REV."/>
      <sheetName val="ATTACH REH-5A REV"/>
      <sheetName val="TS1 &amp; TS2 ALLOCATION"/>
    </sheetNames>
    <sheetDataSet>
      <sheetData sheetId="0">
        <row r="1">
          <cell r="H1" t="str">
            <v>Schedule 33</v>
          </cell>
        </row>
        <row r="3">
          <cell r="D3" t="str">
            <v>COLUMBIA GAS OF VIRGINIA,  INC.</v>
          </cell>
        </row>
        <row r="5">
          <cell r="D5" t="str">
            <v xml:space="preserve">      Schedule of Additional Gross Revenues</v>
          </cell>
        </row>
        <row r="6">
          <cell r="D6" t="str">
            <v>By Rate Schedule Produced By Proposed Rates</v>
          </cell>
        </row>
        <row r="9">
          <cell r="D9" t="str">
            <v>Adjusted</v>
          </cell>
          <cell r="G9" t="str">
            <v>Proposed</v>
          </cell>
          <cell r="H9" t="str">
            <v>Proposed</v>
          </cell>
        </row>
        <row r="10">
          <cell r="C10" t="str">
            <v>Adjusted</v>
          </cell>
          <cell r="D10" t="str">
            <v>Rate</v>
          </cell>
          <cell r="E10" t="str">
            <v>Proposed</v>
          </cell>
          <cell r="F10" t="str">
            <v>Adjusted</v>
          </cell>
          <cell r="G10" t="str">
            <v>Increase</v>
          </cell>
          <cell r="H10" t="str">
            <v>Increase</v>
          </cell>
        </row>
        <row r="11">
          <cell r="B11" t="str">
            <v>Description</v>
          </cell>
          <cell r="C11" t="str">
            <v>Volumes (a)</v>
          </cell>
          <cell r="D11" t="str">
            <v>Revenue (b)</v>
          </cell>
          <cell r="E11" t="str">
            <v>Increase</v>
          </cell>
          <cell r="F11" t="str">
            <v>Revenues</v>
          </cell>
          <cell r="G11" t="str">
            <v>Per Mcf</v>
          </cell>
          <cell r="H11" t="str">
            <v>Percent</v>
          </cell>
        </row>
        <row r="12">
          <cell r="C12" t="str">
            <v>(1)</v>
          </cell>
          <cell r="D12" t="str">
            <v>(2)</v>
          </cell>
          <cell r="E12" t="str">
            <v>(3)</v>
          </cell>
          <cell r="F12" t="str">
            <v>(4=2+3)</v>
          </cell>
          <cell r="G12" t="str">
            <v>(5=3/1)</v>
          </cell>
          <cell r="H12" t="str">
            <v>(6)</v>
          </cell>
        </row>
        <row r="13">
          <cell r="C13" t="str">
            <v>Mcf</v>
          </cell>
          <cell r="D13" t="str">
            <v>$</v>
          </cell>
          <cell r="E13" t="str">
            <v>$</v>
          </cell>
          <cell r="F13" t="str">
            <v>$</v>
          </cell>
          <cell r="G13" t="str">
            <v>$/Mcf</v>
          </cell>
        </row>
        <row r="15">
          <cell r="B15" t="str">
            <v>Residential Service</v>
          </cell>
        </row>
        <row r="16">
          <cell r="B16" t="str">
            <v xml:space="preserve">  East and West</v>
          </cell>
          <cell r="C16">
            <v>11467918.199999999</v>
          </cell>
          <cell r="D16">
            <v>105546782</v>
          </cell>
          <cell r="E16">
            <v>9268974.945700001</v>
          </cell>
          <cell r="F16">
            <v>114815756.9457</v>
          </cell>
        </row>
        <row r="17">
          <cell r="B17" t="str">
            <v xml:space="preserve">  Central</v>
          </cell>
          <cell r="C17">
            <v>917057.1</v>
          </cell>
          <cell r="D17">
            <v>8272167</v>
          </cell>
          <cell r="E17">
            <v>796152.52987344749</v>
          </cell>
          <cell r="F17">
            <v>9068319.5298734475</v>
          </cell>
        </row>
        <row r="18">
          <cell r="B18" t="str">
            <v xml:space="preserve">  Total</v>
          </cell>
          <cell r="C18">
            <v>12384975.299999999</v>
          </cell>
          <cell r="D18">
            <v>113818949</v>
          </cell>
          <cell r="E18">
            <v>10065127.475573448</v>
          </cell>
          <cell r="F18">
            <v>123884076.47557345</v>
          </cell>
          <cell r="G18">
            <v>0.81269999999999998</v>
          </cell>
          <cell r="H18">
            <v>8.8400000000000006E-2</v>
          </cell>
        </row>
        <row r="20">
          <cell r="B20" t="str">
            <v>Small General Service</v>
          </cell>
        </row>
        <row r="21">
          <cell r="B21" t="str">
            <v xml:space="preserve">  Commercial</v>
          </cell>
          <cell r="C21">
            <v>6998572.9000000004</v>
          </cell>
          <cell r="D21">
            <v>47132884</v>
          </cell>
          <cell r="E21">
            <v>2635048.8509999998</v>
          </cell>
          <cell r="F21">
            <v>49767932.850999996</v>
          </cell>
        </row>
        <row r="22">
          <cell r="B22" t="str">
            <v xml:space="preserve">  Industrial</v>
          </cell>
          <cell r="C22">
            <v>522998.3</v>
          </cell>
          <cell r="D22">
            <v>3243215</v>
          </cell>
          <cell r="E22">
            <v>180918.85170088289</v>
          </cell>
          <cell r="F22">
            <v>3424133.8517008829</v>
          </cell>
        </row>
        <row r="23">
          <cell r="B23" t="str">
            <v xml:space="preserve">  Total</v>
          </cell>
          <cell r="C23">
            <v>7521571.2000000002</v>
          </cell>
          <cell r="D23">
            <v>50376099</v>
          </cell>
          <cell r="E23">
            <v>2815967.7027008827</v>
          </cell>
          <cell r="F23">
            <v>53192066.702700876</v>
          </cell>
          <cell r="G23">
            <v>0.37440000000000001</v>
          </cell>
          <cell r="H23">
            <v>5.5899999999999998E-2</v>
          </cell>
        </row>
        <row r="25">
          <cell r="B25" t="str">
            <v xml:space="preserve">Large General Service 1/  </v>
          </cell>
        </row>
        <row r="26">
          <cell r="B26" t="str">
            <v>Transportation Service 1</v>
          </cell>
        </row>
        <row r="27">
          <cell r="B27" t="str">
            <v xml:space="preserve">  Commercial (LGS 1)</v>
          </cell>
          <cell r="C27">
            <v>427682.9</v>
          </cell>
          <cell r="D27">
            <v>1115423</v>
          </cell>
          <cell r="E27">
            <v>32711.53581999999</v>
          </cell>
          <cell r="F27">
            <v>1148134.5358199999</v>
          </cell>
        </row>
        <row r="28">
          <cell r="B28" t="str">
            <v xml:space="preserve">  Industrial (LGS 1)</v>
          </cell>
          <cell r="C28">
            <v>740335</v>
          </cell>
          <cell r="D28">
            <v>3449616</v>
          </cell>
          <cell r="E28">
            <v>74045.791333959671</v>
          </cell>
          <cell r="F28">
            <v>3523661.7913339594</v>
          </cell>
        </row>
        <row r="29">
          <cell r="B29" t="str">
            <v xml:space="preserve">  Commercial (TS-1)</v>
          </cell>
          <cell r="C29">
            <v>2101300.2000000002</v>
          </cell>
          <cell r="D29">
            <v>1368179</v>
          </cell>
          <cell r="E29">
            <v>167328.92973999999</v>
          </cell>
          <cell r="F29">
            <v>1535507.9297400001</v>
          </cell>
        </row>
        <row r="30">
          <cell r="B30" t="str">
            <v xml:space="preserve">  Industrial (TS-1)</v>
          </cell>
          <cell r="C30">
            <v>6947728.5999999996</v>
          </cell>
          <cell r="D30">
            <v>3734034</v>
          </cell>
          <cell r="E30">
            <v>495300.92672000005</v>
          </cell>
          <cell r="F30">
            <v>4229334.9267199999</v>
          </cell>
        </row>
        <row r="31">
          <cell r="B31" t="str">
            <v xml:space="preserve">  Total</v>
          </cell>
          <cell r="C31">
            <v>10217046.699999999</v>
          </cell>
          <cell r="D31">
            <v>9667252</v>
          </cell>
          <cell r="E31">
            <v>769387.1836139597</v>
          </cell>
          <cell r="F31">
            <v>10436639.18361396</v>
          </cell>
          <cell r="G31">
            <v>7.5300000000000006E-2</v>
          </cell>
          <cell r="H31">
            <v>7.9600000000000004E-2</v>
          </cell>
        </row>
        <row r="33">
          <cell r="B33" t="str">
            <v>Large General Service 2/</v>
          </cell>
        </row>
        <row r="34">
          <cell r="B34" t="str">
            <v>Transportation Service 2</v>
          </cell>
        </row>
        <row r="35">
          <cell r="B35" t="str">
            <v xml:space="preserve">  Commercial (LGS 2)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 xml:space="preserve">  Industrial (LGS 2)</v>
          </cell>
          <cell r="C36">
            <v>1052107</v>
          </cell>
          <cell r="D36">
            <v>4040109</v>
          </cell>
          <cell r="E36">
            <v>21383.575000000001</v>
          </cell>
          <cell r="F36">
            <v>4061492.5750000002</v>
          </cell>
        </row>
        <row r="37">
          <cell r="B37" t="str">
            <v xml:space="preserve">  Commercial (TS-2)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 t="str">
            <v xml:space="preserve">  Industrial (TS-2)</v>
          </cell>
          <cell r="C38">
            <v>13598016</v>
          </cell>
          <cell r="D38">
            <v>3105475</v>
          </cell>
          <cell r="E38">
            <v>353886.06311170897</v>
          </cell>
          <cell r="F38">
            <v>3459361.063111709</v>
          </cell>
        </row>
        <row r="39">
          <cell r="B39" t="str">
            <v xml:space="preserve">  Total</v>
          </cell>
          <cell r="C39">
            <v>14650123</v>
          </cell>
          <cell r="D39">
            <v>7145584</v>
          </cell>
          <cell r="E39">
            <v>375269.63811170898</v>
          </cell>
          <cell r="F39">
            <v>7520853.6381117087</v>
          </cell>
          <cell r="G39">
            <v>2.5600000000000001E-2</v>
          </cell>
          <cell r="H39">
            <v>5.2499999999999998E-2</v>
          </cell>
        </row>
        <row r="42">
          <cell r="B42" t="str">
            <v xml:space="preserve">  Special Contract</v>
          </cell>
          <cell r="C42">
            <v>16993404</v>
          </cell>
          <cell r="D42">
            <v>2615185</v>
          </cell>
          <cell r="E42">
            <v>0</v>
          </cell>
          <cell r="F42">
            <v>2615185</v>
          </cell>
          <cell r="G42">
            <v>0</v>
          </cell>
          <cell r="H42">
            <v>0</v>
          </cell>
        </row>
        <row r="44">
          <cell r="B44" t="str">
            <v xml:space="preserve">  Total Transportation</v>
          </cell>
          <cell r="C44">
            <v>39640448.799999997</v>
          </cell>
          <cell r="D44">
            <v>10822873</v>
          </cell>
          <cell r="E44">
            <v>1016515.919571709</v>
          </cell>
          <cell r="F44">
            <v>11839388.919571709</v>
          </cell>
        </row>
        <row r="46">
          <cell r="B46" t="str">
            <v>Total</v>
          </cell>
          <cell r="C46">
            <v>61767120.200000003</v>
          </cell>
          <cell r="D46">
            <v>183623069</v>
          </cell>
          <cell r="E46">
            <v>14025752</v>
          </cell>
          <cell r="F46">
            <v>197648821</v>
          </cell>
        </row>
        <row r="48">
          <cell r="B48" t="str">
            <v>Other Operating Revenue</v>
          </cell>
          <cell r="D48">
            <v>2113419</v>
          </cell>
          <cell r="E48">
            <v>0</v>
          </cell>
          <cell r="F48">
            <v>2113419</v>
          </cell>
        </row>
        <row r="49">
          <cell r="B49" t="str">
            <v>Total Revenue</v>
          </cell>
          <cell r="C49">
            <v>61767120.200000003</v>
          </cell>
          <cell r="D49">
            <v>185736488</v>
          </cell>
          <cell r="E49">
            <v>14025752</v>
          </cell>
          <cell r="F49">
            <v>199762240</v>
          </cell>
        </row>
        <row r="52">
          <cell r="B52" t="str">
            <v>(a) Test period adjusted per schedule 14.</v>
          </cell>
        </row>
        <row r="54">
          <cell r="B54" t="str">
            <v>(b) Rates based on those in approved in Case No. PUE950033.</v>
          </cell>
        </row>
        <row r="56">
          <cell r="B56" t="str">
            <v>X:\CGV\RATECASE\98\SCHEDULE\SCHEDULE 33 FOR 1998</v>
          </cell>
        </row>
      </sheetData>
      <sheetData sheetId="1">
        <row r="2">
          <cell r="H2" t="str">
            <v>ATTACHMENT REH-5</v>
          </cell>
        </row>
        <row r="5">
          <cell r="E5" t="str">
            <v>COLUMBIA GAS OF VIRGINIA, INC.</v>
          </cell>
        </row>
        <row r="7">
          <cell r="E7" t="str">
            <v>SCHEDULE OF ADDITIONAL GROSS REVENUES</v>
          </cell>
        </row>
        <row r="9">
          <cell r="E9" t="str">
            <v>BY RATE SCHEDULE PRODUCED BY PROPOSED RATES</v>
          </cell>
        </row>
        <row r="13">
          <cell r="C13" t="str">
            <v>ADJUSTED</v>
          </cell>
          <cell r="D13" t="str">
            <v>ADJUSTED</v>
          </cell>
        </row>
        <row r="14">
          <cell r="C14" t="str">
            <v>VOLUMES</v>
          </cell>
          <cell r="D14" t="str">
            <v>RATE</v>
          </cell>
          <cell r="E14" t="str">
            <v>PROPOSED</v>
          </cell>
          <cell r="F14" t="str">
            <v>ADJUSTED</v>
          </cell>
          <cell r="G14" t="str">
            <v>PROPOSED</v>
          </cell>
          <cell r="H14" t="str">
            <v>PROPOSED</v>
          </cell>
        </row>
        <row r="15">
          <cell r="B15" t="str">
            <v>DESCRIPTION</v>
          </cell>
          <cell r="C15" t="str">
            <v>(a)</v>
          </cell>
          <cell r="D15" t="str">
            <v>REVENUE</v>
          </cell>
          <cell r="E15" t="str">
            <v xml:space="preserve">INCREASE </v>
          </cell>
          <cell r="F15" t="str">
            <v>REVENUE</v>
          </cell>
          <cell r="G15" t="str">
            <v>INCREASE</v>
          </cell>
          <cell r="H15" t="str">
            <v>INCREASE</v>
          </cell>
        </row>
        <row r="16">
          <cell r="C16" t="str">
            <v>(1)</v>
          </cell>
          <cell r="D16" t="str">
            <v>(2)</v>
          </cell>
          <cell r="E16" t="str">
            <v>(3)</v>
          </cell>
          <cell r="F16" t="str">
            <v>(4)</v>
          </cell>
          <cell r="G16" t="str">
            <v>(5=3/1)</v>
          </cell>
          <cell r="H16" t="str">
            <v>(6=3/2)</v>
          </cell>
        </row>
        <row r="17">
          <cell r="C17" t="str">
            <v>MCF</v>
          </cell>
          <cell r="D17" t="str">
            <v>$</v>
          </cell>
          <cell r="E17" t="str">
            <v>$</v>
          </cell>
          <cell r="F17" t="str">
            <v>$</v>
          </cell>
          <cell r="G17" t="str">
            <v>$/MCF</v>
          </cell>
          <cell r="H17" t="str">
            <v>%</v>
          </cell>
        </row>
        <row r="18">
          <cell r="B18" t="str">
            <v>GAS SERVICE REVENUES:</v>
          </cell>
        </row>
        <row r="20">
          <cell r="B20" t="str">
            <v xml:space="preserve">   RESIDENTIAL</v>
          </cell>
          <cell r="C20">
            <v>12384975.299999999</v>
          </cell>
          <cell r="D20">
            <v>113818949</v>
          </cell>
          <cell r="E20">
            <v>10065127.475573448</v>
          </cell>
          <cell r="F20">
            <v>123884076.47557345</v>
          </cell>
          <cell r="G20">
            <v>0.81269999999999998</v>
          </cell>
          <cell r="H20">
            <v>8.8400000000000006E-2</v>
          </cell>
        </row>
        <row r="21">
          <cell r="B21" t="str">
            <v xml:space="preserve">   SGS</v>
          </cell>
          <cell r="C21">
            <v>7521571.2000000002</v>
          </cell>
          <cell r="D21">
            <v>50376099</v>
          </cell>
          <cell r="E21">
            <v>2815967.7027008827</v>
          </cell>
          <cell r="F21">
            <v>53192066.702700883</v>
          </cell>
          <cell r="G21">
            <v>0.37440000000000001</v>
          </cell>
          <cell r="H21">
            <v>5.5899999999999998E-2</v>
          </cell>
        </row>
        <row r="22">
          <cell r="B22" t="str">
            <v xml:space="preserve">   TS-1/LGS</v>
          </cell>
          <cell r="C22">
            <v>10217046.699999999</v>
          </cell>
          <cell r="D22">
            <v>9667252</v>
          </cell>
          <cell r="E22">
            <v>769387.1836139597</v>
          </cell>
          <cell r="F22">
            <v>10436639.18361396</v>
          </cell>
          <cell r="G22">
            <v>7.5300000000000006E-2</v>
          </cell>
          <cell r="H22">
            <v>7.9600000000000004E-2</v>
          </cell>
        </row>
        <row r="23">
          <cell r="B23" t="str">
            <v xml:space="preserve">   TS-2/LGS2</v>
          </cell>
          <cell r="C23">
            <v>14650123</v>
          </cell>
          <cell r="D23">
            <v>7145584</v>
          </cell>
          <cell r="E23">
            <v>375269.63811170898</v>
          </cell>
          <cell r="F23">
            <v>7520853.6381117087</v>
          </cell>
          <cell r="G23">
            <v>2.5600000000000001E-2</v>
          </cell>
          <cell r="H23">
            <v>5.2499999999999998E-2</v>
          </cell>
        </row>
        <row r="24">
          <cell r="B24" t="str">
            <v xml:space="preserve">   LVTS/LVEDTS</v>
          </cell>
          <cell r="C24">
            <v>16993404</v>
          </cell>
          <cell r="D24">
            <v>2615185</v>
          </cell>
          <cell r="E24">
            <v>0</v>
          </cell>
          <cell r="F24">
            <v>2615185</v>
          </cell>
          <cell r="G24">
            <v>0</v>
          </cell>
          <cell r="H24">
            <v>0</v>
          </cell>
        </row>
        <row r="26">
          <cell r="B26" t="str">
            <v>TOTAL GAS SERVICE REVENUE</v>
          </cell>
          <cell r="C26">
            <v>61767120.200000003</v>
          </cell>
          <cell r="D26">
            <v>183623069</v>
          </cell>
          <cell r="E26">
            <v>14025752</v>
          </cell>
          <cell r="F26">
            <v>197648821</v>
          </cell>
          <cell r="G26" t="str">
            <v>N/A</v>
          </cell>
          <cell r="H26">
            <v>7.6399999999999996E-2</v>
          </cell>
        </row>
        <row r="28">
          <cell r="B28" t="str">
            <v>MISCELLANEOUS REVENUE</v>
          </cell>
          <cell r="D28">
            <v>2113419</v>
          </cell>
          <cell r="E28">
            <v>0</v>
          </cell>
          <cell r="F28">
            <v>2113419</v>
          </cell>
        </row>
        <row r="30">
          <cell r="B30" t="str">
            <v>TOTAL REVENUE</v>
          </cell>
          <cell r="D30">
            <v>185736488</v>
          </cell>
          <cell r="E30">
            <v>14025752</v>
          </cell>
          <cell r="F30">
            <v>199762240</v>
          </cell>
          <cell r="H30">
            <v>7.5499999999999998E-2</v>
          </cell>
        </row>
        <row r="33">
          <cell r="B33" t="str">
            <v>(a) TEST PERIOD ADJUSTED PER SCHEDULE 14-REVENUE.</v>
          </cell>
        </row>
        <row r="39">
          <cell r="B39" t="str">
            <v>X:\CGV\RATECASE\98\SCHEDULE\SCHEDULE 33 FOR 1998</v>
          </cell>
        </row>
        <row r="52">
          <cell r="D52" t="str">
            <v>COLUMBIA GAS OF VIRGINIA, INC.</v>
          </cell>
        </row>
        <row r="53">
          <cell r="D53" t="str">
            <v xml:space="preserve">RATE BLOCK INCREASE WORK PAPER </v>
          </cell>
        </row>
        <row r="55">
          <cell r="B55" t="str">
            <v xml:space="preserve"> </v>
          </cell>
        </row>
        <row r="62">
          <cell r="B62" t="str">
            <v xml:space="preserve">TOTAL RESIDENTIAL INCREASE: </v>
          </cell>
          <cell r="G62">
            <v>10065127.475573448</v>
          </cell>
        </row>
        <row r="67">
          <cell r="B67" t="str">
            <v>PROPOSED INCREASE TO ELIMINATE LYNCHBURG RATE DIFFERENTIAL:</v>
          </cell>
        </row>
        <row r="71">
          <cell r="E71" t="str">
            <v>ADJUSTED</v>
          </cell>
          <cell r="F71" t="str">
            <v>CURRENT</v>
          </cell>
        </row>
        <row r="72">
          <cell r="B72" t="str">
            <v xml:space="preserve"> VOLUMETRIC RATE INCREASE:</v>
          </cell>
          <cell r="E72" t="str">
            <v>CENTRAL</v>
          </cell>
          <cell r="F72" t="str">
            <v>DIFFERENTIAL</v>
          </cell>
        </row>
        <row r="73">
          <cell r="E73" t="str">
            <v>VOLUMES</v>
          </cell>
          <cell r="F73" t="str">
            <v>PER MCF</v>
          </cell>
        </row>
        <row r="74">
          <cell r="B74" t="str">
            <v>FIRST 5 MCF</v>
          </cell>
          <cell r="E74">
            <v>314094.5</v>
          </cell>
          <cell r="F74">
            <v>8.8999999999999996E-2</v>
          </cell>
          <cell r="G74">
            <v>27954.410499999998</v>
          </cell>
        </row>
        <row r="75">
          <cell r="B75" t="str">
            <v>NEXT 45</v>
          </cell>
          <cell r="E75">
            <v>535032.9</v>
          </cell>
          <cell r="F75">
            <v>9.0999999999999998E-2</v>
          </cell>
          <cell r="G75">
            <v>48687.993900000001</v>
          </cell>
          <cell r="I75">
            <v>0</v>
          </cell>
        </row>
        <row r="76">
          <cell r="B76" t="str">
            <v>OVER 50</v>
          </cell>
          <cell r="E76">
            <v>67929.7</v>
          </cell>
          <cell r="F76">
            <v>9.2999999999999999E-2</v>
          </cell>
          <cell r="G76">
            <v>6317.4620999999997</v>
          </cell>
          <cell r="I76">
            <v>0</v>
          </cell>
        </row>
        <row r="77">
          <cell r="B77" t="str">
            <v>TOTAL</v>
          </cell>
          <cell r="E77">
            <v>917057.1</v>
          </cell>
          <cell r="G77">
            <v>82959.866500000004</v>
          </cell>
        </row>
        <row r="79">
          <cell r="B79" t="str">
            <v>INCREASE TO RS REMAINING AFTER DIFFERENTIAL ELIMINATION:</v>
          </cell>
          <cell r="G79">
            <v>9982167.6090734489</v>
          </cell>
        </row>
        <row r="81">
          <cell r="B81" t="str">
            <v xml:space="preserve">RATE INCREASE TO </v>
          </cell>
        </row>
        <row r="82">
          <cell r="B82" t="str">
            <v xml:space="preserve">   RESIDENTIAL SERVICE</v>
          </cell>
          <cell r="E82" t="str">
            <v>NUMBER</v>
          </cell>
          <cell r="F82" t="str">
            <v>INCREASE</v>
          </cell>
        </row>
        <row r="83">
          <cell r="B83" t="str">
            <v xml:space="preserve"> CUSTOMER CHARGE INCREASE:</v>
          </cell>
          <cell r="E83" t="str">
            <v>OF BILLS</v>
          </cell>
          <cell r="F83" t="str">
            <v>PER BILL</v>
          </cell>
        </row>
        <row r="84">
          <cell r="E84">
            <v>1870988</v>
          </cell>
          <cell r="F84">
            <v>1</v>
          </cell>
          <cell r="G84">
            <v>1870988</v>
          </cell>
          <cell r="I84" t="str">
            <v>RS E&amp;W</v>
          </cell>
        </row>
        <row r="85">
          <cell r="I85" t="str">
            <v>Bills</v>
          </cell>
        </row>
        <row r="86">
          <cell r="B86" t="str">
            <v>INCREASE TO RS REMAINING AFTER CUSTOMER CHARGE INCREASE:</v>
          </cell>
          <cell r="G86">
            <v>8111179.6090734489</v>
          </cell>
          <cell r="I86">
            <v>1758835</v>
          </cell>
          <cell r="J86">
            <v>1</v>
          </cell>
          <cell r="K86">
            <v>1758835</v>
          </cell>
        </row>
        <row r="87">
          <cell r="C87" t="str">
            <v>RS</v>
          </cell>
        </row>
        <row r="88">
          <cell r="B88" t="str">
            <v xml:space="preserve"> VOLUMETRIC RATE INCREASE:</v>
          </cell>
          <cell r="C88" t="str">
            <v>NON-GAS</v>
          </cell>
          <cell r="E88" t="str">
            <v>RS</v>
          </cell>
        </row>
        <row r="89">
          <cell r="C89" t="str">
            <v>REVENUE</v>
          </cell>
          <cell r="D89" t="str">
            <v>RATIO</v>
          </cell>
          <cell r="E89" t="str">
            <v>VOLUMES</v>
          </cell>
          <cell r="F89" t="str">
            <v>PER MCF</v>
          </cell>
          <cell r="I89" t="str">
            <v>RS E&amp;W</v>
          </cell>
          <cell r="J89" t="str">
            <v>Rate</v>
          </cell>
        </row>
        <row r="90">
          <cell r="B90" t="str">
            <v>FIRST 5 MCF</v>
          </cell>
          <cell r="C90">
            <v>14822694</v>
          </cell>
          <cell r="D90">
            <v>0.41845165119467403</v>
          </cell>
          <cell r="E90">
            <v>5078881.0999999996</v>
          </cell>
          <cell r="F90">
            <v>0.66800000000000004</v>
          </cell>
          <cell r="G90">
            <v>3394137</v>
          </cell>
          <cell r="H90">
            <v>0</v>
          </cell>
          <cell r="I90">
            <v>4764786</v>
          </cell>
          <cell r="J90">
            <v>0.66800000000000004</v>
          </cell>
          <cell r="K90">
            <v>3182877.048</v>
          </cell>
        </row>
        <row r="91">
          <cell r="B91" t="str">
            <v>NEXT 45</v>
          </cell>
          <cell r="C91">
            <v>18891575</v>
          </cell>
          <cell r="D91">
            <v>0.53331808323224006</v>
          </cell>
          <cell r="E91">
            <v>6673806.6000000006</v>
          </cell>
          <cell r="F91">
            <v>0.64800000000000002</v>
          </cell>
          <cell r="G91">
            <v>4325839</v>
          </cell>
          <cell r="I91">
            <v>6138773.7000000002</v>
          </cell>
          <cell r="J91">
            <v>0.64800000000000002</v>
          </cell>
          <cell r="K91">
            <v>3977925.3576000002</v>
          </cell>
        </row>
        <row r="92">
          <cell r="B92" t="str">
            <v>OVER 50</v>
          </cell>
          <cell r="C92">
            <v>1708447</v>
          </cell>
          <cell r="D92">
            <v>4.8230265573085927E-2</v>
          </cell>
          <cell r="E92">
            <v>632287.6</v>
          </cell>
          <cell r="F92">
            <v>0.61899999999999999</v>
          </cell>
          <cell r="G92">
            <v>391204</v>
          </cell>
          <cell r="I92">
            <v>564357.9</v>
          </cell>
          <cell r="J92">
            <v>0.61899999999999999</v>
          </cell>
          <cell r="K92">
            <v>349337.54009999998</v>
          </cell>
        </row>
        <row r="93">
          <cell r="B93" t="str">
            <v>TOTAL</v>
          </cell>
          <cell r="C93">
            <v>35422716</v>
          </cell>
          <cell r="D93">
            <v>1</v>
          </cell>
          <cell r="E93">
            <v>12384975.299999999</v>
          </cell>
          <cell r="G93">
            <v>8111180</v>
          </cell>
          <cell r="I93">
            <v>11467917.6</v>
          </cell>
          <cell r="K93">
            <v>7510139.9457</v>
          </cell>
        </row>
        <row r="95">
          <cell r="B95" t="str">
            <v>INCREASE TO RS REMAINING AFTER VOLUMETRIC INCREASE:</v>
          </cell>
          <cell r="G95">
            <v>-0.3909265510737896</v>
          </cell>
          <cell r="K95">
            <v>9268974.945700001</v>
          </cell>
        </row>
        <row r="97">
          <cell r="B97" t="str">
            <v>INCREASE TO RATE SCHEDULE SGS:</v>
          </cell>
          <cell r="G97">
            <v>2815967.7027008827</v>
          </cell>
        </row>
        <row r="99">
          <cell r="E99" t="str">
            <v>NUMBER</v>
          </cell>
          <cell r="F99" t="str">
            <v>INCREASE</v>
          </cell>
        </row>
        <row r="100">
          <cell r="B100" t="str">
            <v xml:space="preserve"> CUSTOMER CHARGE INCREASE:</v>
          </cell>
          <cell r="E100" t="str">
            <v>OF BILLS</v>
          </cell>
          <cell r="F100" t="str">
            <v>PER BILL</v>
          </cell>
          <cell r="I100" t="str">
            <v>Bills</v>
          </cell>
        </row>
        <row r="101">
          <cell r="E101">
            <v>200713</v>
          </cell>
          <cell r="F101">
            <v>1</v>
          </cell>
          <cell r="G101">
            <v>200713</v>
          </cell>
          <cell r="I101">
            <v>199167</v>
          </cell>
          <cell r="J101">
            <v>1</v>
          </cell>
          <cell r="K101">
            <v>199167</v>
          </cell>
        </row>
        <row r="103">
          <cell r="B103" t="str">
            <v>INCREASE TO SGS REMAINING AFTER CUSTOMER CHARGE INCREASE:</v>
          </cell>
          <cell r="G103">
            <v>2615254.7027008827</v>
          </cell>
        </row>
        <row r="104">
          <cell r="I104" t="str">
            <v>Volume</v>
          </cell>
          <cell r="K104" t="str">
            <v>Increase</v>
          </cell>
        </row>
        <row r="105">
          <cell r="B105" t="str">
            <v xml:space="preserve"> VOLUMETRIC RATE INCREASE:</v>
          </cell>
          <cell r="C105" t="str">
            <v>NON-GAS</v>
          </cell>
          <cell r="E105" t="str">
            <v>SGS</v>
          </cell>
          <cell r="I105" t="str">
            <v>SGS-COM</v>
          </cell>
          <cell r="J105" t="str">
            <v>Rate</v>
          </cell>
          <cell r="K105" t="str">
            <v>SGS-COM</v>
          </cell>
        </row>
        <row r="106">
          <cell r="C106" t="str">
            <v>REVENUE</v>
          </cell>
          <cell r="D106" t="str">
            <v>RATIO</v>
          </cell>
          <cell r="E106" t="str">
            <v>VOLUMES</v>
          </cell>
          <cell r="F106" t="str">
            <v>PER MCF</v>
          </cell>
        </row>
        <row r="107">
          <cell r="B107" t="str">
            <v>FIRST 20 MCF</v>
          </cell>
          <cell r="C107">
            <v>2675511</v>
          </cell>
          <cell r="D107">
            <v>0.2091650747749364</v>
          </cell>
          <cell r="E107">
            <v>1459634.8</v>
          </cell>
          <cell r="F107">
            <v>0.375</v>
          </cell>
          <cell r="G107">
            <v>547020</v>
          </cell>
          <cell r="H107">
            <v>0</v>
          </cell>
          <cell r="I107">
            <v>1438829.8</v>
          </cell>
          <cell r="J107">
            <v>0.375</v>
          </cell>
          <cell r="K107">
            <v>539561.17500000005</v>
          </cell>
        </row>
        <row r="108">
          <cell r="B108" t="str">
            <v>NEXT 80</v>
          </cell>
          <cell r="C108">
            <v>2659318</v>
          </cell>
          <cell r="D108">
            <v>0.20789914461960141</v>
          </cell>
          <cell r="E108">
            <v>1556977.5999999999</v>
          </cell>
          <cell r="F108">
            <v>0.34899999999999998</v>
          </cell>
          <cell r="G108">
            <v>543709</v>
          </cell>
          <cell r="I108">
            <v>1490593.2</v>
          </cell>
          <cell r="J108">
            <v>0.34899999999999998</v>
          </cell>
          <cell r="K108">
            <v>520217.02679999993</v>
          </cell>
        </row>
        <row r="109">
          <cell r="B109" t="str">
            <v>NEXT 900</v>
          </cell>
          <cell r="C109">
            <v>5635554</v>
          </cell>
          <cell r="D109">
            <v>0.44057418332729409</v>
          </cell>
          <cell r="E109">
            <v>3364510.1</v>
          </cell>
          <cell r="F109">
            <v>0.34200000000000003</v>
          </cell>
          <cell r="G109">
            <v>1152214</v>
          </cell>
          <cell r="I109">
            <v>3072051</v>
          </cell>
          <cell r="J109">
            <v>0.34200000000000003</v>
          </cell>
          <cell r="K109">
            <v>1050641.442</v>
          </cell>
        </row>
        <row r="110">
          <cell r="B110" t="str">
            <v>NEXT 1500</v>
          </cell>
          <cell r="C110">
            <v>815904</v>
          </cell>
          <cell r="D110">
            <v>6.3785430584725578E-2</v>
          </cell>
          <cell r="E110">
            <v>505516.69999999995</v>
          </cell>
          <cell r="F110">
            <v>0.33</v>
          </cell>
          <cell r="G110">
            <v>166815</v>
          </cell>
          <cell r="I110">
            <v>400360.6</v>
          </cell>
          <cell r="J110">
            <v>0.33</v>
          </cell>
          <cell r="K110">
            <v>132118.99799999999</v>
          </cell>
        </row>
        <row r="111">
          <cell r="B111" t="str">
            <v>OVER 2500</v>
          </cell>
          <cell r="C111">
            <v>1005098</v>
          </cell>
          <cell r="D111">
            <v>7.8576166693442501E-2</v>
          </cell>
          <cell r="E111">
            <v>634932</v>
          </cell>
          <cell r="F111">
            <v>0.32400000000000001</v>
          </cell>
          <cell r="G111">
            <v>205497</v>
          </cell>
          <cell r="I111">
            <v>596738.30000000005</v>
          </cell>
          <cell r="J111">
            <v>0.32400000000000001</v>
          </cell>
          <cell r="K111">
            <v>193343.20920000001</v>
          </cell>
        </row>
        <row r="112">
          <cell r="B112" t="str">
            <v>TOTAL</v>
          </cell>
          <cell r="C112">
            <v>12791385</v>
          </cell>
          <cell r="D112">
            <v>0.99999999999999989</v>
          </cell>
          <cell r="E112">
            <v>7521571.2000000002</v>
          </cell>
          <cell r="G112">
            <v>2615255</v>
          </cell>
          <cell r="I112">
            <v>6998572.8999999994</v>
          </cell>
          <cell r="K112">
            <v>2435881.8509999998</v>
          </cell>
        </row>
        <row r="114">
          <cell r="B114" t="str">
            <v>INCREASE TO SGS REMAINING AFTER VOLUMETRIC INCREASE:</v>
          </cell>
          <cell r="G114">
            <v>-0.29729911731556058</v>
          </cell>
          <cell r="J114" t="str">
            <v>SGS Comm. Inc</v>
          </cell>
          <cell r="K114">
            <v>2635048.8509999998</v>
          </cell>
        </row>
        <row r="115">
          <cell r="J115" t="str">
            <v>SGS Ind. Inc</v>
          </cell>
          <cell r="K115">
            <v>180918.85170088289</v>
          </cell>
        </row>
        <row r="116">
          <cell r="B116" t="str">
            <v xml:space="preserve">INCREASE TO RATE SCHEDULE LGS / TS-1 </v>
          </cell>
          <cell r="G116">
            <v>769387.1836139597</v>
          </cell>
          <cell r="J116" t="str">
            <v>Total</v>
          </cell>
          <cell r="K116">
            <v>2815967.7027008827</v>
          </cell>
        </row>
        <row r="117">
          <cell r="B117" t="str">
            <v xml:space="preserve"> </v>
          </cell>
          <cell r="E117" t="str">
            <v>NUMBER</v>
          </cell>
          <cell r="F117" t="str">
            <v>INCREASE</v>
          </cell>
        </row>
        <row r="118">
          <cell r="B118" t="str">
            <v xml:space="preserve"> CUSTOMER CHARGE INCREASE:</v>
          </cell>
          <cell r="E118" t="str">
            <v>OF BILLS</v>
          </cell>
          <cell r="F118" t="str">
            <v>PER BILL</v>
          </cell>
        </row>
        <row r="119">
          <cell r="E119">
            <v>2592</v>
          </cell>
          <cell r="F119">
            <v>0</v>
          </cell>
          <cell r="G119">
            <v>0</v>
          </cell>
          <cell r="I119" t="str">
            <v>Bills</v>
          </cell>
        </row>
        <row r="120">
          <cell r="I120">
            <v>840</v>
          </cell>
          <cell r="J120">
            <v>0</v>
          </cell>
          <cell r="K120">
            <v>0</v>
          </cell>
        </row>
        <row r="121">
          <cell r="B121" t="str">
            <v>INCREASE TO LGS / TS-1 REMAINING AFTER CUSTOMER CHARGE INCREASE:</v>
          </cell>
          <cell r="G121">
            <v>769387.1836139597</v>
          </cell>
        </row>
        <row r="123">
          <cell r="C123" t="str">
            <v>NON-GAS</v>
          </cell>
          <cell r="I123" t="str">
            <v>Volume</v>
          </cell>
          <cell r="K123" t="str">
            <v>Increase</v>
          </cell>
        </row>
        <row r="124">
          <cell r="B124" t="str">
            <v xml:space="preserve"> VOLUMETRIC RATE INCREASE:</v>
          </cell>
          <cell r="C124" t="str">
            <v>REVENUE</v>
          </cell>
          <cell r="D124" t="str">
            <v>RATIO</v>
          </cell>
          <cell r="E124" t="str">
            <v>VOLUMES</v>
          </cell>
          <cell r="F124" t="str">
            <v>PER MCF</v>
          </cell>
          <cell r="I124" t="str">
            <v>LGS1-COM</v>
          </cell>
          <cell r="J124" t="str">
            <v>Rate</v>
          </cell>
          <cell r="K124" t="str">
            <v>LGS1-COM</v>
          </cell>
        </row>
        <row r="125">
          <cell r="B125" t="str">
            <v>LGS ADMIN CHARGE</v>
          </cell>
          <cell r="C125">
            <v>73701.929489999995</v>
          </cell>
          <cell r="D125">
            <v>0</v>
          </cell>
          <cell r="E125">
            <v>1168017.8999999999</v>
          </cell>
          <cell r="F125">
            <v>0</v>
          </cell>
          <cell r="G125">
            <v>0</v>
          </cell>
        </row>
        <row r="126">
          <cell r="B126" t="str">
            <v>DEMAND/SS CHARGE</v>
          </cell>
          <cell r="C126">
            <v>30216.899999999998</v>
          </cell>
          <cell r="D126">
            <v>0</v>
          </cell>
          <cell r="E126">
            <v>100723</v>
          </cell>
          <cell r="F126">
            <v>0</v>
          </cell>
          <cell r="G126">
            <v>0</v>
          </cell>
          <cell r="K126">
            <v>0</v>
          </cell>
        </row>
        <row r="127">
          <cell r="B127" t="str">
            <v>FIRST 1000</v>
          </cell>
          <cell r="C127">
            <v>1785355.689</v>
          </cell>
          <cell r="D127">
            <v>0.3805714388983556</v>
          </cell>
          <cell r="E127">
            <v>2215081.5</v>
          </cell>
          <cell r="F127">
            <v>0.13220000000000001</v>
          </cell>
          <cell r="G127">
            <v>292807</v>
          </cell>
          <cell r="H127">
            <v>0</v>
          </cell>
          <cell r="I127">
            <v>663684.19999999995</v>
          </cell>
          <cell r="J127">
            <v>0.13220000000000001</v>
          </cell>
          <cell r="K127">
            <v>87739.051240000001</v>
          </cell>
        </row>
        <row r="128">
          <cell r="B128" t="str">
            <v>NEXT 4000</v>
          </cell>
          <cell r="C128">
            <v>2142668.5434000003</v>
          </cell>
          <cell r="D128">
            <v>0.45673725166816426</v>
          </cell>
          <cell r="E128">
            <v>4637810.7</v>
          </cell>
          <cell r="F128">
            <v>7.5800000000000006E-2</v>
          </cell>
          <cell r="G128">
            <v>351408</v>
          </cell>
          <cell r="I128">
            <v>1123298.3999999999</v>
          </cell>
          <cell r="J128">
            <v>7.5800000000000006E-2</v>
          </cell>
          <cell r="K128">
            <v>85146.018719999993</v>
          </cell>
        </row>
        <row r="129">
          <cell r="B129" t="str">
            <v>NEXT 15000</v>
          </cell>
          <cell r="C129">
            <v>752368.81409999996</v>
          </cell>
          <cell r="D129">
            <v>0.16037705199498001</v>
          </cell>
          <cell r="E129">
            <v>3295527</v>
          </cell>
          <cell r="F129">
            <v>3.7400000000000003E-2</v>
          </cell>
          <cell r="G129">
            <v>123392</v>
          </cell>
          <cell r="I129">
            <v>689772</v>
          </cell>
          <cell r="J129">
            <v>3.7400000000000003E-2</v>
          </cell>
          <cell r="K129">
            <v>25797.472800000003</v>
          </cell>
        </row>
        <row r="130">
          <cell r="B130" t="str">
            <v>OVER 20000</v>
          </cell>
          <cell r="C130">
            <v>10856.759760000001</v>
          </cell>
          <cell r="D130">
            <v>2.3142574385002371E-3</v>
          </cell>
          <cell r="E130">
            <v>68626.8</v>
          </cell>
          <cell r="F130">
            <v>2.5999999999999999E-2</v>
          </cell>
          <cell r="G130">
            <v>1781</v>
          </cell>
          <cell r="I130">
            <v>52227.8</v>
          </cell>
          <cell r="J130">
            <v>2.5999999999999999E-2</v>
          </cell>
          <cell r="K130">
            <v>1357.9228000000001</v>
          </cell>
        </row>
        <row r="131">
          <cell r="B131" t="str">
            <v>TOTAL</v>
          </cell>
          <cell r="C131">
            <v>4691249.80626</v>
          </cell>
          <cell r="D131">
            <v>1.0000000000000002</v>
          </cell>
          <cell r="E131">
            <v>10217046</v>
          </cell>
          <cell r="G131">
            <v>769388</v>
          </cell>
          <cell r="I131">
            <v>2528982.3999999994</v>
          </cell>
          <cell r="K131">
            <v>200040.46555999998</v>
          </cell>
        </row>
        <row r="133">
          <cell r="B133" t="str">
            <v>INCREASE TO LGS / TS-1 REMAINING AFTER VOLUMETRIC INCREASE:</v>
          </cell>
          <cell r="G133">
            <v>-0.81638604030013084</v>
          </cell>
          <cell r="J133" t="str">
            <v>LGS / TS-1 Comm. Inc</v>
          </cell>
          <cell r="K133">
            <v>200040.46555999998</v>
          </cell>
        </row>
        <row r="134">
          <cell r="J134" t="str">
            <v>LGS / TS-1 Ind. Inc</v>
          </cell>
          <cell r="K134">
            <v>569346.71805395978</v>
          </cell>
        </row>
        <row r="135">
          <cell r="B135" t="str">
            <v xml:space="preserve">INCREASE TO RATE SCHEDULE LGS / TS-2 </v>
          </cell>
          <cell r="G135">
            <v>375269.63811170898</v>
          </cell>
          <cell r="J135" t="str">
            <v>Total</v>
          </cell>
          <cell r="K135">
            <v>769387.1836139597</v>
          </cell>
        </row>
        <row r="136">
          <cell r="E136" t="str">
            <v>NUMBER</v>
          </cell>
          <cell r="F136" t="str">
            <v>INCREASE</v>
          </cell>
        </row>
        <row r="137">
          <cell r="B137" t="str">
            <v xml:space="preserve"> CUSTOMER CHARGE :</v>
          </cell>
          <cell r="E137" t="str">
            <v>OF BILLS</v>
          </cell>
          <cell r="F137" t="str">
            <v>PER BILL</v>
          </cell>
          <cell r="I137" t="str">
            <v>Bills</v>
          </cell>
        </row>
        <row r="138">
          <cell r="E138">
            <v>336</v>
          </cell>
          <cell r="F138">
            <v>350</v>
          </cell>
          <cell r="G138">
            <v>117600</v>
          </cell>
          <cell r="I138">
            <v>24</v>
          </cell>
          <cell r="J138">
            <v>350</v>
          </cell>
          <cell r="K138">
            <v>8400</v>
          </cell>
        </row>
        <row r="140">
          <cell r="B140" t="str">
            <v>INCREASE TO LGS / TS-2 REMAINING AFTER CUSTOMER CHARGE INCREASE:</v>
          </cell>
          <cell r="G140">
            <v>257669.63811170898</v>
          </cell>
        </row>
        <row r="141">
          <cell r="I141" t="str">
            <v>Volume</v>
          </cell>
          <cell r="K141" t="str">
            <v>Increase</v>
          </cell>
        </row>
        <row r="142">
          <cell r="B142" t="str">
            <v xml:space="preserve"> VOLUMETRIC RATE INCREASE:</v>
          </cell>
          <cell r="C142" t="str">
            <v>NON-GAS</v>
          </cell>
          <cell r="D142" t="str">
            <v>RATIO</v>
          </cell>
          <cell r="E142" t="str">
            <v>VOLUMES</v>
          </cell>
          <cell r="F142" t="str">
            <v>PER MCF</v>
          </cell>
          <cell r="I142" t="str">
            <v>LGS 2-Ind</v>
          </cell>
          <cell r="J142" t="str">
            <v>Rate</v>
          </cell>
          <cell r="K142" t="str">
            <v>LGS 2-Ind</v>
          </cell>
        </row>
        <row r="143">
          <cell r="B143" t="str">
            <v>LGS ADMIN CHARGE</v>
          </cell>
          <cell r="C143">
            <v>66387.951700000005</v>
          </cell>
          <cell r="D143">
            <v>0</v>
          </cell>
          <cell r="E143">
            <v>1052107</v>
          </cell>
          <cell r="F143">
            <v>0</v>
          </cell>
          <cell r="G143">
            <v>0</v>
          </cell>
        </row>
        <row r="144">
          <cell r="B144" t="str">
            <v>DEMAND/SS CHARGE</v>
          </cell>
          <cell r="C144">
            <v>27870.6</v>
          </cell>
          <cell r="D144">
            <v>0</v>
          </cell>
          <cell r="E144">
            <v>92902</v>
          </cell>
          <cell r="F144">
            <v>0</v>
          </cell>
          <cell r="G144">
            <v>0</v>
          </cell>
          <cell r="K144">
            <v>0</v>
          </cell>
        </row>
        <row r="145">
          <cell r="B145" t="str">
            <v>FIRST 20,000</v>
          </cell>
          <cell r="C145">
            <v>1731115.1410999999</v>
          </cell>
          <cell r="D145">
            <v>0.57793649238510825</v>
          </cell>
          <cell r="E145">
            <v>6175937</v>
          </cell>
          <cell r="F145">
            <v>2.41E-2</v>
          </cell>
          <cell r="G145">
            <v>148917</v>
          </cell>
          <cell r="H145">
            <v>0</v>
          </cell>
          <cell r="I145">
            <v>699221</v>
          </cell>
          <cell r="J145">
            <v>2.41E-2</v>
          </cell>
          <cell r="K145">
            <v>16851.2261</v>
          </cell>
        </row>
        <row r="146">
          <cell r="B146" t="str">
            <v>NEXT 80,000</v>
          </cell>
          <cell r="C146">
            <v>1049143.3581000001</v>
          </cell>
          <cell r="D146">
            <v>0.35025875402150491</v>
          </cell>
          <cell r="E146">
            <v>6943371</v>
          </cell>
          <cell r="F146">
            <v>1.2999999999999999E-2</v>
          </cell>
          <cell r="G146">
            <v>90251</v>
          </cell>
          <cell r="I146">
            <v>291587</v>
          </cell>
          <cell r="J146">
            <v>1.2999999999999999E-2</v>
          </cell>
          <cell r="K146">
            <v>3790.6309999999999</v>
          </cell>
        </row>
        <row r="147">
          <cell r="B147" t="str">
            <v>OVER 100,000</v>
          </cell>
          <cell r="C147">
            <v>215079.50750000001</v>
          </cell>
          <cell r="D147">
            <v>7.1804753593386852E-2</v>
          </cell>
          <cell r="E147">
            <v>1530815</v>
          </cell>
          <cell r="F147">
            <v>1.21E-2</v>
          </cell>
          <cell r="G147">
            <v>18502</v>
          </cell>
          <cell r="I147">
            <v>61299</v>
          </cell>
          <cell r="J147">
            <v>1.21E-2</v>
          </cell>
          <cell r="K147">
            <v>741.71789999999999</v>
          </cell>
        </row>
        <row r="148">
          <cell r="B148" t="str">
            <v>TOTAL</v>
          </cell>
          <cell r="C148">
            <v>2995338.0066999998</v>
          </cell>
          <cell r="D148">
            <v>1</v>
          </cell>
          <cell r="E148">
            <v>14650123</v>
          </cell>
          <cell r="G148">
            <v>257670</v>
          </cell>
        </row>
        <row r="149">
          <cell r="I149">
            <v>1052107</v>
          </cell>
          <cell r="K149">
            <v>21383.575000000001</v>
          </cell>
        </row>
        <row r="150">
          <cell r="B150" t="str">
            <v>INCREASE TO LGS / TS-2 REMAINING AFTER VOLUMETRIC INCREASE:</v>
          </cell>
          <cell r="G150">
            <v>-0.36188829102320597</v>
          </cell>
        </row>
        <row r="151">
          <cell r="J151" t="str">
            <v>LGS-2 Ind. Inc</v>
          </cell>
          <cell r="K151">
            <v>29783.575000000001</v>
          </cell>
        </row>
        <row r="152">
          <cell r="J152" t="str">
            <v>TS-2 Ind. Inc</v>
          </cell>
          <cell r="K152">
            <v>345486.06311170897</v>
          </cell>
        </row>
        <row r="153">
          <cell r="J153" t="str">
            <v>Total</v>
          </cell>
          <cell r="K153">
            <v>375269.63811170898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e Data, Margins, Discounts"/>
      <sheetName val="Price Workout Sheet"/>
      <sheetName val="Customer Issue"/>
      <sheetName val="Deal Summary"/>
      <sheetName val="Product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 Details"/>
      <sheetName val="Count of Nodes by Type"/>
      <sheetName val="Complete Listing incl LCN"/>
      <sheetName val="LCN Nod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p 2"/>
      <sheetName val="Per Books Purchase Gas Exp"/>
      <sheetName val="Annualized Purchase Gas Exp "/>
      <sheetName val="Uncoll Sur p 5"/>
      <sheetName val="Unadj. Rev 2-A"/>
      <sheetName val="Bills 2-B"/>
      <sheetName val="Dth 2-C"/>
      <sheetName val=" Norm 2-D"/>
      <sheetName val="Adj. Rev 2-E"/>
      <sheetName val="Adj to OGDR 2-F"/>
      <sheetName val="Adj. Rev 2-G"/>
      <sheetName val="Gas Cost WP - Do not file"/>
      <sheetName val="Rate Design"/>
      <sheetName val="Bill Comp"/>
      <sheetName val="RNA Base"/>
    </sheetNames>
    <sheetDataSet>
      <sheetData sheetId="0">
        <row r="3">
          <cell r="A3" t="str">
            <v>For the Twelve Months Ending April 30, 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T Summary"/>
      <sheetName val="Sheet3"/>
      <sheetName val="P&amp;L"/>
      <sheetName val="BT Summary ASC 101504"/>
      <sheetName val="Signed off PB Finsumm"/>
      <sheetName val="Finsumm"/>
      <sheetName val="Equipt"/>
      <sheetName val="Price Summ"/>
      <sheetName val="Revised Position"/>
      <sheetName val="Bus Case 101304"/>
      <sheetName val="CAPEX Normalization - BT Ca (3)"/>
      <sheetName val="CAPEX Normalization - BT Case"/>
      <sheetName val="BT Summary ASC 101304 (2)"/>
      <sheetName val="I. Summary ASC 101304"/>
      <sheetName val="Roll-Forward"/>
      <sheetName val="Normalization Change"/>
      <sheetName val="Bus Case 091004"/>
      <sheetName val="I. Summary ASC 090104 (2)"/>
      <sheetName val="CAPEX Normalization - BT Ca (2)"/>
      <sheetName val="Original Technology"/>
      <sheetName val="BT Yr 1 Base Case Review"/>
      <sheetName val="BT 7 Year Base Case Review"/>
      <sheetName val="Consider Revised Target"/>
      <sheetName val="BT Pricing Initiatives"/>
      <sheetName val="BMS Actions"/>
      <sheetName val="BMS Scars"/>
      <sheetName val="D - Global Remote Access"/>
      <sheetName val="Dial Internet User"/>
      <sheetName val="Managed Broadband User"/>
      <sheetName val="MPLS"/>
      <sheetName val="Nwks"/>
      <sheetName val="Bus Case Total"/>
      <sheetName val="Pay1"/>
      <sheetName val="Pay2"/>
      <sheetName val="Pay3"/>
      <sheetName val="I. Summary ASC 101304 (2)"/>
      <sheetName val="Base Inputs"/>
      <sheetName val="Sheet1"/>
      <sheetName val="XI. Resource Baselines"/>
      <sheetName val="Revised Bus Case (2)"/>
      <sheetName val="I. Summary ASC 101204"/>
      <sheetName val="I. Summary ASC 090104"/>
      <sheetName val="Voice Transport 2003"/>
      <sheetName val="BMS - Base Case Control Sheet"/>
      <sheetName val="Refresh&amp;Depn (2)"/>
      <sheetName val="In Scope Business Case"/>
      <sheetName val="Original Fin summ incremental"/>
      <sheetName val="Voice Reconciliation"/>
      <sheetName val="Voice"/>
      <sheetName val="PB Reconciliation"/>
      <sheetName val="Sheet2"/>
      <sheetName val="Revised Bus Case"/>
      <sheetName val="Original Buy Back"/>
      <sheetName val="Future State Savings Initiative"/>
      <sheetName val="New Wan Summary"/>
      <sheetName val="MPLS Transport future"/>
      <sheetName val="New Lan Summary"/>
      <sheetName val="New Remote Access"/>
      <sheetName val="New Internet Infrastructue"/>
      <sheetName val="New Jersey Man"/>
      <sheetName val="New Global Enterprise Service"/>
      <sheetName val="Product Summary"/>
      <sheetName val="Roll Out"/>
      <sheetName val="N Business Partner Connectivity"/>
      <sheetName val="New Voice Support"/>
      <sheetName val="Wireless Support Services"/>
      <sheetName val="E Bonding Mgmt"/>
      <sheetName val="Volumetrics"/>
      <sheetName val="MPLS Savings"/>
      <sheetName val="Assumptions"/>
      <sheetName val="Peer Review"/>
      <sheetName val="FX Rates"/>
      <sheetName val="Access savings"/>
      <sheetName val="Error Checks"/>
      <sheetName val="Resource"/>
      <sheetName val="Resource Costs"/>
      <sheetName val="BMS Salary Costs"/>
      <sheetName val="Tech Des Res"/>
      <sheetName val="Transition res"/>
      <sheetName val="HR Costs"/>
      <sheetName val="MPLS P&amp;L"/>
      <sheetName val="Wan circuit costs"/>
      <sheetName val="Management Links"/>
      <sheetName val="Voice IP cards"/>
      <sheetName val="Rolloutdetail"/>
      <sheetName val="Voice refresh"/>
      <sheetName val="Parallel Run costs"/>
      <sheetName val="site type"/>
      <sheetName val="Refresh&amp;Depn"/>
      <sheetName val="Misc."/>
      <sheetName val="Voice Commun"/>
      <sheetName val="Price Pres"/>
      <sheetName val="3rd party contracts"/>
      <sheetName val="Original Asset Depreciation"/>
      <sheetName val="FB BT"/>
      <sheetName val="Signed off PB FB BT"/>
      <sheetName val="FB BTGsol"/>
      <sheetName val="FB BTGsol VA"/>
      <sheetName val="Names"/>
      <sheetName val="IP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"/>
      <sheetName val="Rating Tables"/>
      <sheetName val="Hourly"/>
      <sheetName val="Contractor"/>
      <sheetName val="Consulting"/>
      <sheetName val="Outside Purchased Services"/>
      <sheetName val="Expense Worksheet"/>
      <sheetName val="BUDGET SUMMARY"/>
      <sheetName val="xref acct"/>
      <sheetName val="Headcount"/>
      <sheetName val="Print File"/>
      <sheetName val="Chart of Account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 t="str">
            <v>Acct</v>
          </cell>
          <cell r="B3" t="str">
            <v>ACCOUNTS</v>
          </cell>
          <cell r="C3" t="str">
            <v>Classification</v>
          </cell>
        </row>
        <row r="4">
          <cell r="A4">
            <v>601000</v>
          </cell>
          <cell r="B4" t="str">
            <v>601000  SALARIES-EXEMPT</v>
          </cell>
          <cell r="C4" t="str">
            <v>SALARIES AND BENEFITS</v>
          </cell>
        </row>
        <row r="5">
          <cell r="A5">
            <v>601001</v>
          </cell>
          <cell r="B5" t="str">
            <v>601001  SALARIES-NON-EXEMPT</v>
          </cell>
          <cell r="C5" t="str">
            <v>SALARIES AND BENEFITS</v>
          </cell>
        </row>
        <row r="6">
          <cell r="A6">
            <v>601005</v>
          </cell>
          <cell r="B6" t="str">
            <v>601005  SALARIES-OVERTIME</v>
          </cell>
          <cell r="C6" t="str">
            <v>SALARIES AND BENEFITS</v>
          </cell>
        </row>
        <row r="7">
          <cell r="A7">
            <v>601007</v>
          </cell>
          <cell r="B7" t="str">
            <v>601007  SAL-SHIFT DIFF</v>
          </cell>
          <cell r="C7" t="str">
            <v>SALARIES AND BENEFITS</v>
          </cell>
        </row>
        <row r="8">
          <cell r="A8">
            <v>601010</v>
          </cell>
          <cell r="B8" t="str">
            <v>601010  SAL-TEMP LABOR</v>
          </cell>
          <cell r="C8" t="str">
            <v>SALARIES AND BENEFITS</v>
          </cell>
        </row>
        <row r="9">
          <cell r="A9">
            <v>601012</v>
          </cell>
          <cell r="B9" t="str">
            <v>601012  SALARIES-EXEMPT FLEX</v>
          </cell>
          <cell r="C9" t="str">
            <v>SALARIES AND BENEFITS</v>
          </cell>
        </row>
        <row r="10">
          <cell r="A10">
            <v>601055</v>
          </cell>
          <cell r="B10" t="str">
            <v>601055  SAL-OTHER PAID TIME</v>
          </cell>
          <cell r="C10" t="str">
            <v>SALARIES AND BENEFITS</v>
          </cell>
        </row>
        <row r="11">
          <cell r="A11">
            <v>601056</v>
          </cell>
          <cell r="B11" t="str">
            <v>601056  SAL-GAIN SHARING</v>
          </cell>
          <cell r="C11" t="str">
            <v>SALARIES AND BENEFITS</v>
          </cell>
        </row>
        <row r="12">
          <cell r="A12">
            <v>601061</v>
          </cell>
          <cell r="B12" t="str">
            <v>601061  EXEMPT/PER FRINGE</v>
          </cell>
          <cell r="C12" t="str">
            <v>SALARIES AND BENEFITS</v>
          </cell>
        </row>
        <row r="13">
          <cell r="A13">
            <v>601062</v>
          </cell>
          <cell r="B13" t="str">
            <v>601062  NON-EX/PER FRINGE</v>
          </cell>
          <cell r="C13" t="str">
            <v>SALARIES AND BENEFITS</v>
          </cell>
        </row>
        <row r="14">
          <cell r="A14">
            <v>601069</v>
          </cell>
          <cell r="B14" t="str">
            <v>601069  TEMP/PER FRINGE</v>
          </cell>
          <cell r="C14" t="str">
            <v>SALARIES AND BENEFITS</v>
          </cell>
        </row>
        <row r="15">
          <cell r="A15">
            <v>601070</v>
          </cell>
          <cell r="B15" t="str">
            <v>601070  TEMP FRINGE % OF SAL</v>
          </cell>
          <cell r="C15" t="str">
            <v>SALARIES AND BENEFITS</v>
          </cell>
        </row>
        <row r="16">
          <cell r="A16">
            <v>601071</v>
          </cell>
          <cell r="B16" t="str">
            <v>601071  EXEMPT FRINGE % OF S</v>
          </cell>
          <cell r="C16" t="str">
            <v>SALARIES AND BENEFITS</v>
          </cell>
        </row>
        <row r="17">
          <cell r="A17">
            <v>601072</v>
          </cell>
          <cell r="B17" t="str">
            <v>601072  NON-EX FRINGE % OF S</v>
          </cell>
          <cell r="C17" t="str">
            <v>SALARIES AND BENEFITS</v>
          </cell>
        </row>
        <row r="18">
          <cell r="A18">
            <v>601161</v>
          </cell>
          <cell r="B18" t="str">
            <v>601161  WELLNESS PROGRAM</v>
          </cell>
          <cell r="C18" t="str">
            <v>SALARIES AND BENEFITS</v>
          </cell>
        </row>
        <row r="19">
          <cell r="A19">
            <v>602000</v>
          </cell>
          <cell r="B19" t="str">
            <v>602000  HRLY-SALARIES</v>
          </cell>
          <cell r="C19" t="str">
            <v>SALARIES AND BENEFITS</v>
          </cell>
        </row>
        <row r="20">
          <cell r="A20">
            <v>603002</v>
          </cell>
          <cell r="B20" t="str">
            <v>603002  SAFETY PROGRAM</v>
          </cell>
          <cell r="C20" t="str">
            <v>SALARIES AND BENEFITS</v>
          </cell>
        </row>
        <row r="21">
          <cell r="A21">
            <v>603010</v>
          </cell>
          <cell r="B21" t="str">
            <v>603010  EMPL REWARD AND REC</v>
          </cell>
          <cell r="C21" t="str">
            <v>SALARIES AND BENEFITS</v>
          </cell>
        </row>
        <row r="22">
          <cell r="A22">
            <v>603024</v>
          </cell>
          <cell r="B22" t="str">
            <v>603024  EMPLOYEE PROGRAMS</v>
          </cell>
          <cell r="C22" t="str">
            <v>SALARIES AND BENEFITS</v>
          </cell>
        </row>
        <row r="23">
          <cell r="A23">
            <v>603025</v>
          </cell>
          <cell r="B23" t="str">
            <v>603025  EMPLOYEE RELATIONS</v>
          </cell>
          <cell r="C23" t="str">
            <v>SALARIES AND BENEFITS</v>
          </cell>
        </row>
        <row r="24">
          <cell r="A24">
            <v>603028</v>
          </cell>
          <cell r="B24" t="str">
            <v>603028  SPOT AWARDS</v>
          </cell>
          <cell r="C24" t="str">
            <v>SALARIES AND BENEFITS</v>
          </cell>
        </row>
        <row r="25">
          <cell r="A25">
            <v>603115</v>
          </cell>
          <cell r="B25" t="str">
            <v>603115  PROD INTL CONS CLEAR</v>
          </cell>
          <cell r="C25" t="str">
            <v>SALARIES AND BENEFITS</v>
          </cell>
        </row>
        <row r="26">
          <cell r="A26">
            <v>602014</v>
          </cell>
          <cell r="B26" t="str">
            <v>602014  HOURLY-CAPITALIZED LABOR</v>
          </cell>
          <cell r="C26" t="str">
            <v>SALARIES AND BENEFITS</v>
          </cell>
        </row>
        <row r="27">
          <cell r="A27">
            <v>601901</v>
          </cell>
          <cell r="B27" t="str">
            <v>601901  ACTUAL DIRECT LABOR</v>
          </cell>
          <cell r="C27" t="str">
            <v>SALARIES AND BENEFITS</v>
          </cell>
        </row>
        <row r="28">
          <cell r="A28" t="e">
            <v>#VALUE!</v>
          </cell>
          <cell r="B28" t="str">
            <v>SALARIES AND BENEFITS</v>
          </cell>
          <cell r="C28" t="str">
            <v>SALARIES AND BENEFITS</v>
          </cell>
        </row>
        <row r="29">
          <cell r="A29">
            <v>601130</v>
          </cell>
          <cell r="B29" t="str">
            <v>601130  PROF&amp;CIVIC DUES/FEES</v>
          </cell>
          <cell r="C29" t="str">
            <v>EDUCATION AND TRAINING</v>
          </cell>
        </row>
        <row r="30">
          <cell r="A30">
            <v>601165</v>
          </cell>
          <cell r="B30" t="str">
            <v>601165  SAL-EXT SEMINARS</v>
          </cell>
          <cell r="C30" t="str">
            <v>EDUCATION AND TRAINING</v>
          </cell>
        </row>
        <row r="31">
          <cell r="A31">
            <v>601170</v>
          </cell>
          <cell r="B31" t="str">
            <v>601170  SAL-EDUC BENEFIT</v>
          </cell>
          <cell r="C31" t="str">
            <v>EDUCATION AND TRAINING</v>
          </cell>
        </row>
        <row r="32">
          <cell r="A32">
            <v>604105</v>
          </cell>
          <cell r="B32" t="str">
            <v>604105  SAL-INTERNAL TRAING</v>
          </cell>
          <cell r="C32" t="str">
            <v>EDUCATION AND TRAINING</v>
          </cell>
        </row>
        <row r="33">
          <cell r="A33">
            <v>604135</v>
          </cell>
          <cell r="B33" t="str">
            <v>604135  TRAINING MATERIAL</v>
          </cell>
          <cell r="C33" t="str">
            <v>EDUCATION AND TRAINING</v>
          </cell>
        </row>
        <row r="34">
          <cell r="A34">
            <v>604140</v>
          </cell>
          <cell r="B34" t="str">
            <v>604140  TRAINING-OTHER</v>
          </cell>
          <cell r="C34" t="str">
            <v>EDUCATION AND TRAINING</v>
          </cell>
        </row>
        <row r="35">
          <cell r="A35">
            <v>604142</v>
          </cell>
          <cell r="B35" t="str">
            <v>604142  TRAINING DEVELOPMENT</v>
          </cell>
          <cell r="C35" t="str">
            <v>EDUCATION AND TRAINING</v>
          </cell>
        </row>
        <row r="36">
          <cell r="A36">
            <v>604230</v>
          </cell>
          <cell r="B36" t="str">
            <v>604230  DEALR TRAIN-OTHER</v>
          </cell>
          <cell r="C36" t="str">
            <v>EDUCATION AND TRAINING</v>
          </cell>
        </row>
        <row r="37">
          <cell r="A37">
            <v>610400</v>
          </cell>
          <cell r="B37" t="str">
            <v>610400  SUBSCRIPT-TRADE</v>
          </cell>
          <cell r="C37" t="str">
            <v>EDUCATION AND TRAINING</v>
          </cell>
        </row>
        <row r="38">
          <cell r="A38" t="e">
            <v>#VALUE!</v>
          </cell>
          <cell r="B38" t="str">
            <v>EDUCATION AND TRAINING</v>
          </cell>
          <cell r="C38" t="str">
            <v>EDUCATION AND TRAINING</v>
          </cell>
        </row>
        <row r="39">
          <cell r="A39">
            <v>605000</v>
          </cell>
          <cell r="B39" t="str">
            <v>605000  TRAVEL EXPENSE</v>
          </cell>
          <cell r="C39" t="str">
            <v>TRAVEL EXPENSE</v>
          </cell>
        </row>
        <row r="40">
          <cell r="A40">
            <v>605100</v>
          </cell>
          <cell r="B40" t="str">
            <v>605100  TRAVEL INTERNATIONAL</v>
          </cell>
          <cell r="C40" t="str">
            <v>TRAVEL EXPENSE</v>
          </cell>
        </row>
        <row r="41">
          <cell r="A41">
            <v>605500</v>
          </cell>
          <cell r="B41" t="str">
            <v>605500  TRAVEL-MEAL COST</v>
          </cell>
          <cell r="C41" t="str">
            <v>TRAVEL EXPENSE</v>
          </cell>
        </row>
        <row r="42">
          <cell r="A42">
            <v>605600</v>
          </cell>
          <cell r="B42" t="str">
            <v>605600  TRAVEL-MEAL COST INT</v>
          </cell>
          <cell r="C42" t="str">
            <v>TRAVEL EXPENSE</v>
          </cell>
        </row>
        <row r="43">
          <cell r="A43">
            <v>606230</v>
          </cell>
          <cell r="B43" t="str">
            <v>606230  OWNED AUTO-REPAIRS</v>
          </cell>
          <cell r="C43" t="str">
            <v>TRAVEL EXPENSE</v>
          </cell>
        </row>
        <row r="44">
          <cell r="A44">
            <v>606100</v>
          </cell>
          <cell r="B44" t="str">
            <v>606100  LEASED AUTO-CAR</v>
          </cell>
          <cell r="C44" t="str">
            <v>TRAVEL EXPENSE</v>
          </cell>
        </row>
        <row r="45">
          <cell r="A45" t="e">
            <v>#VALUE!</v>
          </cell>
          <cell r="B45" t="str">
            <v>TRAVEL EXPENSE</v>
          </cell>
          <cell r="C45" t="str">
            <v>TRAVEL EXPENSE</v>
          </cell>
        </row>
        <row r="46">
          <cell r="A46">
            <v>603031</v>
          </cell>
          <cell r="B46" t="str">
            <v>603031  TRANSF MOVING &amp; LIVI</v>
          </cell>
          <cell r="C46" t="str">
            <v>RECRUITING &amp; RELOCATION</v>
          </cell>
        </row>
        <row r="47">
          <cell r="A47">
            <v>603032</v>
          </cell>
          <cell r="B47" t="str">
            <v>603032  RECRUIT/EMPLOYMENT</v>
          </cell>
          <cell r="C47" t="str">
            <v>RECRUITING &amp; RELOCATION</v>
          </cell>
        </row>
        <row r="48">
          <cell r="A48">
            <v>603035</v>
          </cell>
          <cell r="B48" t="str">
            <v>603035  FOREIGN ALLOWANCE</v>
          </cell>
          <cell r="C48" t="str">
            <v>RECRUITING &amp; RELOCATION</v>
          </cell>
        </row>
        <row r="49">
          <cell r="A49">
            <v>603036</v>
          </cell>
          <cell r="B49" t="str">
            <v>603036  EXPAT FOREIGN TAXES</v>
          </cell>
          <cell r="C49" t="str">
            <v>RECRUITING &amp; RELOCATION</v>
          </cell>
        </row>
        <row r="50">
          <cell r="A50">
            <v>603047</v>
          </cell>
          <cell r="B50" t="str">
            <v>603047  VISA-HR SERVICES</v>
          </cell>
          <cell r="C50" t="str">
            <v>RECRUITING &amp; RELOCATION</v>
          </cell>
        </row>
        <row r="51">
          <cell r="A51" t="e">
            <v>#VALUE!</v>
          </cell>
          <cell r="B51" t="str">
            <v>RECRUITING &amp; RELOCATION</v>
          </cell>
          <cell r="C51" t="str">
            <v>RECRUITING &amp; RELOCATION</v>
          </cell>
        </row>
        <row r="52">
          <cell r="A52" t="e">
            <v>#VALUE!</v>
          </cell>
          <cell r="B52" t="str">
            <v>WHIRLPOOL PERSONNEL</v>
          </cell>
          <cell r="C52" t="str">
            <v>WHIRLPOOL PERSONNEL</v>
          </cell>
        </row>
        <row r="53">
          <cell r="A53">
            <v>613000</v>
          </cell>
          <cell r="B53" t="str">
            <v>613000  OUTSIDE SVCS CONSULT</v>
          </cell>
          <cell r="C53" t="str">
            <v>CONSULTING</v>
          </cell>
        </row>
        <row r="54">
          <cell r="A54">
            <v>613010</v>
          </cell>
          <cell r="B54" t="str">
            <v>613010  CONSULTANT LIVING EX</v>
          </cell>
          <cell r="C54" t="str">
            <v>CONSULTING</v>
          </cell>
        </row>
        <row r="55">
          <cell r="A55">
            <v>613040</v>
          </cell>
          <cell r="B55" t="str">
            <v>613040  IT CONSULTING</v>
          </cell>
          <cell r="C55" t="str">
            <v>CONSULTING</v>
          </cell>
        </row>
        <row r="56">
          <cell r="A56" t="e">
            <v>#VALUE!</v>
          </cell>
          <cell r="B56" t="str">
            <v>CONSULTING</v>
          </cell>
          <cell r="C56" t="str">
            <v>CONSULTING</v>
          </cell>
        </row>
        <row r="57">
          <cell r="A57">
            <v>603003</v>
          </cell>
          <cell r="B57" t="str">
            <v>603003  CONTRACT WAGES &amp; BEN</v>
          </cell>
          <cell r="C57" t="str">
            <v>CONTRACTING</v>
          </cell>
        </row>
        <row r="58">
          <cell r="A58">
            <v>613120</v>
          </cell>
          <cell r="B58" t="str">
            <v>613120  OUTSIDE PURCHASE SVC</v>
          </cell>
          <cell r="C58" t="str">
            <v>CONTRACTING</v>
          </cell>
        </row>
        <row r="59">
          <cell r="A59" t="e">
            <v>#VALUE!</v>
          </cell>
          <cell r="B59" t="str">
            <v>CONTRACTING</v>
          </cell>
          <cell r="C59" t="str">
            <v>CONTRACTING</v>
          </cell>
        </row>
        <row r="60">
          <cell r="A60">
            <v>613050</v>
          </cell>
          <cell r="B60" t="str">
            <v>613050  OUTSOURCED SERVICES</v>
          </cell>
          <cell r="C60" t="str">
            <v>OUTSOURCE</v>
          </cell>
        </row>
        <row r="61">
          <cell r="A61" t="e">
            <v>#VALUE!</v>
          </cell>
          <cell r="B61" t="str">
            <v>OUTSOURCE</v>
          </cell>
          <cell r="C61" t="str">
            <v>OUTSOURCE</v>
          </cell>
        </row>
        <row r="62">
          <cell r="A62" t="e">
            <v>#VALUE!</v>
          </cell>
          <cell r="B62" t="str">
            <v>OUTSIDE PERSONNEL</v>
          </cell>
          <cell r="C62" t="str">
            <v>OUTSIDE PERSONNEL</v>
          </cell>
        </row>
        <row r="63">
          <cell r="A63">
            <v>609210</v>
          </cell>
          <cell r="B63" t="str">
            <v>609210  MAINT-HARDWARE</v>
          </cell>
          <cell r="C63" t="str">
            <v>HW MAINTENANCE</v>
          </cell>
        </row>
        <row r="64">
          <cell r="A64">
            <v>609230</v>
          </cell>
          <cell r="B64" t="str">
            <v>609230  MAINT-OFFICE EQUIP</v>
          </cell>
          <cell r="C64" t="str">
            <v>HW MAINTENANCE</v>
          </cell>
        </row>
        <row r="65">
          <cell r="A65">
            <v>609244</v>
          </cell>
          <cell r="B65" t="str">
            <v>609244  PURCH MAINT M&amp;E</v>
          </cell>
          <cell r="C65" t="str">
            <v>HW MAINTENANCE</v>
          </cell>
        </row>
        <row r="66">
          <cell r="A66" t="e">
            <v>#VALUE!</v>
          </cell>
          <cell r="B66" t="str">
            <v>HW MAINTENANCE</v>
          </cell>
          <cell r="C66" t="str">
            <v>HW MAINTENANCE</v>
          </cell>
        </row>
        <row r="67">
          <cell r="A67">
            <v>607500</v>
          </cell>
          <cell r="B67" t="str">
            <v>607500  PROPERTY-EQUIPMENT</v>
          </cell>
          <cell r="C67" t="str">
            <v>HARWARE RENT &amp; LEASING</v>
          </cell>
        </row>
        <row r="68">
          <cell r="A68">
            <v>608110</v>
          </cell>
          <cell r="B68" t="str">
            <v>608110  RENTAL-HARDWARE</v>
          </cell>
          <cell r="C68" t="str">
            <v>HARWARE RENT &amp; LEASING</v>
          </cell>
        </row>
        <row r="69">
          <cell r="A69">
            <v>608131</v>
          </cell>
          <cell r="B69" t="str">
            <v>608131  RENTAL-COMM EQUIP</v>
          </cell>
          <cell r="C69" t="str">
            <v>HARWARE RENT &amp; LEASING</v>
          </cell>
        </row>
        <row r="70">
          <cell r="A70">
            <v>608210</v>
          </cell>
          <cell r="B70" t="str">
            <v>608210  LEASED-HARDWARE</v>
          </cell>
          <cell r="C70" t="str">
            <v>HARWARE RENT &amp; LEASING</v>
          </cell>
        </row>
        <row r="71">
          <cell r="A71">
            <v>608215</v>
          </cell>
          <cell r="B71" t="str">
            <v>608215  LEASED-PC EQUIP</v>
          </cell>
          <cell r="C71" t="str">
            <v>HARWARE RENT &amp; LEASING</v>
          </cell>
        </row>
        <row r="72">
          <cell r="A72">
            <v>608250</v>
          </cell>
          <cell r="B72" t="str">
            <v>608250  LEASING COSTS-OTHER</v>
          </cell>
          <cell r="C72" t="str">
            <v>HARWARE RENT &amp; LEASING</v>
          </cell>
        </row>
        <row r="73">
          <cell r="A73" t="e">
            <v>#VALUE!</v>
          </cell>
          <cell r="B73" t="str">
            <v>HARWARE RENT &amp; LEASING</v>
          </cell>
          <cell r="C73" t="str">
            <v>HARWARE RENT &amp; LEASING</v>
          </cell>
        </row>
        <row r="74">
          <cell r="A74">
            <v>608100</v>
          </cell>
          <cell r="B74" t="str">
            <v>608100  RENTAL-SOFTWARE</v>
          </cell>
          <cell r="C74" t="str">
            <v>SOFTWARE RENT &amp; LEASING</v>
          </cell>
        </row>
        <row r="75">
          <cell r="A75">
            <v>608200</v>
          </cell>
          <cell r="B75" t="str">
            <v>608200  LEASED-SOFTWARE</v>
          </cell>
          <cell r="C75" t="str">
            <v>SOFTWARE RENT &amp; LEASING</v>
          </cell>
        </row>
        <row r="76">
          <cell r="A76">
            <v>609200</v>
          </cell>
          <cell r="B76" t="str">
            <v>609200  MAINT-SOFTWARE</v>
          </cell>
          <cell r="C76" t="str">
            <v>SOFTWARE RENT &amp; LEASING</v>
          </cell>
        </row>
        <row r="77">
          <cell r="A77" t="e">
            <v>#VALUE!</v>
          </cell>
          <cell r="B77" t="str">
            <v>SOFTWARE RENT &amp; LEASING</v>
          </cell>
          <cell r="C77" t="str">
            <v>SOFTWARE RENT &amp; LEASING</v>
          </cell>
        </row>
        <row r="78">
          <cell r="A78">
            <v>607050</v>
          </cell>
          <cell r="B78" t="str">
            <v>607050  PRPTY-DEPRECIATION</v>
          </cell>
          <cell r="C78" t="str">
            <v>HW / SW DEPRECIATION</v>
          </cell>
        </row>
        <row r="79">
          <cell r="A79" t="e">
            <v>#VALUE!</v>
          </cell>
          <cell r="B79" t="str">
            <v>HW / SW DEPRECIATION</v>
          </cell>
          <cell r="C79" t="str">
            <v>HW / SW DEPRECIATION</v>
          </cell>
        </row>
        <row r="80">
          <cell r="A80">
            <v>610200</v>
          </cell>
          <cell r="B80" t="str">
            <v>610200  OFFICE SOFTWARE PURC</v>
          </cell>
          <cell r="C80" t="str">
            <v>PURCHASED SOFTWARE</v>
          </cell>
        </row>
        <row r="81">
          <cell r="A81" t="e">
            <v>#VALUE!</v>
          </cell>
          <cell r="B81" t="str">
            <v>PURCHASED SOFTWARE</v>
          </cell>
          <cell r="C81" t="str">
            <v>PURCHASED SOFTWARE</v>
          </cell>
        </row>
        <row r="82">
          <cell r="A82" t="e">
            <v>#VALUE!</v>
          </cell>
          <cell r="B82" t="str">
            <v>HARDWARE SOFTWARE COSTS</v>
          </cell>
          <cell r="C82" t="str">
            <v>HARDWARE SOFTWARE COSTS</v>
          </cell>
        </row>
        <row r="83">
          <cell r="A83">
            <v>612135</v>
          </cell>
          <cell r="B83" t="str">
            <v>612135  DATA TRANS LINES</v>
          </cell>
          <cell r="C83" t="str">
            <v>DATA COMMUNICATIONS</v>
          </cell>
        </row>
        <row r="84">
          <cell r="A84">
            <v>612100</v>
          </cell>
          <cell r="B84" t="str">
            <v>612100  WIDE AREA NETWORK</v>
          </cell>
          <cell r="C84" t="str">
            <v>DATA COMMUNICATIONS</v>
          </cell>
        </row>
        <row r="85">
          <cell r="A85" t="e">
            <v>#VALUE!</v>
          </cell>
          <cell r="B85" t="str">
            <v>DATA COMMUNICATIONS</v>
          </cell>
          <cell r="C85" t="str">
            <v>DATA COMMUNICATIONS</v>
          </cell>
        </row>
        <row r="86">
          <cell r="A86">
            <v>612110</v>
          </cell>
          <cell r="B86" t="str">
            <v>612110  LOCAL AREA NETWORK</v>
          </cell>
          <cell r="C86" t="str">
            <v>VOICE AND VIDEO</v>
          </cell>
        </row>
        <row r="87">
          <cell r="A87">
            <v>612210</v>
          </cell>
          <cell r="B87" t="str">
            <v>612210  INDIVIDUAL TELEPHONE</v>
          </cell>
          <cell r="C87" t="str">
            <v>VOICE AND VIDEO</v>
          </cell>
        </row>
        <row r="88">
          <cell r="A88">
            <v>612220</v>
          </cell>
          <cell r="B88" t="str">
            <v>612220  MOBIL TELEPHONE CHAR</v>
          </cell>
          <cell r="C88" t="str">
            <v>VOICE AND VIDEO</v>
          </cell>
        </row>
        <row r="89">
          <cell r="A89">
            <v>613125</v>
          </cell>
          <cell r="B89" t="str">
            <v>613125  THIRD PARTY INV FEE</v>
          </cell>
          <cell r="C89" t="str">
            <v>VOICE AND VIDEO</v>
          </cell>
        </row>
        <row r="90">
          <cell r="A90">
            <v>612120</v>
          </cell>
          <cell r="B90" t="str">
            <v>612120  NETWORK SERVICE</v>
          </cell>
          <cell r="C90" t="str">
            <v>VOICE AND VIDEO</v>
          </cell>
        </row>
        <row r="91">
          <cell r="A91">
            <v>612130</v>
          </cell>
          <cell r="B91" t="str">
            <v>612130  NETWORK-OTHER</v>
          </cell>
          <cell r="C91" t="str">
            <v>VOICE AND VIDEO</v>
          </cell>
        </row>
        <row r="92">
          <cell r="A92">
            <v>610350</v>
          </cell>
          <cell r="B92" t="str">
            <v>610350  COMMUNICATIONS</v>
          </cell>
          <cell r="C92" t="str">
            <v>VOICE AND VIDEO</v>
          </cell>
        </row>
        <row r="93">
          <cell r="A93">
            <v>612200</v>
          </cell>
          <cell r="B93" t="str">
            <v>612200  GENERAL TELEPHONE</v>
          </cell>
          <cell r="C93" t="str">
            <v>VOICE AND VIDEO</v>
          </cell>
        </row>
        <row r="94">
          <cell r="A94" t="e">
            <v>#VALUE!</v>
          </cell>
          <cell r="B94" t="str">
            <v>VOICE AND VIDEO</v>
          </cell>
          <cell r="C94" t="str">
            <v>VOICE AND VIDEO</v>
          </cell>
        </row>
        <row r="95">
          <cell r="A95">
            <v>613127</v>
          </cell>
          <cell r="B95" t="str">
            <v>613127  COMMUNICATIONS REBIL</v>
          </cell>
          <cell r="C95" t="str">
            <v>COMMUNICATIONS REBILL</v>
          </cell>
        </row>
        <row r="96">
          <cell r="A96" t="e">
            <v>#VALUE!</v>
          </cell>
          <cell r="B96" t="str">
            <v>COMMUNICATIONS REBILL</v>
          </cell>
          <cell r="C96" t="str">
            <v>COMMUNICATIONS REBILL</v>
          </cell>
        </row>
        <row r="97">
          <cell r="A97" t="e">
            <v>#VALUE!</v>
          </cell>
          <cell r="B97" t="str">
            <v>COMMUNICATIONS</v>
          </cell>
          <cell r="C97" t="str">
            <v>COMMUNICATIONS REBILL</v>
          </cell>
        </row>
        <row r="98">
          <cell r="A98">
            <v>603017</v>
          </cell>
          <cell r="B98" t="str">
            <v>603017  FLOWERS &amp; MEMORIAL</v>
          </cell>
          <cell r="C98" t="str">
            <v>MISCELLANEOUS</v>
          </cell>
        </row>
        <row r="99">
          <cell r="A99">
            <v>603030</v>
          </cell>
          <cell r="B99" t="str">
            <v>603030  EMPLOYEE STOCK PURCH</v>
          </cell>
          <cell r="C99" t="str">
            <v>MISCELLANEOUS</v>
          </cell>
        </row>
        <row r="100">
          <cell r="A100">
            <v>603100</v>
          </cell>
          <cell r="B100" t="str">
            <v>603100  CASH DONATIONS</v>
          </cell>
          <cell r="C100" t="str">
            <v>MISCELLANEOUS</v>
          </cell>
        </row>
        <row r="101">
          <cell r="A101">
            <v>603102</v>
          </cell>
          <cell r="B101" t="str">
            <v>603102  EXEC PROD INTERCHNG</v>
          </cell>
          <cell r="C101" t="str">
            <v>MISCELLANEOUS</v>
          </cell>
        </row>
        <row r="102">
          <cell r="A102">
            <v>603103</v>
          </cell>
          <cell r="B102" t="str">
            <v>603103  PROD INTERNAL CONSUM</v>
          </cell>
          <cell r="C102" t="str">
            <v>MISCELLANEOUS</v>
          </cell>
        </row>
        <row r="103">
          <cell r="A103">
            <v>603106</v>
          </cell>
          <cell r="B103" t="str">
            <v>603106  PROD INTL CONS DROP</v>
          </cell>
          <cell r="C103" t="str">
            <v>MISCELLANEOUS</v>
          </cell>
        </row>
        <row r="104">
          <cell r="A104">
            <v>603112</v>
          </cell>
          <cell r="B104" t="str">
            <v>603112  LAPORTE EPI</v>
          </cell>
          <cell r="C104" t="str">
            <v>MISCELLANEOUS</v>
          </cell>
        </row>
        <row r="105">
          <cell r="A105">
            <v>603113</v>
          </cell>
          <cell r="B105" t="str">
            <v>603113  EPI-ADD'L EXPENSES</v>
          </cell>
          <cell r="C105" t="str">
            <v>MISCELLANEOUS</v>
          </cell>
        </row>
        <row r="106">
          <cell r="A106">
            <v>605800</v>
          </cell>
          <cell r="B106" t="str">
            <v>605800  ENTERTAINING 3RD PTY</v>
          </cell>
          <cell r="C106" t="str">
            <v>MISCELLANEOUS</v>
          </cell>
        </row>
        <row r="107">
          <cell r="A107">
            <v>607064</v>
          </cell>
          <cell r="B107" t="str">
            <v>607064  PROP-PER TOOLS REQ</v>
          </cell>
          <cell r="C107" t="str">
            <v>MISCELLANEOUS</v>
          </cell>
        </row>
        <row r="108">
          <cell r="A108">
            <v>607400</v>
          </cell>
          <cell r="B108" t="str">
            <v>607400  PROPERTY-TAXES</v>
          </cell>
          <cell r="C108" t="str">
            <v>MISCELLANEOUS</v>
          </cell>
        </row>
        <row r="109">
          <cell r="A109">
            <v>607501</v>
          </cell>
          <cell r="B109" t="str">
            <v>607501  PROP EQUIP &lt; $3000</v>
          </cell>
          <cell r="C109" t="str">
            <v>MISCELLANEOUS</v>
          </cell>
        </row>
        <row r="110">
          <cell r="A110">
            <v>610000</v>
          </cell>
          <cell r="B110" t="str">
            <v>610000  OFFICE SUPPLIES</v>
          </cell>
          <cell r="C110" t="str">
            <v>MISCELLANEOUS</v>
          </cell>
        </row>
        <row r="111">
          <cell r="A111">
            <v>610050</v>
          </cell>
          <cell r="B111" t="str">
            <v>610050  PC SUPPLIES</v>
          </cell>
          <cell r="C111" t="str">
            <v>MISCELLANEOUS</v>
          </cell>
        </row>
        <row r="112">
          <cell r="A112">
            <v>610100</v>
          </cell>
          <cell r="B112" t="str">
            <v>610100  PRINTING</v>
          </cell>
          <cell r="C112" t="str">
            <v>MISCELLANEOUS</v>
          </cell>
        </row>
        <row r="113">
          <cell r="A113">
            <v>610110</v>
          </cell>
          <cell r="B113" t="str">
            <v>610110  PURCHASED FORMS</v>
          </cell>
          <cell r="C113" t="str">
            <v>MISCELLANEOUS</v>
          </cell>
        </row>
        <row r="114">
          <cell r="A114">
            <v>610300</v>
          </cell>
          <cell r="B114" t="str">
            <v>610300  BOOKS, MAGAZINES, PA</v>
          </cell>
          <cell r="C114" t="str">
            <v>MISCELLANEOUS</v>
          </cell>
        </row>
        <row r="115">
          <cell r="A115">
            <v>610600</v>
          </cell>
          <cell r="B115" t="str">
            <v>610600  MEETING EXPENSE</v>
          </cell>
          <cell r="C115" t="str">
            <v>MISCELLANEOUS</v>
          </cell>
        </row>
        <row r="116">
          <cell r="A116">
            <v>610601</v>
          </cell>
          <cell r="B116" t="str">
            <v>610601  DINNER MEETING EXP</v>
          </cell>
          <cell r="C116" t="str">
            <v>MISCELLANEOUS</v>
          </cell>
        </row>
        <row r="117">
          <cell r="A117">
            <v>612115</v>
          </cell>
          <cell r="B117" t="str">
            <v>612115  EQUIPMENT CHARGES</v>
          </cell>
          <cell r="C117" t="str">
            <v>MISCELLANEOUS</v>
          </cell>
        </row>
        <row r="118">
          <cell r="A118">
            <v>613020</v>
          </cell>
          <cell r="B118" t="str">
            <v>613020  LEGAL FEES</v>
          </cell>
          <cell r="C118" t="str">
            <v>MISCELLANEOUS</v>
          </cell>
        </row>
        <row r="119">
          <cell r="A119">
            <v>613118</v>
          </cell>
          <cell r="B119" t="str">
            <v>613118  GROUND TRANS SERV</v>
          </cell>
          <cell r="C119" t="str">
            <v>MISCELLANEOUS</v>
          </cell>
        </row>
        <row r="120">
          <cell r="A120">
            <v>616100</v>
          </cell>
          <cell r="B120" t="str">
            <v>616100  POSTAGE</v>
          </cell>
          <cell r="C120" t="str">
            <v>MISCELLANEOUS</v>
          </cell>
        </row>
        <row r="121">
          <cell r="A121">
            <v>616319</v>
          </cell>
          <cell r="B121" t="str">
            <v>616319  SUP-FACTORY REQ</v>
          </cell>
          <cell r="C121" t="str">
            <v>MISCELLANEOUS</v>
          </cell>
        </row>
        <row r="122">
          <cell r="A122">
            <v>616326</v>
          </cell>
          <cell r="B122" t="str">
            <v>616326  VISA-MISC SUPPLIES</v>
          </cell>
          <cell r="C122" t="str">
            <v>MISCELLANEOUS</v>
          </cell>
        </row>
        <row r="123">
          <cell r="A123">
            <v>616327</v>
          </cell>
          <cell r="B123" t="str">
            <v>616327  MISC SUPPLIES</v>
          </cell>
          <cell r="C123" t="str">
            <v>MISCELLANEOUS</v>
          </cell>
        </row>
        <row r="124">
          <cell r="A124">
            <v>616333</v>
          </cell>
          <cell r="B124" t="str">
            <v>616333  TEST PROD PURCH</v>
          </cell>
          <cell r="C124" t="str">
            <v>MISCELLANEOUS</v>
          </cell>
        </row>
        <row r="125">
          <cell r="A125">
            <v>616334</v>
          </cell>
          <cell r="B125" t="str">
            <v>616334  PROJECT MATERIALS</v>
          </cell>
          <cell r="C125" t="str">
            <v>MISCELLANEOUS</v>
          </cell>
        </row>
        <row r="126">
          <cell r="A126">
            <v>616340</v>
          </cell>
          <cell r="B126" t="str">
            <v>616340  SUPPLIES-PRODUCTION</v>
          </cell>
          <cell r="C126" t="str">
            <v>MISCELLANEOUS</v>
          </cell>
        </row>
        <row r="127">
          <cell r="A127">
            <v>616600</v>
          </cell>
          <cell r="B127" t="str">
            <v>616600  CANTEEN AND CATERING</v>
          </cell>
          <cell r="C127" t="str">
            <v>MISCELLANEOUS</v>
          </cell>
        </row>
        <row r="128">
          <cell r="A128">
            <v>619600</v>
          </cell>
          <cell r="B128" t="str">
            <v>619600  FIELD ADJUSTMENTS</v>
          </cell>
          <cell r="C128" t="str">
            <v>MISCELLANEOUS</v>
          </cell>
        </row>
        <row r="129">
          <cell r="A129">
            <v>620008</v>
          </cell>
          <cell r="B129" t="str">
            <v>620008  PROMO MATL EMPL ORD</v>
          </cell>
          <cell r="C129" t="str">
            <v>MISCELLANEOUS</v>
          </cell>
        </row>
        <row r="130">
          <cell r="A130">
            <v>620082</v>
          </cell>
          <cell r="B130" t="str">
            <v>620082  PROMO COSTS-FIX REV</v>
          </cell>
          <cell r="C130" t="str">
            <v>MISCELLANEOUS</v>
          </cell>
        </row>
        <row r="131">
          <cell r="A131">
            <v>620090</v>
          </cell>
          <cell r="B131" t="str">
            <v>620090  SALES PROMO ITEMS</v>
          </cell>
          <cell r="C131" t="str">
            <v>MISCELLANEOUS</v>
          </cell>
        </row>
        <row r="132">
          <cell r="A132">
            <v>622500</v>
          </cell>
          <cell r="B132" t="str">
            <v>622500  FOOD/BEV ENTERTAINMT</v>
          </cell>
          <cell r="C132" t="str">
            <v>MISCELLANEOUS</v>
          </cell>
        </row>
        <row r="133">
          <cell r="A133">
            <v>626195</v>
          </cell>
          <cell r="B133" t="str">
            <v>626195  3-PRTY LOG SVCS CHGS</v>
          </cell>
          <cell r="C133" t="str">
            <v>MISCELLANEOUS</v>
          </cell>
        </row>
        <row r="134">
          <cell r="A134">
            <v>626343</v>
          </cell>
          <cell r="B134" t="str">
            <v>626343  EXCESS FREIGHT</v>
          </cell>
          <cell r="C134" t="str">
            <v>MISCELLANEOUS</v>
          </cell>
        </row>
        <row r="135">
          <cell r="A135">
            <v>626400</v>
          </cell>
          <cell r="B135" t="str">
            <v>626400  FREIGHT CHARGES</v>
          </cell>
          <cell r="C135" t="str">
            <v>MISCELLANEOUS</v>
          </cell>
        </row>
        <row r="136">
          <cell r="A136">
            <v>626410</v>
          </cell>
          <cell r="B136" t="str">
            <v>626410  FREIGHT NP MTL</v>
          </cell>
          <cell r="C136" t="str">
            <v>MISCELLANEOUS</v>
          </cell>
        </row>
        <row r="137">
          <cell r="A137">
            <v>628500</v>
          </cell>
          <cell r="B137" t="str">
            <v>628500  SUNDRY EXPENSE</v>
          </cell>
          <cell r="C137" t="str">
            <v>MISCELLANEOUS</v>
          </cell>
        </row>
        <row r="138">
          <cell r="A138">
            <v>629050</v>
          </cell>
          <cell r="B138" t="str">
            <v>629050  REARRANGE-MISC</v>
          </cell>
          <cell r="C138" t="str">
            <v>MISCELLANEOUS</v>
          </cell>
        </row>
        <row r="139">
          <cell r="A139">
            <v>629500</v>
          </cell>
          <cell r="B139" t="str">
            <v>629500  SPECIAL PROJECTS</v>
          </cell>
          <cell r="C139" t="str">
            <v>MISCELLANEOUS</v>
          </cell>
        </row>
        <row r="140">
          <cell r="A140">
            <v>630000</v>
          </cell>
          <cell r="B140" t="str">
            <v>630000  SALES TAX EXPENSE</v>
          </cell>
          <cell r="C140" t="str">
            <v>MISCELLANEOUS</v>
          </cell>
        </row>
        <row r="141">
          <cell r="A141">
            <v>631000</v>
          </cell>
          <cell r="B141" t="str">
            <v>631000  TAX ON FREE GOODS</v>
          </cell>
          <cell r="C141" t="str">
            <v>MISCELLANEOUS</v>
          </cell>
        </row>
        <row r="142">
          <cell r="A142">
            <v>603019</v>
          </cell>
          <cell r="B142" t="str">
            <v>603019  COMPANY PICNIC</v>
          </cell>
          <cell r="C142" t="str">
            <v>MISCELLANEOUS</v>
          </cell>
        </row>
        <row r="143">
          <cell r="A143">
            <v>609121</v>
          </cell>
          <cell r="B143" t="str">
            <v>609121  REPAIRS-T&amp;D MATERIAL</v>
          </cell>
          <cell r="C143" t="str">
            <v>MISCELLANEOUS</v>
          </cell>
        </row>
        <row r="144">
          <cell r="A144">
            <v>999977</v>
          </cell>
          <cell r="B144" t="str">
            <v>999977  CAPITAL ACQUISITIONS</v>
          </cell>
          <cell r="C144" t="str">
            <v>MISCELLANEOUS</v>
          </cell>
        </row>
        <row r="145">
          <cell r="A145">
            <v>603022</v>
          </cell>
          <cell r="B145" t="str">
            <v>603022  RECREATION PROGRAMS</v>
          </cell>
          <cell r="C145" t="str">
            <v>MISCELLANEOUS</v>
          </cell>
        </row>
        <row r="146">
          <cell r="A146">
            <v>603049</v>
          </cell>
          <cell r="B146" t="str">
            <v>603049  SEPARATION ALLOWANCE</v>
          </cell>
          <cell r="C146" t="str">
            <v>MISCELLANEOUS</v>
          </cell>
        </row>
        <row r="147">
          <cell r="A147">
            <v>607056</v>
          </cell>
          <cell r="B147" t="str">
            <v>607056  GAIN/LOSS ON DISP</v>
          </cell>
          <cell r="C147" t="str">
            <v>MISCELLANEOUS</v>
          </cell>
        </row>
        <row r="148">
          <cell r="A148" t="e">
            <v>#VALUE!</v>
          </cell>
          <cell r="B148" t="str">
            <v>MISCELLANEOUS</v>
          </cell>
          <cell r="C148" t="str">
            <v>MISCELLANEOUS</v>
          </cell>
        </row>
        <row r="149">
          <cell r="A149">
            <v>699025</v>
          </cell>
          <cell r="B149" t="str">
            <v>699025  TRANSFERS-WAREHOUSE</v>
          </cell>
          <cell r="C149" t="str">
            <v>MISCELLANEOUS</v>
          </cell>
        </row>
        <row r="150">
          <cell r="A150">
            <v>699035</v>
          </cell>
          <cell r="B150" t="str">
            <v>699035  TRANSFERS-CENT SERV</v>
          </cell>
          <cell r="C150" t="str">
            <v>MISCELLANEOUS</v>
          </cell>
        </row>
        <row r="151">
          <cell r="A151" t="e">
            <v>#VALUE!</v>
          </cell>
          <cell r="B151" t="str">
            <v>TRANSFERS MISCELLANEOUS</v>
          </cell>
          <cell r="C151" t="str">
            <v>MISCELLANEOUS</v>
          </cell>
        </row>
        <row r="152">
          <cell r="A152" t="e">
            <v>#VALUE!</v>
          </cell>
          <cell r="B152" t="str">
            <v>MISCELLANEOUS TOTAL</v>
          </cell>
          <cell r="C152" t="str">
            <v>MISCELLANEOUS</v>
          </cell>
        </row>
        <row r="153">
          <cell r="A153" t="e">
            <v>#VALUE!</v>
          </cell>
          <cell r="B153" t="str">
            <v>GROSS EXPENSE</v>
          </cell>
          <cell r="C153" t="str">
            <v>GROSS EXPENSE</v>
          </cell>
        </row>
        <row r="154">
          <cell r="A154">
            <v>699000</v>
          </cell>
          <cell r="B154" t="str">
            <v>699000  TRANSFERS-CAPITAL</v>
          </cell>
          <cell r="C154" t="str">
            <v>TRANSFERS CAPITAL</v>
          </cell>
        </row>
        <row r="155">
          <cell r="A155" t="e">
            <v>#VALUE!</v>
          </cell>
          <cell r="B155" t="str">
            <v>TRANSFERS CAPITAL</v>
          </cell>
          <cell r="C155" t="str">
            <v>TRANSFERS MISCELLANEOUS</v>
          </cell>
        </row>
        <row r="156">
          <cell r="A156">
            <v>699005</v>
          </cell>
          <cell r="B156" t="str">
            <v>699005  TRANSFERS-OTHER</v>
          </cell>
          <cell r="C156" t="str">
            <v>TRANSFERS REBILL</v>
          </cell>
        </row>
        <row r="157">
          <cell r="A157">
            <v>699010</v>
          </cell>
          <cell r="B157" t="str">
            <v>699010  TRANSFERS-REBILL</v>
          </cell>
          <cell r="C157" t="str">
            <v>TRANSFERS REBILL</v>
          </cell>
        </row>
        <row r="158">
          <cell r="A158">
            <v>699015</v>
          </cell>
          <cell r="B158" t="str">
            <v>699015  TRANSFERS-IT</v>
          </cell>
          <cell r="C158" t="str">
            <v>TRANSFERS REBILL</v>
          </cell>
        </row>
        <row r="159">
          <cell r="A159">
            <v>699017</v>
          </cell>
          <cell r="B159" t="str">
            <v>699017  TRANSFERS-PC LEASE</v>
          </cell>
          <cell r="C159" t="str">
            <v>TRANSFERS REBILL</v>
          </cell>
        </row>
        <row r="160">
          <cell r="A160">
            <v>699090</v>
          </cell>
          <cell r="B160" t="str">
            <v>699090  TRANSFERS-INTL ALLOC</v>
          </cell>
          <cell r="C160" t="str">
            <v>TRANSFERS REBILL</v>
          </cell>
        </row>
        <row r="161">
          <cell r="A161">
            <v>699075</v>
          </cell>
          <cell r="B161" t="str">
            <v>699075  TRANSFERS-CORPORATE</v>
          </cell>
          <cell r="C161" t="str">
            <v>TRANSFERS REBILL</v>
          </cell>
        </row>
        <row r="162">
          <cell r="A162">
            <v>699085</v>
          </cell>
          <cell r="B162" t="str">
            <v>699085  TRANSFERS-MISC ADJ</v>
          </cell>
          <cell r="C162" t="str">
            <v>TRANSFERS REBILL</v>
          </cell>
        </row>
        <row r="163">
          <cell r="A163">
            <v>690263</v>
          </cell>
          <cell r="B163" t="str">
            <v>690263  TRANS-GIS INTERNAL</v>
          </cell>
          <cell r="C163" t="str">
            <v>TRANSFERS REBILL</v>
          </cell>
        </row>
        <row r="164">
          <cell r="A164" t="e">
            <v>#VALUE!</v>
          </cell>
          <cell r="B164" t="str">
            <v>TRANSFERS REBILL</v>
          </cell>
          <cell r="C164" t="str">
            <v>TRANSFERS MISCELLANEOUS</v>
          </cell>
        </row>
        <row r="165">
          <cell r="A165" t="e">
            <v>#VALUE!</v>
          </cell>
          <cell r="B165" t="str">
            <v>TRANSFERS</v>
          </cell>
          <cell r="C165" t="str">
            <v>TRANSFERS MISCELLANEOUS</v>
          </cell>
        </row>
        <row r="166">
          <cell r="A166" t="e">
            <v>#VALUE!</v>
          </cell>
          <cell r="B166" t="str">
            <v>Total</v>
          </cell>
          <cell r="C166" t="str">
            <v>Total</v>
          </cell>
        </row>
        <row r="167">
          <cell r="A167" t="e">
            <v>#VALUE!</v>
          </cell>
          <cell r="B167" t="str">
            <v>Grand Total</v>
          </cell>
          <cell r="C167" t="str">
            <v>Grand Total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ng Sheet"/>
      <sheetName val="Index"/>
      <sheetName val="Rev Def Sum"/>
      <sheetName val="Rev Requirement"/>
      <sheetName val="Gross Conversion Factor"/>
      <sheetName val="Proforma Adjustments"/>
      <sheetName val="Revenue  Sheet 1"/>
      <sheetName val="Summary Sheet 2"/>
      <sheetName val="Per Books Purchase Gas Exp"/>
      <sheetName val="Annualized Purchase Gas Exp "/>
      <sheetName val="Uncollectible Surcharge Calc"/>
      <sheetName val="Unadj. Rev 2-A"/>
      <sheetName val="Bills 2-B"/>
      <sheetName val="DTH 2-C"/>
      <sheetName val="Norm 2-D"/>
      <sheetName val="Adj. Rev 2-E"/>
      <sheetName val="Adj to OGDR 2-F"/>
      <sheetName val="O&amp;M Expenses"/>
      <sheetName val="O&amp;M Adjustment Summary"/>
      <sheetName val="Labor Adj. Summary"/>
      <sheetName val="Wage Increase"/>
      <sheetName val="Gross Payroll Summary"/>
      <sheetName val="O&amp;M Percentage"/>
      <sheetName val="new positions"/>
      <sheetName val="Incentive"/>
      <sheetName val="Profit Sharing"/>
      <sheetName val="Pensions &amp; Benefits Adj "/>
      <sheetName val="NCSC Test Year Adj"/>
      <sheetName val="Incentive Comp"/>
      <sheetName val="IBM IT"/>
      <sheetName val="NCSC Labor &amp; Benefits"/>
      <sheetName val="Outside Svcs &amp; Company Mem"/>
      <sheetName val="Lease Expense"/>
      <sheetName val="Corporate Insurance"/>
      <sheetName val="Fuel Used in Co Operations"/>
      <sheetName val="Uncollectible Adj."/>
      <sheetName val="Rate Case Expense Adj"/>
      <sheetName val="DSM Surcharge Adjustment"/>
      <sheetName val="PSC &amp; PC Fees Adj"/>
      <sheetName val="Injuries&amp; Damages Adj"/>
      <sheetName val="GTI Funding "/>
      <sheetName val="Choice Costs"/>
      <sheetName val="Postage Costs "/>
      <sheetName val="Customer Education "/>
      <sheetName val="Depreciation Expense Summary"/>
      <sheetName val="Taxes Other than Income Sum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Rate Base"/>
      <sheetName val="Customer Deposits"/>
      <sheetName val="Lead Lag"/>
      <sheetName val="Cost of Capital"/>
      <sheetName val="Round Robi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33 A REV."/>
      <sheetName val="ATTACH REH-5A REV"/>
      <sheetName val="TS1 &amp; TS2 ALLOCATION"/>
    </sheetNames>
    <sheetDataSet>
      <sheetData sheetId="0" refreshError="1">
        <row r="1">
          <cell r="H1" t="str">
            <v>Schedule 33</v>
          </cell>
        </row>
        <row r="3">
          <cell r="D3" t="str">
            <v>COLUMBIA GAS OF VIRGINIA,  INC.</v>
          </cell>
        </row>
        <row r="5">
          <cell r="D5" t="str">
            <v xml:space="preserve">      Schedule of Additional Gross Revenues</v>
          </cell>
        </row>
        <row r="6">
          <cell r="D6" t="str">
            <v>By Rate Schedule Produced By Proposed Rates</v>
          </cell>
        </row>
        <row r="9">
          <cell r="D9" t="str">
            <v>Adjusted</v>
          </cell>
          <cell r="G9" t="str">
            <v>Proposed</v>
          </cell>
          <cell r="H9" t="str">
            <v>Proposed</v>
          </cell>
        </row>
        <row r="10">
          <cell r="C10" t="str">
            <v>Adjusted</v>
          </cell>
          <cell r="D10" t="str">
            <v>Rate</v>
          </cell>
          <cell r="E10" t="str">
            <v>Proposed</v>
          </cell>
          <cell r="F10" t="str">
            <v>Adjusted</v>
          </cell>
          <cell r="G10" t="str">
            <v>Increase</v>
          </cell>
          <cell r="H10" t="str">
            <v>Increase</v>
          </cell>
        </row>
        <row r="11">
          <cell r="B11" t="str">
            <v>Description</v>
          </cell>
          <cell r="C11" t="str">
            <v>Volumes (a)</v>
          </cell>
          <cell r="D11" t="str">
            <v>Revenue (b)</v>
          </cell>
          <cell r="E11" t="str">
            <v>Increase</v>
          </cell>
          <cell r="F11" t="str">
            <v>Revenues</v>
          </cell>
          <cell r="G11" t="str">
            <v>Per Mcf</v>
          </cell>
          <cell r="H11" t="str">
            <v>Percent</v>
          </cell>
        </row>
        <row r="12">
          <cell r="C12" t="str">
            <v>(1)</v>
          </cell>
          <cell r="D12" t="str">
            <v>(2)</v>
          </cell>
          <cell r="E12" t="str">
            <v>(3)</v>
          </cell>
          <cell r="F12" t="str">
            <v>(4=2+3)</v>
          </cell>
          <cell r="G12" t="str">
            <v>(5=3/1)</v>
          </cell>
          <cell r="H12" t="str">
            <v>(6)</v>
          </cell>
        </row>
        <row r="13">
          <cell r="C13" t="str">
            <v>Mcf</v>
          </cell>
          <cell r="D13" t="str">
            <v>$</v>
          </cell>
          <cell r="E13" t="str">
            <v>$</v>
          </cell>
          <cell r="F13" t="str">
            <v>$</v>
          </cell>
          <cell r="G13" t="str">
            <v>$/Mcf</v>
          </cell>
        </row>
        <row r="15">
          <cell r="B15" t="str">
            <v>Residential Service</v>
          </cell>
        </row>
        <row r="16">
          <cell r="B16" t="str">
            <v xml:space="preserve">  East and West</v>
          </cell>
          <cell r="C16">
            <v>11467918.199999999</v>
          </cell>
          <cell r="D16">
            <v>105546782</v>
          </cell>
          <cell r="E16">
            <v>9268974.945700001</v>
          </cell>
          <cell r="F16">
            <v>114815756.9457</v>
          </cell>
        </row>
        <row r="17">
          <cell r="B17" t="str">
            <v xml:space="preserve">  Central</v>
          </cell>
          <cell r="C17">
            <v>917057.1</v>
          </cell>
          <cell r="D17">
            <v>8272167</v>
          </cell>
          <cell r="E17">
            <v>796152.52987344749</v>
          </cell>
          <cell r="F17">
            <v>9068319.5298734475</v>
          </cell>
        </row>
        <row r="18">
          <cell r="B18" t="str">
            <v xml:space="preserve">  Total</v>
          </cell>
          <cell r="C18">
            <v>12384975.299999999</v>
          </cell>
          <cell r="D18">
            <v>113818949</v>
          </cell>
          <cell r="E18">
            <v>10065127.475573448</v>
          </cell>
          <cell r="F18">
            <v>123884076.47557345</v>
          </cell>
          <cell r="G18">
            <v>0.81269999999999998</v>
          </cell>
          <cell r="H18">
            <v>8.8400000000000006E-2</v>
          </cell>
        </row>
        <row r="20">
          <cell r="B20" t="str">
            <v>Small General Service</v>
          </cell>
        </row>
        <row r="21">
          <cell r="B21" t="str">
            <v xml:space="preserve">  Commercial</v>
          </cell>
          <cell r="C21">
            <v>6998572.9000000004</v>
          </cell>
          <cell r="D21">
            <v>47132884</v>
          </cell>
          <cell r="E21">
            <v>2635048.8509999998</v>
          </cell>
          <cell r="F21">
            <v>49767932.850999996</v>
          </cell>
        </row>
        <row r="22">
          <cell r="B22" t="str">
            <v xml:space="preserve">  Industrial</v>
          </cell>
          <cell r="C22">
            <v>522998.3</v>
          </cell>
          <cell r="D22">
            <v>3243215</v>
          </cell>
          <cell r="E22">
            <v>180918.85170088289</v>
          </cell>
          <cell r="F22">
            <v>3424133.8517008829</v>
          </cell>
        </row>
        <row r="23">
          <cell r="B23" t="str">
            <v xml:space="preserve">  Total</v>
          </cell>
          <cell r="C23">
            <v>7521571.2000000002</v>
          </cell>
          <cell r="D23">
            <v>50376099</v>
          </cell>
          <cell r="E23">
            <v>2815967.7027008827</v>
          </cell>
          <cell r="F23">
            <v>53192066.702700876</v>
          </cell>
          <cell r="G23">
            <v>0.37440000000000001</v>
          </cell>
          <cell r="H23">
            <v>5.5899999999999998E-2</v>
          </cell>
        </row>
        <row r="25">
          <cell r="B25" t="str">
            <v xml:space="preserve">Large General Service 1/  </v>
          </cell>
        </row>
        <row r="26">
          <cell r="B26" t="str">
            <v>Transportation Service 1</v>
          </cell>
        </row>
        <row r="27">
          <cell r="B27" t="str">
            <v xml:space="preserve">  Commercial (LGS 1)</v>
          </cell>
          <cell r="C27">
            <v>427682.9</v>
          </cell>
          <cell r="D27">
            <v>1115423</v>
          </cell>
          <cell r="E27">
            <v>32711.53581999999</v>
          </cell>
          <cell r="F27">
            <v>1148134.5358199999</v>
          </cell>
        </row>
        <row r="28">
          <cell r="B28" t="str">
            <v xml:space="preserve">  Industrial (LGS 1)</v>
          </cell>
          <cell r="C28">
            <v>740335</v>
          </cell>
          <cell r="D28">
            <v>3449616</v>
          </cell>
          <cell r="E28">
            <v>74045.791333959671</v>
          </cell>
          <cell r="F28">
            <v>3523661.7913339594</v>
          </cell>
        </row>
        <row r="29">
          <cell r="B29" t="str">
            <v xml:space="preserve">  Commercial (TS-1)</v>
          </cell>
          <cell r="C29">
            <v>2101300.2000000002</v>
          </cell>
          <cell r="D29">
            <v>1368179</v>
          </cell>
          <cell r="E29">
            <v>167328.92973999999</v>
          </cell>
          <cell r="F29">
            <v>1535507.9297400001</v>
          </cell>
        </row>
        <row r="30">
          <cell r="B30" t="str">
            <v xml:space="preserve">  Industrial (TS-1)</v>
          </cell>
          <cell r="C30">
            <v>6947728.5999999996</v>
          </cell>
          <cell r="D30">
            <v>3734034</v>
          </cell>
          <cell r="E30">
            <v>495300.92672000005</v>
          </cell>
          <cell r="F30">
            <v>4229334.9267199999</v>
          </cell>
        </row>
        <row r="31">
          <cell r="B31" t="str">
            <v xml:space="preserve">  Total</v>
          </cell>
          <cell r="C31">
            <v>10217046.699999999</v>
          </cell>
          <cell r="D31">
            <v>9667252</v>
          </cell>
          <cell r="E31">
            <v>769387.1836139597</v>
          </cell>
          <cell r="F31">
            <v>10436639.18361396</v>
          </cell>
          <cell r="G31">
            <v>7.5300000000000006E-2</v>
          </cell>
          <cell r="H31">
            <v>7.9600000000000004E-2</v>
          </cell>
        </row>
        <row r="33">
          <cell r="B33" t="str">
            <v>Large General Service 2/</v>
          </cell>
        </row>
        <row r="34">
          <cell r="B34" t="str">
            <v>Transportation Service 2</v>
          </cell>
        </row>
        <row r="35">
          <cell r="B35" t="str">
            <v xml:space="preserve">  Commercial (LGS 2)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 xml:space="preserve">  Industrial (LGS 2)</v>
          </cell>
          <cell r="C36">
            <v>1052107</v>
          </cell>
          <cell r="D36">
            <v>4040109</v>
          </cell>
          <cell r="E36">
            <v>21383.575000000001</v>
          </cell>
          <cell r="F36">
            <v>4061492.5750000002</v>
          </cell>
        </row>
        <row r="37">
          <cell r="B37" t="str">
            <v xml:space="preserve">  Commercial (TS-2)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 t="str">
            <v xml:space="preserve">  Industrial (TS-2)</v>
          </cell>
          <cell r="C38">
            <v>13598016</v>
          </cell>
          <cell r="D38">
            <v>3105475</v>
          </cell>
          <cell r="E38">
            <v>353886.06311170897</v>
          </cell>
          <cell r="F38">
            <v>3459361.063111709</v>
          </cell>
        </row>
        <row r="39">
          <cell r="B39" t="str">
            <v xml:space="preserve">  Total</v>
          </cell>
          <cell r="C39">
            <v>14650123</v>
          </cell>
          <cell r="D39">
            <v>7145584</v>
          </cell>
          <cell r="E39">
            <v>375269.63811170898</v>
          </cell>
          <cell r="F39">
            <v>7520853.6381117087</v>
          </cell>
          <cell r="G39">
            <v>2.5600000000000001E-2</v>
          </cell>
          <cell r="H39">
            <v>5.2499999999999998E-2</v>
          </cell>
        </row>
        <row r="42">
          <cell r="B42" t="str">
            <v xml:space="preserve">  Special Contract</v>
          </cell>
          <cell r="C42">
            <v>16993404</v>
          </cell>
          <cell r="D42">
            <v>2615185</v>
          </cell>
          <cell r="E42">
            <v>0</v>
          </cell>
          <cell r="F42">
            <v>2615185</v>
          </cell>
          <cell r="G42">
            <v>0</v>
          </cell>
          <cell r="H42">
            <v>0</v>
          </cell>
        </row>
        <row r="44">
          <cell r="B44" t="str">
            <v xml:space="preserve">  Total Transportation</v>
          </cell>
          <cell r="C44">
            <v>39640448.799999997</v>
          </cell>
          <cell r="D44">
            <v>10822873</v>
          </cell>
          <cell r="E44">
            <v>1016515.919571709</v>
          </cell>
          <cell r="F44">
            <v>11839388.919571709</v>
          </cell>
        </row>
        <row r="46">
          <cell r="B46" t="str">
            <v>Total</v>
          </cell>
          <cell r="C46">
            <v>61767120.200000003</v>
          </cell>
          <cell r="D46">
            <v>183623069</v>
          </cell>
          <cell r="E46">
            <v>14025752</v>
          </cell>
          <cell r="F46">
            <v>197648821</v>
          </cell>
        </row>
        <row r="48">
          <cell r="B48" t="str">
            <v>Other Operating Revenue</v>
          </cell>
          <cell r="D48">
            <v>2113419</v>
          </cell>
          <cell r="E48">
            <v>0</v>
          </cell>
          <cell r="F48">
            <v>2113419</v>
          </cell>
        </row>
        <row r="49">
          <cell r="B49" t="str">
            <v>Total Revenue</v>
          </cell>
          <cell r="C49">
            <v>61767120.200000003</v>
          </cell>
          <cell r="D49">
            <v>185736488</v>
          </cell>
          <cell r="E49">
            <v>14025752</v>
          </cell>
          <cell r="F49">
            <v>199762240</v>
          </cell>
        </row>
        <row r="52">
          <cell r="B52" t="str">
            <v>(a) Test period adjusted per schedule 14.</v>
          </cell>
        </row>
        <row r="54">
          <cell r="B54" t="str">
            <v>(b) Rates based on those in approved in Case No. PUE950033.</v>
          </cell>
        </row>
        <row r="56">
          <cell r="B56" t="str">
            <v>X:\CGV\RATECASE\98\SCHEDULE\SCHEDULE 33 FOR 1998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 Info Needed-DO NOT PRINT"/>
      <sheetName val="Filing Sheet"/>
      <sheetName val="Index"/>
      <sheetName val="Rev Def Sum"/>
      <sheetName val="Rev Requirement"/>
      <sheetName val="Gross Conversion Factor"/>
      <sheetName val="Charge-off Rate - DO NOT PRINT"/>
      <sheetName val="Proforma Adjustments"/>
      <sheetName val="Revenue  Sheet 1"/>
      <sheetName val="Summary Sheet 2"/>
      <sheetName val="Per Books Purchase Gas Exp"/>
      <sheetName val="Annualized Purchase Gas Exp "/>
      <sheetName val="Uncollectible Surcharge Calc"/>
      <sheetName val="Unadj. Rev 2-A"/>
      <sheetName val="Bills 2-B"/>
      <sheetName val="DTH 2-C"/>
      <sheetName val="Norm 2-D"/>
      <sheetName val="Adj. Rev 2-E"/>
      <sheetName val="Adj to OGDR 2-F"/>
      <sheetName val="Adj. Rev 2-G"/>
      <sheetName val="O&amp;M Expenses"/>
      <sheetName val="O&amp;M Adjustment Summary"/>
      <sheetName val="Labor Adj. Summary"/>
      <sheetName val="Wage Increase"/>
      <sheetName val="Gross Payroll Summary"/>
      <sheetName val="Prem and OT 3 yrs"/>
      <sheetName val="O&amp;M Percentage"/>
      <sheetName val="New employees"/>
      <sheetName val="Incentive"/>
      <sheetName val="Profit Sharing"/>
      <sheetName val="Pensions &amp; Benefits Adj "/>
      <sheetName val="Pen&amp;RIP-5yrAvg"/>
      <sheetName val="Pension Detail-DO NOT PRINT"/>
      <sheetName val="NCSC Test Year Adj"/>
      <sheetName val="NCSC Labor &amp; Benefits"/>
      <sheetName val="NCSC Incentive Comp"/>
      <sheetName val="NCSC Stock Comp"/>
      <sheetName val="GTI Funding "/>
      <sheetName val="Private Letter Ruling Expense"/>
      <sheetName val="AGA Dues"/>
      <sheetName val="HQLease Expense"/>
      <sheetName val="Corporate Insurance"/>
      <sheetName val="Fuel Used in Co Operations"/>
      <sheetName val="Uncollectible Adj."/>
      <sheetName val="Rate Case Amort Adj"/>
      <sheetName val="Current Rate Case Exp"/>
      <sheetName val="DSM Surcharge Adjustment"/>
      <sheetName val="PSC &amp; PC Fees Adj"/>
      <sheetName val="Injuries &amp; Damages-DO NOT PRINT"/>
      <sheetName val="Clearing Accounts-DO NOT PRINT"/>
      <sheetName val="Postage Costs "/>
      <sheetName val="Depr&amp;Amort Sum"/>
      <sheetName val="Proposed Depr&amp;Amort"/>
      <sheetName val="TaxesOther than IncSummary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AFUDC "/>
      <sheetName val="Rate Base"/>
      <sheetName val="101"/>
      <sheetName val="106"/>
      <sheetName val="106 (IRIS)"/>
      <sheetName val="107"/>
      <sheetName val="107 (IRIS)"/>
      <sheetName val="Depreciation Reserve"/>
      <sheetName val="Material &amp; Supplies"/>
      <sheetName val="Def Tx CIAC"/>
      <sheetName val="Def Tx Inv"/>
      <sheetName val="Customer Deposits"/>
      <sheetName val="Cust Adv  Const"/>
      <sheetName val="Def Inc Taxes"/>
      <sheetName val="NOL"/>
      <sheetName val="Environmental adj"/>
      <sheetName val="Def Tx Enviromental"/>
      <sheetName val="Main Services terminal 101-106"/>
      <sheetName val="Main Services terminal 108"/>
      <sheetName val="Safety &amp; Reliability Additions"/>
      <sheetName val="Def tax on post test yr adj"/>
      <sheetName val="Customer Programs-SLE"/>
      <sheetName val="Lead Lag"/>
      <sheetName val="Cost of Capital"/>
      <sheetName val="PAST TAB-MGP Sale(DO NOT PRINT)"/>
      <sheetName val="Rev Def Sum wMGP Adj"/>
      <sheetName val="Rev Req wMGP"/>
      <sheetName val="Proforma Adj wMGP Adj"/>
      <sheetName val="O&amp;M Adj Sum wMGP Gain"/>
      <sheetName val="MGP Gain on Sale"/>
      <sheetName val="Depr&amp;Amrt Sum wMGP"/>
      <sheetName val="Proposed Depr&amp;Amrt wMGP"/>
      <sheetName val="Taxes Other than IncSum wMGP"/>
      <sheetName val="Property Tax wMGP"/>
      <sheetName val="Inc Tax wMGP"/>
      <sheetName val="Rate Base wMGP"/>
      <sheetName val="Hagerstown MGP"/>
      <sheetName val="MGP Gain on Sale RB"/>
      <sheetName val="Def Tx Hagerstown MGP"/>
      <sheetName val="Lead Lag wMGP"/>
      <sheetName val="PAST TAB-RevRqSLE(DO NOT PRINT)"/>
      <sheetName val="Customer Programs Rev Req Sum"/>
      <sheetName val="Input Sheet"/>
      <sheetName val="Round Robi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rtfall"/>
      <sheetName val="Revenue Calculation"/>
      <sheetName val="Payment Calculation"/>
      <sheetName val="Inputs"/>
    </sheetNames>
    <sheetDataSet>
      <sheetData sheetId="0"/>
      <sheetData sheetId="1"/>
      <sheetData sheetId="2">
        <row r="24">
          <cell r="C24">
            <v>15704800</v>
          </cell>
        </row>
        <row r="25">
          <cell r="C25">
            <v>120640</v>
          </cell>
        </row>
      </sheetData>
      <sheetData sheetId="3">
        <row r="4">
          <cell r="B4">
            <v>19768</v>
          </cell>
        </row>
        <row r="5">
          <cell r="B5">
            <v>24451.25</v>
          </cell>
        </row>
        <row r="7">
          <cell r="B7">
            <v>45</v>
          </cell>
        </row>
        <row r="8">
          <cell r="B8">
            <v>2022000</v>
          </cell>
        </row>
        <row r="12">
          <cell r="B12">
            <v>117.58544989650554</v>
          </cell>
        </row>
        <row r="17">
          <cell r="B17">
            <v>187.83333333333212</v>
          </cell>
        </row>
        <row r="32">
          <cell r="B32">
            <v>0</v>
          </cell>
        </row>
        <row r="34">
          <cell r="B34">
            <v>0</v>
          </cell>
        </row>
        <row r="50">
          <cell r="B50">
            <v>272400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3, Pg 6-8"/>
      <sheetName val="Ex 3, Pg 9-10"/>
      <sheetName val="Sch1"/>
      <sheetName val="Sch2"/>
      <sheetName val="Sch3"/>
      <sheetName val="Sch4"/>
      <sheetName val="Sch5"/>
      <sheetName val="Sch5-2"/>
      <sheetName val="Sch5-3"/>
      <sheetName val="Sch6&amp;7"/>
      <sheetName val="Sch8"/>
      <sheetName val="Sch9"/>
      <sheetName val="Sch10"/>
      <sheetName val="Macros"/>
    </sheetNames>
    <sheetDataSet>
      <sheetData sheetId="0" refreshError="1"/>
      <sheetData sheetId="1"/>
      <sheetData sheetId="2">
        <row r="1">
          <cell r="G1" t="str">
            <v>Exhibit No. 3</v>
          </cell>
        </row>
        <row r="4">
          <cell r="G4" t="str">
            <v>Witness: M. J. Bell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Pivot"/>
      <sheetName val="A (Input) Inv MO Service Charge"/>
      <sheetName val="B (Input) MO Volumes"/>
      <sheetName val="C (Input) MO ARC RRC Charges"/>
      <sheetName val="D (Output) Volume Analysis"/>
      <sheetName val="E (Calc) MO ARC-RRC Charge"/>
      <sheetName val="F (Valid) MO Service Charge"/>
      <sheetName val="G (Valid) MO ARC-RRC Charge"/>
      <sheetName val="H (Ref) Mnthly Svc Fees"/>
      <sheetName val="I (Ref) Mnthly Baseline Units"/>
      <sheetName val="I(a) (Ref) Mnth Baseline Unit %"/>
      <sheetName val="J (Ref) ARC RRC Rates"/>
      <sheetName val="K Graph (Input)"/>
      <sheetName val="L Graph (Data)"/>
      <sheetName val="M Graph (Baseline)"/>
      <sheetName val="N Graph (RU)"/>
      <sheetName val="O Graph (Charges)"/>
      <sheetName val="SLA Menu"/>
      <sheetName val="R (Input) SLA Achieved"/>
      <sheetName val="S (Calc) Service Credit"/>
      <sheetName val="T (Calc) Srvice Credt True Up"/>
      <sheetName val="U (Valid) Service Credit Sum"/>
      <sheetName val="V (Ref) At Risk"/>
      <sheetName val="W (Ref) Pool Allocation"/>
      <sheetName val="X (Ref) Original SLA"/>
      <sheetName val="(Ref) Invoice Detail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8"/>
  <dimension ref="A1:I26"/>
  <sheetViews>
    <sheetView tabSelected="1" workbookViewId="0">
      <selection activeCell="C18" sqref="C18"/>
    </sheetView>
  </sheetViews>
  <sheetFormatPr defaultColWidth="11.83203125" defaultRowHeight="10.199999999999999" x14ac:dyDescent="0.2"/>
  <cols>
    <col min="1" max="1" width="30.83203125" style="200" customWidth="1"/>
    <col min="2" max="2" width="5.83203125" style="200" customWidth="1"/>
    <col min="3" max="3" width="101.33203125" style="200" customWidth="1"/>
    <col min="4" max="9" width="11.83203125" style="200"/>
    <col min="10" max="10" width="11.83203125" style="200" customWidth="1"/>
    <col min="11" max="11" width="11.83203125" style="200"/>
    <col min="12" max="12" width="2.1640625" style="200" customWidth="1"/>
    <col min="13" max="13" width="9.33203125" style="200" customWidth="1"/>
    <col min="14" max="14" width="8.1640625" style="200" customWidth="1"/>
    <col min="15" max="16384" width="11.83203125" style="200"/>
  </cols>
  <sheetData>
    <row r="1" spans="1:3" ht="13.2" x14ac:dyDescent="0.25">
      <c r="A1" s="208" t="s">
        <v>331</v>
      </c>
      <c r="B1" s="201"/>
      <c r="C1" s="201"/>
    </row>
    <row r="2" spans="1:3" ht="13.2" x14ac:dyDescent="0.25">
      <c r="A2" s="201"/>
      <c r="B2" s="201"/>
      <c r="C2" s="201"/>
    </row>
    <row r="3" spans="1:3" ht="13.2" x14ac:dyDescent="0.25">
      <c r="A3" s="867" t="s">
        <v>330</v>
      </c>
      <c r="B3" s="867"/>
      <c r="C3" s="867"/>
    </row>
    <row r="4" spans="1:3" ht="13.2" x14ac:dyDescent="0.25">
      <c r="A4" s="201"/>
      <c r="B4" s="201"/>
      <c r="C4" s="201"/>
    </row>
    <row r="5" spans="1:3" ht="13.2" x14ac:dyDescent="0.25">
      <c r="A5" s="867" t="s">
        <v>329</v>
      </c>
      <c r="B5" s="867"/>
      <c r="C5" s="867"/>
    </row>
    <row r="6" spans="1:3" ht="13.2" x14ac:dyDescent="0.25">
      <c r="A6" s="201"/>
      <c r="B6" s="201"/>
      <c r="C6" s="201"/>
    </row>
    <row r="7" spans="1:3" ht="13.2" x14ac:dyDescent="0.25">
      <c r="A7" s="867" t="s">
        <v>328</v>
      </c>
      <c r="B7" s="867"/>
      <c r="C7" s="867"/>
    </row>
    <row r="8" spans="1:3" ht="13.2" x14ac:dyDescent="0.25">
      <c r="A8" s="201"/>
      <c r="B8" s="201"/>
      <c r="C8" s="201"/>
    </row>
    <row r="9" spans="1:3" ht="13.2" x14ac:dyDescent="0.25">
      <c r="A9" s="868" t="s">
        <v>648</v>
      </c>
      <c r="B9" s="868"/>
      <c r="C9" s="868"/>
    </row>
    <row r="10" spans="1:3" ht="13.2" x14ac:dyDescent="0.25">
      <c r="A10" s="201"/>
      <c r="B10" s="201"/>
      <c r="C10" s="201"/>
    </row>
    <row r="11" spans="1:3" ht="13.2" x14ac:dyDescent="0.25">
      <c r="A11" s="201"/>
      <c r="B11" s="201"/>
      <c r="C11" s="201"/>
    </row>
    <row r="12" spans="1:3" ht="13.2" x14ac:dyDescent="0.25">
      <c r="A12" s="201"/>
      <c r="B12" s="201"/>
      <c r="C12" s="201"/>
    </row>
    <row r="13" spans="1:3" ht="13.2" x14ac:dyDescent="0.25">
      <c r="A13" s="207" t="s">
        <v>327</v>
      </c>
      <c r="B13" s="201"/>
      <c r="C13" s="219" t="s">
        <v>646</v>
      </c>
    </row>
    <row r="14" spans="1:3" ht="13.2" x14ac:dyDescent="0.25">
      <c r="A14" s="201"/>
      <c r="B14" s="201"/>
      <c r="C14" s="201"/>
    </row>
    <row r="15" spans="1:3" ht="13.2" x14ac:dyDescent="0.25">
      <c r="A15" s="207" t="s">
        <v>326</v>
      </c>
      <c r="B15" s="201"/>
      <c r="C15" s="219" t="s">
        <v>647</v>
      </c>
    </row>
    <row r="16" spans="1:3" ht="13.2" x14ac:dyDescent="0.25">
      <c r="A16" s="201"/>
      <c r="B16" s="201"/>
      <c r="C16" s="201"/>
    </row>
    <row r="17" spans="1:9" ht="13.2" x14ac:dyDescent="0.25">
      <c r="A17" s="201"/>
      <c r="B17" s="201"/>
      <c r="C17" s="201"/>
    </row>
    <row r="18" spans="1:9" ht="13.2" x14ac:dyDescent="0.25">
      <c r="A18" s="205" t="s">
        <v>325</v>
      </c>
      <c r="B18" s="206"/>
      <c r="C18" s="205" t="s">
        <v>146</v>
      </c>
      <c r="D18" s="204"/>
      <c r="E18" s="204"/>
      <c r="F18" s="204"/>
      <c r="G18" s="204"/>
      <c r="H18" s="204"/>
      <c r="I18" s="204"/>
    </row>
    <row r="19" spans="1:9" ht="13.2" x14ac:dyDescent="0.25">
      <c r="A19" s="201"/>
      <c r="B19" s="201"/>
      <c r="C19" s="201"/>
    </row>
    <row r="20" spans="1:9" ht="13.2" x14ac:dyDescent="0.25">
      <c r="A20" s="201"/>
      <c r="B20" s="201"/>
      <c r="C20" s="201"/>
    </row>
    <row r="21" spans="1:9" ht="13.2" x14ac:dyDescent="0.25">
      <c r="A21" s="202" t="s">
        <v>324</v>
      </c>
      <c r="B21" s="203"/>
      <c r="C21" s="202" t="s">
        <v>323</v>
      </c>
    </row>
    <row r="22" spans="1:9" ht="13.2" x14ac:dyDescent="0.25">
      <c r="A22" s="202" t="s">
        <v>322</v>
      </c>
      <c r="B22" s="203"/>
      <c r="C22" s="202" t="s">
        <v>321</v>
      </c>
    </row>
    <row r="23" spans="1:9" ht="12" customHeight="1" x14ac:dyDescent="0.25">
      <c r="A23" s="202" t="s">
        <v>143</v>
      </c>
      <c r="B23" s="203"/>
      <c r="C23" s="202" t="s">
        <v>409</v>
      </c>
    </row>
    <row r="24" spans="1:9" ht="12" customHeight="1" x14ac:dyDescent="0.25">
      <c r="A24" s="202" t="s">
        <v>408</v>
      </c>
      <c r="B24" s="203"/>
      <c r="C24" s="202" t="s">
        <v>413</v>
      </c>
    </row>
    <row r="25" spans="1:9" ht="13.2" x14ac:dyDescent="0.25">
      <c r="A25" s="202" t="s">
        <v>305</v>
      </c>
      <c r="B25" s="203"/>
      <c r="C25" s="202" t="s">
        <v>410</v>
      </c>
    </row>
    <row r="26" spans="1:9" ht="13.2" x14ac:dyDescent="0.25">
      <c r="A26" s="201"/>
      <c r="B26" s="201"/>
      <c r="C26" s="201"/>
    </row>
  </sheetData>
  <mergeCells count="4">
    <mergeCell ref="A3:C3"/>
    <mergeCell ref="A5:C5"/>
    <mergeCell ref="A7:C7"/>
    <mergeCell ref="A9:C9"/>
  </mergeCells>
  <printOptions horizontalCentered="1"/>
  <pageMargins left="0.5" right="0.25" top="0.5" bottom="0.25" header="0.25" footer="0.5"/>
  <pageSetup scale="68" orientation="landscape" r:id="rId1"/>
  <headerFooter alignWithMargins="0">
    <oddHeader>&amp;RKY PSC Case No. 2016-00162
Attachment B to PSC 2-65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/>
  <dimension ref="A1:W1367"/>
  <sheetViews>
    <sheetView topLeftCell="A55" zoomScaleNormal="100" zoomScaleSheetLayoutView="76" workbookViewId="0">
      <selection activeCell="C18" sqref="C18"/>
    </sheetView>
  </sheetViews>
  <sheetFormatPr defaultColWidth="10" defaultRowHeight="10.199999999999999" x14ac:dyDescent="0.2"/>
  <cols>
    <col min="1" max="1" width="5" style="224" customWidth="1"/>
    <col min="2" max="2" width="9" style="221" customWidth="1"/>
    <col min="3" max="3" width="35.1640625" style="221" customWidth="1"/>
    <col min="4" max="4" width="11.33203125" style="242" bestFit="1" customWidth="1"/>
    <col min="5" max="5" width="14.6640625" style="221" bestFit="1" customWidth="1"/>
    <col min="6" max="6" width="14.6640625" style="294" bestFit="1" customWidth="1"/>
    <col min="7" max="7" width="14.33203125" style="419" bestFit="1" customWidth="1"/>
    <col min="8" max="8" width="13.6640625" style="294" bestFit="1" customWidth="1"/>
    <col min="9" max="9" width="13" style="247" bestFit="1" customWidth="1"/>
    <col min="10" max="14" width="13" style="294" bestFit="1" customWidth="1"/>
    <col min="15" max="15" width="13.6640625" style="294" bestFit="1" customWidth="1"/>
    <col min="16" max="16" width="14.33203125" style="294" bestFit="1" customWidth="1"/>
    <col min="17" max="17" width="15" style="221" customWidth="1"/>
    <col min="18" max="18" width="14.33203125" style="221" bestFit="1" customWidth="1"/>
    <col min="19" max="19" width="29.83203125" style="221" bestFit="1" customWidth="1"/>
    <col min="20" max="20" width="15.83203125" style="221" bestFit="1" customWidth="1"/>
    <col min="21" max="16384" width="10" style="221"/>
  </cols>
  <sheetData>
    <row r="1" spans="1:17" x14ac:dyDescent="0.2">
      <c r="A1" s="887" t="str">
        <f>CONAME</f>
        <v>Columbia Gas of Kentucky, Inc.</v>
      </c>
      <c r="B1" s="887"/>
      <c r="C1" s="887"/>
      <c r="D1" s="887"/>
      <c r="E1" s="887"/>
      <c r="F1" s="887"/>
      <c r="G1" s="887"/>
      <c r="H1" s="887"/>
      <c r="I1" s="887"/>
      <c r="J1" s="887"/>
      <c r="K1" s="887"/>
      <c r="L1" s="887"/>
      <c r="M1" s="887"/>
      <c r="N1" s="887"/>
      <c r="O1" s="887"/>
      <c r="P1" s="887"/>
      <c r="Q1" s="887"/>
    </row>
    <row r="2" spans="1:17" x14ac:dyDescent="0.2">
      <c r="A2" s="875" t="str">
        <f>case</f>
        <v>Case No. 2016-00162</v>
      </c>
      <c r="B2" s="875"/>
      <c r="C2" s="875"/>
      <c r="D2" s="875"/>
      <c r="E2" s="875"/>
      <c r="F2" s="875"/>
      <c r="G2" s="875"/>
      <c r="H2" s="875"/>
      <c r="I2" s="875"/>
      <c r="J2" s="875"/>
      <c r="K2" s="875"/>
      <c r="L2" s="875"/>
      <c r="M2" s="875"/>
      <c r="N2" s="875"/>
      <c r="O2" s="875"/>
      <c r="P2" s="875"/>
      <c r="Q2" s="875"/>
    </row>
    <row r="3" spans="1:17" x14ac:dyDescent="0.2">
      <c r="A3" s="888" t="s">
        <v>502</v>
      </c>
      <c r="B3" s="888"/>
      <c r="C3" s="888"/>
      <c r="D3" s="888"/>
      <c r="E3" s="888"/>
      <c r="F3" s="888"/>
      <c r="G3" s="888"/>
      <c r="H3" s="888"/>
      <c r="I3" s="888"/>
      <c r="J3" s="888"/>
      <c r="K3" s="888"/>
      <c r="L3" s="888"/>
      <c r="M3" s="888"/>
      <c r="N3" s="888"/>
      <c r="O3" s="888"/>
      <c r="P3" s="888"/>
      <c r="Q3" s="888"/>
    </row>
    <row r="4" spans="1:17" x14ac:dyDescent="0.2">
      <c r="A4" s="887" t="str">
        <f>TYDESC</f>
        <v>For the 12 Months Ended December 31, 2017</v>
      </c>
      <c r="B4" s="887"/>
      <c r="C4" s="887"/>
      <c r="D4" s="887"/>
      <c r="E4" s="887"/>
      <c r="F4" s="887"/>
      <c r="G4" s="887"/>
      <c r="H4" s="887"/>
      <c r="I4" s="887"/>
      <c r="J4" s="887"/>
      <c r="K4" s="887"/>
      <c r="L4" s="887"/>
      <c r="M4" s="887"/>
      <c r="N4" s="887"/>
      <c r="O4" s="887"/>
      <c r="P4" s="887"/>
      <c r="Q4" s="887"/>
    </row>
    <row r="5" spans="1:17" x14ac:dyDescent="0.2">
      <c r="A5" s="885" t="s">
        <v>39</v>
      </c>
      <c r="B5" s="885"/>
      <c r="C5" s="885"/>
      <c r="D5" s="885"/>
      <c r="E5" s="885"/>
      <c r="F5" s="885"/>
      <c r="G5" s="885"/>
      <c r="H5" s="885"/>
      <c r="I5" s="885"/>
      <c r="J5" s="885"/>
      <c r="K5" s="885"/>
      <c r="L5" s="885"/>
      <c r="M5" s="885"/>
      <c r="N5" s="885"/>
      <c r="O5" s="885"/>
      <c r="P5" s="885"/>
      <c r="Q5" s="885"/>
    </row>
    <row r="6" spans="1:17" x14ac:dyDescent="0.2">
      <c r="A6" s="266" t="str">
        <f>$A$52</f>
        <v>Data: __ Base Period _X_ Forecasted Period</v>
      </c>
    </row>
    <row r="7" spans="1:17" x14ac:dyDescent="0.2">
      <c r="A7" s="266" t="str">
        <f>$A$53</f>
        <v>Type of Filing: X Original _ Update _ Revised</v>
      </c>
      <c r="Q7" s="420" t="str">
        <f>$Q$53</f>
        <v>Schedule M-2.2</v>
      </c>
    </row>
    <row r="8" spans="1:17" x14ac:dyDescent="0.2">
      <c r="A8" s="266" t="str">
        <f>$A$54</f>
        <v>Work Paper Reference No(s):</v>
      </c>
      <c r="Q8" s="420" t="s">
        <v>505</v>
      </c>
    </row>
    <row r="9" spans="1:17" x14ac:dyDescent="0.2">
      <c r="A9" s="421" t="str">
        <f>$A$55</f>
        <v>12 Months Forecasted</v>
      </c>
      <c r="Q9" s="420" t="str">
        <f>Witness</f>
        <v>Witness:  M. J. Bell</v>
      </c>
    </row>
    <row r="10" spans="1:17" x14ac:dyDescent="0.2">
      <c r="A10" s="886" t="s">
        <v>194</v>
      </c>
      <c r="B10" s="886"/>
      <c r="C10" s="886"/>
      <c r="D10" s="886"/>
      <c r="E10" s="886"/>
      <c r="F10" s="886"/>
      <c r="G10" s="886"/>
      <c r="H10" s="886"/>
      <c r="I10" s="886"/>
      <c r="J10" s="886"/>
      <c r="K10" s="886"/>
      <c r="L10" s="886"/>
      <c r="M10" s="886"/>
      <c r="N10" s="886"/>
      <c r="O10" s="886"/>
      <c r="P10" s="886"/>
      <c r="Q10" s="886"/>
    </row>
    <row r="11" spans="1:17" x14ac:dyDescent="0.2">
      <c r="A11" s="306"/>
      <c r="B11" s="305"/>
      <c r="C11" s="305"/>
      <c r="D11" s="304"/>
      <c r="E11" s="422"/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422"/>
      <c r="Q11" s="422"/>
    </row>
    <row r="12" spans="1:17" x14ac:dyDescent="0.2">
      <c r="A12" s="416" t="s">
        <v>1</v>
      </c>
      <c r="B12" s="226" t="s">
        <v>224</v>
      </c>
      <c r="C12" s="226" t="s">
        <v>41</v>
      </c>
      <c r="D12" s="423" t="s">
        <v>47</v>
      </c>
      <c r="E12" s="424"/>
      <c r="F12" s="425"/>
      <c r="G12" s="424"/>
      <c r="H12" s="426"/>
      <c r="I12" s="424"/>
      <c r="J12" s="424"/>
      <c r="K12" s="424"/>
      <c r="L12" s="424"/>
      <c r="M12" s="424"/>
      <c r="N12" s="424"/>
      <c r="O12" s="231"/>
      <c r="P12" s="231"/>
      <c r="Q12" s="231"/>
    </row>
    <row r="13" spans="1:17" x14ac:dyDescent="0.2">
      <c r="A13" s="285" t="s">
        <v>3</v>
      </c>
      <c r="B13" s="228" t="s">
        <v>225</v>
      </c>
      <c r="C13" s="228" t="s">
        <v>4</v>
      </c>
      <c r="D13" s="427" t="s">
        <v>48</v>
      </c>
      <c r="E13" s="428" t="str">
        <f>B!$D$11</f>
        <v>Jan-17</v>
      </c>
      <c r="F13" s="428" t="str">
        <f>B!$E$11</f>
        <v>Feb-17</v>
      </c>
      <c r="G13" s="428" t="str">
        <f>B!$F$11</f>
        <v>Mar-17</v>
      </c>
      <c r="H13" s="428" t="str">
        <f>B!$G$11</f>
        <v>Apr-17</v>
      </c>
      <c r="I13" s="428" t="str">
        <f>B!$H$11</f>
        <v>May-17</v>
      </c>
      <c r="J13" s="428" t="str">
        <f>B!$I$11</f>
        <v>Jun-17</v>
      </c>
      <c r="K13" s="428" t="str">
        <f>B!$J$11</f>
        <v>Jul-17</v>
      </c>
      <c r="L13" s="428" t="str">
        <f>B!$K$11</f>
        <v>Aug-17</v>
      </c>
      <c r="M13" s="428" t="str">
        <f>B!$L$11</f>
        <v>Sep-17</v>
      </c>
      <c r="N13" s="428" t="str">
        <f>B!$M$11</f>
        <v>Oct-17</v>
      </c>
      <c r="O13" s="428" t="str">
        <f>B!$N$11</f>
        <v>Nov-17</v>
      </c>
      <c r="P13" s="428" t="str">
        <f>B!$O$11</f>
        <v>Dec-17</v>
      </c>
      <c r="Q13" s="429" t="s">
        <v>9</v>
      </c>
    </row>
    <row r="14" spans="1:17" x14ac:dyDescent="0.2">
      <c r="A14" s="416"/>
      <c r="B14" s="231" t="s">
        <v>42</v>
      </c>
      <c r="C14" s="231" t="s">
        <v>43</v>
      </c>
      <c r="D14" s="430" t="s">
        <v>45</v>
      </c>
      <c r="E14" s="431" t="s">
        <v>46</v>
      </c>
      <c r="F14" s="431" t="s">
        <v>49</v>
      </c>
      <c r="G14" s="431" t="s">
        <v>50</v>
      </c>
      <c r="H14" s="431" t="s">
        <v>51</v>
      </c>
      <c r="I14" s="431" t="s">
        <v>52</v>
      </c>
      <c r="J14" s="431" t="s">
        <v>53</v>
      </c>
      <c r="K14" s="432" t="s">
        <v>54</v>
      </c>
      <c r="L14" s="432" t="s">
        <v>55</v>
      </c>
      <c r="M14" s="432" t="s">
        <v>56</v>
      </c>
      <c r="N14" s="432" t="s">
        <v>57</v>
      </c>
      <c r="O14" s="432" t="s">
        <v>58</v>
      </c>
      <c r="P14" s="432" t="s">
        <v>59</v>
      </c>
      <c r="Q14" s="432" t="s">
        <v>203</v>
      </c>
    </row>
    <row r="15" spans="1:17" x14ac:dyDescent="0.2">
      <c r="A15" s="306"/>
      <c r="B15" s="305"/>
      <c r="C15" s="305"/>
      <c r="D15" s="304"/>
      <c r="E15" s="422"/>
      <c r="F15" s="422"/>
      <c r="G15" s="422"/>
      <c r="H15" s="422"/>
      <c r="I15" s="422"/>
      <c r="J15" s="422"/>
      <c r="K15" s="422"/>
      <c r="L15" s="422"/>
      <c r="M15" s="422"/>
      <c r="N15" s="422"/>
      <c r="O15" s="422"/>
      <c r="P15" s="429"/>
      <c r="Q15" s="429"/>
    </row>
    <row r="16" spans="1:17" x14ac:dyDescent="0.2">
      <c r="A16" s="224">
        <v>1</v>
      </c>
      <c r="B16" s="224"/>
      <c r="C16" s="433" t="s">
        <v>226</v>
      </c>
      <c r="P16" s="432"/>
      <c r="Q16" s="432"/>
    </row>
    <row r="17" spans="1:18" x14ac:dyDescent="0.2">
      <c r="B17" s="224"/>
      <c r="C17" s="433"/>
      <c r="P17" s="422"/>
      <c r="Q17" s="422"/>
    </row>
    <row r="18" spans="1:18" x14ac:dyDescent="0.2">
      <c r="A18" s="224">
        <f>A16+1</f>
        <v>2</v>
      </c>
      <c r="B18" s="224"/>
      <c r="C18" s="433" t="s">
        <v>227</v>
      </c>
    </row>
    <row r="19" spans="1:18" x14ac:dyDescent="0.2">
      <c r="A19" s="224">
        <f>A18+1</f>
        <v>3</v>
      </c>
      <c r="B19" s="263">
        <v>480</v>
      </c>
      <c r="C19" s="224" t="s">
        <v>229</v>
      </c>
      <c r="E19" s="434">
        <f t="shared" ref="E19:P19" si="0">E70+E84+E91+E98+E105+E134+E148+E155</f>
        <v>7846190.4999999991</v>
      </c>
      <c r="F19" s="434">
        <f t="shared" si="0"/>
        <v>7663359.7999999998</v>
      </c>
      <c r="G19" s="434">
        <f t="shared" si="0"/>
        <v>6195223.9099999992</v>
      </c>
      <c r="H19" s="434">
        <f t="shared" si="0"/>
        <v>4301603.3199999994</v>
      </c>
      <c r="I19" s="434">
        <f t="shared" si="0"/>
        <v>2959875.2399999998</v>
      </c>
      <c r="J19" s="434">
        <f t="shared" si="0"/>
        <v>2324247.2000000002</v>
      </c>
      <c r="K19" s="434">
        <f t="shared" si="0"/>
        <v>2149642.4700000002</v>
      </c>
      <c r="L19" s="434">
        <f t="shared" si="0"/>
        <v>2142831.4700000002</v>
      </c>
      <c r="M19" s="434">
        <f t="shared" si="0"/>
        <v>2144969.4600000004</v>
      </c>
      <c r="N19" s="434">
        <f t="shared" si="0"/>
        <v>2385375.4</v>
      </c>
      <c r="O19" s="434">
        <f t="shared" si="0"/>
        <v>3618616.0900000008</v>
      </c>
      <c r="P19" s="434">
        <f t="shared" si="0"/>
        <v>5901645.4300000006</v>
      </c>
      <c r="Q19" s="434">
        <f>SUM(E19:P19)</f>
        <v>49633580.289999999</v>
      </c>
      <c r="R19" s="435">
        <f>Q70+Q84+Q91+Q98+Q105+Q134+Q148+Q155</f>
        <v>49633580.289999999</v>
      </c>
    </row>
    <row r="20" spans="1:18" x14ac:dyDescent="0.2">
      <c r="A20" s="224">
        <f>A19+1</f>
        <v>4</v>
      </c>
      <c r="B20" s="263">
        <v>481.1</v>
      </c>
      <c r="C20" s="224" t="s">
        <v>230</v>
      </c>
      <c r="E20" s="436">
        <f t="shared" ref="E20:P20" si="1">E77+E141+E162</f>
        <v>3217802.55</v>
      </c>
      <c r="F20" s="436">
        <f t="shared" si="1"/>
        <v>3205817.64</v>
      </c>
      <c r="G20" s="436">
        <f t="shared" si="1"/>
        <v>2387480.5</v>
      </c>
      <c r="H20" s="436">
        <f t="shared" si="1"/>
        <v>1633593.31</v>
      </c>
      <c r="I20" s="436">
        <f t="shared" si="1"/>
        <v>1023502.2000000001</v>
      </c>
      <c r="J20" s="436">
        <f t="shared" si="1"/>
        <v>791304.52999999991</v>
      </c>
      <c r="K20" s="436">
        <f t="shared" si="1"/>
        <v>690861.47000000009</v>
      </c>
      <c r="L20" s="436">
        <f t="shared" si="1"/>
        <v>673449.84</v>
      </c>
      <c r="M20" s="436">
        <f t="shared" si="1"/>
        <v>668132.54999999993</v>
      </c>
      <c r="N20" s="436">
        <f t="shared" si="1"/>
        <v>777295.27000000014</v>
      </c>
      <c r="O20" s="436">
        <f t="shared" si="1"/>
        <v>1180863.24</v>
      </c>
      <c r="P20" s="436">
        <f t="shared" si="1"/>
        <v>2239232.23</v>
      </c>
      <c r="Q20" s="242">
        <f>SUM(E20:P20)</f>
        <v>18489335.329999998</v>
      </c>
      <c r="R20" s="435">
        <f>Q77+Q141+Q162</f>
        <v>18489335.329999998</v>
      </c>
    </row>
    <row r="21" spans="1:18" x14ac:dyDescent="0.2">
      <c r="A21" s="224">
        <f t="shared" ref="A21:A33" si="2">A20+1</f>
        <v>5</v>
      </c>
      <c r="B21" s="437">
        <v>481.2</v>
      </c>
      <c r="C21" s="224" t="s">
        <v>231</v>
      </c>
      <c r="E21" s="242">
        <f t="shared" ref="E21:P21" si="3">E190+E197</f>
        <v>129149.99</v>
      </c>
      <c r="F21" s="242">
        <f t="shared" si="3"/>
        <v>125132.98999999999</v>
      </c>
      <c r="G21" s="242">
        <f t="shared" si="3"/>
        <v>121088.68</v>
      </c>
      <c r="H21" s="242">
        <f t="shared" si="3"/>
        <v>116752.69000000002</v>
      </c>
      <c r="I21" s="242">
        <f t="shared" si="3"/>
        <v>112364.84999999999</v>
      </c>
      <c r="J21" s="242">
        <f t="shared" si="3"/>
        <v>108141.06</v>
      </c>
      <c r="K21" s="242">
        <f t="shared" si="3"/>
        <v>108140.14</v>
      </c>
      <c r="L21" s="242">
        <f t="shared" si="3"/>
        <v>112164.59</v>
      </c>
      <c r="M21" s="242">
        <f t="shared" si="3"/>
        <v>112114.09</v>
      </c>
      <c r="N21" s="242">
        <f t="shared" si="3"/>
        <v>120237.79999999999</v>
      </c>
      <c r="O21" s="242">
        <f t="shared" si="3"/>
        <v>120706.85999999999</v>
      </c>
      <c r="P21" s="242">
        <f t="shared" si="3"/>
        <v>121305.35</v>
      </c>
      <c r="Q21" s="242">
        <f>SUM(E21:P21)</f>
        <v>1407299.0899999999</v>
      </c>
      <c r="R21" s="435">
        <f>Q197+Q190</f>
        <v>1407299.0899999999</v>
      </c>
    </row>
    <row r="22" spans="1:18" x14ac:dyDescent="0.2">
      <c r="A22" s="224">
        <f>A25+1</f>
        <v>8</v>
      </c>
      <c r="B22" s="263">
        <v>483</v>
      </c>
      <c r="C22" s="224" t="s">
        <v>233</v>
      </c>
      <c r="E22" s="438">
        <f t="shared" ref="E22:P22" si="4">E204</f>
        <v>10643.800000000001</v>
      </c>
      <c r="F22" s="438">
        <f t="shared" si="4"/>
        <v>8122.05</v>
      </c>
      <c r="G22" s="438">
        <f t="shared" si="4"/>
        <v>4447.7800000000007</v>
      </c>
      <c r="H22" s="438">
        <f t="shared" si="4"/>
        <v>3058.7599999999998</v>
      </c>
      <c r="I22" s="438">
        <f t="shared" si="4"/>
        <v>2211.17</v>
      </c>
      <c r="J22" s="438">
        <f t="shared" si="4"/>
        <v>1780.99</v>
      </c>
      <c r="K22" s="438">
        <f t="shared" si="4"/>
        <v>1852.7500000000002</v>
      </c>
      <c r="L22" s="438">
        <f t="shared" si="4"/>
        <v>1704.6900000000003</v>
      </c>
      <c r="M22" s="438">
        <f t="shared" si="4"/>
        <v>1705.6100000000001</v>
      </c>
      <c r="N22" s="438">
        <f t="shared" si="4"/>
        <v>3251.8</v>
      </c>
      <c r="O22" s="438">
        <f t="shared" si="4"/>
        <v>4191.49</v>
      </c>
      <c r="P22" s="438">
        <f t="shared" si="4"/>
        <v>4740.2300000000005</v>
      </c>
      <c r="Q22" s="438">
        <f>SUM(E22:P22)</f>
        <v>47711.12000000001</v>
      </c>
      <c r="R22" s="439">
        <f>Q22+Q204</f>
        <v>95422.24000000002</v>
      </c>
    </row>
    <row r="23" spans="1:18" x14ac:dyDescent="0.2">
      <c r="A23" s="224">
        <f>A21+1</f>
        <v>6</v>
      </c>
      <c r="B23" s="437"/>
      <c r="C23" s="224" t="s">
        <v>232</v>
      </c>
      <c r="E23" s="434">
        <f t="shared" ref="E23:O23" si="5">SUM(E19:E22)</f>
        <v>11203786.84</v>
      </c>
      <c r="F23" s="434">
        <f t="shared" si="5"/>
        <v>11002432.48</v>
      </c>
      <c r="G23" s="434">
        <f t="shared" si="5"/>
        <v>8708240.8699999992</v>
      </c>
      <c r="H23" s="434">
        <f t="shared" si="5"/>
        <v>6055008.0799999991</v>
      </c>
      <c r="I23" s="434">
        <f t="shared" si="5"/>
        <v>4097953.46</v>
      </c>
      <c r="J23" s="434">
        <f t="shared" si="5"/>
        <v>3225473.7800000003</v>
      </c>
      <c r="K23" s="434">
        <f t="shared" si="5"/>
        <v>2950496.8300000005</v>
      </c>
      <c r="L23" s="434">
        <f t="shared" si="5"/>
        <v>2930150.59</v>
      </c>
      <c r="M23" s="434">
        <f t="shared" si="5"/>
        <v>2926921.71</v>
      </c>
      <c r="N23" s="434">
        <f t="shared" si="5"/>
        <v>3286160.2699999996</v>
      </c>
      <c r="O23" s="434">
        <f t="shared" si="5"/>
        <v>4924377.6800000016</v>
      </c>
      <c r="P23" s="434">
        <f>SUM(P19:P22)</f>
        <v>8266923.2400000002</v>
      </c>
      <c r="Q23" s="434">
        <f>SUM(E23:P23)</f>
        <v>69577925.829999998</v>
      </c>
    </row>
    <row r="24" spans="1:18" x14ac:dyDescent="0.2">
      <c r="B24" s="437"/>
      <c r="C24" s="224"/>
    </row>
    <row r="25" spans="1:18" x14ac:dyDescent="0.2">
      <c r="A25" s="224">
        <f>A23+1</f>
        <v>7</v>
      </c>
      <c r="B25" s="437"/>
      <c r="C25" s="433" t="s">
        <v>285</v>
      </c>
    </row>
    <row r="26" spans="1:18" x14ac:dyDescent="0.2">
      <c r="A26" s="224">
        <f>A22+1</f>
        <v>9</v>
      </c>
      <c r="B26" s="263">
        <v>489</v>
      </c>
      <c r="C26" s="224" t="s">
        <v>234</v>
      </c>
      <c r="E26" s="434">
        <f t="shared" ref="E26:P26" si="6">E232</f>
        <v>1272310</v>
      </c>
      <c r="F26" s="434">
        <f t="shared" si="6"/>
        <v>1247886.8</v>
      </c>
      <c r="G26" s="434">
        <f t="shared" si="6"/>
        <v>1043190.34</v>
      </c>
      <c r="H26" s="434">
        <f t="shared" si="6"/>
        <v>776341.66</v>
      </c>
      <c r="I26" s="434">
        <f t="shared" si="6"/>
        <v>588766.57999999996</v>
      </c>
      <c r="J26" s="434">
        <f t="shared" si="6"/>
        <v>498639.04000000004</v>
      </c>
      <c r="K26" s="434">
        <f t="shared" si="6"/>
        <v>472720.92000000004</v>
      </c>
      <c r="L26" s="434">
        <f t="shared" si="6"/>
        <v>470125.52</v>
      </c>
      <c r="M26" s="434">
        <f t="shared" si="6"/>
        <v>473988.76</v>
      </c>
      <c r="N26" s="434">
        <f t="shared" si="6"/>
        <v>506718.42000000004</v>
      </c>
      <c r="O26" s="434">
        <f t="shared" si="6"/>
        <v>679055.82</v>
      </c>
      <c r="P26" s="434">
        <f t="shared" si="6"/>
        <v>999361.48</v>
      </c>
      <c r="Q26" s="434">
        <f>SUM(E26:P26)</f>
        <v>9029105.3399999999</v>
      </c>
      <c r="R26" s="435">
        <f>Q232</f>
        <v>9029105.3399999999</v>
      </c>
    </row>
    <row r="27" spans="1:18" x14ac:dyDescent="0.2">
      <c r="A27" s="224">
        <f t="shared" si="2"/>
        <v>10</v>
      </c>
      <c r="B27" s="263">
        <v>489</v>
      </c>
      <c r="C27" s="224" t="s">
        <v>235</v>
      </c>
      <c r="E27" s="242">
        <f t="shared" ref="E27:P27" si="7">E239+E253+E267+E308+E356+E315</f>
        <v>1045545.4199999999</v>
      </c>
      <c r="F27" s="242">
        <f t="shared" si="7"/>
        <v>1002643.9400000001</v>
      </c>
      <c r="G27" s="242">
        <f t="shared" si="7"/>
        <v>859208.1399999999</v>
      </c>
      <c r="H27" s="242">
        <f t="shared" si="7"/>
        <v>661629.26</v>
      </c>
      <c r="I27" s="242">
        <f t="shared" si="7"/>
        <v>526759.57999999996</v>
      </c>
      <c r="J27" s="242">
        <f t="shared" si="7"/>
        <v>464147.26999999996</v>
      </c>
      <c r="K27" s="242">
        <f t="shared" si="7"/>
        <v>452814.81999999995</v>
      </c>
      <c r="L27" s="242">
        <f t="shared" si="7"/>
        <v>442331.27999999991</v>
      </c>
      <c r="M27" s="242">
        <f t="shared" si="7"/>
        <v>458401.81000000006</v>
      </c>
      <c r="N27" s="242">
        <f t="shared" si="7"/>
        <v>523836.35999999993</v>
      </c>
      <c r="O27" s="242">
        <f t="shared" si="7"/>
        <v>653430.12999999989</v>
      </c>
      <c r="P27" s="242">
        <f t="shared" si="7"/>
        <v>891300.66</v>
      </c>
      <c r="Q27" s="242">
        <f t="shared" ref="Q27:Q33" si="8">SUM(E27:P27)</f>
        <v>7982048.6699999999</v>
      </c>
      <c r="R27" s="435">
        <f>Q239+Q253+Q267+Q308+Q315</f>
        <v>7982048.669999999</v>
      </c>
    </row>
    <row r="28" spans="1:18" x14ac:dyDescent="0.2">
      <c r="A28" s="224">
        <f t="shared" si="2"/>
        <v>11</v>
      </c>
      <c r="B28" s="263">
        <v>489</v>
      </c>
      <c r="C28" s="224" t="s">
        <v>236</v>
      </c>
      <c r="E28" s="242">
        <f t="shared" ref="E28:P28" si="9">E246+E260+E294+E301+E322+E329+E363</f>
        <v>496167.55000000005</v>
      </c>
      <c r="F28" s="242">
        <f t="shared" si="9"/>
        <v>458665.25</v>
      </c>
      <c r="G28" s="242">
        <f t="shared" si="9"/>
        <v>430196.66000000003</v>
      </c>
      <c r="H28" s="242">
        <f t="shared" si="9"/>
        <v>387748.76</v>
      </c>
      <c r="I28" s="242">
        <f t="shared" si="9"/>
        <v>363243.68</v>
      </c>
      <c r="J28" s="242">
        <f t="shared" si="9"/>
        <v>344916.79000000004</v>
      </c>
      <c r="K28" s="242">
        <f t="shared" si="9"/>
        <v>325021</v>
      </c>
      <c r="L28" s="242">
        <f t="shared" si="9"/>
        <v>346652.49</v>
      </c>
      <c r="M28" s="242">
        <f t="shared" si="9"/>
        <v>359703.71</v>
      </c>
      <c r="N28" s="242">
        <f t="shared" si="9"/>
        <v>396276.29000000004</v>
      </c>
      <c r="O28" s="242">
        <f t="shared" si="9"/>
        <v>434250.12</v>
      </c>
      <c r="P28" s="242">
        <f t="shared" si="9"/>
        <v>453065.93</v>
      </c>
      <c r="Q28" s="242">
        <f t="shared" si="8"/>
        <v>4795908.2299999995</v>
      </c>
      <c r="R28" s="435">
        <f>Q246+Q260+Q294+Q301+Q322+Q329+Q356+Q363</f>
        <v>4795908.2300000004</v>
      </c>
    </row>
    <row r="29" spans="1:18" x14ac:dyDescent="0.2">
      <c r="A29" s="224">
        <f>A28+1</f>
        <v>12</v>
      </c>
      <c r="B29" s="263">
        <v>487</v>
      </c>
      <c r="C29" s="224" t="s">
        <v>237</v>
      </c>
      <c r="E29" s="242">
        <f t="shared" ref="E29:P29" si="10">E369</f>
        <v>56000</v>
      </c>
      <c r="F29" s="242">
        <f t="shared" si="10"/>
        <v>79000</v>
      </c>
      <c r="G29" s="242">
        <f t="shared" si="10"/>
        <v>78000</v>
      </c>
      <c r="H29" s="242">
        <f t="shared" si="10"/>
        <v>74000</v>
      </c>
      <c r="I29" s="242">
        <f t="shared" si="10"/>
        <v>40000</v>
      </c>
      <c r="J29" s="242">
        <f t="shared" si="10"/>
        <v>25000</v>
      </c>
      <c r="K29" s="242">
        <f t="shared" si="10"/>
        <v>20000</v>
      </c>
      <c r="L29" s="242">
        <f t="shared" si="10"/>
        <v>19000</v>
      </c>
      <c r="M29" s="242">
        <f t="shared" si="10"/>
        <v>22000</v>
      </c>
      <c r="N29" s="242">
        <f t="shared" si="10"/>
        <v>11000</v>
      </c>
      <c r="O29" s="242">
        <f t="shared" si="10"/>
        <v>18000</v>
      </c>
      <c r="P29" s="242">
        <f t="shared" si="10"/>
        <v>34000</v>
      </c>
      <c r="Q29" s="242">
        <f t="shared" si="8"/>
        <v>476000</v>
      </c>
    </row>
    <row r="30" spans="1:18" x14ac:dyDescent="0.2">
      <c r="A30" s="224">
        <f t="shared" si="2"/>
        <v>13</v>
      </c>
      <c r="B30" s="263">
        <v>488</v>
      </c>
      <c r="C30" s="224" t="s">
        <v>238</v>
      </c>
      <c r="E30" s="242">
        <f t="shared" ref="E30:P30" si="11">E370</f>
        <v>8000</v>
      </c>
      <c r="F30" s="242">
        <f t="shared" si="11"/>
        <v>9000</v>
      </c>
      <c r="G30" s="242">
        <f t="shared" si="11"/>
        <v>11000</v>
      </c>
      <c r="H30" s="242">
        <f t="shared" si="11"/>
        <v>13000</v>
      </c>
      <c r="I30" s="242">
        <f t="shared" si="11"/>
        <v>10000</v>
      </c>
      <c r="J30" s="242">
        <f t="shared" si="11"/>
        <v>11000</v>
      </c>
      <c r="K30" s="242">
        <f t="shared" si="11"/>
        <v>9000</v>
      </c>
      <c r="L30" s="242">
        <f t="shared" si="11"/>
        <v>8000</v>
      </c>
      <c r="M30" s="242">
        <f t="shared" si="11"/>
        <v>9000</v>
      </c>
      <c r="N30" s="242">
        <f t="shared" si="11"/>
        <v>19000</v>
      </c>
      <c r="O30" s="242">
        <f t="shared" si="11"/>
        <v>20000</v>
      </c>
      <c r="P30" s="242">
        <f t="shared" si="11"/>
        <v>10000</v>
      </c>
      <c r="Q30" s="242">
        <f t="shared" si="8"/>
        <v>137000</v>
      </c>
    </row>
    <row r="31" spans="1:18" x14ac:dyDescent="0.2">
      <c r="A31" s="224">
        <f t="shared" si="2"/>
        <v>14</v>
      </c>
      <c r="B31" s="263">
        <v>493</v>
      </c>
      <c r="C31" s="224" t="s">
        <v>317</v>
      </c>
      <c r="E31" s="242">
        <f t="shared" ref="E31:P31" si="12">E371</f>
        <v>6000</v>
      </c>
      <c r="F31" s="242">
        <f t="shared" si="12"/>
        <v>6000</v>
      </c>
      <c r="G31" s="242">
        <f t="shared" si="12"/>
        <v>6000</v>
      </c>
      <c r="H31" s="242">
        <f t="shared" si="12"/>
        <v>6000</v>
      </c>
      <c r="I31" s="242">
        <f t="shared" si="12"/>
        <v>6000</v>
      </c>
      <c r="J31" s="242">
        <f t="shared" si="12"/>
        <v>6000</v>
      </c>
      <c r="K31" s="242">
        <f t="shared" si="12"/>
        <v>6000</v>
      </c>
      <c r="L31" s="242">
        <f t="shared" si="12"/>
        <v>6000</v>
      </c>
      <c r="M31" s="242">
        <f t="shared" si="12"/>
        <v>6000</v>
      </c>
      <c r="N31" s="242">
        <f t="shared" si="12"/>
        <v>6000</v>
      </c>
      <c r="O31" s="242">
        <f t="shared" si="12"/>
        <v>6000</v>
      </c>
      <c r="P31" s="242">
        <f t="shared" si="12"/>
        <v>6000</v>
      </c>
      <c r="Q31" s="242">
        <f t="shared" si="8"/>
        <v>72000</v>
      </c>
    </row>
    <row r="32" spans="1:18" x14ac:dyDescent="0.2">
      <c r="A32" s="224">
        <f t="shared" si="2"/>
        <v>15</v>
      </c>
      <c r="B32" s="263">
        <v>495</v>
      </c>
      <c r="C32" s="224" t="s">
        <v>239</v>
      </c>
      <c r="E32" s="242">
        <f t="shared" ref="E32:P32" si="13">E372</f>
        <v>0</v>
      </c>
      <c r="F32" s="242">
        <f t="shared" si="13"/>
        <v>0</v>
      </c>
      <c r="G32" s="242">
        <f t="shared" si="13"/>
        <v>0</v>
      </c>
      <c r="H32" s="242">
        <f t="shared" si="13"/>
        <v>0</v>
      </c>
      <c r="I32" s="242">
        <f t="shared" si="13"/>
        <v>0</v>
      </c>
      <c r="J32" s="242">
        <f t="shared" si="13"/>
        <v>0</v>
      </c>
      <c r="K32" s="242">
        <f t="shared" si="13"/>
        <v>0</v>
      </c>
      <c r="L32" s="242">
        <f t="shared" si="13"/>
        <v>0</v>
      </c>
      <c r="M32" s="242">
        <f t="shared" si="13"/>
        <v>0</v>
      </c>
      <c r="N32" s="242">
        <f t="shared" si="13"/>
        <v>0</v>
      </c>
      <c r="O32" s="242">
        <f t="shared" si="13"/>
        <v>0</v>
      </c>
      <c r="P32" s="242">
        <f t="shared" si="13"/>
        <v>0</v>
      </c>
      <c r="Q32" s="242">
        <f t="shared" si="8"/>
        <v>0</v>
      </c>
    </row>
    <row r="33" spans="1:17" x14ac:dyDescent="0.2">
      <c r="A33" s="224">
        <f t="shared" si="2"/>
        <v>16</v>
      </c>
      <c r="B33" s="263">
        <v>495</v>
      </c>
      <c r="C33" s="224" t="s">
        <v>240</v>
      </c>
      <c r="E33" s="438">
        <f t="shared" ref="E33:P33" si="14">E373</f>
        <v>66000</v>
      </c>
      <c r="F33" s="438">
        <f t="shared" si="14"/>
        <v>58000</v>
      </c>
      <c r="G33" s="438">
        <f t="shared" si="14"/>
        <v>61000</v>
      </c>
      <c r="H33" s="438">
        <f t="shared" si="14"/>
        <v>85000</v>
      </c>
      <c r="I33" s="438">
        <f t="shared" si="14"/>
        <v>24000</v>
      </c>
      <c r="J33" s="438">
        <f t="shared" si="14"/>
        <v>19000</v>
      </c>
      <c r="K33" s="438">
        <f t="shared" si="14"/>
        <v>16000</v>
      </c>
      <c r="L33" s="438">
        <f t="shared" si="14"/>
        <v>15000</v>
      </c>
      <c r="M33" s="438">
        <f t="shared" si="14"/>
        <v>16000</v>
      </c>
      <c r="N33" s="438">
        <f t="shared" si="14"/>
        <v>18000</v>
      </c>
      <c r="O33" s="438">
        <f t="shared" si="14"/>
        <v>25000</v>
      </c>
      <c r="P33" s="438">
        <f t="shared" si="14"/>
        <v>112000</v>
      </c>
      <c r="Q33" s="438">
        <f t="shared" si="8"/>
        <v>515000</v>
      </c>
    </row>
    <row r="34" spans="1:17" x14ac:dyDescent="0.2">
      <c r="A34" s="224">
        <f>A33+1</f>
        <v>17</v>
      </c>
      <c r="B34" s="224"/>
      <c r="C34" s="224" t="s">
        <v>286</v>
      </c>
      <c r="E34" s="434">
        <f t="shared" ref="E34:Q34" si="15">SUM(E26:E33)</f>
        <v>2950022.9699999997</v>
      </c>
      <c r="F34" s="434">
        <f t="shared" si="15"/>
        <v>2861195.99</v>
      </c>
      <c r="G34" s="434">
        <f t="shared" si="15"/>
        <v>2488595.14</v>
      </c>
      <c r="H34" s="434">
        <f t="shared" si="15"/>
        <v>2003719.68</v>
      </c>
      <c r="I34" s="434">
        <f t="shared" si="15"/>
        <v>1558769.8399999999</v>
      </c>
      <c r="J34" s="434">
        <f t="shared" si="15"/>
        <v>1368703.1</v>
      </c>
      <c r="K34" s="434">
        <f t="shared" si="15"/>
        <v>1301556.74</v>
      </c>
      <c r="L34" s="434">
        <f t="shared" si="15"/>
        <v>1307109.29</v>
      </c>
      <c r="M34" s="434">
        <f t="shared" si="15"/>
        <v>1345094.28</v>
      </c>
      <c r="N34" s="434">
        <f t="shared" si="15"/>
        <v>1480831.07</v>
      </c>
      <c r="O34" s="434">
        <f t="shared" si="15"/>
        <v>1835736.0699999998</v>
      </c>
      <c r="P34" s="434">
        <f t="shared" si="15"/>
        <v>2505728.0700000003</v>
      </c>
      <c r="Q34" s="434">
        <f t="shared" si="15"/>
        <v>23007062.239999998</v>
      </c>
    </row>
    <row r="35" spans="1:17" x14ac:dyDescent="0.2">
      <c r="B35" s="224"/>
      <c r="C35" s="224"/>
    </row>
    <row r="36" spans="1:17" x14ac:dyDescent="0.2">
      <c r="A36" s="224">
        <f>A34+1</f>
        <v>18</v>
      </c>
      <c r="B36" s="224"/>
      <c r="C36" s="224" t="s">
        <v>228</v>
      </c>
      <c r="E36" s="434">
        <f t="shared" ref="E36:P36" si="16">E23+E34</f>
        <v>14153809.809999999</v>
      </c>
      <c r="F36" s="434">
        <f t="shared" si="16"/>
        <v>13863628.470000001</v>
      </c>
      <c r="G36" s="434">
        <f t="shared" si="16"/>
        <v>11196836.01</v>
      </c>
      <c r="H36" s="434">
        <f t="shared" si="16"/>
        <v>8058727.7599999988</v>
      </c>
      <c r="I36" s="434">
        <f t="shared" si="16"/>
        <v>5656723.2999999998</v>
      </c>
      <c r="J36" s="434">
        <f t="shared" si="16"/>
        <v>4594176.8800000008</v>
      </c>
      <c r="K36" s="434">
        <f t="shared" si="16"/>
        <v>4252053.57</v>
      </c>
      <c r="L36" s="434">
        <f t="shared" si="16"/>
        <v>4237259.88</v>
      </c>
      <c r="M36" s="434">
        <f t="shared" si="16"/>
        <v>4272015.99</v>
      </c>
      <c r="N36" s="434">
        <f t="shared" si="16"/>
        <v>4766991.34</v>
      </c>
      <c r="O36" s="434">
        <f t="shared" si="16"/>
        <v>6760113.7500000019</v>
      </c>
      <c r="P36" s="434">
        <f t="shared" si="16"/>
        <v>10772651.310000001</v>
      </c>
      <c r="Q36" s="434">
        <f>SUM(E36:P36)</f>
        <v>92584988.070000008</v>
      </c>
    </row>
    <row r="37" spans="1:17" x14ac:dyDescent="0.2">
      <c r="B37" s="224"/>
      <c r="C37" s="224"/>
    </row>
    <row r="38" spans="1:17" x14ac:dyDescent="0.2">
      <c r="B38" s="224"/>
      <c r="C38" s="224"/>
      <c r="E38" s="294"/>
      <c r="G38" s="294"/>
      <c r="I38" s="294"/>
      <c r="Q38" s="294"/>
    </row>
    <row r="39" spans="1:17" x14ac:dyDescent="0.2">
      <c r="B39" s="224"/>
      <c r="C39" s="224"/>
      <c r="E39" s="294"/>
      <c r="G39" s="294"/>
      <c r="I39" s="294"/>
    </row>
    <row r="40" spans="1:17" x14ac:dyDescent="0.2">
      <c r="B40" s="224"/>
      <c r="C40" s="224"/>
      <c r="E40" s="294"/>
      <c r="G40" s="294"/>
      <c r="I40" s="294"/>
    </row>
    <row r="41" spans="1:17" x14ac:dyDescent="0.2">
      <c r="B41" s="224"/>
      <c r="C41" s="224"/>
      <c r="E41" s="294"/>
      <c r="G41" s="294"/>
      <c r="I41" s="294"/>
    </row>
    <row r="42" spans="1:17" x14ac:dyDescent="0.2">
      <c r="B42" s="224"/>
      <c r="C42" s="224"/>
      <c r="E42" s="294"/>
      <c r="G42" s="294"/>
      <c r="I42" s="294"/>
    </row>
    <row r="43" spans="1:17" x14ac:dyDescent="0.2">
      <c r="B43" s="224"/>
      <c r="C43" s="224"/>
      <c r="E43" s="247"/>
      <c r="F43" s="247"/>
      <c r="G43" s="247"/>
      <c r="H43" s="247"/>
      <c r="J43" s="247"/>
      <c r="K43" s="247"/>
      <c r="L43" s="247"/>
      <c r="M43" s="247"/>
      <c r="N43" s="247"/>
      <c r="O43" s="247"/>
    </row>
    <row r="44" spans="1:17" x14ac:dyDescent="0.2">
      <c r="B44" s="224"/>
      <c r="C44" s="224"/>
      <c r="E44" s="247"/>
      <c r="F44" s="247"/>
      <c r="G44" s="247"/>
      <c r="H44" s="247"/>
      <c r="J44" s="247"/>
      <c r="K44" s="247"/>
      <c r="L44" s="247"/>
      <c r="M44" s="247"/>
      <c r="N44" s="247"/>
      <c r="O44" s="247"/>
    </row>
    <row r="45" spans="1:17" x14ac:dyDescent="0.2">
      <c r="B45" s="224"/>
      <c r="C45" s="224"/>
      <c r="E45" s="247"/>
      <c r="F45" s="247"/>
      <c r="G45" s="247"/>
      <c r="H45" s="247"/>
      <c r="J45" s="247"/>
      <c r="K45" s="247"/>
      <c r="L45" s="247"/>
      <c r="M45" s="247"/>
      <c r="N45" s="247"/>
      <c r="O45" s="247"/>
    </row>
    <row r="46" spans="1:17" x14ac:dyDescent="0.2">
      <c r="B46" s="224"/>
      <c r="C46" s="224"/>
      <c r="E46" s="247"/>
      <c r="F46" s="247"/>
      <c r="G46" s="247"/>
      <c r="H46" s="247"/>
      <c r="J46" s="247"/>
      <c r="K46" s="247"/>
      <c r="L46" s="247"/>
      <c r="M46" s="247"/>
      <c r="N46" s="247"/>
      <c r="O46" s="247"/>
    </row>
    <row r="47" spans="1:17" x14ac:dyDescent="0.2">
      <c r="A47" s="887" t="str">
        <f>CONAME</f>
        <v>Columbia Gas of Kentucky, Inc.</v>
      </c>
      <c r="B47" s="887"/>
      <c r="C47" s="887"/>
      <c r="D47" s="887"/>
      <c r="E47" s="887"/>
      <c r="F47" s="887"/>
      <c r="G47" s="887"/>
      <c r="H47" s="887"/>
      <c r="I47" s="887"/>
      <c r="J47" s="887"/>
      <c r="K47" s="887"/>
      <c r="L47" s="887"/>
      <c r="M47" s="887"/>
      <c r="N47" s="887"/>
      <c r="O47" s="887"/>
      <c r="P47" s="887"/>
      <c r="Q47" s="887"/>
    </row>
    <row r="48" spans="1:17" x14ac:dyDescent="0.2">
      <c r="A48" s="875" t="str">
        <f>case</f>
        <v>Case No. 2016-00162</v>
      </c>
      <c r="B48" s="875"/>
      <c r="C48" s="875"/>
      <c r="D48" s="875"/>
      <c r="E48" s="875"/>
      <c r="F48" s="875"/>
      <c r="G48" s="875"/>
      <c r="H48" s="875"/>
      <c r="I48" s="875"/>
      <c r="J48" s="875"/>
      <c r="K48" s="875"/>
      <c r="L48" s="875"/>
      <c r="M48" s="875"/>
      <c r="N48" s="875"/>
      <c r="O48" s="875"/>
      <c r="P48" s="875"/>
      <c r="Q48" s="875"/>
    </row>
    <row r="49" spans="1:23" x14ac:dyDescent="0.2">
      <c r="A49" s="888" t="s">
        <v>503</v>
      </c>
      <c r="B49" s="888"/>
      <c r="C49" s="888"/>
      <c r="D49" s="888"/>
      <c r="E49" s="888"/>
      <c r="F49" s="888"/>
      <c r="G49" s="888"/>
      <c r="H49" s="888"/>
      <c r="I49" s="888"/>
      <c r="J49" s="888"/>
      <c r="K49" s="888"/>
      <c r="L49" s="888"/>
      <c r="M49" s="888"/>
      <c r="N49" s="888"/>
      <c r="O49" s="888"/>
      <c r="P49" s="888"/>
      <c r="Q49" s="888"/>
    </row>
    <row r="50" spans="1:23" x14ac:dyDescent="0.2">
      <c r="A50" s="887" t="str">
        <f>TYDESC</f>
        <v>For the 12 Months Ended December 31, 2017</v>
      </c>
      <c r="B50" s="887"/>
      <c r="C50" s="887"/>
      <c r="D50" s="887"/>
      <c r="E50" s="887"/>
      <c r="F50" s="887"/>
      <c r="G50" s="887"/>
      <c r="H50" s="887"/>
      <c r="I50" s="887"/>
      <c r="J50" s="887"/>
      <c r="K50" s="887"/>
      <c r="L50" s="887"/>
      <c r="M50" s="887"/>
      <c r="N50" s="887"/>
      <c r="O50" s="887"/>
      <c r="P50" s="887"/>
      <c r="Q50" s="887"/>
    </row>
    <row r="51" spans="1:23" x14ac:dyDescent="0.2">
      <c r="A51" s="885" t="s">
        <v>39</v>
      </c>
      <c r="B51" s="885"/>
      <c r="C51" s="885"/>
      <c r="D51" s="885"/>
      <c r="E51" s="885"/>
      <c r="F51" s="885"/>
      <c r="G51" s="885"/>
      <c r="H51" s="885"/>
      <c r="I51" s="885"/>
      <c r="J51" s="885"/>
      <c r="K51" s="885"/>
      <c r="L51" s="885"/>
      <c r="M51" s="885"/>
      <c r="N51" s="885"/>
      <c r="O51" s="885"/>
      <c r="P51" s="885"/>
      <c r="Q51" s="885"/>
    </row>
    <row r="52" spans="1:23" x14ac:dyDescent="0.2">
      <c r="A52" s="266" t="s">
        <v>536</v>
      </c>
    </row>
    <row r="53" spans="1:23" x14ac:dyDescent="0.2">
      <c r="A53" s="266" t="s">
        <v>537</v>
      </c>
      <c r="Q53" s="420" t="s">
        <v>407</v>
      </c>
    </row>
    <row r="54" spans="1:23" x14ac:dyDescent="0.2">
      <c r="A54" s="440" t="s">
        <v>63</v>
      </c>
      <c r="Q54" s="420" t="s">
        <v>506</v>
      </c>
    </row>
    <row r="55" spans="1:23" x14ac:dyDescent="0.2">
      <c r="A55" s="441" t="s">
        <v>303</v>
      </c>
      <c r="Q55" s="420" t="str">
        <f>Witness</f>
        <v>Witness:  M. J. Bell</v>
      </c>
    </row>
    <row r="56" spans="1:23" x14ac:dyDescent="0.2">
      <c r="A56" s="886" t="s">
        <v>194</v>
      </c>
      <c r="B56" s="886"/>
      <c r="C56" s="886"/>
      <c r="D56" s="886"/>
      <c r="E56" s="886"/>
      <c r="F56" s="886"/>
      <c r="G56" s="886"/>
      <c r="H56" s="886"/>
      <c r="I56" s="886"/>
      <c r="J56" s="886"/>
      <c r="K56" s="886"/>
      <c r="L56" s="886"/>
      <c r="M56" s="886"/>
      <c r="N56" s="886"/>
      <c r="O56" s="886"/>
      <c r="P56" s="886"/>
      <c r="Q56" s="886"/>
    </row>
    <row r="57" spans="1:23" x14ac:dyDescent="0.2">
      <c r="A57" s="440"/>
      <c r="B57" s="305"/>
      <c r="C57" s="305"/>
      <c r="D57" s="304"/>
      <c r="E57" s="305"/>
      <c r="F57" s="422"/>
      <c r="G57" s="442"/>
      <c r="H57" s="422"/>
      <c r="I57" s="443"/>
      <c r="J57" s="422"/>
      <c r="K57" s="422"/>
      <c r="L57" s="422"/>
      <c r="M57" s="422"/>
      <c r="N57" s="422"/>
      <c r="O57" s="422"/>
      <c r="P57" s="422"/>
      <c r="Q57" s="305"/>
    </row>
    <row r="58" spans="1:23" x14ac:dyDescent="0.2">
      <c r="A58" s="416"/>
      <c r="B58" s="226"/>
      <c r="C58" s="226"/>
      <c r="D58" s="423"/>
      <c r="E58" s="424"/>
      <c r="F58" s="425"/>
      <c r="G58" s="424"/>
      <c r="H58" s="426"/>
      <c r="I58" s="424"/>
      <c r="J58" s="424"/>
      <c r="K58" s="424"/>
      <c r="L58" s="424"/>
      <c r="M58" s="424"/>
      <c r="N58" s="424"/>
      <c r="O58" s="226"/>
      <c r="P58" s="226"/>
      <c r="Q58" s="226"/>
    </row>
    <row r="59" spans="1:23" x14ac:dyDescent="0.2">
      <c r="A59" s="416" t="s">
        <v>1</v>
      </c>
      <c r="B59" s="226" t="s">
        <v>0</v>
      </c>
      <c r="C59" s="226" t="s">
        <v>41</v>
      </c>
      <c r="D59" s="423" t="s">
        <v>47</v>
      </c>
      <c r="E59" s="424"/>
      <c r="F59" s="425"/>
      <c r="G59" s="424"/>
      <c r="H59" s="426"/>
      <c r="I59" s="424"/>
      <c r="J59" s="424"/>
      <c r="K59" s="424"/>
      <c r="L59" s="424"/>
      <c r="M59" s="424"/>
      <c r="N59" s="424"/>
      <c r="O59" s="231"/>
      <c r="P59" s="231"/>
      <c r="Q59" s="231"/>
    </row>
    <row r="60" spans="1:23" x14ac:dyDescent="0.2">
      <c r="A60" s="285" t="s">
        <v>3</v>
      </c>
      <c r="B60" s="228" t="s">
        <v>40</v>
      </c>
      <c r="C60" s="228" t="s">
        <v>4</v>
      </c>
      <c r="D60" s="427" t="s">
        <v>48</v>
      </c>
      <c r="E60" s="428" t="str">
        <f>B!$D$11</f>
        <v>Jan-17</v>
      </c>
      <c r="F60" s="428" t="str">
        <f>B!$E$11</f>
        <v>Feb-17</v>
      </c>
      <c r="G60" s="428" t="str">
        <f>B!$F$11</f>
        <v>Mar-17</v>
      </c>
      <c r="H60" s="428" t="str">
        <f>B!$G$11</f>
        <v>Apr-17</v>
      </c>
      <c r="I60" s="428" t="str">
        <f>B!$H$11</f>
        <v>May-17</v>
      </c>
      <c r="J60" s="428" t="str">
        <f>B!$I$11</f>
        <v>Jun-17</v>
      </c>
      <c r="K60" s="428" t="str">
        <f>B!$J$11</f>
        <v>Jul-17</v>
      </c>
      <c r="L60" s="428" t="str">
        <f>B!$K$11</f>
        <v>Aug-17</v>
      </c>
      <c r="M60" s="428" t="str">
        <f>B!$L$11</f>
        <v>Sep-17</v>
      </c>
      <c r="N60" s="428" t="str">
        <f>B!$M$11</f>
        <v>Oct-17</v>
      </c>
      <c r="O60" s="428" t="str">
        <f>B!$N$11</f>
        <v>Nov-17</v>
      </c>
      <c r="P60" s="428" t="str">
        <f>B!$O$11</f>
        <v>Dec-17</v>
      </c>
      <c r="Q60" s="429" t="s">
        <v>9</v>
      </c>
      <c r="R60" s="286"/>
    </row>
    <row r="61" spans="1:23" x14ac:dyDescent="0.2">
      <c r="A61" s="416"/>
      <c r="B61" s="231" t="s">
        <v>42</v>
      </c>
      <c r="C61" s="231" t="s">
        <v>43</v>
      </c>
      <c r="D61" s="430" t="s">
        <v>45</v>
      </c>
      <c r="E61" s="431" t="s">
        <v>46</v>
      </c>
      <c r="F61" s="431" t="s">
        <v>49</v>
      </c>
      <c r="G61" s="431" t="s">
        <v>50</v>
      </c>
      <c r="H61" s="431" t="s">
        <v>51</v>
      </c>
      <c r="I61" s="431" t="s">
        <v>52</v>
      </c>
      <c r="J61" s="431" t="s">
        <v>53</v>
      </c>
      <c r="K61" s="432" t="s">
        <v>54</v>
      </c>
      <c r="L61" s="432" t="s">
        <v>55</v>
      </c>
      <c r="M61" s="432" t="s">
        <v>56</v>
      </c>
      <c r="N61" s="432" t="s">
        <v>57</v>
      </c>
      <c r="O61" s="432" t="s">
        <v>58</v>
      </c>
      <c r="P61" s="432" t="s">
        <v>59</v>
      </c>
      <c r="Q61" s="432" t="s">
        <v>203</v>
      </c>
      <c r="R61" s="231"/>
    </row>
    <row r="62" spans="1:23" x14ac:dyDescent="0.2">
      <c r="E62" s="231"/>
      <c r="F62" s="432"/>
      <c r="G62" s="444"/>
      <c r="H62" s="432"/>
      <c r="I62" s="431"/>
      <c r="J62" s="432"/>
      <c r="K62" s="432"/>
      <c r="L62" s="432"/>
      <c r="M62" s="432"/>
      <c r="N62" s="432"/>
      <c r="O62" s="432"/>
      <c r="P62" s="432"/>
      <c r="Q62" s="231"/>
    </row>
    <row r="63" spans="1:23" ht="10.8" thickBot="1" x14ac:dyDescent="0.25">
      <c r="A63" s="224">
        <v>1</v>
      </c>
      <c r="C63" s="445" t="s">
        <v>94</v>
      </c>
    </row>
    <row r="64" spans="1:23" x14ac:dyDescent="0.2">
      <c r="S64" s="446"/>
      <c r="T64" s="447"/>
      <c r="U64" s="447"/>
      <c r="V64" s="447"/>
      <c r="W64" s="448"/>
    </row>
    <row r="65" spans="1:23" x14ac:dyDescent="0.2">
      <c r="A65" s="224">
        <f>A63+1</f>
        <v>2</v>
      </c>
      <c r="B65" s="221" t="str">
        <f>Input!A19</f>
        <v>GSR</v>
      </c>
      <c r="C65" s="221" t="str">
        <f>'Sch M 2.1'!B19</f>
        <v>General Service - Residential</v>
      </c>
      <c r="G65" s="294"/>
      <c r="H65" s="292"/>
      <c r="Q65" s="294"/>
      <c r="S65" s="449" t="s">
        <v>350</v>
      </c>
      <c r="T65" s="305"/>
      <c r="U65" s="305"/>
      <c r="V65" s="305"/>
      <c r="W65" s="450"/>
    </row>
    <row r="66" spans="1:23" x14ac:dyDescent="0.2">
      <c r="A66" s="224">
        <f>A65+1</f>
        <v>3</v>
      </c>
      <c r="C66" s="451" t="s">
        <v>219</v>
      </c>
      <c r="E66" s="242">
        <f t="shared" ref="E66:P66" si="17">E400</f>
        <v>99289</v>
      </c>
      <c r="F66" s="242">
        <f t="shared" si="17"/>
        <v>99473</v>
      </c>
      <c r="G66" s="242">
        <f t="shared" si="17"/>
        <v>99542</v>
      </c>
      <c r="H66" s="242">
        <f t="shared" si="17"/>
        <v>99522</v>
      </c>
      <c r="I66" s="242">
        <f t="shared" si="17"/>
        <v>99040</v>
      </c>
      <c r="J66" s="242">
        <f t="shared" si="17"/>
        <v>98094</v>
      </c>
      <c r="K66" s="242">
        <f t="shared" si="17"/>
        <v>97239</v>
      </c>
      <c r="L66" s="242">
        <f t="shared" si="17"/>
        <v>97617</v>
      </c>
      <c r="M66" s="242">
        <f t="shared" si="17"/>
        <v>96979</v>
      </c>
      <c r="N66" s="242">
        <f t="shared" si="17"/>
        <v>96955</v>
      </c>
      <c r="O66" s="242">
        <f t="shared" si="17"/>
        <v>97991</v>
      </c>
      <c r="P66" s="242">
        <f t="shared" si="17"/>
        <v>98925</v>
      </c>
      <c r="Q66" s="242">
        <f>SUM(E66:P66)</f>
        <v>1180666</v>
      </c>
      <c r="S66" s="452" t="s">
        <v>25</v>
      </c>
      <c r="T66" s="304" t="e">
        <f>Q66+Q73+Q80+Q87+#REF!+Q94+Q101+Q130+Q137+Q144+Q151+Q158+Q186+#REF!+#REF!+#REF!+#REF!+Q193+Q200+Q228+Q235+Q242+Q249+Q256+Q263+Q290+Q297+Q304+Q311+Q318+Q325+Q352+Q359</f>
        <v>#REF!</v>
      </c>
      <c r="U66" s="305"/>
      <c r="V66" s="305"/>
      <c r="W66" s="450"/>
    </row>
    <row r="67" spans="1:23" x14ac:dyDescent="0.2">
      <c r="A67" s="224">
        <f>A66+1</f>
        <v>4</v>
      </c>
      <c r="C67" s="451" t="s">
        <v>576</v>
      </c>
      <c r="E67" s="247">
        <f t="shared" ref="E67:P67" si="18">E404</f>
        <v>1331907.1000000001</v>
      </c>
      <c r="F67" s="247">
        <f t="shared" si="18"/>
        <v>1291151.8</v>
      </c>
      <c r="G67" s="247">
        <f t="shared" si="18"/>
        <v>968403</v>
      </c>
      <c r="H67" s="247">
        <f t="shared" si="18"/>
        <v>552553.4</v>
      </c>
      <c r="I67" s="247">
        <f t="shared" si="18"/>
        <v>259776.40000000002</v>
      </c>
      <c r="J67" s="247">
        <f t="shared" si="18"/>
        <v>123911.3</v>
      </c>
      <c r="K67" s="247">
        <f t="shared" si="18"/>
        <v>88930</v>
      </c>
      <c r="L67" s="247">
        <f t="shared" si="18"/>
        <v>85940.7</v>
      </c>
      <c r="M67" s="247">
        <f t="shared" si="18"/>
        <v>88922.9</v>
      </c>
      <c r="N67" s="247">
        <f t="shared" si="18"/>
        <v>141784.29999999999</v>
      </c>
      <c r="O67" s="247">
        <f t="shared" si="18"/>
        <v>408542.4</v>
      </c>
      <c r="P67" s="247">
        <f t="shared" si="18"/>
        <v>906257.2</v>
      </c>
      <c r="Q67" s="247">
        <f>SUM(E67:P67)</f>
        <v>6248080.5000000009</v>
      </c>
      <c r="S67" s="452" t="s">
        <v>345</v>
      </c>
      <c r="T67" s="304" t="e">
        <f>Q67+Q74+Q81+Q88+#REF!+Q95+Q102+Q131+Q138+Q145+Q152+Q159+Q187+#REF!+#REF!+#REF!+#REF!+Q194+Q201+Q229+Q236+Q243+Q250+Q257+Q264+Q291+Q298+Q305+Q312+Q319+Q326+Q353+Q360</f>
        <v>#REF!</v>
      </c>
      <c r="U67" s="305"/>
      <c r="V67" s="305"/>
      <c r="W67" s="450"/>
    </row>
    <row r="68" spans="1:23" x14ac:dyDescent="0.2">
      <c r="A68" s="224">
        <f>A67+1</f>
        <v>5</v>
      </c>
      <c r="C68" s="451" t="s">
        <v>221</v>
      </c>
      <c r="E68" s="434">
        <f>E407+E417</f>
        <v>4900970.6500000004</v>
      </c>
      <c r="F68" s="434">
        <f t="shared" ref="F68:P68" si="19">F407+F417</f>
        <v>4808810.4799999995</v>
      </c>
      <c r="G68" s="434">
        <f t="shared" si="19"/>
        <v>4054073.83</v>
      </c>
      <c r="H68" s="434">
        <f t="shared" si="19"/>
        <v>3079670.5100000002</v>
      </c>
      <c r="I68" s="434">
        <f t="shared" si="19"/>
        <v>2385251.86</v>
      </c>
      <c r="J68" s="434">
        <f t="shared" si="19"/>
        <v>2050043.79</v>
      </c>
      <c r="K68" s="434">
        <f t="shared" si="19"/>
        <v>1952768.4</v>
      </c>
      <c r="L68" s="434">
        <f t="shared" si="19"/>
        <v>1952547.88</v>
      </c>
      <c r="M68" s="434">
        <f t="shared" si="19"/>
        <v>1948087.38</v>
      </c>
      <c r="N68" s="434">
        <f t="shared" si="19"/>
        <v>2071474.06</v>
      </c>
      <c r="O68" s="434">
        <f t="shared" si="19"/>
        <v>2714887.4000000004</v>
      </c>
      <c r="P68" s="434">
        <f t="shared" si="19"/>
        <v>3897440.74</v>
      </c>
      <c r="Q68" s="434">
        <f>SUM(E68:P68)</f>
        <v>35816026.979999997</v>
      </c>
      <c r="S68" s="452" t="s">
        <v>341</v>
      </c>
      <c r="T68" s="304" t="e">
        <f>Q68+Q75+Q82+Q89+#REF!+Q96+Q103+Q132+Q139+Q146+Q153+Q160+Q188+#REF!+#REF!+#REF!+#REF!+Q195+Q202+Q230+Q237+Q244+Q251+Q258+Q265+Q292+Q299+Q306+Q313+Q320+Q327+Q354+Q361</f>
        <v>#REF!</v>
      </c>
      <c r="U68" s="305"/>
      <c r="V68" s="305"/>
      <c r="W68" s="450"/>
    </row>
    <row r="69" spans="1:23" x14ac:dyDescent="0.2">
      <c r="A69" s="224">
        <f>A68+1</f>
        <v>6</v>
      </c>
      <c r="C69" s="451" t="s">
        <v>222</v>
      </c>
      <c r="E69" s="434">
        <f t="shared" ref="E69:P69" si="20">E409</f>
        <v>2942315.97</v>
      </c>
      <c r="F69" s="434">
        <f t="shared" si="20"/>
        <v>2852283.44</v>
      </c>
      <c r="G69" s="434">
        <f t="shared" si="20"/>
        <v>2139299.0699999998</v>
      </c>
      <c r="H69" s="434">
        <f t="shared" si="20"/>
        <v>1220645.72</v>
      </c>
      <c r="I69" s="434">
        <f t="shared" si="20"/>
        <v>573872.05000000005</v>
      </c>
      <c r="J69" s="434">
        <f t="shared" si="20"/>
        <v>273732.45</v>
      </c>
      <c r="K69" s="434">
        <f t="shared" si="20"/>
        <v>196455.26</v>
      </c>
      <c r="L69" s="434">
        <f t="shared" si="20"/>
        <v>189851.6</v>
      </c>
      <c r="M69" s="434">
        <f t="shared" si="20"/>
        <v>196439.58</v>
      </c>
      <c r="N69" s="434">
        <f t="shared" si="20"/>
        <v>313215.7</v>
      </c>
      <c r="O69" s="434">
        <f t="shared" si="20"/>
        <v>902511.02</v>
      </c>
      <c r="P69" s="434">
        <f t="shared" si="20"/>
        <v>2002012.78</v>
      </c>
      <c r="Q69" s="434">
        <f>SUM(E69:P69)</f>
        <v>13802634.639999999</v>
      </c>
      <c r="S69" s="452" t="s">
        <v>342</v>
      </c>
      <c r="T69" s="304" t="e">
        <f>Q69+Q76+Q83+Q90+#REF!+Q97+Q104+Q133+Q140+Q147+Q154+Q161+Q189+#REF!+#REF!+#REF!+#REF!+Q196+Q203+Q231+Q238+Q245+Q252+Q259+Q266+Q293+Q300+Q307+Q314+Q321+Q328+Q355+Q362</f>
        <v>#REF!</v>
      </c>
      <c r="U69" s="305"/>
      <c r="V69" s="305"/>
      <c r="W69" s="450"/>
    </row>
    <row r="70" spans="1:23" x14ac:dyDescent="0.2">
      <c r="A70" s="453">
        <f>A69+1</f>
        <v>7</v>
      </c>
      <c r="B70" s="454"/>
      <c r="C70" s="455" t="s">
        <v>577</v>
      </c>
      <c r="D70" s="456"/>
      <c r="E70" s="457">
        <f t="shared" ref="E70:P70" si="21">E419</f>
        <v>7843286.6199999992</v>
      </c>
      <c r="F70" s="457">
        <f t="shared" si="21"/>
        <v>7661093.919999999</v>
      </c>
      <c r="G70" s="457">
        <f t="shared" si="21"/>
        <v>6193372.9000000004</v>
      </c>
      <c r="H70" s="457">
        <f t="shared" si="21"/>
        <v>4300316.2299999995</v>
      </c>
      <c r="I70" s="457">
        <f t="shared" si="21"/>
        <v>2959123.91</v>
      </c>
      <c r="J70" s="457">
        <f t="shared" si="21"/>
        <v>2323776.2400000002</v>
      </c>
      <c r="K70" s="457">
        <f t="shared" si="21"/>
        <v>2149223.66</v>
      </c>
      <c r="L70" s="457">
        <f t="shared" si="21"/>
        <v>2142399.48</v>
      </c>
      <c r="M70" s="457">
        <f t="shared" si="21"/>
        <v>2144526.96</v>
      </c>
      <c r="N70" s="457">
        <f t="shared" si="21"/>
        <v>2384689.7600000002</v>
      </c>
      <c r="O70" s="457">
        <f t="shared" si="21"/>
        <v>3617398.4200000004</v>
      </c>
      <c r="P70" s="457">
        <f t="shared" si="21"/>
        <v>5899453.5200000005</v>
      </c>
      <c r="Q70" s="457">
        <f>SUM(E70:P70)</f>
        <v>49618661.620000005</v>
      </c>
      <c r="S70" s="452" t="s">
        <v>9</v>
      </c>
      <c r="T70" s="304" t="e">
        <f>Q70+Q77+Q84+Q91+#REF!+Q98+Q105+Q134+Q141+Q148+Q155+Q162+Q190+#REF!+#REF!+#REF!+#REF!+Q197+Q204+Q232+Q239+Q246+Q253+Q260+Q267+Q294+Q301+Q308+Q315+Q322+Q329+Q356+Q363</f>
        <v>#REF!</v>
      </c>
      <c r="U70" s="305"/>
      <c r="V70" s="305"/>
      <c r="W70" s="450"/>
    </row>
    <row r="71" spans="1:23" x14ac:dyDescent="0.2">
      <c r="G71" s="294"/>
      <c r="H71" s="292"/>
      <c r="Q71" s="294"/>
      <c r="S71" s="452"/>
      <c r="T71" s="305"/>
      <c r="U71" s="305"/>
      <c r="V71" s="305"/>
      <c r="W71" s="450"/>
    </row>
    <row r="72" spans="1:23" x14ac:dyDescent="0.2">
      <c r="A72" s="224">
        <f>A70+1</f>
        <v>8</v>
      </c>
      <c r="B72" s="221" t="str">
        <f>Input!A20</f>
        <v>G1C</v>
      </c>
      <c r="C72" s="221" t="str">
        <f>'Sch M 2.1'!B20</f>
        <v>LG&amp;E Commercial</v>
      </c>
      <c r="G72" s="294"/>
      <c r="Q72" s="294"/>
      <c r="S72" s="452" t="s">
        <v>348</v>
      </c>
      <c r="T72" s="458" t="e">
        <f>Q401+Q427+Q461+Q478+#REF!+Q495+Q529+Q546+Q563+Q596+Q619+Q652+Q702+#REF!+#REF!+#REF!+#REF!+Q753+Q782+Q822+Q847+Q892+Q937+Q938+Q962+Q963+Q1003+Q1004+Q1031+Q1032+Q1077+Q1078+Q1095+Q1096+Q1113+Q1114+Q1147+Q1148+Q1165+Q1166+Q1205+Q1206+Q1229+Q1230</f>
        <v>#REF!</v>
      </c>
      <c r="U72" s="305"/>
      <c r="V72" s="305"/>
      <c r="W72" s="450"/>
    </row>
    <row r="73" spans="1:23" x14ac:dyDescent="0.2">
      <c r="A73" s="224">
        <f>A72+1</f>
        <v>9</v>
      </c>
      <c r="C73" s="451" t="s">
        <v>219</v>
      </c>
      <c r="E73" s="242">
        <f t="shared" ref="E73:P73" si="22">E426</f>
        <v>3</v>
      </c>
      <c r="F73" s="242">
        <f t="shared" si="22"/>
        <v>3</v>
      </c>
      <c r="G73" s="242">
        <f t="shared" si="22"/>
        <v>4</v>
      </c>
      <c r="H73" s="242">
        <f t="shared" si="22"/>
        <v>4</v>
      </c>
      <c r="I73" s="242">
        <f t="shared" si="22"/>
        <v>4</v>
      </c>
      <c r="J73" s="242">
        <f t="shared" si="22"/>
        <v>4</v>
      </c>
      <c r="K73" s="242">
        <f t="shared" si="22"/>
        <v>4</v>
      </c>
      <c r="L73" s="242">
        <f t="shared" si="22"/>
        <v>3</v>
      </c>
      <c r="M73" s="242">
        <f t="shared" si="22"/>
        <v>3</v>
      </c>
      <c r="N73" s="242">
        <f t="shared" si="22"/>
        <v>3</v>
      </c>
      <c r="O73" s="242">
        <f t="shared" si="22"/>
        <v>3</v>
      </c>
      <c r="P73" s="242">
        <f t="shared" si="22"/>
        <v>3</v>
      </c>
      <c r="Q73" s="242">
        <f>SUM(E73:P73)</f>
        <v>41</v>
      </c>
      <c r="S73" s="452" t="s">
        <v>347</v>
      </c>
      <c r="T73" s="458" t="e">
        <f>Q405+Q430+Q464+Q481+#REF!+Q498+Q532+Q549+Q566+Q605+Q622+Q666+Q716+#REF!+#REF!+#REF!+#REF!+Q763+Q786+Q826+Q861+Q906+Q948+Q973+Q1018+Q1046+Q1081+Q1099++Q1117+Q1151+Q1175+Q1216+Q1239</f>
        <v>#REF!</v>
      </c>
      <c r="U73" s="305"/>
      <c r="V73" s="305"/>
      <c r="W73" s="450"/>
    </row>
    <row r="74" spans="1:23" x14ac:dyDescent="0.2">
      <c r="A74" s="224">
        <f>A73+1</f>
        <v>10</v>
      </c>
      <c r="C74" s="451" t="s">
        <v>576</v>
      </c>
      <c r="E74" s="247">
        <f t="shared" ref="E74:P74" si="23">E429</f>
        <v>307.2</v>
      </c>
      <c r="F74" s="247">
        <f t="shared" si="23"/>
        <v>374.8</v>
      </c>
      <c r="G74" s="247">
        <f t="shared" si="23"/>
        <v>373.1</v>
      </c>
      <c r="H74" s="247">
        <f t="shared" si="23"/>
        <v>173.3</v>
      </c>
      <c r="I74" s="247">
        <f t="shared" si="23"/>
        <v>68.900000000000006</v>
      </c>
      <c r="J74" s="247">
        <f t="shared" si="23"/>
        <v>18</v>
      </c>
      <c r="K74" s="247">
        <f t="shared" si="23"/>
        <v>29.1</v>
      </c>
      <c r="L74" s="247">
        <f t="shared" si="23"/>
        <v>16.7</v>
      </c>
      <c r="M74" s="247">
        <f t="shared" si="23"/>
        <v>8.8000000000000007</v>
      </c>
      <c r="N74" s="247">
        <f t="shared" si="23"/>
        <v>22.2</v>
      </c>
      <c r="O74" s="247">
        <f t="shared" si="23"/>
        <v>83.3</v>
      </c>
      <c r="P74" s="247">
        <f t="shared" si="23"/>
        <v>222.4</v>
      </c>
      <c r="Q74" s="247">
        <f>SUM(E74:P74)</f>
        <v>1697.8</v>
      </c>
      <c r="S74" s="452"/>
      <c r="T74" s="305"/>
      <c r="U74" s="305"/>
      <c r="V74" s="305"/>
      <c r="W74" s="450"/>
    </row>
    <row r="75" spans="1:23" x14ac:dyDescent="0.2">
      <c r="A75" s="224">
        <f>A74+1</f>
        <v>11</v>
      </c>
      <c r="C75" s="451" t="s">
        <v>221</v>
      </c>
      <c r="E75" s="434">
        <f t="shared" ref="E75:P75" si="24">E432</f>
        <v>833.02</v>
      </c>
      <c r="F75" s="434">
        <f t="shared" si="24"/>
        <v>978.75</v>
      </c>
      <c r="G75" s="434">
        <f t="shared" si="24"/>
        <v>1032.01</v>
      </c>
      <c r="H75" s="434">
        <f t="shared" si="24"/>
        <v>601.28</v>
      </c>
      <c r="I75" s="434">
        <f t="shared" si="24"/>
        <v>376.21000000000004</v>
      </c>
      <c r="J75" s="434">
        <f t="shared" si="24"/>
        <v>266.48</v>
      </c>
      <c r="K75" s="434">
        <f t="shared" si="24"/>
        <v>290.41000000000003</v>
      </c>
      <c r="L75" s="434">
        <f t="shared" si="24"/>
        <v>206.76</v>
      </c>
      <c r="M75" s="434">
        <f t="shared" si="24"/>
        <v>189.73</v>
      </c>
      <c r="N75" s="434">
        <f t="shared" si="24"/>
        <v>218.62</v>
      </c>
      <c r="O75" s="434">
        <f t="shared" si="24"/>
        <v>350.34000000000003</v>
      </c>
      <c r="P75" s="434">
        <f t="shared" si="24"/>
        <v>650.21</v>
      </c>
      <c r="Q75" s="434">
        <f>SUM(E75:P75)</f>
        <v>5993.82</v>
      </c>
      <c r="S75" s="452" t="s">
        <v>346</v>
      </c>
      <c r="T75" s="458">
        <f>Q402+Q653+Q703+Q754+Q783+Q823+Q848+Q893+Q939+Q964+Q1005+Q1033</f>
        <v>5040318.2</v>
      </c>
      <c r="U75" s="305"/>
      <c r="V75" s="305"/>
      <c r="W75" s="450"/>
    </row>
    <row r="76" spans="1:23" x14ac:dyDescent="0.2">
      <c r="A76" s="224">
        <f>A75+1</f>
        <v>12</v>
      </c>
      <c r="C76" s="451" t="s">
        <v>222</v>
      </c>
      <c r="E76" s="434">
        <f t="shared" ref="E76:P76" si="25">E434</f>
        <v>678.64</v>
      </c>
      <c r="F76" s="434">
        <f t="shared" si="25"/>
        <v>827.97</v>
      </c>
      <c r="G76" s="434">
        <f t="shared" si="25"/>
        <v>824.22</v>
      </c>
      <c r="H76" s="434">
        <f t="shared" si="25"/>
        <v>382.84</v>
      </c>
      <c r="I76" s="434">
        <f t="shared" si="25"/>
        <v>152.21</v>
      </c>
      <c r="J76" s="434">
        <f t="shared" si="25"/>
        <v>39.76</v>
      </c>
      <c r="K76" s="434">
        <f t="shared" si="25"/>
        <v>64.28</v>
      </c>
      <c r="L76" s="434">
        <f t="shared" si="25"/>
        <v>36.89</v>
      </c>
      <c r="M76" s="434">
        <f t="shared" si="25"/>
        <v>19.440000000000001</v>
      </c>
      <c r="N76" s="434">
        <f t="shared" si="25"/>
        <v>49.04</v>
      </c>
      <c r="O76" s="434">
        <f t="shared" si="25"/>
        <v>184.02</v>
      </c>
      <c r="P76" s="434">
        <f t="shared" si="25"/>
        <v>491.3</v>
      </c>
      <c r="Q76" s="434">
        <f>SUM(E76:P76)</f>
        <v>3750.6100000000006</v>
      </c>
      <c r="S76" s="452"/>
      <c r="T76" s="305"/>
      <c r="U76" s="305"/>
      <c r="V76" s="305"/>
      <c r="W76" s="450"/>
    </row>
    <row r="77" spans="1:23" x14ac:dyDescent="0.2">
      <c r="A77" s="453">
        <f>A76+1</f>
        <v>13</v>
      </c>
      <c r="B77" s="454"/>
      <c r="C77" s="455" t="s">
        <v>577</v>
      </c>
      <c r="D77" s="456"/>
      <c r="E77" s="457">
        <f t="shared" ref="E77:P77" si="26">E436</f>
        <v>1511.6599999999999</v>
      </c>
      <c r="F77" s="457">
        <f t="shared" si="26"/>
        <v>1806.72</v>
      </c>
      <c r="G77" s="457">
        <f t="shared" si="26"/>
        <v>1856.23</v>
      </c>
      <c r="H77" s="457">
        <f t="shared" si="26"/>
        <v>984.11999999999989</v>
      </c>
      <c r="I77" s="457">
        <f t="shared" si="26"/>
        <v>528.42000000000007</v>
      </c>
      <c r="J77" s="457">
        <f t="shared" si="26"/>
        <v>306.24</v>
      </c>
      <c r="K77" s="457">
        <f t="shared" si="26"/>
        <v>354.69000000000005</v>
      </c>
      <c r="L77" s="457">
        <f t="shared" si="26"/>
        <v>243.64999999999998</v>
      </c>
      <c r="M77" s="457">
        <f t="shared" si="26"/>
        <v>209.17</v>
      </c>
      <c r="N77" s="457">
        <f t="shared" si="26"/>
        <v>267.66000000000003</v>
      </c>
      <c r="O77" s="457">
        <f t="shared" si="26"/>
        <v>534.36</v>
      </c>
      <c r="P77" s="457">
        <f t="shared" si="26"/>
        <v>1141.51</v>
      </c>
      <c r="Q77" s="457">
        <f>SUM(E77:P77)</f>
        <v>9744.43</v>
      </c>
      <c r="S77" s="452"/>
      <c r="T77" s="305"/>
      <c r="U77" s="305"/>
      <c r="V77" s="305"/>
      <c r="W77" s="450"/>
    </row>
    <row r="78" spans="1:23" x14ac:dyDescent="0.2">
      <c r="G78" s="294"/>
      <c r="Q78" s="294"/>
      <c r="S78" s="452"/>
      <c r="T78" s="305"/>
      <c r="U78" s="305"/>
      <c r="V78" s="305"/>
      <c r="W78" s="450"/>
    </row>
    <row r="79" spans="1:23" x14ac:dyDescent="0.2">
      <c r="A79" s="224">
        <f>A77+1</f>
        <v>14</v>
      </c>
      <c r="B79" s="221" t="str">
        <f>Input!A21</f>
        <v>G1R</v>
      </c>
      <c r="C79" s="221" t="str">
        <f>'Sch M 2.1'!B21</f>
        <v>LG&amp;E Residential</v>
      </c>
      <c r="G79" s="294"/>
      <c r="Q79" s="294"/>
      <c r="S79" s="452" t="s">
        <v>343</v>
      </c>
      <c r="T79" s="304" t="e">
        <f>T70-(T69+T68)</f>
        <v>#REF!</v>
      </c>
      <c r="U79" s="305"/>
      <c r="V79" s="305"/>
      <c r="W79" s="450"/>
    </row>
    <row r="80" spans="1:23" x14ac:dyDescent="0.2">
      <c r="A80" s="224">
        <f>A79+1</f>
        <v>15</v>
      </c>
      <c r="C80" s="451" t="s">
        <v>219</v>
      </c>
      <c r="E80" s="242">
        <f t="shared" ref="E80:P80" si="27">E460</f>
        <v>16</v>
      </c>
      <c r="F80" s="242">
        <f t="shared" si="27"/>
        <v>16</v>
      </c>
      <c r="G80" s="242">
        <f t="shared" si="27"/>
        <v>16</v>
      </c>
      <c r="H80" s="242">
        <f t="shared" si="27"/>
        <v>16</v>
      </c>
      <c r="I80" s="242">
        <f t="shared" si="27"/>
        <v>16</v>
      </c>
      <c r="J80" s="242">
        <f t="shared" si="27"/>
        <v>16</v>
      </c>
      <c r="K80" s="242">
        <f t="shared" si="27"/>
        <v>16</v>
      </c>
      <c r="L80" s="242">
        <f t="shared" si="27"/>
        <v>16</v>
      </c>
      <c r="M80" s="242">
        <f t="shared" si="27"/>
        <v>16</v>
      </c>
      <c r="N80" s="242">
        <f t="shared" si="27"/>
        <v>16</v>
      </c>
      <c r="O80" s="242">
        <f t="shared" si="27"/>
        <v>16</v>
      </c>
      <c r="P80" s="242">
        <f t="shared" si="27"/>
        <v>16</v>
      </c>
      <c r="Q80" s="242">
        <f>SUM(E80:P80)</f>
        <v>192</v>
      </c>
      <c r="S80" s="452" t="s">
        <v>192</v>
      </c>
      <c r="T80" s="458">
        <f>Q414+Q835</f>
        <v>1009202.28</v>
      </c>
      <c r="U80" s="305"/>
      <c r="V80" s="305"/>
      <c r="W80" s="450"/>
    </row>
    <row r="81" spans="1:23" x14ac:dyDescent="0.2">
      <c r="A81" s="224">
        <f>A80+1</f>
        <v>16</v>
      </c>
      <c r="C81" s="451" t="s">
        <v>576</v>
      </c>
      <c r="E81" s="247">
        <f t="shared" ref="E81:P81" si="28">E463</f>
        <v>458.3</v>
      </c>
      <c r="F81" s="247">
        <f t="shared" si="28"/>
        <v>345.9</v>
      </c>
      <c r="G81" s="247">
        <f t="shared" si="28"/>
        <v>279.39999999999998</v>
      </c>
      <c r="H81" s="247">
        <f t="shared" si="28"/>
        <v>174.8</v>
      </c>
      <c r="I81" s="247">
        <f t="shared" si="28"/>
        <v>81.099999999999994</v>
      </c>
      <c r="J81" s="247">
        <f t="shared" si="28"/>
        <v>33.4</v>
      </c>
      <c r="K81" s="247">
        <f t="shared" si="28"/>
        <v>24.1</v>
      </c>
      <c r="L81" s="247">
        <f t="shared" si="28"/>
        <v>27.6</v>
      </c>
      <c r="M81" s="247">
        <f t="shared" si="28"/>
        <v>28.4</v>
      </c>
      <c r="N81" s="247">
        <f t="shared" si="28"/>
        <v>68</v>
      </c>
      <c r="O81" s="247">
        <f t="shared" si="28"/>
        <v>159.19999999999999</v>
      </c>
      <c r="P81" s="247">
        <f t="shared" si="28"/>
        <v>338.7</v>
      </c>
      <c r="Q81" s="247">
        <f>SUM(E81:P81)</f>
        <v>2018.8999999999999</v>
      </c>
      <c r="S81" s="452" t="s">
        <v>178</v>
      </c>
      <c r="T81" s="458">
        <f>Q415+Q675+Q725+Q772+Q795</f>
        <v>155485.87</v>
      </c>
      <c r="U81" s="305"/>
      <c r="V81" s="305"/>
      <c r="W81" s="450"/>
    </row>
    <row r="82" spans="1:23" x14ac:dyDescent="0.2">
      <c r="A82" s="224">
        <f>A81+1</f>
        <v>17</v>
      </c>
      <c r="C82" s="451" t="s">
        <v>221</v>
      </c>
      <c r="E82" s="434">
        <f t="shared" ref="E82:P82" si="29">E466</f>
        <v>1632.8899999999999</v>
      </c>
      <c r="F82" s="434">
        <f t="shared" si="29"/>
        <v>1300.18</v>
      </c>
      <c r="G82" s="434">
        <f t="shared" si="29"/>
        <v>1103.3399999999999</v>
      </c>
      <c r="H82" s="434">
        <f t="shared" si="29"/>
        <v>793.73</v>
      </c>
      <c r="I82" s="434">
        <f t="shared" si="29"/>
        <v>516.38</v>
      </c>
      <c r="J82" s="434">
        <f t="shared" si="29"/>
        <v>375.18</v>
      </c>
      <c r="K82" s="434">
        <f t="shared" si="29"/>
        <v>347.65999999999997</v>
      </c>
      <c r="L82" s="434">
        <f t="shared" si="29"/>
        <v>358.02</v>
      </c>
      <c r="M82" s="434">
        <f t="shared" si="29"/>
        <v>360.38</v>
      </c>
      <c r="N82" s="434">
        <f t="shared" si="29"/>
        <v>477.6</v>
      </c>
      <c r="O82" s="434">
        <f t="shared" si="29"/>
        <v>747.55</v>
      </c>
      <c r="P82" s="434">
        <f t="shared" si="29"/>
        <v>1278.8699999999999</v>
      </c>
      <c r="Q82" s="434">
        <f>SUM(E82:P82)</f>
        <v>9291.7799999999988</v>
      </c>
      <c r="S82" s="452" t="s">
        <v>141</v>
      </c>
      <c r="T82" s="422">
        <f>Q416+Q836</f>
        <v>474918.28999999992</v>
      </c>
      <c r="U82" s="305"/>
      <c r="V82" s="305"/>
      <c r="W82" s="450"/>
    </row>
    <row r="83" spans="1:23" x14ac:dyDescent="0.2">
      <c r="A83" s="224">
        <f>A82+1</f>
        <v>18</v>
      </c>
      <c r="C83" s="451" t="s">
        <v>222</v>
      </c>
      <c r="E83" s="434">
        <f t="shared" ref="E83:P83" si="30">E468</f>
        <v>1012.43</v>
      </c>
      <c r="F83" s="434">
        <f t="shared" si="30"/>
        <v>764.13</v>
      </c>
      <c r="G83" s="434">
        <f t="shared" si="30"/>
        <v>617.22</v>
      </c>
      <c r="H83" s="434">
        <f t="shared" si="30"/>
        <v>386.15</v>
      </c>
      <c r="I83" s="434">
        <f t="shared" si="30"/>
        <v>179.16</v>
      </c>
      <c r="J83" s="434">
        <f t="shared" si="30"/>
        <v>73.78</v>
      </c>
      <c r="K83" s="434">
        <f t="shared" si="30"/>
        <v>53.24</v>
      </c>
      <c r="L83" s="434">
        <f t="shared" si="30"/>
        <v>60.97</v>
      </c>
      <c r="M83" s="434">
        <f t="shared" si="30"/>
        <v>62.74</v>
      </c>
      <c r="N83" s="434">
        <f t="shared" si="30"/>
        <v>150.22</v>
      </c>
      <c r="O83" s="434">
        <f t="shared" si="30"/>
        <v>351.69</v>
      </c>
      <c r="P83" s="434">
        <f t="shared" si="30"/>
        <v>748.22</v>
      </c>
      <c r="Q83" s="434">
        <f>SUM(E83:P83)</f>
        <v>4459.9499999999989</v>
      </c>
      <c r="S83" s="452"/>
      <c r="T83" s="305"/>
      <c r="U83" s="305"/>
      <c r="V83" s="305"/>
      <c r="W83" s="450"/>
    </row>
    <row r="84" spans="1:23" x14ac:dyDescent="0.2">
      <c r="A84" s="453">
        <f>A83+1</f>
        <v>19</v>
      </c>
      <c r="B84" s="454"/>
      <c r="C84" s="455" t="s">
        <v>577</v>
      </c>
      <c r="D84" s="456"/>
      <c r="E84" s="457">
        <f t="shared" ref="E84:P84" si="31">E470</f>
        <v>2645.3199999999997</v>
      </c>
      <c r="F84" s="457">
        <f t="shared" si="31"/>
        <v>2064.31</v>
      </c>
      <c r="G84" s="457">
        <f t="shared" si="31"/>
        <v>1720.56</v>
      </c>
      <c r="H84" s="457">
        <f t="shared" si="31"/>
        <v>1179.8800000000001</v>
      </c>
      <c r="I84" s="457">
        <f t="shared" si="31"/>
        <v>695.54</v>
      </c>
      <c r="J84" s="457">
        <f t="shared" si="31"/>
        <v>448.96000000000004</v>
      </c>
      <c r="K84" s="457">
        <f t="shared" si="31"/>
        <v>400.9</v>
      </c>
      <c r="L84" s="457">
        <f t="shared" si="31"/>
        <v>418.99</v>
      </c>
      <c r="M84" s="457">
        <f t="shared" si="31"/>
        <v>423.12</v>
      </c>
      <c r="N84" s="457">
        <f t="shared" si="31"/>
        <v>627.82000000000005</v>
      </c>
      <c r="O84" s="457">
        <f t="shared" si="31"/>
        <v>1099.24</v>
      </c>
      <c r="P84" s="457">
        <f t="shared" si="31"/>
        <v>2027.09</v>
      </c>
      <c r="Q84" s="457">
        <f>SUM(E84:P84)</f>
        <v>13751.73</v>
      </c>
      <c r="S84" s="452"/>
      <c r="U84" s="305"/>
      <c r="V84" s="305"/>
      <c r="W84" s="450"/>
    </row>
    <row r="85" spans="1:23" ht="10.8" thickBot="1" x14ac:dyDescent="0.25">
      <c r="G85" s="294"/>
      <c r="Q85" s="294"/>
      <c r="S85" s="459"/>
      <c r="T85" s="460"/>
      <c r="U85" s="460"/>
      <c r="V85" s="460"/>
      <c r="W85" s="461"/>
    </row>
    <row r="86" spans="1:23" x14ac:dyDescent="0.2">
      <c r="A86" s="224">
        <f>A84+1</f>
        <v>20</v>
      </c>
      <c r="B86" s="221" t="str">
        <f>Input!A22</f>
        <v>IN3</v>
      </c>
      <c r="C86" s="221" t="str">
        <f>'Sch M 2.1'!B22</f>
        <v>Inland Gas General Service - Residential</v>
      </c>
      <c r="G86" s="294"/>
      <c r="Q86" s="294"/>
    </row>
    <row r="87" spans="1:23" x14ac:dyDescent="0.2">
      <c r="A87" s="224">
        <f>A86+1</f>
        <v>21</v>
      </c>
      <c r="C87" s="451" t="s">
        <v>219</v>
      </c>
      <c r="E87" s="242">
        <f t="shared" ref="E87:P87" si="32">E477</f>
        <v>9</v>
      </c>
      <c r="F87" s="242">
        <f t="shared" si="32"/>
        <v>9</v>
      </c>
      <c r="G87" s="242">
        <f t="shared" si="32"/>
        <v>9</v>
      </c>
      <c r="H87" s="242">
        <f t="shared" si="32"/>
        <v>10</v>
      </c>
      <c r="I87" s="242">
        <f t="shared" si="32"/>
        <v>8</v>
      </c>
      <c r="J87" s="242">
        <f t="shared" si="32"/>
        <v>9</v>
      </c>
      <c r="K87" s="242">
        <f t="shared" si="32"/>
        <v>9</v>
      </c>
      <c r="L87" s="242">
        <f t="shared" si="32"/>
        <v>9</v>
      </c>
      <c r="M87" s="242">
        <f t="shared" si="32"/>
        <v>9</v>
      </c>
      <c r="N87" s="242">
        <f t="shared" si="32"/>
        <v>9</v>
      </c>
      <c r="O87" s="242">
        <f t="shared" si="32"/>
        <v>9</v>
      </c>
      <c r="P87" s="242">
        <f t="shared" si="32"/>
        <v>9</v>
      </c>
      <c r="Q87" s="242">
        <f>SUM(E87:P87)</f>
        <v>108</v>
      </c>
    </row>
    <row r="88" spans="1:23" x14ac:dyDescent="0.2">
      <c r="A88" s="224">
        <f>A87+1</f>
        <v>22</v>
      </c>
      <c r="C88" s="451" t="s">
        <v>576</v>
      </c>
      <c r="E88" s="247">
        <f t="shared" ref="E88:P88" si="33">E480</f>
        <v>247.9</v>
      </c>
      <c r="F88" s="247">
        <f t="shared" si="33"/>
        <v>172.9</v>
      </c>
      <c r="G88" s="247">
        <f t="shared" si="33"/>
        <v>116.2</v>
      </c>
      <c r="H88" s="247">
        <f t="shared" si="33"/>
        <v>84.5</v>
      </c>
      <c r="I88" s="247">
        <f t="shared" si="33"/>
        <v>36.299999999999997</v>
      </c>
      <c r="J88" s="247">
        <f t="shared" si="33"/>
        <v>17</v>
      </c>
      <c r="K88" s="247">
        <f t="shared" si="33"/>
        <v>11.6</v>
      </c>
      <c r="L88" s="247">
        <f t="shared" si="33"/>
        <v>10.8</v>
      </c>
      <c r="M88" s="247">
        <f t="shared" si="33"/>
        <v>11.5</v>
      </c>
      <c r="N88" s="247">
        <f t="shared" si="33"/>
        <v>34</v>
      </c>
      <c r="O88" s="247">
        <f t="shared" si="33"/>
        <v>90.2</v>
      </c>
      <c r="P88" s="247">
        <f t="shared" si="33"/>
        <v>157.30000000000001</v>
      </c>
      <c r="Q88" s="247">
        <f>SUM(E88:P88)</f>
        <v>990.2</v>
      </c>
    </row>
    <row r="89" spans="1:23" x14ac:dyDescent="0.2">
      <c r="A89" s="224">
        <f>A88+1</f>
        <v>23</v>
      </c>
      <c r="C89" s="451" t="s">
        <v>221</v>
      </c>
      <c r="E89" s="434">
        <f t="shared" ref="E89:P89" si="34">E483</f>
        <v>99.16</v>
      </c>
      <c r="F89" s="434">
        <f t="shared" si="34"/>
        <v>69.16</v>
      </c>
      <c r="G89" s="434">
        <f t="shared" si="34"/>
        <v>46.48</v>
      </c>
      <c r="H89" s="434">
        <f t="shared" si="34"/>
        <v>33.799999999999997</v>
      </c>
      <c r="I89" s="434">
        <f t="shared" si="34"/>
        <v>14.52</v>
      </c>
      <c r="J89" s="434">
        <f t="shared" si="34"/>
        <v>6.8</v>
      </c>
      <c r="K89" s="434">
        <f t="shared" si="34"/>
        <v>4.6399999999999997</v>
      </c>
      <c r="L89" s="434">
        <f t="shared" si="34"/>
        <v>4.32</v>
      </c>
      <c r="M89" s="434">
        <f t="shared" si="34"/>
        <v>4.5999999999999996</v>
      </c>
      <c r="N89" s="434">
        <f t="shared" si="34"/>
        <v>13.6</v>
      </c>
      <c r="O89" s="434">
        <f t="shared" si="34"/>
        <v>36.08</v>
      </c>
      <c r="P89" s="434">
        <f t="shared" si="34"/>
        <v>62.92</v>
      </c>
      <c r="Q89" s="434">
        <f>SUM(E89:P89)</f>
        <v>396.08</v>
      </c>
    </row>
    <row r="90" spans="1:23" x14ac:dyDescent="0.2">
      <c r="A90" s="224">
        <f>A89+1</f>
        <v>24</v>
      </c>
      <c r="C90" s="451" t="s">
        <v>222</v>
      </c>
      <c r="E90" s="434">
        <f t="shared" ref="E90:P90" si="35">E485</f>
        <v>0</v>
      </c>
      <c r="F90" s="434">
        <f t="shared" si="35"/>
        <v>0</v>
      </c>
      <c r="G90" s="434">
        <f t="shared" si="35"/>
        <v>0</v>
      </c>
      <c r="H90" s="434">
        <f t="shared" si="35"/>
        <v>0</v>
      </c>
      <c r="I90" s="434">
        <f t="shared" si="35"/>
        <v>0</v>
      </c>
      <c r="J90" s="434">
        <f t="shared" si="35"/>
        <v>0</v>
      </c>
      <c r="K90" s="434">
        <f t="shared" si="35"/>
        <v>0</v>
      </c>
      <c r="L90" s="434">
        <f t="shared" si="35"/>
        <v>0</v>
      </c>
      <c r="M90" s="434">
        <f t="shared" si="35"/>
        <v>0</v>
      </c>
      <c r="N90" s="434">
        <f t="shared" si="35"/>
        <v>0</v>
      </c>
      <c r="O90" s="434">
        <f t="shared" si="35"/>
        <v>0</v>
      </c>
      <c r="P90" s="434">
        <f t="shared" si="35"/>
        <v>0</v>
      </c>
      <c r="Q90" s="434">
        <f>SUM(E90:P90)</f>
        <v>0</v>
      </c>
    </row>
    <row r="91" spans="1:23" x14ac:dyDescent="0.2">
      <c r="A91" s="453">
        <f>A90+1</f>
        <v>25</v>
      </c>
      <c r="B91" s="454"/>
      <c r="C91" s="455" t="s">
        <v>577</v>
      </c>
      <c r="D91" s="456"/>
      <c r="E91" s="457">
        <f t="shared" ref="E91:P91" si="36">E487</f>
        <v>99.16</v>
      </c>
      <c r="F91" s="457">
        <f t="shared" si="36"/>
        <v>69.16</v>
      </c>
      <c r="G91" s="457">
        <f t="shared" si="36"/>
        <v>46.48</v>
      </c>
      <c r="H91" s="457">
        <f t="shared" si="36"/>
        <v>33.799999999999997</v>
      </c>
      <c r="I91" s="457">
        <f t="shared" si="36"/>
        <v>14.52</v>
      </c>
      <c r="J91" s="457">
        <f t="shared" si="36"/>
        <v>6.8</v>
      </c>
      <c r="K91" s="457">
        <f t="shared" si="36"/>
        <v>4.6399999999999997</v>
      </c>
      <c r="L91" s="457">
        <f t="shared" si="36"/>
        <v>4.32</v>
      </c>
      <c r="M91" s="457">
        <f t="shared" si="36"/>
        <v>4.5999999999999996</v>
      </c>
      <c r="N91" s="457">
        <f t="shared" si="36"/>
        <v>13.6</v>
      </c>
      <c r="O91" s="457">
        <f t="shared" si="36"/>
        <v>36.08</v>
      </c>
      <c r="P91" s="457">
        <f t="shared" si="36"/>
        <v>62.92</v>
      </c>
      <c r="Q91" s="457">
        <f>SUM(E91:P91)</f>
        <v>396.08</v>
      </c>
    </row>
    <row r="92" spans="1:23" x14ac:dyDescent="0.2">
      <c r="G92" s="294"/>
      <c r="Q92" s="294"/>
    </row>
    <row r="93" spans="1:23" x14ac:dyDescent="0.2">
      <c r="A93" s="224">
        <f>A91+1</f>
        <v>26</v>
      </c>
      <c r="B93" s="221" t="str">
        <f>Input!A24</f>
        <v>IN4</v>
      </c>
      <c r="C93" s="221" t="str">
        <f>'Sch M 2.1'!B23</f>
        <v>Inland Gas General Service - Residential</v>
      </c>
      <c r="G93" s="294"/>
      <c r="Q93" s="294"/>
    </row>
    <row r="94" spans="1:23" x14ac:dyDescent="0.2">
      <c r="A94" s="224">
        <f>A93+1</f>
        <v>27</v>
      </c>
      <c r="C94" s="451" t="s">
        <v>219</v>
      </c>
      <c r="E94" s="242">
        <f t="shared" ref="E94:P94" si="37">E494</f>
        <v>0</v>
      </c>
      <c r="F94" s="242">
        <f t="shared" si="37"/>
        <v>0</v>
      </c>
      <c r="G94" s="242">
        <f t="shared" si="37"/>
        <v>0</v>
      </c>
      <c r="H94" s="242">
        <f t="shared" si="37"/>
        <v>0</v>
      </c>
      <c r="I94" s="242">
        <f t="shared" si="37"/>
        <v>0</v>
      </c>
      <c r="J94" s="242">
        <f t="shared" si="37"/>
        <v>0</v>
      </c>
      <c r="K94" s="242">
        <f t="shared" si="37"/>
        <v>0</v>
      </c>
      <c r="L94" s="242">
        <f t="shared" si="37"/>
        <v>0</v>
      </c>
      <c r="M94" s="242">
        <f t="shared" si="37"/>
        <v>0</v>
      </c>
      <c r="N94" s="242">
        <f t="shared" si="37"/>
        <v>0</v>
      </c>
      <c r="O94" s="242">
        <f t="shared" si="37"/>
        <v>0</v>
      </c>
      <c r="P94" s="242">
        <f t="shared" si="37"/>
        <v>0</v>
      </c>
      <c r="Q94" s="242">
        <f>SUM(E94:P94)</f>
        <v>0</v>
      </c>
    </row>
    <row r="95" spans="1:23" x14ac:dyDescent="0.2">
      <c r="A95" s="224">
        <f>A94+1</f>
        <v>28</v>
      </c>
      <c r="C95" s="451" t="s">
        <v>576</v>
      </c>
      <c r="E95" s="247">
        <f t="shared" ref="E95:P95" si="38">E497</f>
        <v>0</v>
      </c>
      <c r="F95" s="247">
        <f t="shared" si="38"/>
        <v>0</v>
      </c>
      <c r="G95" s="247">
        <f t="shared" si="38"/>
        <v>0</v>
      </c>
      <c r="H95" s="247">
        <f t="shared" si="38"/>
        <v>0</v>
      </c>
      <c r="I95" s="247">
        <f t="shared" si="38"/>
        <v>0</v>
      </c>
      <c r="J95" s="247">
        <f t="shared" si="38"/>
        <v>0</v>
      </c>
      <c r="K95" s="247">
        <f t="shared" si="38"/>
        <v>0</v>
      </c>
      <c r="L95" s="247">
        <f t="shared" si="38"/>
        <v>0</v>
      </c>
      <c r="M95" s="247">
        <f t="shared" si="38"/>
        <v>0</v>
      </c>
      <c r="N95" s="247">
        <f t="shared" si="38"/>
        <v>0</v>
      </c>
      <c r="O95" s="247">
        <f t="shared" si="38"/>
        <v>0</v>
      </c>
      <c r="P95" s="247">
        <f t="shared" si="38"/>
        <v>0</v>
      </c>
      <c r="Q95" s="247">
        <f>SUM(E95:P95)</f>
        <v>0</v>
      </c>
    </row>
    <row r="96" spans="1:23" x14ac:dyDescent="0.2">
      <c r="A96" s="224">
        <f>A95+1</f>
        <v>29</v>
      </c>
      <c r="C96" s="451" t="s">
        <v>221</v>
      </c>
      <c r="E96" s="434">
        <f t="shared" ref="E96:P96" si="39">E500</f>
        <v>0</v>
      </c>
      <c r="F96" s="434">
        <f t="shared" si="39"/>
        <v>0</v>
      </c>
      <c r="G96" s="434">
        <f t="shared" si="39"/>
        <v>0</v>
      </c>
      <c r="H96" s="434">
        <f t="shared" si="39"/>
        <v>0</v>
      </c>
      <c r="I96" s="434">
        <f t="shared" si="39"/>
        <v>0</v>
      </c>
      <c r="J96" s="434">
        <f t="shared" si="39"/>
        <v>0</v>
      </c>
      <c r="K96" s="434">
        <f t="shared" si="39"/>
        <v>0</v>
      </c>
      <c r="L96" s="434">
        <f t="shared" si="39"/>
        <v>0</v>
      </c>
      <c r="M96" s="434">
        <f t="shared" si="39"/>
        <v>0</v>
      </c>
      <c r="N96" s="434">
        <f t="shared" si="39"/>
        <v>0</v>
      </c>
      <c r="O96" s="434">
        <f t="shared" si="39"/>
        <v>0</v>
      </c>
      <c r="P96" s="434">
        <f t="shared" si="39"/>
        <v>0</v>
      </c>
      <c r="Q96" s="434">
        <f>SUM(E96:P96)</f>
        <v>0</v>
      </c>
    </row>
    <row r="97" spans="1:18" x14ac:dyDescent="0.2">
      <c r="A97" s="224">
        <f>A96+1</f>
        <v>30</v>
      </c>
      <c r="C97" s="451" t="s">
        <v>222</v>
      </c>
      <c r="E97" s="434">
        <f t="shared" ref="E97:P97" si="40">E502</f>
        <v>0</v>
      </c>
      <c r="F97" s="434">
        <f t="shared" si="40"/>
        <v>0</v>
      </c>
      <c r="G97" s="434">
        <f t="shared" si="40"/>
        <v>0</v>
      </c>
      <c r="H97" s="434">
        <f t="shared" si="40"/>
        <v>0</v>
      </c>
      <c r="I97" s="434">
        <f t="shared" si="40"/>
        <v>0</v>
      </c>
      <c r="J97" s="434">
        <f t="shared" si="40"/>
        <v>0</v>
      </c>
      <c r="K97" s="434">
        <f t="shared" si="40"/>
        <v>0</v>
      </c>
      <c r="L97" s="434">
        <f t="shared" si="40"/>
        <v>0</v>
      </c>
      <c r="M97" s="434">
        <f t="shared" si="40"/>
        <v>0</v>
      </c>
      <c r="N97" s="434">
        <f t="shared" si="40"/>
        <v>0</v>
      </c>
      <c r="O97" s="434">
        <f t="shared" si="40"/>
        <v>0</v>
      </c>
      <c r="P97" s="434">
        <f t="shared" si="40"/>
        <v>0</v>
      </c>
      <c r="Q97" s="434">
        <f>SUM(E97:P97)</f>
        <v>0</v>
      </c>
    </row>
    <row r="98" spans="1:18" x14ac:dyDescent="0.2">
      <c r="A98" s="453">
        <f>A97+1</f>
        <v>31</v>
      </c>
      <c r="B98" s="454"/>
      <c r="C98" s="455" t="s">
        <v>577</v>
      </c>
      <c r="D98" s="456"/>
      <c r="E98" s="457">
        <f t="shared" ref="E98:P98" si="41">E504</f>
        <v>0</v>
      </c>
      <c r="F98" s="457">
        <f t="shared" si="41"/>
        <v>0</v>
      </c>
      <c r="G98" s="457">
        <f t="shared" si="41"/>
        <v>0</v>
      </c>
      <c r="H98" s="457">
        <f t="shared" si="41"/>
        <v>0</v>
      </c>
      <c r="I98" s="457">
        <f t="shared" si="41"/>
        <v>0</v>
      </c>
      <c r="J98" s="457">
        <f t="shared" si="41"/>
        <v>0</v>
      </c>
      <c r="K98" s="457">
        <f t="shared" si="41"/>
        <v>0</v>
      </c>
      <c r="L98" s="457">
        <f t="shared" si="41"/>
        <v>0</v>
      </c>
      <c r="M98" s="457">
        <f t="shared" si="41"/>
        <v>0</v>
      </c>
      <c r="N98" s="457">
        <f t="shared" si="41"/>
        <v>0</v>
      </c>
      <c r="O98" s="457">
        <f t="shared" si="41"/>
        <v>0</v>
      </c>
      <c r="P98" s="457">
        <f t="shared" si="41"/>
        <v>0</v>
      </c>
      <c r="Q98" s="457">
        <f>SUM(E98:P98)</f>
        <v>0</v>
      </c>
    </row>
    <row r="99" spans="1:18" x14ac:dyDescent="0.2">
      <c r="G99" s="294"/>
      <c r="Q99" s="294"/>
    </row>
    <row r="100" spans="1:18" x14ac:dyDescent="0.2">
      <c r="A100" s="224">
        <f>A98+1</f>
        <v>32</v>
      </c>
      <c r="B100" s="221" t="str">
        <f>Input!A25</f>
        <v>IN5</v>
      </c>
      <c r="C100" s="221" t="str">
        <f>'Sch M 2.1'!B24</f>
        <v>Inland Gas General Service - Residential</v>
      </c>
      <c r="G100" s="294"/>
      <c r="Q100" s="294"/>
    </row>
    <row r="101" spans="1:18" x14ac:dyDescent="0.2">
      <c r="A101" s="224">
        <f>A100+1</f>
        <v>33</v>
      </c>
      <c r="C101" s="451" t="s">
        <v>219</v>
      </c>
      <c r="E101" s="242">
        <f t="shared" ref="E101:P101" si="42">E528</f>
        <v>3</v>
      </c>
      <c r="F101" s="242">
        <f t="shared" si="42"/>
        <v>3</v>
      </c>
      <c r="G101" s="242">
        <f t="shared" si="42"/>
        <v>3</v>
      </c>
      <c r="H101" s="242">
        <f t="shared" si="42"/>
        <v>3</v>
      </c>
      <c r="I101" s="242">
        <f t="shared" si="42"/>
        <v>3</v>
      </c>
      <c r="J101" s="242">
        <f t="shared" si="42"/>
        <v>3</v>
      </c>
      <c r="K101" s="242">
        <f t="shared" si="42"/>
        <v>3</v>
      </c>
      <c r="L101" s="242">
        <f t="shared" si="42"/>
        <v>3</v>
      </c>
      <c r="M101" s="242">
        <f t="shared" si="42"/>
        <v>3</v>
      </c>
      <c r="N101" s="242">
        <f t="shared" si="42"/>
        <v>3</v>
      </c>
      <c r="O101" s="242">
        <f t="shared" si="42"/>
        <v>3</v>
      </c>
      <c r="P101" s="242">
        <f t="shared" si="42"/>
        <v>3</v>
      </c>
      <c r="Q101" s="242">
        <f>SUM(E101:P101)</f>
        <v>36</v>
      </c>
    </row>
    <row r="102" spans="1:18" x14ac:dyDescent="0.2">
      <c r="A102" s="224">
        <f>A101+1</f>
        <v>34</v>
      </c>
      <c r="C102" s="451" t="s">
        <v>576</v>
      </c>
      <c r="E102" s="247">
        <f t="shared" ref="E102:P102" si="43">E531</f>
        <v>84.3</v>
      </c>
      <c r="F102" s="247">
        <f t="shared" si="43"/>
        <v>54.6</v>
      </c>
      <c r="G102" s="247">
        <f t="shared" si="43"/>
        <v>43.5</v>
      </c>
      <c r="H102" s="247">
        <f t="shared" si="43"/>
        <v>25.4</v>
      </c>
      <c r="I102" s="247">
        <f t="shared" si="43"/>
        <v>12.3</v>
      </c>
      <c r="J102" s="247">
        <f t="shared" si="43"/>
        <v>4.9000000000000004</v>
      </c>
      <c r="K102" s="247">
        <f t="shared" si="43"/>
        <v>2.4</v>
      </c>
      <c r="L102" s="247">
        <f t="shared" si="43"/>
        <v>2.9</v>
      </c>
      <c r="M102" s="247">
        <f t="shared" si="43"/>
        <v>4.3</v>
      </c>
      <c r="N102" s="247">
        <f t="shared" si="43"/>
        <v>14.9</v>
      </c>
      <c r="O102" s="247">
        <f t="shared" si="43"/>
        <v>32.1</v>
      </c>
      <c r="P102" s="247">
        <f t="shared" si="43"/>
        <v>52</v>
      </c>
      <c r="Q102" s="247">
        <f>SUM(E102:P102)</f>
        <v>333.60000000000008</v>
      </c>
    </row>
    <row r="103" spans="1:18" x14ac:dyDescent="0.2">
      <c r="A103" s="224">
        <f>A102+1</f>
        <v>35</v>
      </c>
      <c r="C103" s="451" t="s">
        <v>221</v>
      </c>
      <c r="E103" s="434">
        <f t="shared" ref="E103:P103" si="44">E534</f>
        <v>50.58</v>
      </c>
      <c r="F103" s="434">
        <f t="shared" si="44"/>
        <v>32.76</v>
      </c>
      <c r="G103" s="434">
        <f t="shared" si="44"/>
        <v>26.1</v>
      </c>
      <c r="H103" s="434">
        <f t="shared" si="44"/>
        <v>15.24</v>
      </c>
      <c r="I103" s="434">
        <f t="shared" si="44"/>
        <v>7.38</v>
      </c>
      <c r="J103" s="434">
        <f t="shared" si="44"/>
        <v>2.94</v>
      </c>
      <c r="K103" s="434">
        <f t="shared" si="44"/>
        <v>1.44</v>
      </c>
      <c r="L103" s="434">
        <f t="shared" si="44"/>
        <v>1.74</v>
      </c>
      <c r="M103" s="434">
        <f t="shared" si="44"/>
        <v>2.58</v>
      </c>
      <c r="N103" s="434">
        <f t="shared" si="44"/>
        <v>8.94</v>
      </c>
      <c r="O103" s="434">
        <f t="shared" si="44"/>
        <v>19.260000000000002</v>
      </c>
      <c r="P103" s="434">
        <f t="shared" si="44"/>
        <v>31.2</v>
      </c>
      <c r="Q103" s="434">
        <f>SUM(E103:P103)</f>
        <v>200.16</v>
      </c>
    </row>
    <row r="104" spans="1:18" x14ac:dyDescent="0.2">
      <c r="A104" s="224">
        <f>A103+1</f>
        <v>36</v>
      </c>
      <c r="C104" s="451" t="s">
        <v>222</v>
      </c>
      <c r="E104" s="434">
        <f t="shared" ref="E104:P104" si="45">E536</f>
        <v>0</v>
      </c>
      <c r="F104" s="434">
        <f t="shared" si="45"/>
        <v>0</v>
      </c>
      <c r="G104" s="434">
        <f t="shared" si="45"/>
        <v>0</v>
      </c>
      <c r="H104" s="434">
        <f t="shared" si="45"/>
        <v>0</v>
      </c>
      <c r="I104" s="434">
        <f t="shared" si="45"/>
        <v>0</v>
      </c>
      <c r="J104" s="434">
        <f t="shared" si="45"/>
        <v>0</v>
      </c>
      <c r="K104" s="434">
        <f t="shared" si="45"/>
        <v>0</v>
      </c>
      <c r="L104" s="434">
        <f t="shared" si="45"/>
        <v>0</v>
      </c>
      <c r="M104" s="434">
        <f t="shared" si="45"/>
        <v>0</v>
      </c>
      <c r="N104" s="434">
        <f t="shared" si="45"/>
        <v>0</v>
      </c>
      <c r="O104" s="434">
        <f t="shared" si="45"/>
        <v>0</v>
      </c>
      <c r="P104" s="434">
        <f t="shared" si="45"/>
        <v>0</v>
      </c>
      <c r="Q104" s="434">
        <f>SUM(E104:P104)</f>
        <v>0</v>
      </c>
    </row>
    <row r="105" spans="1:18" x14ac:dyDescent="0.2">
      <c r="A105" s="453">
        <f>A104+1</f>
        <v>37</v>
      </c>
      <c r="B105" s="454"/>
      <c r="C105" s="455" t="s">
        <v>577</v>
      </c>
      <c r="D105" s="456"/>
      <c r="E105" s="457">
        <f t="shared" ref="E105:P105" si="46">E538</f>
        <v>50.58</v>
      </c>
      <c r="F105" s="457">
        <f t="shared" si="46"/>
        <v>32.76</v>
      </c>
      <c r="G105" s="457">
        <f t="shared" si="46"/>
        <v>26.1</v>
      </c>
      <c r="H105" s="457">
        <f t="shared" si="46"/>
        <v>15.24</v>
      </c>
      <c r="I105" s="457">
        <f t="shared" si="46"/>
        <v>7.38</v>
      </c>
      <c r="J105" s="457">
        <f t="shared" si="46"/>
        <v>2.94</v>
      </c>
      <c r="K105" s="457">
        <f t="shared" si="46"/>
        <v>1.44</v>
      </c>
      <c r="L105" s="457">
        <f t="shared" si="46"/>
        <v>1.74</v>
      </c>
      <c r="M105" s="457">
        <f t="shared" si="46"/>
        <v>2.58</v>
      </c>
      <c r="N105" s="457">
        <f t="shared" si="46"/>
        <v>8.94</v>
      </c>
      <c r="O105" s="457">
        <f t="shared" si="46"/>
        <v>19.260000000000002</v>
      </c>
      <c r="P105" s="457">
        <f t="shared" si="46"/>
        <v>31.2</v>
      </c>
      <c r="Q105" s="457">
        <f>SUM(E105:P105)</f>
        <v>200.16</v>
      </c>
    </row>
    <row r="106" spans="1:18" x14ac:dyDescent="0.2">
      <c r="G106" s="294"/>
      <c r="Q106" s="294"/>
    </row>
    <row r="107" spans="1:18" x14ac:dyDescent="0.2">
      <c r="A107" s="221"/>
      <c r="D107" s="221"/>
      <c r="F107" s="221"/>
      <c r="G107" s="221"/>
      <c r="H107" s="221"/>
      <c r="I107" s="221"/>
      <c r="J107" s="221"/>
      <c r="K107" s="221"/>
      <c r="L107" s="221"/>
      <c r="M107" s="221"/>
      <c r="N107" s="221"/>
      <c r="O107" s="221"/>
      <c r="P107" s="221"/>
    </row>
    <row r="108" spans="1:18" x14ac:dyDescent="0.2">
      <c r="A108" s="463" t="s">
        <v>113</v>
      </c>
      <c r="D108" s="221"/>
      <c r="F108" s="221"/>
      <c r="G108" s="221"/>
      <c r="H108" s="221"/>
      <c r="I108" s="221"/>
      <c r="J108" s="221"/>
      <c r="K108" s="221"/>
      <c r="L108" s="221"/>
      <c r="M108" s="221"/>
      <c r="N108" s="221"/>
      <c r="O108" s="221"/>
      <c r="P108" s="221"/>
    </row>
    <row r="109" spans="1:18" x14ac:dyDescent="0.2">
      <c r="A109" s="464" t="s">
        <v>582</v>
      </c>
      <c r="D109" s="221"/>
      <c r="F109" s="221"/>
      <c r="G109" s="221"/>
      <c r="H109" s="221"/>
      <c r="I109" s="221"/>
      <c r="J109" s="221"/>
      <c r="K109" s="221"/>
      <c r="L109" s="221"/>
      <c r="M109" s="221"/>
      <c r="N109" s="221"/>
      <c r="O109" s="221"/>
      <c r="P109" s="221"/>
    </row>
    <row r="110" spans="1:18" x14ac:dyDescent="0.2">
      <c r="A110" s="464"/>
      <c r="D110" s="221"/>
      <c r="F110" s="221"/>
      <c r="G110" s="221"/>
      <c r="H110" s="221"/>
      <c r="I110" s="221"/>
      <c r="J110" s="221"/>
      <c r="K110" s="221"/>
      <c r="L110" s="221"/>
      <c r="M110" s="221"/>
      <c r="N110" s="221"/>
      <c r="O110" s="221"/>
      <c r="P110" s="221"/>
    </row>
    <row r="111" spans="1:18" x14ac:dyDescent="0.2">
      <c r="A111" s="887" t="str">
        <f>CONAME</f>
        <v>Columbia Gas of Kentucky, Inc.</v>
      </c>
      <c r="B111" s="887"/>
      <c r="C111" s="887"/>
      <c r="D111" s="887"/>
      <c r="E111" s="887"/>
      <c r="F111" s="887"/>
      <c r="G111" s="887"/>
      <c r="H111" s="887"/>
      <c r="I111" s="887"/>
      <c r="J111" s="887"/>
      <c r="K111" s="887"/>
      <c r="L111" s="887"/>
      <c r="M111" s="887"/>
      <c r="N111" s="887"/>
      <c r="O111" s="887"/>
      <c r="P111" s="887"/>
      <c r="Q111" s="887"/>
      <c r="R111" s="465"/>
    </row>
    <row r="112" spans="1:18" x14ac:dyDescent="0.2">
      <c r="A112" s="875" t="str">
        <f>case</f>
        <v>Case No. 2016-00162</v>
      </c>
      <c r="B112" s="875"/>
      <c r="C112" s="875"/>
      <c r="D112" s="875"/>
      <c r="E112" s="875"/>
      <c r="F112" s="875"/>
      <c r="G112" s="875"/>
      <c r="H112" s="875"/>
      <c r="I112" s="875"/>
      <c r="J112" s="875"/>
      <c r="K112" s="875"/>
      <c r="L112" s="875"/>
      <c r="M112" s="875"/>
      <c r="N112" s="875"/>
      <c r="O112" s="875"/>
      <c r="P112" s="875"/>
      <c r="Q112" s="875"/>
      <c r="R112" s="465"/>
    </row>
    <row r="113" spans="1:18" x14ac:dyDescent="0.2">
      <c r="A113" s="888" t="s">
        <v>503</v>
      </c>
      <c r="B113" s="888"/>
      <c r="C113" s="888"/>
      <c r="D113" s="888"/>
      <c r="E113" s="888"/>
      <c r="F113" s="888"/>
      <c r="G113" s="888"/>
      <c r="H113" s="888"/>
      <c r="I113" s="888"/>
      <c r="J113" s="888"/>
      <c r="K113" s="888"/>
      <c r="L113" s="888"/>
      <c r="M113" s="888"/>
      <c r="N113" s="888"/>
      <c r="O113" s="888"/>
      <c r="P113" s="888"/>
      <c r="Q113" s="888"/>
      <c r="R113" s="465"/>
    </row>
    <row r="114" spans="1:18" x14ac:dyDescent="0.2">
      <c r="A114" s="887" t="str">
        <f>TYDESC</f>
        <v>For the 12 Months Ended December 31, 2017</v>
      </c>
      <c r="B114" s="887"/>
      <c r="C114" s="887"/>
      <c r="D114" s="887"/>
      <c r="E114" s="887"/>
      <c r="F114" s="887"/>
      <c r="G114" s="887"/>
      <c r="H114" s="887"/>
      <c r="I114" s="887"/>
      <c r="J114" s="887"/>
      <c r="K114" s="887"/>
      <c r="L114" s="887"/>
      <c r="M114" s="887"/>
      <c r="N114" s="887"/>
      <c r="O114" s="887"/>
      <c r="P114" s="887"/>
      <c r="Q114" s="887"/>
      <c r="R114" s="465"/>
    </row>
    <row r="115" spans="1:18" x14ac:dyDescent="0.2">
      <c r="A115" s="885" t="s">
        <v>39</v>
      </c>
      <c r="B115" s="885"/>
      <c r="C115" s="885"/>
      <c r="D115" s="885"/>
      <c r="E115" s="885"/>
      <c r="F115" s="885"/>
      <c r="G115" s="885"/>
      <c r="H115" s="885"/>
      <c r="I115" s="885"/>
      <c r="J115" s="885"/>
      <c r="K115" s="885"/>
      <c r="L115" s="885"/>
      <c r="M115" s="885"/>
      <c r="N115" s="885"/>
      <c r="O115" s="885"/>
      <c r="P115" s="885"/>
      <c r="Q115" s="885"/>
      <c r="R115" s="465"/>
    </row>
    <row r="116" spans="1:18" x14ac:dyDescent="0.2">
      <c r="A116" s="266" t="str">
        <f>$A$52</f>
        <v>Data: __ Base Period _X_ Forecasted Period</v>
      </c>
    </row>
    <row r="117" spans="1:18" x14ac:dyDescent="0.2">
      <c r="A117" s="266" t="str">
        <f>$A$53</f>
        <v>Type of Filing: X Original _ Update _ Revised</v>
      </c>
      <c r="Q117" s="420" t="str">
        <f>$Q$53</f>
        <v>Schedule M-2.2</v>
      </c>
    </row>
    <row r="118" spans="1:18" x14ac:dyDescent="0.2">
      <c r="A118" s="266" t="str">
        <f>$A$54</f>
        <v>Work Paper Reference No(s):</v>
      </c>
      <c r="Q118" s="420" t="s">
        <v>507</v>
      </c>
    </row>
    <row r="119" spans="1:18" x14ac:dyDescent="0.2">
      <c r="A119" s="421" t="str">
        <f>$A$55</f>
        <v>12 Months Forecasted</v>
      </c>
      <c r="Q119" s="420" t="str">
        <f>Witness</f>
        <v>Witness:  M. J. Bell</v>
      </c>
    </row>
    <row r="120" spans="1:18" x14ac:dyDescent="0.2">
      <c r="A120" s="886" t="s">
        <v>194</v>
      </c>
      <c r="B120" s="886"/>
      <c r="C120" s="886"/>
      <c r="D120" s="886"/>
      <c r="E120" s="886"/>
      <c r="F120" s="886"/>
      <c r="G120" s="886"/>
      <c r="H120" s="886"/>
      <c r="I120" s="886"/>
      <c r="J120" s="886"/>
      <c r="K120" s="886"/>
      <c r="L120" s="886"/>
      <c r="M120" s="886"/>
      <c r="N120" s="886"/>
      <c r="O120" s="886"/>
      <c r="P120" s="886"/>
      <c r="Q120" s="886"/>
    </row>
    <row r="121" spans="1:18" x14ac:dyDescent="0.2">
      <c r="C121" s="462"/>
      <c r="G121" s="294"/>
      <c r="Q121" s="294"/>
    </row>
    <row r="122" spans="1:18" x14ac:dyDescent="0.2">
      <c r="A122" s="416"/>
      <c r="B122" s="226"/>
      <c r="C122" s="226"/>
      <c r="D122" s="423"/>
      <c r="E122" s="424"/>
      <c r="F122" s="425"/>
      <c r="G122" s="424"/>
      <c r="H122" s="426"/>
      <c r="I122" s="424"/>
      <c r="J122" s="424"/>
      <c r="K122" s="424"/>
      <c r="L122" s="424"/>
      <c r="M122" s="424"/>
      <c r="N122" s="424"/>
      <c r="O122" s="226"/>
      <c r="P122" s="226"/>
      <c r="Q122" s="226"/>
    </row>
    <row r="123" spans="1:18" x14ac:dyDescent="0.2">
      <c r="A123" s="416" t="s">
        <v>1</v>
      </c>
      <c r="B123" s="226" t="s">
        <v>0</v>
      </c>
      <c r="C123" s="226" t="s">
        <v>41</v>
      </c>
      <c r="D123" s="423" t="s">
        <v>47</v>
      </c>
      <c r="E123" s="424"/>
      <c r="F123" s="425"/>
      <c r="G123" s="424"/>
      <c r="H123" s="426"/>
      <c r="I123" s="424"/>
      <c r="J123" s="424"/>
      <c r="K123" s="424"/>
      <c r="L123" s="424"/>
      <c r="M123" s="424"/>
      <c r="N123" s="424"/>
      <c r="O123" s="231"/>
      <c r="P123" s="231"/>
      <c r="Q123" s="231"/>
    </row>
    <row r="124" spans="1:18" x14ac:dyDescent="0.2">
      <c r="A124" s="285" t="s">
        <v>3</v>
      </c>
      <c r="B124" s="228" t="s">
        <v>40</v>
      </c>
      <c r="C124" s="228" t="s">
        <v>4</v>
      </c>
      <c r="D124" s="427" t="s">
        <v>48</v>
      </c>
      <c r="E124" s="428" t="str">
        <f>B!$D$11</f>
        <v>Jan-17</v>
      </c>
      <c r="F124" s="428" t="str">
        <f>B!$E$11</f>
        <v>Feb-17</v>
      </c>
      <c r="G124" s="428" t="str">
        <f>B!$F$11</f>
        <v>Mar-17</v>
      </c>
      <c r="H124" s="428" t="str">
        <f>B!$G$11</f>
        <v>Apr-17</v>
      </c>
      <c r="I124" s="428" t="str">
        <f>B!$H$11</f>
        <v>May-17</v>
      </c>
      <c r="J124" s="428" t="str">
        <f>B!$I$11</f>
        <v>Jun-17</v>
      </c>
      <c r="K124" s="428" t="str">
        <f>B!$J$11</f>
        <v>Jul-17</v>
      </c>
      <c r="L124" s="428" t="str">
        <f>B!$K$11</f>
        <v>Aug-17</v>
      </c>
      <c r="M124" s="428" t="str">
        <f>B!$L$11</f>
        <v>Sep-17</v>
      </c>
      <c r="N124" s="428" t="str">
        <f>B!$M$11</f>
        <v>Oct-17</v>
      </c>
      <c r="O124" s="428" t="str">
        <f>B!$N$11</f>
        <v>Nov-17</v>
      </c>
      <c r="P124" s="428" t="str">
        <f>B!$O$11</f>
        <v>Dec-17</v>
      </c>
      <c r="Q124" s="429" t="s">
        <v>9</v>
      </c>
    </row>
    <row r="125" spans="1:18" x14ac:dyDescent="0.2">
      <c r="A125" s="416"/>
      <c r="B125" s="231" t="s">
        <v>42</v>
      </c>
      <c r="C125" s="231" t="s">
        <v>43</v>
      </c>
      <c r="D125" s="430" t="s">
        <v>45</v>
      </c>
      <c r="E125" s="431" t="s">
        <v>46</v>
      </c>
      <c r="F125" s="431" t="s">
        <v>49</v>
      </c>
      <c r="G125" s="431" t="s">
        <v>50</v>
      </c>
      <c r="H125" s="431" t="s">
        <v>51</v>
      </c>
      <c r="I125" s="431" t="s">
        <v>52</v>
      </c>
      <c r="J125" s="431" t="s">
        <v>53</v>
      </c>
      <c r="K125" s="432" t="s">
        <v>54</v>
      </c>
      <c r="L125" s="432" t="s">
        <v>55</v>
      </c>
      <c r="M125" s="432" t="s">
        <v>56</v>
      </c>
      <c r="N125" s="432" t="s">
        <v>57</v>
      </c>
      <c r="O125" s="432" t="s">
        <v>58</v>
      </c>
      <c r="P125" s="432" t="s">
        <v>59</v>
      </c>
      <c r="Q125" s="432" t="s">
        <v>203</v>
      </c>
    </row>
    <row r="126" spans="1:18" x14ac:dyDescent="0.2">
      <c r="C126" s="462"/>
      <c r="G126" s="294"/>
      <c r="Q126" s="294"/>
    </row>
    <row r="127" spans="1:18" x14ac:dyDescent="0.2">
      <c r="A127" s="224">
        <v>1</v>
      </c>
      <c r="C127" s="445" t="s">
        <v>94</v>
      </c>
      <c r="G127" s="294"/>
      <c r="Q127" s="294"/>
    </row>
    <row r="128" spans="1:18" x14ac:dyDescent="0.2">
      <c r="C128" s="462"/>
      <c r="G128" s="294"/>
      <c r="Q128" s="294"/>
    </row>
    <row r="129" spans="1:17" x14ac:dyDescent="0.2">
      <c r="A129" s="224">
        <f>A127+1</f>
        <v>2</v>
      </c>
      <c r="B129" s="221" t="str">
        <f>Input!A26</f>
        <v>LG2</v>
      </c>
      <c r="C129" s="221" t="str">
        <f>'Sch M 2.1'!B25</f>
        <v xml:space="preserve">LG&amp;E Residential </v>
      </c>
      <c r="G129" s="294"/>
      <c r="Q129" s="294"/>
    </row>
    <row r="130" spans="1:17" x14ac:dyDescent="0.2">
      <c r="A130" s="224">
        <f>A129+1</f>
        <v>3</v>
      </c>
      <c r="C130" s="451" t="s">
        <v>219</v>
      </c>
      <c r="E130" s="242">
        <f t="shared" ref="E130:P130" si="47">E545</f>
        <v>1</v>
      </c>
      <c r="F130" s="242">
        <f t="shared" si="47"/>
        <v>1</v>
      </c>
      <c r="G130" s="242">
        <f t="shared" si="47"/>
        <v>1</v>
      </c>
      <c r="H130" s="242">
        <f t="shared" si="47"/>
        <v>1</v>
      </c>
      <c r="I130" s="242">
        <f t="shared" si="47"/>
        <v>1</v>
      </c>
      <c r="J130" s="242">
        <f t="shared" si="47"/>
        <v>1</v>
      </c>
      <c r="K130" s="242">
        <f t="shared" si="47"/>
        <v>1</v>
      </c>
      <c r="L130" s="242">
        <f t="shared" si="47"/>
        <v>1</v>
      </c>
      <c r="M130" s="242">
        <f t="shared" si="47"/>
        <v>1</v>
      </c>
      <c r="N130" s="242">
        <f t="shared" si="47"/>
        <v>1</v>
      </c>
      <c r="O130" s="242">
        <f t="shared" si="47"/>
        <v>1</v>
      </c>
      <c r="P130" s="242">
        <f t="shared" si="47"/>
        <v>1</v>
      </c>
      <c r="Q130" s="242">
        <f>SUM(E130:P130)</f>
        <v>12</v>
      </c>
    </row>
    <row r="131" spans="1:17" x14ac:dyDescent="0.2">
      <c r="A131" s="224">
        <f>A130+1</f>
        <v>4</v>
      </c>
      <c r="C131" s="451" t="s">
        <v>576</v>
      </c>
      <c r="E131" s="247">
        <f t="shared" ref="E131:P131" si="48">E548</f>
        <v>161.1</v>
      </c>
      <c r="F131" s="247">
        <f t="shared" si="48"/>
        <v>142.80000000000001</v>
      </c>
      <c r="G131" s="247">
        <f t="shared" si="48"/>
        <v>70.5</v>
      </c>
      <c r="H131" s="247">
        <f t="shared" si="48"/>
        <v>36.6</v>
      </c>
      <c r="I131" s="247">
        <f t="shared" si="48"/>
        <v>15.2</v>
      </c>
      <c r="J131" s="247">
        <f t="shared" si="48"/>
        <v>2.9</v>
      </c>
      <c r="K131" s="247">
        <f t="shared" si="48"/>
        <v>3.2</v>
      </c>
      <c r="L131" s="247">
        <f t="shared" si="48"/>
        <v>3.4</v>
      </c>
      <c r="M131" s="247">
        <f t="shared" si="48"/>
        <v>3.8</v>
      </c>
      <c r="N131" s="247">
        <f t="shared" si="48"/>
        <v>19</v>
      </c>
      <c r="O131" s="247">
        <f t="shared" si="48"/>
        <v>51.7</v>
      </c>
      <c r="P131" s="247">
        <f t="shared" si="48"/>
        <v>95</v>
      </c>
      <c r="Q131" s="247">
        <f>SUM(E131:P131)</f>
        <v>605.19999999999993</v>
      </c>
    </row>
    <row r="132" spans="1:17" x14ac:dyDescent="0.2">
      <c r="A132" s="224">
        <f>A131+1</f>
        <v>5</v>
      </c>
      <c r="C132" s="451" t="s">
        <v>221</v>
      </c>
      <c r="E132" s="434">
        <f t="shared" ref="E132:P132" si="49">E551</f>
        <v>56.39</v>
      </c>
      <c r="F132" s="434">
        <f t="shared" si="49"/>
        <v>49.98</v>
      </c>
      <c r="G132" s="434">
        <f t="shared" si="49"/>
        <v>24.68</v>
      </c>
      <c r="H132" s="434">
        <f t="shared" si="49"/>
        <v>12.81</v>
      </c>
      <c r="I132" s="434">
        <f t="shared" si="49"/>
        <v>5.32</v>
      </c>
      <c r="J132" s="434">
        <f t="shared" si="49"/>
        <v>1.02</v>
      </c>
      <c r="K132" s="434">
        <f t="shared" si="49"/>
        <v>1.1200000000000001</v>
      </c>
      <c r="L132" s="434">
        <f t="shared" si="49"/>
        <v>1.19</v>
      </c>
      <c r="M132" s="434">
        <f t="shared" si="49"/>
        <v>1.33</v>
      </c>
      <c r="N132" s="434">
        <f t="shared" si="49"/>
        <v>6.65</v>
      </c>
      <c r="O132" s="434">
        <f t="shared" si="49"/>
        <v>18.100000000000001</v>
      </c>
      <c r="P132" s="434">
        <f t="shared" si="49"/>
        <v>33.25</v>
      </c>
      <c r="Q132" s="434">
        <f>SUM(E132:P132)</f>
        <v>211.84000000000003</v>
      </c>
    </row>
    <row r="133" spans="1:17" x14ac:dyDescent="0.2">
      <c r="A133" s="224">
        <f>A132+1</f>
        <v>6</v>
      </c>
      <c r="C133" s="451" t="s">
        <v>222</v>
      </c>
      <c r="E133" s="434">
        <f t="shared" ref="E133:P133" si="50">E553</f>
        <v>0</v>
      </c>
      <c r="F133" s="434">
        <f t="shared" si="50"/>
        <v>0</v>
      </c>
      <c r="G133" s="434">
        <f t="shared" si="50"/>
        <v>0</v>
      </c>
      <c r="H133" s="434">
        <f t="shared" si="50"/>
        <v>0</v>
      </c>
      <c r="I133" s="434">
        <f t="shared" si="50"/>
        <v>0</v>
      </c>
      <c r="J133" s="434">
        <f t="shared" si="50"/>
        <v>0</v>
      </c>
      <c r="K133" s="434">
        <f t="shared" si="50"/>
        <v>0</v>
      </c>
      <c r="L133" s="434">
        <f t="shared" si="50"/>
        <v>0</v>
      </c>
      <c r="M133" s="434">
        <f t="shared" si="50"/>
        <v>0</v>
      </c>
      <c r="N133" s="434">
        <f t="shared" si="50"/>
        <v>0</v>
      </c>
      <c r="O133" s="434">
        <f t="shared" si="50"/>
        <v>0</v>
      </c>
      <c r="P133" s="434">
        <f t="shared" si="50"/>
        <v>0</v>
      </c>
      <c r="Q133" s="434">
        <f>SUM(E133:P133)</f>
        <v>0</v>
      </c>
    </row>
    <row r="134" spans="1:17" x14ac:dyDescent="0.2">
      <c r="A134" s="453">
        <f>A133+1</f>
        <v>7</v>
      </c>
      <c r="B134" s="454"/>
      <c r="C134" s="455" t="s">
        <v>577</v>
      </c>
      <c r="D134" s="456"/>
      <c r="E134" s="457">
        <f t="shared" ref="E134:P134" si="51">E555</f>
        <v>56.39</v>
      </c>
      <c r="F134" s="457">
        <f t="shared" si="51"/>
        <v>49.98</v>
      </c>
      <c r="G134" s="457">
        <f t="shared" si="51"/>
        <v>24.68</v>
      </c>
      <c r="H134" s="457">
        <f t="shared" si="51"/>
        <v>12.81</v>
      </c>
      <c r="I134" s="457">
        <f t="shared" si="51"/>
        <v>5.32</v>
      </c>
      <c r="J134" s="457">
        <f t="shared" si="51"/>
        <v>1.02</v>
      </c>
      <c r="K134" s="457">
        <f t="shared" si="51"/>
        <v>1.1200000000000001</v>
      </c>
      <c r="L134" s="457">
        <f t="shared" si="51"/>
        <v>1.19</v>
      </c>
      <c r="M134" s="457">
        <f t="shared" si="51"/>
        <v>1.33</v>
      </c>
      <c r="N134" s="457">
        <f t="shared" si="51"/>
        <v>6.65</v>
      </c>
      <c r="O134" s="457">
        <f t="shared" si="51"/>
        <v>18.100000000000001</v>
      </c>
      <c r="P134" s="457">
        <f t="shared" si="51"/>
        <v>33.25</v>
      </c>
      <c r="Q134" s="457">
        <f>SUM(E134:P134)</f>
        <v>211.84000000000003</v>
      </c>
    </row>
    <row r="135" spans="1:17" x14ac:dyDescent="0.2">
      <c r="C135" s="462"/>
      <c r="G135" s="294"/>
      <c r="Q135" s="294"/>
    </row>
    <row r="136" spans="1:17" x14ac:dyDescent="0.2">
      <c r="A136" s="224">
        <f>A134+1</f>
        <v>8</v>
      </c>
      <c r="B136" s="221" t="str">
        <f>Input!A27</f>
        <v>LG2</v>
      </c>
      <c r="C136" s="221" t="str">
        <f>'Sch M 2.1'!B26</f>
        <v>LG&amp;E Commercial</v>
      </c>
      <c r="G136" s="294"/>
      <c r="Q136" s="294"/>
    </row>
    <row r="137" spans="1:17" x14ac:dyDescent="0.2">
      <c r="A137" s="224">
        <f>A136+1</f>
        <v>9</v>
      </c>
      <c r="C137" s="451" t="s">
        <v>219</v>
      </c>
      <c r="E137" s="242">
        <f t="shared" ref="E137:P137" si="52">E562</f>
        <v>1</v>
      </c>
      <c r="F137" s="242">
        <f t="shared" si="52"/>
        <v>1</v>
      </c>
      <c r="G137" s="242">
        <f t="shared" si="52"/>
        <v>1</v>
      </c>
      <c r="H137" s="242">
        <f t="shared" si="52"/>
        <v>1</v>
      </c>
      <c r="I137" s="242">
        <f t="shared" si="52"/>
        <v>1</v>
      </c>
      <c r="J137" s="242">
        <f t="shared" si="52"/>
        <v>1</v>
      </c>
      <c r="K137" s="242">
        <f t="shared" si="52"/>
        <v>1</v>
      </c>
      <c r="L137" s="242">
        <f t="shared" si="52"/>
        <v>1</v>
      </c>
      <c r="M137" s="242">
        <f t="shared" si="52"/>
        <v>1</v>
      </c>
      <c r="N137" s="242">
        <f t="shared" si="52"/>
        <v>1</v>
      </c>
      <c r="O137" s="242">
        <f t="shared" si="52"/>
        <v>1</v>
      </c>
      <c r="P137" s="242">
        <f t="shared" si="52"/>
        <v>1</v>
      </c>
      <c r="Q137" s="242">
        <f>SUM(E137:P137)</f>
        <v>12</v>
      </c>
    </row>
    <row r="138" spans="1:17" x14ac:dyDescent="0.2">
      <c r="A138" s="224">
        <f>A137+1</f>
        <v>10</v>
      </c>
      <c r="C138" s="451" t="s">
        <v>576</v>
      </c>
      <c r="E138" s="247">
        <f t="shared" ref="E138:P138" si="53">E565</f>
        <v>191.8</v>
      </c>
      <c r="F138" s="247">
        <f t="shared" si="53"/>
        <v>167.7</v>
      </c>
      <c r="G138" s="247">
        <f t="shared" si="53"/>
        <v>88.3</v>
      </c>
      <c r="H138" s="247">
        <f t="shared" si="53"/>
        <v>54</v>
      </c>
      <c r="I138" s="247">
        <f t="shared" si="53"/>
        <v>20.2</v>
      </c>
      <c r="J138" s="247">
        <f t="shared" si="53"/>
        <v>7.6</v>
      </c>
      <c r="K138" s="247">
        <f t="shared" si="53"/>
        <v>7.9</v>
      </c>
      <c r="L138" s="247">
        <f t="shared" si="53"/>
        <v>6.8</v>
      </c>
      <c r="M138" s="247">
        <f t="shared" si="53"/>
        <v>6.6</v>
      </c>
      <c r="N138" s="247">
        <f t="shared" si="53"/>
        <v>14.8</v>
      </c>
      <c r="O138" s="247">
        <f t="shared" si="53"/>
        <v>41.5</v>
      </c>
      <c r="P138" s="247">
        <f t="shared" si="53"/>
        <v>103.7</v>
      </c>
      <c r="Q138" s="247">
        <f>SUM(E138:P138)</f>
        <v>710.9</v>
      </c>
    </row>
    <row r="139" spans="1:17" x14ac:dyDescent="0.2">
      <c r="A139" s="224">
        <f>A138+1</f>
        <v>11</v>
      </c>
      <c r="C139" s="451" t="s">
        <v>221</v>
      </c>
      <c r="E139" s="434">
        <f t="shared" ref="E139:P139" si="54">E568</f>
        <v>67.13</v>
      </c>
      <c r="F139" s="434">
        <f t="shared" si="54"/>
        <v>58.7</v>
      </c>
      <c r="G139" s="434">
        <f t="shared" si="54"/>
        <v>30.91</v>
      </c>
      <c r="H139" s="434">
        <f t="shared" si="54"/>
        <v>18.899999999999999</v>
      </c>
      <c r="I139" s="434">
        <f t="shared" si="54"/>
        <v>7.07</v>
      </c>
      <c r="J139" s="434">
        <f t="shared" si="54"/>
        <v>2.66</v>
      </c>
      <c r="K139" s="434">
        <f t="shared" si="54"/>
        <v>2.77</v>
      </c>
      <c r="L139" s="434">
        <f t="shared" si="54"/>
        <v>2.38</v>
      </c>
      <c r="M139" s="434">
        <f t="shared" si="54"/>
        <v>2.31</v>
      </c>
      <c r="N139" s="434">
        <f t="shared" si="54"/>
        <v>5.18</v>
      </c>
      <c r="O139" s="434">
        <f t="shared" si="54"/>
        <v>14.53</v>
      </c>
      <c r="P139" s="434">
        <f t="shared" si="54"/>
        <v>36.299999999999997</v>
      </c>
      <c r="Q139" s="434">
        <f>SUM(E139:P139)</f>
        <v>248.84000000000003</v>
      </c>
    </row>
    <row r="140" spans="1:17" x14ac:dyDescent="0.2">
      <c r="A140" s="224">
        <f>A139+1</f>
        <v>12</v>
      </c>
      <c r="C140" s="451" t="s">
        <v>222</v>
      </c>
      <c r="E140" s="434">
        <f t="shared" ref="E140:P140" si="55">E570</f>
        <v>0</v>
      </c>
      <c r="F140" s="434">
        <f t="shared" si="55"/>
        <v>0</v>
      </c>
      <c r="G140" s="434">
        <f t="shared" si="55"/>
        <v>0</v>
      </c>
      <c r="H140" s="434">
        <f t="shared" si="55"/>
        <v>0</v>
      </c>
      <c r="I140" s="434">
        <f t="shared" si="55"/>
        <v>0</v>
      </c>
      <c r="J140" s="434">
        <f t="shared" si="55"/>
        <v>0</v>
      </c>
      <c r="K140" s="434">
        <f t="shared" si="55"/>
        <v>0</v>
      </c>
      <c r="L140" s="434">
        <f t="shared" si="55"/>
        <v>0</v>
      </c>
      <c r="M140" s="434">
        <f t="shared" si="55"/>
        <v>0</v>
      </c>
      <c r="N140" s="434">
        <f t="shared" si="55"/>
        <v>0</v>
      </c>
      <c r="O140" s="434">
        <f t="shared" si="55"/>
        <v>0</v>
      </c>
      <c r="P140" s="434">
        <f t="shared" si="55"/>
        <v>0</v>
      </c>
      <c r="Q140" s="434">
        <f>SUM(E140:P140)</f>
        <v>0</v>
      </c>
    </row>
    <row r="141" spans="1:17" x14ac:dyDescent="0.2">
      <c r="A141" s="453">
        <f>A140+1</f>
        <v>13</v>
      </c>
      <c r="B141" s="454"/>
      <c r="C141" s="455" t="s">
        <v>577</v>
      </c>
      <c r="D141" s="456"/>
      <c r="E141" s="457">
        <f t="shared" ref="E141:P141" si="56">E572</f>
        <v>67.13</v>
      </c>
      <c r="F141" s="457">
        <f t="shared" si="56"/>
        <v>58.7</v>
      </c>
      <c r="G141" s="457">
        <f t="shared" si="56"/>
        <v>30.91</v>
      </c>
      <c r="H141" s="457">
        <f t="shared" si="56"/>
        <v>18.899999999999999</v>
      </c>
      <c r="I141" s="457">
        <f t="shared" si="56"/>
        <v>7.07</v>
      </c>
      <c r="J141" s="457">
        <f t="shared" si="56"/>
        <v>2.66</v>
      </c>
      <c r="K141" s="457">
        <f t="shared" si="56"/>
        <v>2.77</v>
      </c>
      <c r="L141" s="457">
        <f t="shared" si="56"/>
        <v>2.38</v>
      </c>
      <c r="M141" s="457">
        <f t="shared" si="56"/>
        <v>2.31</v>
      </c>
      <c r="N141" s="457">
        <f t="shared" si="56"/>
        <v>5.18</v>
      </c>
      <c r="O141" s="457">
        <f t="shared" si="56"/>
        <v>14.53</v>
      </c>
      <c r="P141" s="457">
        <f t="shared" si="56"/>
        <v>36.299999999999997</v>
      </c>
      <c r="Q141" s="457">
        <f>SUM(E141:P141)</f>
        <v>248.84000000000003</v>
      </c>
    </row>
    <row r="142" spans="1:17" x14ac:dyDescent="0.2">
      <c r="A142" s="306"/>
      <c r="B142" s="305"/>
      <c r="C142" s="462"/>
      <c r="D142" s="304"/>
      <c r="E142" s="422"/>
      <c r="F142" s="422"/>
      <c r="G142" s="422"/>
      <c r="H142" s="422"/>
      <c r="I142" s="422"/>
      <c r="J142" s="422"/>
      <c r="K142" s="422"/>
      <c r="L142" s="422"/>
      <c r="M142" s="422"/>
      <c r="N142" s="422"/>
      <c r="O142" s="422"/>
      <c r="P142" s="422"/>
      <c r="Q142" s="422"/>
    </row>
    <row r="143" spans="1:17" x14ac:dyDescent="0.2">
      <c r="A143" s="224">
        <f>A141+1</f>
        <v>14</v>
      </c>
      <c r="B143" s="221" t="str">
        <f>Input!A28</f>
        <v>LG3</v>
      </c>
      <c r="C143" s="221" t="str">
        <f>'Sch M 2.1'!B27</f>
        <v>LG&amp;E Residential</v>
      </c>
      <c r="G143" s="294"/>
      <c r="Q143" s="294"/>
    </row>
    <row r="144" spans="1:17" x14ac:dyDescent="0.2">
      <c r="A144" s="224">
        <f>A143+1</f>
        <v>15</v>
      </c>
      <c r="C144" s="451" t="s">
        <v>219</v>
      </c>
      <c r="E144" s="242">
        <f t="shared" ref="E144:P144" si="57">E595</f>
        <v>1</v>
      </c>
      <c r="F144" s="242">
        <f t="shared" si="57"/>
        <v>1</v>
      </c>
      <c r="G144" s="242">
        <f t="shared" si="57"/>
        <v>1</v>
      </c>
      <c r="H144" s="242">
        <f t="shared" si="57"/>
        <v>1</v>
      </c>
      <c r="I144" s="242">
        <f t="shared" si="57"/>
        <v>1</v>
      </c>
      <c r="J144" s="242">
        <f t="shared" si="57"/>
        <v>1</v>
      </c>
      <c r="K144" s="242">
        <f t="shared" si="57"/>
        <v>1</v>
      </c>
      <c r="L144" s="242">
        <f t="shared" si="57"/>
        <v>1</v>
      </c>
      <c r="M144" s="242">
        <f t="shared" si="57"/>
        <v>1</v>
      </c>
      <c r="N144" s="242">
        <f t="shared" si="57"/>
        <v>1</v>
      </c>
      <c r="O144" s="242">
        <f t="shared" si="57"/>
        <v>1</v>
      </c>
      <c r="P144" s="242">
        <f t="shared" si="57"/>
        <v>1</v>
      </c>
      <c r="Q144" s="242">
        <f>SUM(E144:P144)</f>
        <v>12</v>
      </c>
    </row>
    <row r="145" spans="1:17" x14ac:dyDescent="0.2">
      <c r="A145" s="224">
        <f>A144+1</f>
        <v>16</v>
      </c>
      <c r="C145" s="451" t="s">
        <v>576</v>
      </c>
      <c r="E145" s="247">
        <f t="shared" ref="E145:P145" si="58">E601</f>
        <v>91.8</v>
      </c>
      <c r="F145" s="247">
        <f t="shared" si="58"/>
        <v>73.400000000000006</v>
      </c>
      <c r="G145" s="247">
        <f t="shared" si="58"/>
        <v>45.4</v>
      </c>
      <c r="H145" s="247">
        <f t="shared" si="58"/>
        <v>104.5</v>
      </c>
      <c r="I145" s="247">
        <f t="shared" si="58"/>
        <v>67.400000000000006</v>
      </c>
      <c r="J145" s="247">
        <f t="shared" si="58"/>
        <v>26.5</v>
      </c>
      <c r="K145" s="247">
        <f t="shared" si="58"/>
        <v>26.2</v>
      </c>
      <c r="L145" s="247">
        <f t="shared" si="58"/>
        <v>11.8</v>
      </c>
      <c r="M145" s="247">
        <f t="shared" si="58"/>
        <v>26.2</v>
      </c>
      <c r="N145" s="247">
        <f t="shared" si="58"/>
        <v>75.900000000000006</v>
      </c>
      <c r="O145" s="247">
        <f t="shared" si="58"/>
        <v>105.5</v>
      </c>
      <c r="P145" s="247">
        <f t="shared" si="58"/>
        <v>59.5</v>
      </c>
      <c r="Q145" s="247">
        <f>SUM(E145:P145)</f>
        <v>714.1</v>
      </c>
    </row>
    <row r="146" spans="1:17" x14ac:dyDescent="0.2">
      <c r="A146" s="224">
        <f>A145+1</f>
        <v>17</v>
      </c>
      <c r="C146" s="451" t="s">
        <v>221</v>
      </c>
      <c r="E146" s="434">
        <f t="shared" ref="E146:P146" si="59">E607</f>
        <v>32.630000000000003</v>
      </c>
      <c r="F146" s="434">
        <f t="shared" si="59"/>
        <v>26.189999999999998</v>
      </c>
      <c r="G146" s="434">
        <f t="shared" si="59"/>
        <v>16.39</v>
      </c>
      <c r="H146" s="434">
        <f t="shared" si="59"/>
        <v>37.080000000000005</v>
      </c>
      <c r="I146" s="434">
        <f t="shared" si="59"/>
        <v>24.09</v>
      </c>
      <c r="J146" s="434">
        <f t="shared" si="59"/>
        <v>9.6399999999999988</v>
      </c>
      <c r="K146" s="434">
        <f t="shared" si="59"/>
        <v>9.67</v>
      </c>
      <c r="L146" s="434">
        <f t="shared" si="59"/>
        <v>4.63</v>
      </c>
      <c r="M146" s="434">
        <f t="shared" si="59"/>
        <v>9.67</v>
      </c>
      <c r="N146" s="434">
        <f t="shared" si="59"/>
        <v>27.07</v>
      </c>
      <c r="O146" s="434">
        <f t="shared" si="59"/>
        <v>37.43</v>
      </c>
      <c r="P146" s="434">
        <f t="shared" si="59"/>
        <v>21.33</v>
      </c>
      <c r="Q146" s="434">
        <f>SUM(E146:P146)</f>
        <v>255.82</v>
      </c>
    </row>
    <row r="147" spans="1:17" x14ac:dyDescent="0.2">
      <c r="A147" s="224">
        <f>A146+1</f>
        <v>18</v>
      </c>
      <c r="C147" s="451" t="s">
        <v>222</v>
      </c>
      <c r="E147" s="434">
        <f t="shared" ref="E147:P147" si="60">E609</f>
        <v>0</v>
      </c>
      <c r="F147" s="434">
        <f t="shared" si="60"/>
        <v>0</v>
      </c>
      <c r="G147" s="434">
        <f t="shared" si="60"/>
        <v>0</v>
      </c>
      <c r="H147" s="434">
        <f t="shared" si="60"/>
        <v>0</v>
      </c>
      <c r="I147" s="434">
        <f t="shared" si="60"/>
        <v>0</v>
      </c>
      <c r="J147" s="434">
        <f t="shared" si="60"/>
        <v>0</v>
      </c>
      <c r="K147" s="434">
        <f t="shared" si="60"/>
        <v>0</v>
      </c>
      <c r="L147" s="434">
        <f t="shared" si="60"/>
        <v>0</v>
      </c>
      <c r="M147" s="434">
        <f t="shared" si="60"/>
        <v>0</v>
      </c>
      <c r="N147" s="434">
        <f t="shared" si="60"/>
        <v>0</v>
      </c>
      <c r="O147" s="434">
        <f t="shared" si="60"/>
        <v>0</v>
      </c>
      <c r="P147" s="434">
        <f t="shared" si="60"/>
        <v>0</v>
      </c>
      <c r="Q147" s="434">
        <f>SUM(E147:P147)</f>
        <v>0</v>
      </c>
    </row>
    <row r="148" spans="1:17" x14ac:dyDescent="0.2">
      <c r="A148" s="453">
        <f>A147+1</f>
        <v>19</v>
      </c>
      <c r="B148" s="454"/>
      <c r="C148" s="455" t="s">
        <v>577</v>
      </c>
      <c r="D148" s="456"/>
      <c r="E148" s="457">
        <f t="shared" ref="E148:P148" si="61">E611</f>
        <v>32.630000000000003</v>
      </c>
      <c r="F148" s="457">
        <f t="shared" si="61"/>
        <v>26.189999999999998</v>
      </c>
      <c r="G148" s="457">
        <f t="shared" si="61"/>
        <v>16.39</v>
      </c>
      <c r="H148" s="457">
        <f t="shared" si="61"/>
        <v>37.080000000000005</v>
      </c>
      <c r="I148" s="457">
        <f t="shared" si="61"/>
        <v>24.09</v>
      </c>
      <c r="J148" s="457">
        <f t="shared" si="61"/>
        <v>9.6399999999999988</v>
      </c>
      <c r="K148" s="457">
        <f t="shared" si="61"/>
        <v>9.67</v>
      </c>
      <c r="L148" s="457">
        <f t="shared" si="61"/>
        <v>4.63</v>
      </c>
      <c r="M148" s="457">
        <f t="shared" si="61"/>
        <v>9.67</v>
      </c>
      <c r="N148" s="457">
        <f t="shared" si="61"/>
        <v>27.07</v>
      </c>
      <c r="O148" s="457">
        <f t="shared" si="61"/>
        <v>37.43</v>
      </c>
      <c r="P148" s="457">
        <f t="shared" si="61"/>
        <v>21.33</v>
      </c>
      <c r="Q148" s="457">
        <f>SUM(E148:P148)</f>
        <v>255.82</v>
      </c>
    </row>
    <row r="149" spans="1:17" x14ac:dyDescent="0.2">
      <c r="G149" s="294"/>
      <c r="Q149" s="294"/>
    </row>
    <row r="150" spans="1:17" x14ac:dyDescent="0.2">
      <c r="A150" s="224">
        <f>A148+1</f>
        <v>20</v>
      </c>
      <c r="B150" s="221" t="str">
        <f>Input!A29</f>
        <v>LG4</v>
      </c>
      <c r="C150" s="221" t="str">
        <f>'Sch M 2.1'!B28</f>
        <v>LG&amp;E Residential</v>
      </c>
      <c r="G150" s="294"/>
      <c r="Q150" s="294"/>
    </row>
    <row r="151" spans="1:17" x14ac:dyDescent="0.2">
      <c r="A151" s="224">
        <f>A150+1</f>
        <v>21</v>
      </c>
      <c r="C151" s="451" t="s">
        <v>219</v>
      </c>
      <c r="E151" s="242">
        <f t="shared" ref="E151:P151" si="62">E618</f>
        <v>1</v>
      </c>
      <c r="F151" s="242">
        <f t="shared" si="62"/>
        <v>1</v>
      </c>
      <c r="G151" s="242">
        <f t="shared" si="62"/>
        <v>1</v>
      </c>
      <c r="H151" s="242">
        <f t="shared" si="62"/>
        <v>1</v>
      </c>
      <c r="I151" s="242">
        <f t="shared" si="62"/>
        <v>1</v>
      </c>
      <c r="J151" s="242">
        <f t="shared" si="62"/>
        <v>1</v>
      </c>
      <c r="K151" s="242">
        <f t="shared" si="62"/>
        <v>1</v>
      </c>
      <c r="L151" s="242">
        <f t="shared" si="62"/>
        <v>1</v>
      </c>
      <c r="M151" s="242">
        <f t="shared" si="62"/>
        <v>1</v>
      </c>
      <c r="N151" s="242">
        <f t="shared" si="62"/>
        <v>1</v>
      </c>
      <c r="O151" s="242">
        <f t="shared" si="62"/>
        <v>1</v>
      </c>
      <c r="P151" s="242">
        <f t="shared" si="62"/>
        <v>1</v>
      </c>
      <c r="Q151" s="242">
        <f>SUM(E151:P151)</f>
        <v>12</v>
      </c>
    </row>
    <row r="152" spans="1:17" x14ac:dyDescent="0.2">
      <c r="A152" s="224">
        <f>A151+1</f>
        <v>22</v>
      </c>
      <c r="C152" s="451" t="s">
        <v>576</v>
      </c>
      <c r="E152" s="247">
        <f t="shared" ref="E152:P152" si="63">E621</f>
        <v>49.5</v>
      </c>
      <c r="F152" s="247">
        <f t="shared" si="63"/>
        <v>58.7</v>
      </c>
      <c r="G152" s="247">
        <f t="shared" si="63"/>
        <v>42</v>
      </c>
      <c r="H152" s="247">
        <f t="shared" si="63"/>
        <v>20.7</v>
      </c>
      <c r="I152" s="247">
        <f t="shared" si="63"/>
        <v>11.2</v>
      </c>
      <c r="J152" s="247">
        <f t="shared" si="63"/>
        <v>4</v>
      </c>
      <c r="K152" s="247">
        <f t="shared" si="63"/>
        <v>2.6</v>
      </c>
      <c r="L152" s="247">
        <f t="shared" si="63"/>
        <v>2.8</v>
      </c>
      <c r="M152" s="247">
        <f t="shared" si="63"/>
        <v>3</v>
      </c>
      <c r="N152" s="247">
        <f t="shared" si="63"/>
        <v>3.9</v>
      </c>
      <c r="O152" s="247">
        <f t="shared" si="63"/>
        <v>18.899999999999999</v>
      </c>
      <c r="P152" s="247">
        <f t="shared" si="63"/>
        <v>40.299999999999997</v>
      </c>
      <c r="Q152" s="247">
        <f>SUM(E152:P152)</f>
        <v>257.59999999999997</v>
      </c>
    </row>
    <row r="153" spans="1:17" x14ac:dyDescent="0.2">
      <c r="A153" s="224">
        <f>A152+1</f>
        <v>23</v>
      </c>
      <c r="C153" s="451" t="s">
        <v>221</v>
      </c>
      <c r="E153" s="434">
        <f t="shared" ref="E153:P153" si="64">E624</f>
        <v>19.8</v>
      </c>
      <c r="F153" s="434">
        <f t="shared" si="64"/>
        <v>23.48</v>
      </c>
      <c r="G153" s="434">
        <f t="shared" si="64"/>
        <v>16.8</v>
      </c>
      <c r="H153" s="434">
        <f t="shared" si="64"/>
        <v>8.2799999999999994</v>
      </c>
      <c r="I153" s="434">
        <f t="shared" si="64"/>
        <v>4.4800000000000004</v>
      </c>
      <c r="J153" s="434">
        <f t="shared" si="64"/>
        <v>1.6</v>
      </c>
      <c r="K153" s="434">
        <f t="shared" si="64"/>
        <v>1.04</v>
      </c>
      <c r="L153" s="434">
        <f t="shared" si="64"/>
        <v>1.1200000000000001</v>
      </c>
      <c r="M153" s="434">
        <f t="shared" si="64"/>
        <v>1.2</v>
      </c>
      <c r="N153" s="434">
        <f t="shared" si="64"/>
        <v>1.56</v>
      </c>
      <c r="O153" s="434">
        <f t="shared" si="64"/>
        <v>7.56</v>
      </c>
      <c r="P153" s="434">
        <f t="shared" si="64"/>
        <v>16.12</v>
      </c>
      <c r="Q153" s="434">
        <f>SUM(E153:P153)</f>
        <v>103.04000000000002</v>
      </c>
    </row>
    <row r="154" spans="1:17" x14ac:dyDescent="0.2">
      <c r="A154" s="224">
        <f>A153+1</f>
        <v>24</v>
      </c>
      <c r="C154" s="451" t="s">
        <v>222</v>
      </c>
      <c r="E154" s="434">
        <f t="shared" ref="E154:P154" si="65">E626</f>
        <v>0</v>
      </c>
      <c r="F154" s="434">
        <f t="shared" si="65"/>
        <v>0</v>
      </c>
      <c r="G154" s="434">
        <f t="shared" si="65"/>
        <v>0</v>
      </c>
      <c r="H154" s="434">
        <f t="shared" si="65"/>
        <v>0</v>
      </c>
      <c r="I154" s="434">
        <f t="shared" si="65"/>
        <v>0</v>
      </c>
      <c r="J154" s="434">
        <f t="shared" si="65"/>
        <v>0</v>
      </c>
      <c r="K154" s="434">
        <f t="shared" si="65"/>
        <v>0</v>
      </c>
      <c r="L154" s="434">
        <f t="shared" si="65"/>
        <v>0</v>
      </c>
      <c r="M154" s="434">
        <f t="shared" si="65"/>
        <v>0</v>
      </c>
      <c r="N154" s="434">
        <f t="shared" si="65"/>
        <v>0</v>
      </c>
      <c r="O154" s="434">
        <f t="shared" si="65"/>
        <v>0</v>
      </c>
      <c r="P154" s="434">
        <f t="shared" si="65"/>
        <v>0</v>
      </c>
      <c r="Q154" s="434">
        <f>SUM(E154:P154)</f>
        <v>0</v>
      </c>
    </row>
    <row r="155" spans="1:17" x14ac:dyDescent="0.2">
      <c r="A155" s="453">
        <f>A154+1</f>
        <v>25</v>
      </c>
      <c r="B155" s="454"/>
      <c r="C155" s="455" t="s">
        <v>577</v>
      </c>
      <c r="D155" s="456"/>
      <c r="E155" s="457">
        <f t="shared" ref="E155:P155" si="66">E628</f>
        <v>19.8</v>
      </c>
      <c r="F155" s="457">
        <f t="shared" si="66"/>
        <v>23.48</v>
      </c>
      <c r="G155" s="457">
        <f t="shared" si="66"/>
        <v>16.8</v>
      </c>
      <c r="H155" s="457">
        <f t="shared" si="66"/>
        <v>8.2799999999999994</v>
      </c>
      <c r="I155" s="457">
        <f t="shared" si="66"/>
        <v>4.4800000000000004</v>
      </c>
      <c r="J155" s="457">
        <f t="shared" si="66"/>
        <v>1.6</v>
      </c>
      <c r="K155" s="457">
        <f t="shared" si="66"/>
        <v>1.04</v>
      </c>
      <c r="L155" s="457">
        <f t="shared" si="66"/>
        <v>1.1200000000000001</v>
      </c>
      <c r="M155" s="457">
        <f t="shared" si="66"/>
        <v>1.2</v>
      </c>
      <c r="N155" s="457">
        <f t="shared" si="66"/>
        <v>1.56</v>
      </c>
      <c r="O155" s="457">
        <f t="shared" si="66"/>
        <v>7.56</v>
      </c>
      <c r="P155" s="457">
        <f t="shared" si="66"/>
        <v>16.12</v>
      </c>
      <c r="Q155" s="457">
        <f>SUM(E155:P155)</f>
        <v>103.04000000000002</v>
      </c>
    </row>
    <row r="156" spans="1:17" x14ac:dyDescent="0.2">
      <c r="C156" s="462"/>
      <c r="G156" s="294"/>
      <c r="Q156" s="294"/>
    </row>
    <row r="157" spans="1:17" x14ac:dyDescent="0.2">
      <c r="A157" s="224">
        <f>A155+1</f>
        <v>26</v>
      </c>
      <c r="B157" s="221" t="str">
        <f>Input!A30</f>
        <v>GSO</v>
      </c>
      <c r="C157" s="221" t="str">
        <f>'Sch M 2.1'!B29</f>
        <v>General Service - Commercial</v>
      </c>
      <c r="G157" s="294"/>
      <c r="Q157" s="294"/>
    </row>
    <row r="158" spans="1:17" x14ac:dyDescent="0.2">
      <c r="A158" s="224">
        <f>A157+1</f>
        <v>27</v>
      </c>
      <c r="C158" s="451" t="s">
        <v>219</v>
      </c>
      <c r="E158" s="242">
        <f t="shared" ref="E158:P158" si="67">E651</f>
        <v>10207</v>
      </c>
      <c r="F158" s="242">
        <f t="shared" si="67"/>
        <v>10271</v>
      </c>
      <c r="G158" s="242">
        <f t="shared" si="67"/>
        <v>10035</v>
      </c>
      <c r="H158" s="242">
        <f t="shared" si="67"/>
        <v>10003</v>
      </c>
      <c r="I158" s="242">
        <f t="shared" si="67"/>
        <v>9882</v>
      </c>
      <c r="J158" s="242">
        <f t="shared" si="67"/>
        <v>9780</v>
      </c>
      <c r="K158" s="242">
        <f t="shared" si="67"/>
        <v>9783</v>
      </c>
      <c r="L158" s="242">
        <f t="shared" si="67"/>
        <v>9770</v>
      </c>
      <c r="M158" s="242">
        <f t="shared" si="67"/>
        <v>9739</v>
      </c>
      <c r="N158" s="242">
        <f t="shared" si="67"/>
        <v>9772</v>
      </c>
      <c r="O158" s="242">
        <f t="shared" si="67"/>
        <v>9915</v>
      </c>
      <c r="P158" s="242">
        <f t="shared" si="67"/>
        <v>10076</v>
      </c>
      <c r="Q158" s="242">
        <f>SUM(E158:P158)</f>
        <v>119233</v>
      </c>
    </row>
    <row r="159" spans="1:17" x14ac:dyDescent="0.2">
      <c r="A159" s="224">
        <f>A158+1</f>
        <v>28</v>
      </c>
      <c r="C159" s="451" t="s">
        <v>576</v>
      </c>
      <c r="E159" s="247">
        <f t="shared" ref="E159:P159" si="68">E660</f>
        <v>660740</v>
      </c>
      <c r="F159" s="247">
        <f t="shared" si="68"/>
        <v>655060.9</v>
      </c>
      <c r="G159" s="247">
        <f t="shared" si="68"/>
        <v>456847.5</v>
      </c>
      <c r="H159" s="247">
        <f t="shared" si="68"/>
        <v>277301.89999999997</v>
      </c>
      <c r="I159" s="247">
        <f t="shared" si="68"/>
        <v>134480.19999999998</v>
      </c>
      <c r="J159" s="247">
        <f t="shared" si="68"/>
        <v>80718.299999999988</v>
      </c>
      <c r="K159" s="247">
        <f t="shared" si="68"/>
        <v>56728.5</v>
      </c>
      <c r="L159" s="247">
        <f t="shared" si="68"/>
        <v>52785.7</v>
      </c>
      <c r="M159" s="247">
        <f t="shared" si="68"/>
        <v>51801.2</v>
      </c>
      <c r="N159" s="247">
        <f t="shared" si="68"/>
        <v>77144.100000000006</v>
      </c>
      <c r="O159" s="247">
        <f t="shared" si="68"/>
        <v>171035.9</v>
      </c>
      <c r="P159" s="247">
        <f t="shared" si="68"/>
        <v>423570.9</v>
      </c>
      <c r="Q159" s="247">
        <f>SUM(E159:P159)</f>
        <v>3098215.1</v>
      </c>
    </row>
    <row r="160" spans="1:17" x14ac:dyDescent="0.2">
      <c r="A160" s="224">
        <f>A159+1</f>
        <v>29</v>
      </c>
      <c r="C160" s="451" t="s">
        <v>221</v>
      </c>
      <c r="E160" s="434">
        <f>E668+E675</f>
        <v>1756583.03</v>
      </c>
      <c r="F160" s="434">
        <f t="shared" ref="F160:P160" si="69">F668+F675</f>
        <v>1756857.1899999997</v>
      </c>
      <c r="G160" s="434">
        <f t="shared" si="69"/>
        <v>1376371.55</v>
      </c>
      <c r="H160" s="434">
        <f t="shared" si="69"/>
        <v>1020002.66</v>
      </c>
      <c r="I160" s="434">
        <f t="shared" si="69"/>
        <v>725886.50000000012</v>
      </c>
      <c r="J160" s="434">
        <f t="shared" si="69"/>
        <v>612680.82999999996</v>
      </c>
      <c r="K160" s="434">
        <f t="shared" si="69"/>
        <v>565185.08000000007</v>
      </c>
      <c r="L160" s="434">
        <f t="shared" si="69"/>
        <v>556594.91999999993</v>
      </c>
      <c r="M160" s="434">
        <f t="shared" si="69"/>
        <v>553487.03999999992</v>
      </c>
      <c r="N160" s="434">
        <f t="shared" si="69"/>
        <v>606603.40000000014</v>
      </c>
      <c r="O160" s="434">
        <f t="shared" si="69"/>
        <v>802478.94</v>
      </c>
      <c r="P160" s="434">
        <f t="shared" si="69"/>
        <v>1302343.94</v>
      </c>
      <c r="Q160" s="434">
        <f>SUM(E160:P160)</f>
        <v>11635075.079999998</v>
      </c>
    </row>
    <row r="161" spans="1:17" x14ac:dyDescent="0.2">
      <c r="A161" s="224">
        <f>A160+1</f>
        <v>30</v>
      </c>
      <c r="C161" s="451" t="s">
        <v>222</v>
      </c>
      <c r="E161" s="434">
        <f t="shared" ref="E161:P161" si="70">E670</f>
        <v>1459640.73</v>
      </c>
      <c r="F161" s="434">
        <f t="shared" si="70"/>
        <v>1447095.03</v>
      </c>
      <c r="G161" s="434">
        <f t="shared" si="70"/>
        <v>1009221.81</v>
      </c>
      <c r="H161" s="434">
        <f t="shared" si="70"/>
        <v>612587.63</v>
      </c>
      <c r="I161" s="434">
        <f t="shared" si="70"/>
        <v>297080.21000000002</v>
      </c>
      <c r="J161" s="434">
        <f t="shared" si="70"/>
        <v>178314.8</v>
      </c>
      <c r="K161" s="434">
        <f t="shared" si="70"/>
        <v>125318.93</v>
      </c>
      <c r="L161" s="434">
        <f t="shared" si="70"/>
        <v>116608.89</v>
      </c>
      <c r="M161" s="434">
        <f t="shared" si="70"/>
        <v>114434.03</v>
      </c>
      <c r="N161" s="434">
        <f t="shared" si="70"/>
        <v>170419.03</v>
      </c>
      <c r="O161" s="434">
        <f t="shared" si="70"/>
        <v>377835.41</v>
      </c>
      <c r="P161" s="434">
        <f t="shared" si="70"/>
        <v>935710.48</v>
      </c>
      <c r="Q161" s="434">
        <f>SUM(E161:P161)</f>
        <v>6844266.9800000004</v>
      </c>
    </row>
    <row r="162" spans="1:17" x14ac:dyDescent="0.2">
      <c r="A162" s="453">
        <f>A161+1</f>
        <v>31</v>
      </c>
      <c r="B162" s="454"/>
      <c r="C162" s="455" t="s">
        <v>577</v>
      </c>
      <c r="D162" s="456"/>
      <c r="E162" s="457">
        <f t="shared" ref="E162:P162" si="71">E677</f>
        <v>3216223.76</v>
      </c>
      <c r="F162" s="457">
        <f t="shared" si="71"/>
        <v>3203952.22</v>
      </c>
      <c r="G162" s="457">
        <f t="shared" si="71"/>
        <v>2385593.36</v>
      </c>
      <c r="H162" s="457">
        <f t="shared" si="71"/>
        <v>1632590.29</v>
      </c>
      <c r="I162" s="457">
        <f t="shared" si="71"/>
        <v>1022966.7100000001</v>
      </c>
      <c r="J162" s="457">
        <f t="shared" si="71"/>
        <v>790995.62999999989</v>
      </c>
      <c r="K162" s="457">
        <f t="shared" si="71"/>
        <v>690504.01000000013</v>
      </c>
      <c r="L162" s="457">
        <f t="shared" si="71"/>
        <v>673203.80999999994</v>
      </c>
      <c r="M162" s="457">
        <f t="shared" si="71"/>
        <v>667921.06999999995</v>
      </c>
      <c r="N162" s="457">
        <f t="shared" si="71"/>
        <v>777022.43000000017</v>
      </c>
      <c r="O162" s="457">
        <f t="shared" si="71"/>
        <v>1180314.3500000001</v>
      </c>
      <c r="P162" s="457">
        <f t="shared" si="71"/>
        <v>2238054.42</v>
      </c>
      <c r="Q162" s="457">
        <f>SUM(E162:P162)</f>
        <v>18479342.059999999</v>
      </c>
    </row>
    <row r="163" spans="1:17" x14ac:dyDescent="0.2">
      <c r="A163" s="306"/>
      <c r="B163" s="305"/>
      <c r="C163" s="462"/>
      <c r="D163" s="304"/>
      <c r="E163" s="493"/>
      <c r="F163" s="493"/>
      <c r="G163" s="493"/>
      <c r="H163" s="493"/>
      <c r="I163" s="493"/>
      <c r="J163" s="493"/>
      <c r="K163" s="493"/>
      <c r="L163" s="493"/>
      <c r="M163" s="493"/>
      <c r="N163" s="493"/>
      <c r="O163" s="493"/>
      <c r="P163" s="493"/>
      <c r="Q163" s="493"/>
    </row>
    <row r="164" spans="1:17" x14ac:dyDescent="0.2">
      <c r="A164" s="306"/>
      <c r="B164" s="305"/>
      <c r="C164" s="462"/>
      <c r="D164" s="304"/>
      <c r="E164" s="493"/>
      <c r="F164" s="493"/>
      <c r="G164" s="493"/>
      <c r="H164" s="493"/>
      <c r="I164" s="493"/>
      <c r="J164" s="493"/>
      <c r="K164" s="493"/>
      <c r="L164" s="493"/>
      <c r="M164" s="493"/>
      <c r="N164" s="493"/>
      <c r="O164" s="493"/>
      <c r="P164" s="493"/>
      <c r="Q164" s="493"/>
    </row>
    <row r="165" spans="1:17" x14ac:dyDescent="0.2">
      <c r="A165" s="306" t="str">
        <f>$A$108</f>
        <v>[1] Reflects Normalized Volumes.</v>
      </c>
      <c r="B165" s="305"/>
      <c r="C165" s="462"/>
      <c r="D165" s="304"/>
      <c r="E165" s="493"/>
      <c r="F165" s="493"/>
      <c r="G165" s="493"/>
      <c r="H165" s="493"/>
      <c r="I165" s="493"/>
      <c r="J165" s="493"/>
      <c r="K165" s="493"/>
      <c r="L165" s="493"/>
      <c r="M165" s="493"/>
      <c r="N165" s="493"/>
      <c r="O165" s="493"/>
      <c r="P165" s="493"/>
      <c r="Q165" s="493"/>
    </row>
    <row r="166" spans="1:17" x14ac:dyDescent="0.2">
      <c r="A166" s="224" t="str">
        <f>$A$109</f>
        <v>[2] See Schedule M-2.2 Pages 8 through 21 for detail.</v>
      </c>
      <c r="G166" s="294"/>
      <c r="Q166" s="294"/>
    </row>
    <row r="167" spans="1:17" x14ac:dyDescent="0.2">
      <c r="A167" s="887" t="str">
        <f>CONAME</f>
        <v>Columbia Gas of Kentucky, Inc.</v>
      </c>
      <c r="B167" s="887"/>
      <c r="C167" s="887"/>
      <c r="D167" s="887"/>
      <c r="E167" s="887"/>
      <c r="F167" s="887"/>
      <c r="G167" s="887"/>
      <c r="H167" s="887"/>
      <c r="I167" s="887"/>
      <c r="J167" s="887"/>
      <c r="K167" s="887"/>
      <c r="L167" s="887"/>
      <c r="M167" s="887"/>
      <c r="N167" s="887"/>
      <c r="O167" s="887"/>
      <c r="P167" s="887"/>
      <c r="Q167" s="887"/>
    </row>
    <row r="168" spans="1:17" x14ac:dyDescent="0.2">
      <c r="A168" s="875" t="str">
        <f>case</f>
        <v>Case No. 2016-00162</v>
      </c>
      <c r="B168" s="875"/>
      <c r="C168" s="875"/>
      <c r="D168" s="875"/>
      <c r="E168" s="875"/>
      <c r="F168" s="875"/>
      <c r="G168" s="875"/>
      <c r="H168" s="875"/>
      <c r="I168" s="875"/>
      <c r="J168" s="875"/>
      <c r="K168" s="875"/>
      <c r="L168" s="875"/>
      <c r="M168" s="875"/>
      <c r="N168" s="875"/>
      <c r="O168" s="875"/>
      <c r="P168" s="875"/>
      <c r="Q168" s="875"/>
    </row>
    <row r="169" spans="1:17" x14ac:dyDescent="0.2">
      <c r="A169" s="888" t="s">
        <v>503</v>
      </c>
      <c r="B169" s="888"/>
      <c r="C169" s="888"/>
      <c r="D169" s="888"/>
      <c r="E169" s="888"/>
      <c r="F169" s="888"/>
      <c r="G169" s="888"/>
      <c r="H169" s="888"/>
      <c r="I169" s="888"/>
      <c r="J169" s="888"/>
      <c r="K169" s="888"/>
      <c r="L169" s="888"/>
      <c r="M169" s="888"/>
      <c r="N169" s="888"/>
      <c r="O169" s="888"/>
      <c r="P169" s="888"/>
      <c r="Q169" s="888"/>
    </row>
    <row r="170" spans="1:17" x14ac:dyDescent="0.2">
      <c r="A170" s="887" t="str">
        <f>TYDESC</f>
        <v>For the 12 Months Ended December 31, 2017</v>
      </c>
      <c r="B170" s="887"/>
      <c r="C170" s="887"/>
      <c r="D170" s="887"/>
      <c r="E170" s="887"/>
      <c r="F170" s="887"/>
      <c r="G170" s="887"/>
      <c r="H170" s="887"/>
      <c r="I170" s="887"/>
      <c r="J170" s="887"/>
      <c r="K170" s="887"/>
      <c r="L170" s="887"/>
      <c r="M170" s="887"/>
      <c r="N170" s="887"/>
      <c r="O170" s="887"/>
      <c r="P170" s="887"/>
      <c r="Q170" s="887"/>
    </row>
    <row r="171" spans="1:17" x14ac:dyDescent="0.2">
      <c r="A171" s="885" t="s">
        <v>39</v>
      </c>
      <c r="B171" s="885"/>
      <c r="C171" s="885"/>
      <c r="D171" s="885"/>
      <c r="E171" s="885"/>
      <c r="F171" s="885"/>
      <c r="G171" s="885"/>
      <c r="H171" s="885"/>
      <c r="I171" s="885"/>
      <c r="J171" s="885"/>
      <c r="K171" s="885"/>
      <c r="L171" s="885"/>
      <c r="M171" s="885"/>
      <c r="N171" s="885"/>
      <c r="O171" s="885"/>
      <c r="P171" s="885"/>
      <c r="Q171" s="885"/>
    </row>
    <row r="172" spans="1:17" x14ac:dyDescent="0.2">
      <c r="A172" s="266" t="str">
        <f>$A$52</f>
        <v>Data: __ Base Period _X_ Forecasted Period</v>
      </c>
    </row>
    <row r="173" spans="1:17" x14ac:dyDescent="0.2">
      <c r="A173" s="266" t="str">
        <f>$A$53</f>
        <v>Type of Filing: X Original _ Update _ Revised</v>
      </c>
      <c r="Q173" s="420" t="str">
        <f>$Q$53</f>
        <v>Schedule M-2.2</v>
      </c>
    </row>
    <row r="174" spans="1:17" x14ac:dyDescent="0.2">
      <c r="A174" s="266" t="str">
        <f>$A$54</f>
        <v>Work Paper Reference No(s):</v>
      </c>
      <c r="Q174" s="420" t="s">
        <v>525</v>
      </c>
    </row>
    <row r="175" spans="1:17" x14ac:dyDescent="0.2">
      <c r="A175" s="421" t="str">
        <f>$A$55</f>
        <v>12 Months Forecasted</v>
      </c>
      <c r="Q175" s="420" t="str">
        <f>Witness</f>
        <v>Witness:  M. J. Bell</v>
      </c>
    </row>
    <row r="176" spans="1:17" x14ac:dyDescent="0.2">
      <c r="A176" s="886" t="s">
        <v>194</v>
      </c>
      <c r="B176" s="886"/>
      <c r="C176" s="886"/>
      <c r="D176" s="886"/>
      <c r="E176" s="886"/>
      <c r="F176" s="886"/>
      <c r="G176" s="886"/>
      <c r="H176" s="886"/>
      <c r="I176" s="886"/>
      <c r="J176" s="886"/>
      <c r="K176" s="886"/>
      <c r="L176" s="886"/>
      <c r="M176" s="886"/>
      <c r="N176" s="886"/>
      <c r="O176" s="886"/>
      <c r="P176" s="886"/>
      <c r="Q176" s="886"/>
    </row>
    <row r="177" spans="1:17" x14ac:dyDescent="0.2">
      <c r="A177" s="804"/>
      <c r="B177" s="801"/>
      <c r="C177" s="801"/>
      <c r="D177" s="801"/>
      <c r="E177" s="801"/>
      <c r="F177" s="801"/>
      <c r="G177" s="801"/>
      <c r="H177" s="801"/>
      <c r="I177" s="801"/>
      <c r="J177" s="801"/>
      <c r="K177" s="801"/>
      <c r="L177" s="801"/>
      <c r="M177" s="801"/>
      <c r="N177" s="801"/>
      <c r="O177" s="801"/>
      <c r="P177" s="801"/>
      <c r="Q177" s="801"/>
    </row>
    <row r="178" spans="1:17" x14ac:dyDescent="0.2">
      <c r="A178" s="798"/>
      <c r="B178" s="800"/>
      <c r="C178" s="800"/>
      <c r="D178" s="803"/>
      <c r="E178" s="424"/>
      <c r="F178" s="425"/>
      <c r="G178" s="424"/>
      <c r="H178" s="802"/>
      <c r="I178" s="424"/>
      <c r="J178" s="424"/>
      <c r="K178" s="424"/>
      <c r="L178" s="424"/>
      <c r="M178" s="424"/>
      <c r="N178" s="424"/>
      <c r="O178" s="800"/>
      <c r="P178" s="800"/>
      <c r="Q178" s="800"/>
    </row>
    <row r="179" spans="1:17" x14ac:dyDescent="0.2">
      <c r="A179" s="798" t="s">
        <v>1</v>
      </c>
      <c r="B179" s="800" t="s">
        <v>0</v>
      </c>
      <c r="C179" s="800" t="s">
        <v>41</v>
      </c>
      <c r="D179" s="803" t="s">
        <v>47</v>
      </c>
      <c r="E179" s="424"/>
      <c r="F179" s="425"/>
      <c r="G179" s="424"/>
      <c r="H179" s="802"/>
      <c r="I179" s="424"/>
      <c r="J179" s="424"/>
      <c r="K179" s="424"/>
      <c r="L179" s="424"/>
      <c r="M179" s="424"/>
      <c r="N179" s="424"/>
      <c r="O179" s="801"/>
      <c r="P179" s="801"/>
      <c r="Q179" s="801"/>
    </row>
    <row r="180" spans="1:17" x14ac:dyDescent="0.2">
      <c r="A180" s="285" t="s">
        <v>3</v>
      </c>
      <c r="B180" s="228" t="s">
        <v>40</v>
      </c>
      <c r="C180" s="228" t="s">
        <v>4</v>
      </c>
      <c r="D180" s="427" t="s">
        <v>48</v>
      </c>
      <c r="E180" s="428" t="str">
        <f>B!$D$11</f>
        <v>Jan-17</v>
      </c>
      <c r="F180" s="428" t="str">
        <f>B!$E$11</f>
        <v>Feb-17</v>
      </c>
      <c r="G180" s="428" t="str">
        <f>B!$F$11</f>
        <v>Mar-17</v>
      </c>
      <c r="H180" s="428" t="str">
        <f>B!$G$11</f>
        <v>Apr-17</v>
      </c>
      <c r="I180" s="428" t="str">
        <f>B!$H$11</f>
        <v>May-17</v>
      </c>
      <c r="J180" s="428" t="str">
        <f>B!$I$11</f>
        <v>Jun-17</v>
      </c>
      <c r="K180" s="428" t="str">
        <f>B!$J$11</f>
        <v>Jul-17</v>
      </c>
      <c r="L180" s="428" t="str">
        <f>B!$K$11</f>
        <v>Aug-17</v>
      </c>
      <c r="M180" s="428" t="str">
        <f>B!$L$11</f>
        <v>Sep-17</v>
      </c>
      <c r="N180" s="428" t="str">
        <f>B!$M$11</f>
        <v>Oct-17</v>
      </c>
      <c r="O180" s="428" t="str">
        <f>B!$N$11</f>
        <v>Nov-17</v>
      </c>
      <c r="P180" s="428" t="str">
        <f>B!$O$11</f>
        <v>Dec-17</v>
      </c>
      <c r="Q180" s="429" t="s">
        <v>9</v>
      </c>
    </row>
    <row r="181" spans="1:17" x14ac:dyDescent="0.2">
      <c r="A181" s="798"/>
      <c r="B181" s="801" t="s">
        <v>42</v>
      </c>
      <c r="C181" s="801" t="s">
        <v>43</v>
      </c>
      <c r="D181" s="430" t="s">
        <v>45</v>
      </c>
      <c r="E181" s="431" t="s">
        <v>46</v>
      </c>
      <c r="F181" s="431" t="s">
        <v>49</v>
      </c>
      <c r="G181" s="431" t="s">
        <v>50</v>
      </c>
      <c r="H181" s="431" t="s">
        <v>51</v>
      </c>
      <c r="I181" s="431" t="s">
        <v>52</v>
      </c>
      <c r="J181" s="431" t="s">
        <v>53</v>
      </c>
      <c r="K181" s="432" t="s">
        <v>54</v>
      </c>
      <c r="L181" s="432" t="s">
        <v>55</v>
      </c>
      <c r="M181" s="432" t="s">
        <v>56</v>
      </c>
      <c r="N181" s="432" t="s">
        <v>57</v>
      </c>
      <c r="O181" s="432" t="s">
        <v>58</v>
      </c>
      <c r="P181" s="432" t="s">
        <v>59</v>
      </c>
      <c r="Q181" s="432" t="s">
        <v>203</v>
      </c>
    </row>
    <row r="182" spans="1:17" x14ac:dyDescent="0.2">
      <c r="G182" s="294"/>
      <c r="Q182" s="294"/>
    </row>
    <row r="183" spans="1:17" x14ac:dyDescent="0.2">
      <c r="A183" s="224">
        <v>1</v>
      </c>
      <c r="C183" s="445" t="s">
        <v>94</v>
      </c>
      <c r="G183" s="294"/>
      <c r="Q183" s="294"/>
    </row>
    <row r="184" spans="1:17" x14ac:dyDescent="0.2">
      <c r="G184" s="294"/>
      <c r="Q184" s="294"/>
    </row>
    <row r="185" spans="1:17" x14ac:dyDescent="0.2">
      <c r="A185" s="224">
        <f>A183+1</f>
        <v>2</v>
      </c>
      <c r="B185" s="221" t="str">
        <f>Input!A31</f>
        <v>GSO</v>
      </c>
      <c r="C185" s="221" t="str">
        <f>'Sch M 2.1'!B30</f>
        <v>General Service - Industrial</v>
      </c>
      <c r="G185" s="294"/>
      <c r="Q185" s="294"/>
    </row>
    <row r="186" spans="1:17" x14ac:dyDescent="0.2">
      <c r="A186" s="224">
        <f>A185+1</f>
        <v>3</v>
      </c>
      <c r="C186" s="451" t="s">
        <v>219</v>
      </c>
      <c r="E186" s="242">
        <f t="shared" ref="E186:P186" si="72">E701</f>
        <v>43</v>
      </c>
      <c r="F186" s="242">
        <f t="shared" si="72"/>
        <v>43</v>
      </c>
      <c r="G186" s="242">
        <f t="shared" si="72"/>
        <v>43</v>
      </c>
      <c r="H186" s="242">
        <f t="shared" si="72"/>
        <v>43</v>
      </c>
      <c r="I186" s="242">
        <f t="shared" si="72"/>
        <v>43</v>
      </c>
      <c r="J186" s="242">
        <f t="shared" si="72"/>
        <v>44</v>
      </c>
      <c r="K186" s="242">
        <f t="shared" si="72"/>
        <v>44</v>
      </c>
      <c r="L186" s="242">
        <f t="shared" si="72"/>
        <v>45</v>
      </c>
      <c r="M186" s="242">
        <f t="shared" si="72"/>
        <v>44</v>
      </c>
      <c r="N186" s="242">
        <f t="shared" si="72"/>
        <v>44</v>
      </c>
      <c r="O186" s="242">
        <f t="shared" si="72"/>
        <v>44</v>
      </c>
      <c r="P186" s="242">
        <f t="shared" si="72"/>
        <v>44</v>
      </c>
      <c r="Q186" s="242">
        <f>SUM(E186:P186)</f>
        <v>524</v>
      </c>
    </row>
    <row r="187" spans="1:17" x14ac:dyDescent="0.2">
      <c r="A187" s="224">
        <f>A186+1</f>
        <v>4</v>
      </c>
      <c r="C187" s="451" t="s">
        <v>576</v>
      </c>
      <c r="E187" s="247">
        <f t="shared" ref="E187:P187" si="73">E710</f>
        <v>33000.199999999997</v>
      </c>
      <c r="F187" s="247">
        <f t="shared" si="73"/>
        <v>31999.9</v>
      </c>
      <c r="G187" s="247">
        <f t="shared" si="73"/>
        <v>30900</v>
      </c>
      <c r="H187" s="247">
        <f t="shared" si="73"/>
        <v>29799.9</v>
      </c>
      <c r="I187" s="247">
        <f t="shared" si="73"/>
        <v>28800.3</v>
      </c>
      <c r="J187" s="247">
        <f t="shared" si="73"/>
        <v>27749.9</v>
      </c>
      <c r="K187" s="247">
        <f t="shared" si="73"/>
        <v>27749.9</v>
      </c>
      <c r="L187" s="247">
        <f t="shared" si="73"/>
        <v>28750.199999999997</v>
      </c>
      <c r="M187" s="247">
        <f t="shared" si="73"/>
        <v>28750.199999999997</v>
      </c>
      <c r="N187" s="247">
        <f t="shared" si="73"/>
        <v>30849.9</v>
      </c>
      <c r="O187" s="247">
        <f t="shared" si="73"/>
        <v>30900</v>
      </c>
      <c r="P187" s="247">
        <f t="shared" si="73"/>
        <v>31000.1</v>
      </c>
      <c r="Q187" s="247">
        <f>SUM(E187:P187)</f>
        <v>360250.5</v>
      </c>
    </row>
    <row r="188" spans="1:17" x14ac:dyDescent="0.2">
      <c r="A188" s="224">
        <f>A187+1</f>
        <v>5</v>
      </c>
      <c r="C188" s="451" t="s">
        <v>221</v>
      </c>
      <c r="E188" s="434">
        <f>E718+E725</f>
        <v>56249.25</v>
      </c>
      <c r="F188" s="434">
        <f t="shared" ref="F188:P188" si="74">F718+F725</f>
        <v>54442.01</v>
      </c>
      <c r="G188" s="434">
        <f t="shared" si="74"/>
        <v>52827.490000000005</v>
      </c>
      <c r="H188" s="434">
        <f t="shared" si="74"/>
        <v>50921.73</v>
      </c>
      <c r="I188" s="434">
        <f t="shared" si="74"/>
        <v>48742.11</v>
      </c>
      <c r="J188" s="434">
        <f t="shared" si="74"/>
        <v>46838.76</v>
      </c>
      <c r="K188" s="434">
        <f t="shared" si="74"/>
        <v>46837.84</v>
      </c>
      <c r="L188" s="434">
        <f t="shared" si="74"/>
        <v>48652.52</v>
      </c>
      <c r="M188" s="434">
        <f t="shared" si="74"/>
        <v>48602.02</v>
      </c>
      <c r="N188" s="434">
        <f t="shared" si="74"/>
        <v>52087.289999999994</v>
      </c>
      <c r="O188" s="434">
        <f t="shared" si="74"/>
        <v>52445.67</v>
      </c>
      <c r="P188" s="434">
        <f t="shared" si="74"/>
        <v>52823.029999999992</v>
      </c>
      <c r="Q188" s="434">
        <f>SUM(E188:P188)</f>
        <v>611469.72000000009</v>
      </c>
    </row>
    <row r="189" spans="1:17" x14ac:dyDescent="0.2">
      <c r="A189" s="224">
        <f>A188+1</f>
        <v>6</v>
      </c>
      <c r="C189" s="451" t="s">
        <v>222</v>
      </c>
      <c r="E189" s="434">
        <f t="shared" ref="E189:P189" si="75">E720</f>
        <v>72900.740000000005</v>
      </c>
      <c r="F189" s="434">
        <f t="shared" si="75"/>
        <v>70690.98</v>
      </c>
      <c r="G189" s="434">
        <f t="shared" si="75"/>
        <v>68261.19</v>
      </c>
      <c r="H189" s="434">
        <f t="shared" si="75"/>
        <v>65830.960000000006</v>
      </c>
      <c r="I189" s="434">
        <f t="shared" si="75"/>
        <v>63622.74</v>
      </c>
      <c r="J189" s="434">
        <f t="shared" si="75"/>
        <v>61302.3</v>
      </c>
      <c r="K189" s="434">
        <f t="shared" si="75"/>
        <v>61302.3</v>
      </c>
      <c r="L189" s="434">
        <f t="shared" si="75"/>
        <v>63512.07</v>
      </c>
      <c r="M189" s="434">
        <f t="shared" si="75"/>
        <v>63512.07</v>
      </c>
      <c r="N189" s="434">
        <f t="shared" si="75"/>
        <v>68150.509999999995</v>
      </c>
      <c r="O189" s="434">
        <f t="shared" si="75"/>
        <v>68261.19</v>
      </c>
      <c r="P189" s="434">
        <f t="shared" si="75"/>
        <v>68482.320000000007</v>
      </c>
      <c r="Q189" s="434">
        <f>SUM(E189:P189)</f>
        <v>795829.36999999988</v>
      </c>
    </row>
    <row r="190" spans="1:17" x14ac:dyDescent="0.2">
      <c r="A190" s="453">
        <f>A189+1</f>
        <v>7</v>
      </c>
      <c r="B190" s="454"/>
      <c r="C190" s="455" t="s">
        <v>577</v>
      </c>
      <c r="D190" s="456"/>
      <c r="E190" s="457">
        <f t="shared" ref="E190:P190" si="76">E727</f>
        <v>129149.99</v>
      </c>
      <c r="F190" s="457">
        <f t="shared" si="76"/>
        <v>125132.98999999999</v>
      </c>
      <c r="G190" s="457">
        <f t="shared" si="76"/>
        <v>121088.68</v>
      </c>
      <c r="H190" s="457">
        <f t="shared" si="76"/>
        <v>116752.69000000002</v>
      </c>
      <c r="I190" s="457">
        <f t="shared" si="76"/>
        <v>112364.84999999999</v>
      </c>
      <c r="J190" s="457">
        <f t="shared" si="76"/>
        <v>108141.06</v>
      </c>
      <c r="K190" s="457">
        <f t="shared" si="76"/>
        <v>108140.14</v>
      </c>
      <c r="L190" s="457">
        <f t="shared" si="76"/>
        <v>112164.59</v>
      </c>
      <c r="M190" s="457">
        <f t="shared" si="76"/>
        <v>112114.09</v>
      </c>
      <c r="N190" s="457">
        <f t="shared" si="76"/>
        <v>120237.79999999999</v>
      </c>
      <c r="O190" s="457">
        <f t="shared" si="76"/>
        <v>120706.85999999999</v>
      </c>
      <c r="P190" s="457">
        <f t="shared" si="76"/>
        <v>121305.35</v>
      </c>
      <c r="Q190" s="457">
        <f>SUM(E190:P190)</f>
        <v>1407299.0899999999</v>
      </c>
    </row>
    <row r="191" spans="1:17" x14ac:dyDescent="0.2">
      <c r="A191" s="306"/>
      <c r="B191" s="305"/>
      <c r="C191" s="462"/>
      <c r="D191" s="304"/>
      <c r="E191" s="422"/>
      <c r="F191" s="422"/>
      <c r="G191" s="422"/>
      <c r="H191" s="422"/>
      <c r="I191" s="422"/>
      <c r="J191" s="422"/>
      <c r="K191" s="422"/>
      <c r="L191" s="422"/>
      <c r="M191" s="422"/>
      <c r="N191" s="422"/>
      <c r="O191" s="422"/>
      <c r="P191" s="422"/>
      <c r="Q191" s="422"/>
    </row>
    <row r="192" spans="1:17" x14ac:dyDescent="0.2">
      <c r="A192" s="224">
        <f>A190+1</f>
        <v>8</v>
      </c>
      <c r="B192" s="221" t="str">
        <f>Input!A36</f>
        <v xml:space="preserve">IS </v>
      </c>
      <c r="C192" s="221" t="str">
        <f>'Sch M 2.1'!B31</f>
        <v>Interruptible Service - Industrial</v>
      </c>
      <c r="G192" s="294"/>
      <c r="Q192" s="294"/>
    </row>
    <row r="193" spans="1:17" x14ac:dyDescent="0.2">
      <c r="A193" s="224">
        <f>A192+1</f>
        <v>9</v>
      </c>
      <c r="C193" s="451" t="s">
        <v>219</v>
      </c>
      <c r="E193" s="242">
        <f t="shared" ref="E193:P193" si="77">E752</f>
        <v>0</v>
      </c>
      <c r="F193" s="242">
        <f t="shared" si="77"/>
        <v>0</v>
      </c>
      <c r="G193" s="242">
        <f t="shared" si="77"/>
        <v>0</v>
      </c>
      <c r="H193" s="242">
        <f t="shared" si="77"/>
        <v>0</v>
      </c>
      <c r="I193" s="242">
        <f t="shared" si="77"/>
        <v>0</v>
      </c>
      <c r="J193" s="242">
        <f t="shared" si="77"/>
        <v>0</v>
      </c>
      <c r="K193" s="242">
        <f t="shared" si="77"/>
        <v>0</v>
      </c>
      <c r="L193" s="242">
        <f t="shared" si="77"/>
        <v>0</v>
      </c>
      <c r="M193" s="242">
        <f t="shared" si="77"/>
        <v>0</v>
      </c>
      <c r="N193" s="242">
        <f t="shared" si="77"/>
        <v>0</v>
      </c>
      <c r="O193" s="242">
        <f t="shared" si="77"/>
        <v>0</v>
      </c>
      <c r="P193" s="242">
        <f t="shared" si="77"/>
        <v>0</v>
      </c>
      <c r="Q193" s="242">
        <f>SUM(E193:P193)</f>
        <v>0</v>
      </c>
    </row>
    <row r="194" spans="1:17" x14ac:dyDescent="0.2">
      <c r="A194" s="224">
        <f>A193+1</f>
        <v>10</v>
      </c>
      <c r="C194" s="451" t="s">
        <v>576</v>
      </c>
      <c r="E194" s="247">
        <f t="shared" ref="E194:P194" si="78">E759</f>
        <v>0</v>
      </c>
      <c r="F194" s="247">
        <f t="shared" si="78"/>
        <v>0</v>
      </c>
      <c r="G194" s="247">
        <f t="shared" si="78"/>
        <v>0</v>
      </c>
      <c r="H194" s="247">
        <f t="shared" si="78"/>
        <v>0</v>
      </c>
      <c r="I194" s="247">
        <f t="shared" si="78"/>
        <v>0</v>
      </c>
      <c r="J194" s="247">
        <f t="shared" si="78"/>
        <v>0</v>
      </c>
      <c r="K194" s="247">
        <f t="shared" si="78"/>
        <v>0</v>
      </c>
      <c r="L194" s="247">
        <f t="shared" si="78"/>
        <v>0</v>
      </c>
      <c r="M194" s="247">
        <f t="shared" si="78"/>
        <v>0</v>
      </c>
      <c r="N194" s="247">
        <f t="shared" si="78"/>
        <v>0</v>
      </c>
      <c r="O194" s="247">
        <f t="shared" si="78"/>
        <v>0</v>
      </c>
      <c r="P194" s="247">
        <f t="shared" si="78"/>
        <v>0</v>
      </c>
      <c r="Q194" s="247">
        <f>SUM(E194:P194)</f>
        <v>0</v>
      </c>
    </row>
    <row r="195" spans="1:17" x14ac:dyDescent="0.2">
      <c r="A195" s="224">
        <f>A194+1</f>
        <v>11</v>
      </c>
      <c r="C195" s="451" t="s">
        <v>221</v>
      </c>
      <c r="E195" s="434">
        <f>E765+E772</f>
        <v>0</v>
      </c>
      <c r="F195" s="434">
        <f t="shared" ref="F195:P195" si="79">F765+F772</f>
        <v>0</v>
      </c>
      <c r="G195" s="434">
        <f t="shared" si="79"/>
        <v>0</v>
      </c>
      <c r="H195" s="434">
        <f t="shared" si="79"/>
        <v>0</v>
      </c>
      <c r="I195" s="434">
        <f t="shared" si="79"/>
        <v>0</v>
      </c>
      <c r="J195" s="434">
        <f t="shared" si="79"/>
        <v>0</v>
      </c>
      <c r="K195" s="434">
        <f t="shared" si="79"/>
        <v>0</v>
      </c>
      <c r="L195" s="434">
        <f t="shared" si="79"/>
        <v>0</v>
      </c>
      <c r="M195" s="434">
        <f t="shared" si="79"/>
        <v>0</v>
      </c>
      <c r="N195" s="434">
        <f t="shared" si="79"/>
        <v>0</v>
      </c>
      <c r="O195" s="434">
        <f t="shared" si="79"/>
        <v>0</v>
      </c>
      <c r="P195" s="434">
        <f t="shared" si="79"/>
        <v>0</v>
      </c>
      <c r="Q195" s="434">
        <f>SUM(E195:P195)</f>
        <v>0</v>
      </c>
    </row>
    <row r="196" spans="1:17" x14ac:dyDescent="0.2">
      <c r="A196" s="224">
        <f>A195+1</f>
        <v>12</v>
      </c>
      <c r="C196" s="451" t="s">
        <v>222</v>
      </c>
      <c r="E196" s="434">
        <f t="shared" ref="E196:P196" si="80">E767</f>
        <v>0</v>
      </c>
      <c r="F196" s="434">
        <f t="shared" si="80"/>
        <v>0</v>
      </c>
      <c r="G196" s="434">
        <f t="shared" si="80"/>
        <v>0</v>
      </c>
      <c r="H196" s="434">
        <f t="shared" si="80"/>
        <v>0</v>
      </c>
      <c r="I196" s="434">
        <f t="shared" si="80"/>
        <v>0</v>
      </c>
      <c r="J196" s="434">
        <f t="shared" si="80"/>
        <v>0</v>
      </c>
      <c r="K196" s="434">
        <f t="shared" si="80"/>
        <v>0</v>
      </c>
      <c r="L196" s="434">
        <f t="shared" si="80"/>
        <v>0</v>
      </c>
      <c r="M196" s="434">
        <f t="shared" si="80"/>
        <v>0</v>
      </c>
      <c r="N196" s="434">
        <f t="shared" si="80"/>
        <v>0</v>
      </c>
      <c r="O196" s="434">
        <f t="shared" si="80"/>
        <v>0</v>
      </c>
      <c r="P196" s="434">
        <f t="shared" si="80"/>
        <v>0</v>
      </c>
      <c r="Q196" s="434">
        <f>SUM(E196:P196)</f>
        <v>0</v>
      </c>
    </row>
    <row r="197" spans="1:17" x14ac:dyDescent="0.2">
      <c r="A197" s="453">
        <f>A196+1</f>
        <v>13</v>
      </c>
      <c r="B197" s="454"/>
      <c r="C197" s="455" t="s">
        <v>577</v>
      </c>
      <c r="D197" s="456"/>
      <c r="E197" s="457">
        <f t="shared" ref="E197:P197" si="81">E774</f>
        <v>0</v>
      </c>
      <c r="F197" s="457">
        <f t="shared" si="81"/>
        <v>0</v>
      </c>
      <c r="G197" s="457">
        <f t="shared" si="81"/>
        <v>0</v>
      </c>
      <c r="H197" s="457">
        <f t="shared" si="81"/>
        <v>0</v>
      </c>
      <c r="I197" s="457">
        <f t="shared" si="81"/>
        <v>0</v>
      </c>
      <c r="J197" s="457">
        <f t="shared" si="81"/>
        <v>0</v>
      </c>
      <c r="K197" s="457">
        <f t="shared" si="81"/>
        <v>0</v>
      </c>
      <c r="L197" s="457">
        <f t="shared" si="81"/>
        <v>0</v>
      </c>
      <c r="M197" s="457">
        <f t="shared" si="81"/>
        <v>0</v>
      </c>
      <c r="N197" s="457">
        <f t="shared" si="81"/>
        <v>0</v>
      </c>
      <c r="O197" s="457">
        <f t="shared" si="81"/>
        <v>0</v>
      </c>
      <c r="P197" s="457">
        <f t="shared" si="81"/>
        <v>0</v>
      </c>
      <c r="Q197" s="457">
        <f>SUM(E197:P197)</f>
        <v>0</v>
      </c>
    </row>
    <row r="198" spans="1:17" x14ac:dyDescent="0.2">
      <c r="E198" s="466"/>
      <c r="F198" s="466"/>
      <c r="G198" s="466"/>
      <c r="H198" s="466"/>
      <c r="I198" s="466"/>
      <c r="J198" s="466"/>
      <c r="K198" s="466"/>
      <c r="L198" s="466"/>
      <c r="M198" s="466"/>
      <c r="N198" s="466"/>
      <c r="O198" s="466"/>
      <c r="P198" s="466"/>
      <c r="Q198" s="466"/>
    </row>
    <row r="199" spans="1:17" x14ac:dyDescent="0.2">
      <c r="A199" s="224">
        <f>A197+1</f>
        <v>14</v>
      </c>
      <c r="B199" s="221" t="str">
        <f>Input!A37</f>
        <v>IUS</v>
      </c>
      <c r="C199" s="221" t="str">
        <f>'Sch M 2.1'!B32</f>
        <v>Intrastate Utility Service - Wholesale</v>
      </c>
      <c r="G199" s="294"/>
      <c r="Q199" s="294"/>
    </row>
    <row r="200" spans="1:17" x14ac:dyDescent="0.2">
      <c r="A200" s="224">
        <f>A199+1</f>
        <v>15</v>
      </c>
      <c r="C200" s="451" t="s">
        <v>219</v>
      </c>
      <c r="E200" s="242">
        <f t="shared" ref="E200:P200" si="82">E781</f>
        <v>2</v>
      </c>
      <c r="F200" s="242">
        <f t="shared" si="82"/>
        <v>2</v>
      </c>
      <c r="G200" s="242">
        <f t="shared" si="82"/>
        <v>2</v>
      </c>
      <c r="H200" s="242">
        <f t="shared" si="82"/>
        <v>2</v>
      </c>
      <c r="I200" s="242">
        <f t="shared" si="82"/>
        <v>2</v>
      </c>
      <c r="J200" s="242">
        <f t="shared" si="82"/>
        <v>2</v>
      </c>
      <c r="K200" s="242">
        <f t="shared" si="82"/>
        <v>2</v>
      </c>
      <c r="L200" s="242">
        <f t="shared" si="82"/>
        <v>2</v>
      </c>
      <c r="M200" s="242">
        <f t="shared" si="82"/>
        <v>2</v>
      </c>
      <c r="N200" s="242">
        <f t="shared" si="82"/>
        <v>2</v>
      </c>
      <c r="O200" s="242">
        <f t="shared" si="82"/>
        <v>2</v>
      </c>
      <c r="P200" s="242">
        <f t="shared" si="82"/>
        <v>2</v>
      </c>
      <c r="Q200" s="242">
        <f>SUM(E200:P200)</f>
        <v>24</v>
      </c>
    </row>
    <row r="201" spans="1:17" x14ac:dyDescent="0.2">
      <c r="A201" s="224">
        <f>A200+1</f>
        <v>16</v>
      </c>
      <c r="C201" s="451" t="s">
        <v>576</v>
      </c>
      <c r="E201" s="247">
        <f t="shared" ref="E201:P201" si="83">E785</f>
        <v>3136.7</v>
      </c>
      <c r="F201" s="247">
        <f t="shared" si="83"/>
        <v>2307.1999999999998</v>
      </c>
      <c r="G201" s="247">
        <f t="shared" si="83"/>
        <v>1098.5999999999999</v>
      </c>
      <c r="H201" s="247">
        <f t="shared" si="83"/>
        <v>641.70000000000005</v>
      </c>
      <c r="I201" s="247">
        <f t="shared" si="83"/>
        <v>362.9</v>
      </c>
      <c r="J201" s="247">
        <f t="shared" si="83"/>
        <v>221.4</v>
      </c>
      <c r="K201" s="247">
        <f t="shared" si="83"/>
        <v>245</v>
      </c>
      <c r="L201" s="247">
        <f t="shared" si="83"/>
        <v>196.3</v>
      </c>
      <c r="M201" s="247">
        <f t="shared" si="83"/>
        <v>196.6</v>
      </c>
      <c r="N201" s="247">
        <f t="shared" si="83"/>
        <v>705.2</v>
      </c>
      <c r="O201" s="247">
        <f t="shared" si="83"/>
        <v>1014.3</v>
      </c>
      <c r="P201" s="247">
        <f t="shared" si="83"/>
        <v>1194.8</v>
      </c>
      <c r="Q201" s="247">
        <f>SUM(E201:P201)</f>
        <v>11320.699999999999</v>
      </c>
    </row>
    <row r="202" spans="1:17" x14ac:dyDescent="0.2">
      <c r="A202" s="224">
        <f>A201+1</f>
        <v>17</v>
      </c>
      <c r="C202" s="451" t="s">
        <v>221</v>
      </c>
      <c r="E202" s="434">
        <f>E788+E795</f>
        <v>3714.52</v>
      </c>
      <c r="F202" s="434">
        <f t="shared" ref="F202:P202" si="84">F788+F795</f>
        <v>3025.21</v>
      </c>
      <c r="G202" s="434">
        <f t="shared" si="84"/>
        <v>2020.8600000000001</v>
      </c>
      <c r="H202" s="434">
        <f t="shared" si="84"/>
        <v>1641.18</v>
      </c>
      <c r="I202" s="434">
        <f t="shared" si="84"/>
        <v>1409.49</v>
      </c>
      <c r="J202" s="434">
        <f t="shared" si="84"/>
        <v>1291.9000000000001</v>
      </c>
      <c r="K202" s="434">
        <f t="shared" si="84"/>
        <v>1311.5200000000002</v>
      </c>
      <c r="L202" s="434">
        <f t="shared" si="84"/>
        <v>1271.0400000000002</v>
      </c>
      <c r="M202" s="434">
        <f t="shared" si="84"/>
        <v>1271.3000000000002</v>
      </c>
      <c r="N202" s="434">
        <f t="shared" si="84"/>
        <v>1693.94</v>
      </c>
      <c r="O202" s="434">
        <f t="shared" si="84"/>
        <v>1950.8000000000002</v>
      </c>
      <c r="P202" s="434">
        <f t="shared" si="84"/>
        <v>2100.8000000000002</v>
      </c>
      <c r="Q202" s="434">
        <f>SUM(E202:P202)</f>
        <v>22702.559999999998</v>
      </c>
    </row>
    <row r="203" spans="1:17" x14ac:dyDescent="0.2">
      <c r="A203" s="224">
        <f>A202+1</f>
        <v>18</v>
      </c>
      <c r="C203" s="451" t="s">
        <v>222</v>
      </c>
      <c r="E203" s="434">
        <f t="shared" ref="E203:P203" si="85">E790</f>
        <v>6929.28</v>
      </c>
      <c r="F203" s="434">
        <f t="shared" si="85"/>
        <v>5096.84</v>
      </c>
      <c r="G203" s="434">
        <f t="shared" si="85"/>
        <v>2426.92</v>
      </c>
      <c r="H203" s="434">
        <f t="shared" si="85"/>
        <v>1417.58</v>
      </c>
      <c r="I203" s="434">
        <f t="shared" si="85"/>
        <v>801.68</v>
      </c>
      <c r="J203" s="434">
        <f t="shared" si="85"/>
        <v>489.09</v>
      </c>
      <c r="K203" s="434">
        <f t="shared" si="85"/>
        <v>541.23</v>
      </c>
      <c r="L203" s="434">
        <f t="shared" si="85"/>
        <v>433.65</v>
      </c>
      <c r="M203" s="434">
        <f t="shared" si="85"/>
        <v>434.31</v>
      </c>
      <c r="N203" s="434">
        <f t="shared" si="85"/>
        <v>1557.86</v>
      </c>
      <c r="O203" s="434">
        <f t="shared" si="85"/>
        <v>2240.69</v>
      </c>
      <c r="P203" s="434">
        <f t="shared" si="85"/>
        <v>2639.43</v>
      </c>
      <c r="Q203" s="434">
        <f>SUM(E203:P203)</f>
        <v>25008.560000000001</v>
      </c>
    </row>
    <row r="204" spans="1:17" x14ac:dyDescent="0.2">
      <c r="A204" s="453">
        <f>A203+1</f>
        <v>19</v>
      </c>
      <c r="B204" s="454"/>
      <c r="C204" s="455" t="s">
        <v>577</v>
      </c>
      <c r="D204" s="456"/>
      <c r="E204" s="457">
        <f t="shared" ref="E204:P204" si="86">E797</f>
        <v>10643.800000000001</v>
      </c>
      <c r="F204" s="457">
        <f t="shared" si="86"/>
        <v>8122.05</v>
      </c>
      <c r="G204" s="457">
        <f t="shared" si="86"/>
        <v>4447.7800000000007</v>
      </c>
      <c r="H204" s="457">
        <f t="shared" si="86"/>
        <v>3058.7599999999998</v>
      </c>
      <c r="I204" s="457">
        <f t="shared" si="86"/>
        <v>2211.17</v>
      </c>
      <c r="J204" s="457">
        <f t="shared" si="86"/>
        <v>1780.99</v>
      </c>
      <c r="K204" s="457">
        <f t="shared" si="86"/>
        <v>1852.7500000000002</v>
      </c>
      <c r="L204" s="457">
        <f t="shared" si="86"/>
        <v>1704.6900000000003</v>
      </c>
      <c r="M204" s="457">
        <f t="shared" si="86"/>
        <v>1705.6100000000001</v>
      </c>
      <c r="N204" s="457">
        <f t="shared" si="86"/>
        <v>3251.8</v>
      </c>
      <c r="O204" s="457">
        <f t="shared" si="86"/>
        <v>4191.49</v>
      </c>
      <c r="P204" s="457">
        <f t="shared" si="86"/>
        <v>4740.2300000000005</v>
      </c>
      <c r="Q204" s="457">
        <f>SUM(E204:P204)</f>
        <v>47711.12000000001</v>
      </c>
    </row>
    <row r="205" spans="1:17" x14ac:dyDescent="0.2">
      <c r="A205" s="306"/>
      <c r="B205" s="305"/>
      <c r="C205" s="462"/>
      <c r="D205" s="304"/>
      <c r="E205" s="422"/>
      <c r="F205" s="422"/>
      <c r="G205" s="422"/>
      <c r="H205" s="422"/>
      <c r="I205" s="422"/>
      <c r="J205" s="422"/>
      <c r="K205" s="422"/>
      <c r="L205" s="422"/>
      <c r="M205" s="422"/>
      <c r="N205" s="422"/>
      <c r="O205" s="422"/>
      <c r="P205" s="422"/>
      <c r="Q205" s="422"/>
    </row>
    <row r="206" spans="1:17" x14ac:dyDescent="0.2">
      <c r="G206" s="294"/>
      <c r="Q206" s="294"/>
    </row>
    <row r="207" spans="1:17" x14ac:dyDescent="0.2">
      <c r="A207" s="224" t="str">
        <f>$A$108</f>
        <v>[1] Reflects Normalized Volumes.</v>
      </c>
      <c r="G207" s="294"/>
      <c r="Q207" s="294"/>
    </row>
    <row r="208" spans="1:17" x14ac:dyDescent="0.2">
      <c r="A208" s="467" t="str">
        <f>$A$109</f>
        <v>[2] See Schedule M-2.2 Pages 8 through 21 for detail.</v>
      </c>
      <c r="G208" s="294"/>
      <c r="Q208" s="294"/>
    </row>
    <row r="209" spans="1:17" x14ac:dyDescent="0.2">
      <c r="A209" s="887" t="str">
        <f>CONAME</f>
        <v>Columbia Gas of Kentucky, Inc.</v>
      </c>
      <c r="B209" s="887"/>
      <c r="C209" s="887"/>
      <c r="D209" s="887"/>
      <c r="E209" s="887"/>
      <c r="F209" s="887"/>
      <c r="G209" s="887"/>
      <c r="H209" s="887"/>
      <c r="I209" s="887"/>
      <c r="J209" s="887"/>
      <c r="K209" s="887"/>
      <c r="L209" s="887"/>
      <c r="M209" s="887"/>
      <c r="N209" s="887"/>
      <c r="O209" s="887"/>
      <c r="P209" s="887"/>
      <c r="Q209" s="887"/>
    </row>
    <row r="210" spans="1:17" x14ac:dyDescent="0.2">
      <c r="A210" s="875" t="str">
        <f>case</f>
        <v>Case No. 2016-00162</v>
      </c>
      <c r="B210" s="875"/>
      <c r="C210" s="875"/>
      <c r="D210" s="875"/>
      <c r="E210" s="875"/>
      <c r="F210" s="875"/>
      <c r="G210" s="875"/>
      <c r="H210" s="875"/>
      <c r="I210" s="875"/>
      <c r="J210" s="875"/>
      <c r="K210" s="875"/>
      <c r="L210" s="875"/>
      <c r="M210" s="875"/>
      <c r="N210" s="875"/>
      <c r="O210" s="875"/>
      <c r="P210" s="875"/>
      <c r="Q210" s="875"/>
    </row>
    <row r="211" spans="1:17" x14ac:dyDescent="0.2">
      <c r="A211" s="888" t="s">
        <v>503</v>
      </c>
      <c r="B211" s="888"/>
      <c r="C211" s="888"/>
      <c r="D211" s="888"/>
      <c r="E211" s="888"/>
      <c r="F211" s="888"/>
      <c r="G211" s="888"/>
      <c r="H211" s="888"/>
      <c r="I211" s="888"/>
      <c r="J211" s="888"/>
      <c r="K211" s="888"/>
      <c r="L211" s="888"/>
      <c r="M211" s="888"/>
      <c r="N211" s="888"/>
      <c r="O211" s="888"/>
      <c r="P211" s="888"/>
      <c r="Q211" s="888"/>
    </row>
    <row r="212" spans="1:17" x14ac:dyDescent="0.2">
      <c r="A212" s="887" t="str">
        <f>TYDESC</f>
        <v>For the 12 Months Ended December 31, 2017</v>
      </c>
      <c r="B212" s="887"/>
      <c r="C212" s="887"/>
      <c r="D212" s="887"/>
      <c r="E212" s="887"/>
      <c r="F212" s="887"/>
      <c r="G212" s="887"/>
      <c r="H212" s="887"/>
      <c r="I212" s="887"/>
      <c r="J212" s="887"/>
      <c r="K212" s="887"/>
      <c r="L212" s="887"/>
      <c r="M212" s="887"/>
      <c r="N212" s="887"/>
      <c r="O212" s="887"/>
      <c r="P212" s="887"/>
      <c r="Q212" s="887"/>
    </row>
    <row r="213" spans="1:17" x14ac:dyDescent="0.2">
      <c r="A213" s="885" t="s">
        <v>39</v>
      </c>
      <c r="B213" s="885"/>
      <c r="C213" s="885"/>
      <c r="D213" s="885"/>
      <c r="E213" s="885"/>
      <c r="F213" s="885"/>
      <c r="G213" s="885"/>
      <c r="H213" s="885"/>
      <c r="I213" s="885"/>
      <c r="J213" s="885"/>
      <c r="K213" s="885"/>
      <c r="L213" s="885"/>
      <c r="M213" s="885"/>
      <c r="N213" s="885"/>
      <c r="O213" s="885"/>
      <c r="P213" s="885"/>
      <c r="Q213" s="885"/>
    </row>
    <row r="214" spans="1:17" x14ac:dyDescent="0.2">
      <c r="A214" s="266" t="str">
        <f>$A$52</f>
        <v>Data: __ Base Period _X_ Forecasted Period</v>
      </c>
    </row>
    <row r="215" spans="1:17" x14ac:dyDescent="0.2">
      <c r="A215" s="266" t="str">
        <f>$A$53</f>
        <v>Type of Filing: X Original _ Update _ Revised</v>
      </c>
      <c r="Q215" s="420" t="str">
        <f>$Q$53</f>
        <v>Schedule M-2.2</v>
      </c>
    </row>
    <row r="216" spans="1:17" x14ac:dyDescent="0.2">
      <c r="A216" s="266" t="str">
        <f>$A$54</f>
        <v>Work Paper Reference No(s):</v>
      </c>
      <c r="Q216" s="420" t="s">
        <v>508</v>
      </c>
    </row>
    <row r="217" spans="1:17" x14ac:dyDescent="0.2">
      <c r="A217" s="421" t="str">
        <f>$A$55</f>
        <v>12 Months Forecasted</v>
      </c>
      <c r="Q217" s="420" t="str">
        <f>Witness</f>
        <v>Witness:  M. J. Bell</v>
      </c>
    </row>
    <row r="218" spans="1:17" x14ac:dyDescent="0.2">
      <c r="A218" s="886" t="s">
        <v>194</v>
      </c>
      <c r="B218" s="886"/>
      <c r="C218" s="886"/>
      <c r="D218" s="886"/>
      <c r="E218" s="886"/>
      <c r="F218" s="886"/>
      <c r="G218" s="886"/>
      <c r="H218" s="886"/>
      <c r="I218" s="886"/>
      <c r="J218" s="886"/>
      <c r="K218" s="886"/>
      <c r="L218" s="886"/>
      <c r="M218" s="886"/>
      <c r="N218" s="886"/>
      <c r="O218" s="886"/>
      <c r="P218" s="886"/>
      <c r="Q218" s="886"/>
    </row>
    <row r="219" spans="1:17" x14ac:dyDescent="0.2">
      <c r="A219" s="232"/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</row>
    <row r="220" spans="1:17" x14ac:dyDescent="0.2">
      <c r="A220" s="416"/>
      <c r="B220" s="226"/>
      <c r="C220" s="226"/>
      <c r="D220" s="423"/>
      <c r="E220" s="424"/>
      <c r="F220" s="425"/>
      <c r="G220" s="424"/>
      <c r="H220" s="426"/>
      <c r="I220" s="424"/>
      <c r="J220" s="424"/>
      <c r="K220" s="424"/>
      <c r="L220" s="424"/>
      <c r="M220" s="424"/>
      <c r="N220" s="424"/>
      <c r="O220" s="226"/>
      <c r="P220" s="226"/>
      <c r="Q220" s="226"/>
    </row>
    <row r="221" spans="1:17" x14ac:dyDescent="0.2">
      <c r="A221" s="416" t="s">
        <v>1</v>
      </c>
      <c r="B221" s="226" t="s">
        <v>0</v>
      </c>
      <c r="C221" s="226" t="s">
        <v>41</v>
      </c>
      <c r="D221" s="423" t="s">
        <v>47</v>
      </c>
      <c r="E221" s="424"/>
      <c r="F221" s="425"/>
      <c r="G221" s="424"/>
      <c r="H221" s="426"/>
      <c r="I221" s="424"/>
      <c r="J221" s="424"/>
      <c r="K221" s="424"/>
      <c r="L221" s="424"/>
      <c r="M221" s="424"/>
      <c r="N221" s="424"/>
      <c r="O221" s="231"/>
      <c r="P221" s="231"/>
      <c r="Q221" s="231"/>
    </row>
    <row r="222" spans="1:17" x14ac:dyDescent="0.2">
      <c r="A222" s="285" t="s">
        <v>3</v>
      </c>
      <c r="B222" s="228" t="s">
        <v>40</v>
      </c>
      <c r="C222" s="228" t="s">
        <v>4</v>
      </c>
      <c r="D222" s="427" t="s">
        <v>48</v>
      </c>
      <c r="E222" s="428" t="str">
        <f>B!$D$11</f>
        <v>Jan-17</v>
      </c>
      <c r="F222" s="428" t="str">
        <f>B!$E$11</f>
        <v>Feb-17</v>
      </c>
      <c r="G222" s="428" t="str">
        <f>B!$F$11</f>
        <v>Mar-17</v>
      </c>
      <c r="H222" s="428" t="str">
        <f>B!$G$11</f>
        <v>Apr-17</v>
      </c>
      <c r="I222" s="428" t="str">
        <f>B!$H$11</f>
        <v>May-17</v>
      </c>
      <c r="J222" s="428" t="str">
        <f>B!$I$11</f>
        <v>Jun-17</v>
      </c>
      <c r="K222" s="428" t="str">
        <f>B!$J$11</f>
        <v>Jul-17</v>
      </c>
      <c r="L222" s="428" t="str">
        <f>B!$K$11</f>
        <v>Aug-17</v>
      </c>
      <c r="M222" s="428" t="str">
        <f>B!$L$11</f>
        <v>Sep-17</v>
      </c>
      <c r="N222" s="428" t="str">
        <f>B!$M$11</f>
        <v>Oct-17</v>
      </c>
      <c r="O222" s="428" t="str">
        <f>B!$N$11</f>
        <v>Nov-17</v>
      </c>
      <c r="P222" s="428" t="str">
        <f>B!$O$11</f>
        <v>Dec-17</v>
      </c>
      <c r="Q222" s="429" t="s">
        <v>9</v>
      </c>
    </row>
    <row r="223" spans="1:17" x14ac:dyDescent="0.2">
      <c r="A223" s="416"/>
      <c r="B223" s="231" t="s">
        <v>42</v>
      </c>
      <c r="C223" s="231" t="s">
        <v>43</v>
      </c>
      <c r="D223" s="430" t="s">
        <v>45</v>
      </c>
      <c r="E223" s="431" t="s">
        <v>46</v>
      </c>
      <c r="F223" s="431" t="s">
        <v>49</v>
      </c>
      <c r="G223" s="431" t="s">
        <v>50</v>
      </c>
      <c r="H223" s="431" t="s">
        <v>51</v>
      </c>
      <c r="I223" s="431" t="s">
        <v>52</v>
      </c>
      <c r="J223" s="431" t="s">
        <v>53</v>
      </c>
      <c r="K223" s="432" t="s">
        <v>54</v>
      </c>
      <c r="L223" s="432" t="s">
        <v>55</v>
      </c>
      <c r="M223" s="432" t="s">
        <v>56</v>
      </c>
      <c r="N223" s="432" t="s">
        <v>57</v>
      </c>
      <c r="O223" s="432" t="s">
        <v>58</v>
      </c>
      <c r="P223" s="432" t="s">
        <v>59</v>
      </c>
      <c r="Q223" s="432" t="s">
        <v>203</v>
      </c>
    </row>
    <row r="224" spans="1:17" x14ac:dyDescent="0.2">
      <c r="A224" s="416"/>
      <c r="B224" s="231"/>
      <c r="C224" s="231"/>
      <c r="D224" s="430"/>
      <c r="E224" s="431"/>
      <c r="F224" s="431"/>
      <c r="G224" s="431"/>
      <c r="H224" s="431"/>
      <c r="I224" s="431"/>
      <c r="J224" s="432"/>
      <c r="K224" s="432"/>
      <c r="L224" s="432"/>
      <c r="M224" s="432"/>
      <c r="N224" s="432"/>
      <c r="O224" s="432"/>
      <c r="P224" s="432"/>
      <c r="Q224" s="432"/>
    </row>
    <row r="225" spans="1:17" x14ac:dyDescent="0.2">
      <c r="A225" s="224">
        <v>1</v>
      </c>
      <c r="C225" s="445" t="s">
        <v>95</v>
      </c>
    </row>
    <row r="227" spans="1:17" x14ac:dyDescent="0.2">
      <c r="A227" s="224">
        <f>A225+1</f>
        <v>2</v>
      </c>
      <c r="B227" s="221" t="str">
        <f>Input!A41</f>
        <v>GTR</v>
      </c>
      <c r="C227" s="221" t="str">
        <f>'Sch M 2.1'!B36</f>
        <v xml:space="preserve">GTS Choice - Residential </v>
      </c>
      <c r="G227" s="294"/>
      <c r="Q227" s="294"/>
    </row>
    <row r="228" spans="1:17" x14ac:dyDescent="0.2">
      <c r="A228" s="224">
        <f>A227+1</f>
        <v>3</v>
      </c>
      <c r="C228" s="451" t="s">
        <v>219</v>
      </c>
      <c r="E228" s="242">
        <f t="shared" ref="E228:P228" si="87">E821</f>
        <v>23720</v>
      </c>
      <c r="F228" s="242">
        <f t="shared" si="87"/>
        <v>23785</v>
      </c>
      <c r="G228" s="242">
        <f t="shared" si="87"/>
        <v>23786</v>
      </c>
      <c r="H228" s="242">
        <f t="shared" si="87"/>
        <v>23694</v>
      </c>
      <c r="I228" s="242">
        <f t="shared" si="87"/>
        <v>23612</v>
      </c>
      <c r="J228" s="242">
        <f t="shared" si="87"/>
        <v>23386</v>
      </c>
      <c r="K228" s="242">
        <f t="shared" si="87"/>
        <v>23238</v>
      </c>
      <c r="L228" s="242">
        <f t="shared" si="87"/>
        <v>23223</v>
      </c>
      <c r="M228" s="242">
        <f t="shared" si="87"/>
        <v>23179</v>
      </c>
      <c r="N228" s="242">
        <f t="shared" si="87"/>
        <v>23188</v>
      </c>
      <c r="O228" s="242">
        <f t="shared" si="87"/>
        <v>23458</v>
      </c>
      <c r="P228" s="242">
        <f t="shared" si="87"/>
        <v>23677</v>
      </c>
      <c r="Q228" s="242">
        <f>SUM(E228:P228)</f>
        <v>281946</v>
      </c>
    </row>
    <row r="229" spans="1:17" x14ac:dyDescent="0.2">
      <c r="A229" s="224">
        <f>A228+1</f>
        <v>4</v>
      </c>
      <c r="C229" s="451" t="s">
        <v>576</v>
      </c>
      <c r="E229" s="247">
        <f t="shared" ref="E229:P229" si="88">E825</f>
        <v>364000</v>
      </c>
      <c r="F229" s="247">
        <f t="shared" si="88"/>
        <v>353000</v>
      </c>
      <c r="G229" s="247">
        <f t="shared" si="88"/>
        <v>265000</v>
      </c>
      <c r="H229" s="247">
        <f t="shared" si="88"/>
        <v>151000</v>
      </c>
      <c r="I229" s="247">
        <f t="shared" si="88"/>
        <v>71000</v>
      </c>
      <c r="J229" s="247">
        <f t="shared" si="88"/>
        <v>34000</v>
      </c>
      <c r="K229" s="247">
        <f t="shared" si="88"/>
        <v>24000</v>
      </c>
      <c r="L229" s="247">
        <f t="shared" si="88"/>
        <v>23000</v>
      </c>
      <c r="M229" s="247">
        <f t="shared" si="88"/>
        <v>25000</v>
      </c>
      <c r="N229" s="247">
        <f t="shared" si="88"/>
        <v>39000</v>
      </c>
      <c r="O229" s="247">
        <f t="shared" si="88"/>
        <v>111000</v>
      </c>
      <c r="P229" s="247">
        <f t="shared" si="88"/>
        <v>247000</v>
      </c>
      <c r="Q229" s="247">
        <f>SUM(E229:P229)</f>
        <v>1707000</v>
      </c>
    </row>
    <row r="230" spans="1:17" x14ac:dyDescent="0.2">
      <c r="A230" s="224">
        <f>A229+1</f>
        <v>5</v>
      </c>
      <c r="C230" s="451" t="s">
        <v>221</v>
      </c>
      <c r="E230" s="434">
        <f>E828+E837</f>
        <v>1272310</v>
      </c>
      <c r="F230" s="434">
        <f t="shared" ref="F230:P230" si="89">F828+F837</f>
        <v>1247886.8</v>
      </c>
      <c r="G230" s="434">
        <f t="shared" si="89"/>
        <v>1043190.34</v>
      </c>
      <c r="H230" s="434">
        <f t="shared" si="89"/>
        <v>776341.66</v>
      </c>
      <c r="I230" s="434">
        <f t="shared" si="89"/>
        <v>588766.57999999996</v>
      </c>
      <c r="J230" s="434">
        <f t="shared" si="89"/>
        <v>498639.04000000004</v>
      </c>
      <c r="K230" s="434">
        <f t="shared" si="89"/>
        <v>472720.92000000004</v>
      </c>
      <c r="L230" s="434">
        <f t="shared" si="89"/>
        <v>470125.52</v>
      </c>
      <c r="M230" s="434">
        <f t="shared" si="89"/>
        <v>473988.76</v>
      </c>
      <c r="N230" s="434">
        <f t="shared" si="89"/>
        <v>506718.42000000004</v>
      </c>
      <c r="O230" s="434">
        <f t="shared" si="89"/>
        <v>679055.82</v>
      </c>
      <c r="P230" s="434">
        <f t="shared" si="89"/>
        <v>999361.48</v>
      </c>
      <c r="Q230" s="434">
        <f>SUM(E230:P230)</f>
        <v>9029105.3399999999</v>
      </c>
    </row>
    <row r="231" spans="1:17" x14ac:dyDescent="0.2">
      <c r="A231" s="224">
        <f>A230+1</f>
        <v>6</v>
      </c>
      <c r="C231" s="451" t="s">
        <v>222</v>
      </c>
      <c r="E231" s="434">
        <f t="shared" ref="E231:P231" si="90">E830</f>
        <v>0</v>
      </c>
      <c r="F231" s="434">
        <f t="shared" si="90"/>
        <v>0</v>
      </c>
      <c r="G231" s="434">
        <f t="shared" si="90"/>
        <v>0</v>
      </c>
      <c r="H231" s="434">
        <f t="shared" si="90"/>
        <v>0</v>
      </c>
      <c r="I231" s="434">
        <f t="shared" si="90"/>
        <v>0</v>
      </c>
      <c r="J231" s="434">
        <f t="shared" si="90"/>
        <v>0</v>
      </c>
      <c r="K231" s="434">
        <f t="shared" si="90"/>
        <v>0</v>
      </c>
      <c r="L231" s="434">
        <f t="shared" si="90"/>
        <v>0</v>
      </c>
      <c r="M231" s="434">
        <f t="shared" si="90"/>
        <v>0</v>
      </c>
      <c r="N231" s="434">
        <f t="shared" si="90"/>
        <v>0</v>
      </c>
      <c r="O231" s="434">
        <f t="shared" si="90"/>
        <v>0</v>
      </c>
      <c r="P231" s="434">
        <f t="shared" si="90"/>
        <v>0</v>
      </c>
      <c r="Q231" s="434">
        <f>SUM(E231:P231)</f>
        <v>0</v>
      </c>
    </row>
    <row r="232" spans="1:17" x14ac:dyDescent="0.2">
      <c r="A232" s="453">
        <f>A231+1</f>
        <v>7</v>
      </c>
      <c r="B232" s="454"/>
      <c r="C232" s="455" t="s">
        <v>577</v>
      </c>
      <c r="D232" s="456"/>
      <c r="E232" s="457">
        <f t="shared" ref="E232:P232" si="91">E839</f>
        <v>1272310</v>
      </c>
      <c r="F232" s="457">
        <f t="shared" si="91"/>
        <v>1247886.8</v>
      </c>
      <c r="G232" s="457">
        <f t="shared" si="91"/>
        <v>1043190.34</v>
      </c>
      <c r="H232" s="457">
        <f t="shared" si="91"/>
        <v>776341.66</v>
      </c>
      <c r="I232" s="457">
        <f t="shared" si="91"/>
        <v>588766.57999999996</v>
      </c>
      <c r="J232" s="457">
        <f t="shared" si="91"/>
        <v>498639.04000000004</v>
      </c>
      <c r="K232" s="457">
        <f t="shared" si="91"/>
        <v>472720.92000000004</v>
      </c>
      <c r="L232" s="457">
        <f t="shared" si="91"/>
        <v>470125.52</v>
      </c>
      <c r="M232" s="457">
        <f t="shared" si="91"/>
        <v>473988.76</v>
      </c>
      <c r="N232" s="457">
        <f t="shared" si="91"/>
        <v>506718.42000000004</v>
      </c>
      <c r="O232" s="457">
        <f t="shared" si="91"/>
        <v>679055.82</v>
      </c>
      <c r="P232" s="457">
        <f t="shared" si="91"/>
        <v>999361.48</v>
      </c>
      <c r="Q232" s="457">
        <f>SUM(E232:P232)</f>
        <v>9029105.3399999999</v>
      </c>
    </row>
    <row r="233" spans="1:17" x14ac:dyDescent="0.2">
      <c r="C233" s="462"/>
      <c r="G233" s="294"/>
      <c r="Q233" s="294"/>
    </row>
    <row r="234" spans="1:17" x14ac:dyDescent="0.2">
      <c r="A234" s="224">
        <f>A232+1</f>
        <v>8</v>
      </c>
      <c r="B234" s="221" t="str">
        <f>Input!A42</f>
        <v>GTO</v>
      </c>
      <c r="C234" s="221" t="str">
        <f>'Sch M 2.1'!B37</f>
        <v>GTS Choice - Commercial</v>
      </c>
      <c r="G234" s="294"/>
      <c r="Q234" s="294"/>
    </row>
    <row r="235" spans="1:17" x14ac:dyDescent="0.2">
      <c r="A235" s="224">
        <f>A234+1</f>
        <v>9</v>
      </c>
      <c r="C235" s="451" t="s">
        <v>219</v>
      </c>
      <c r="E235" s="242">
        <f t="shared" ref="E235:P235" si="92">E846</f>
        <v>3837</v>
      </c>
      <c r="F235" s="242">
        <f t="shared" si="92"/>
        <v>3809</v>
      </c>
      <c r="G235" s="242">
        <f t="shared" si="92"/>
        <v>4093</v>
      </c>
      <c r="H235" s="242">
        <f t="shared" si="92"/>
        <v>4081</v>
      </c>
      <c r="I235" s="242">
        <f t="shared" si="92"/>
        <v>4058</v>
      </c>
      <c r="J235" s="242">
        <f t="shared" si="92"/>
        <v>4042</v>
      </c>
      <c r="K235" s="242">
        <f t="shared" si="92"/>
        <v>4016</v>
      </c>
      <c r="L235" s="242">
        <f t="shared" si="92"/>
        <v>3956</v>
      </c>
      <c r="M235" s="242">
        <f t="shared" si="92"/>
        <v>3924</v>
      </c>
      <c r="N235" s="242">
        <f t="shared" si="92"/>
        <v>3899</v>
      </c>
      <c r="O235" s="242">
        <f t="shared" si="92"/>
        <v>3877</v>
      </c>
      <c r="P235" s="242">
        <f t="shared" si="92"/>
        <v>3853</v>
      </c>
      <c r="Q235" s="242">
        <f>SUM(E235:P235)</f>
        <v>47445</v>
      </c>
    </row>
    <row r="236" spans="1:17" x14ac:dyDescent="0.2">
      <c r="A236" s="224">
        <f>A235+1</f>
        <v>10</v>
      </c>
      <c r="C236" s="451" t="s">
        <v>576</v>
      </c>
      <c r="E236" s="247">
        <f t="shared" ref="E236:P236" si="93">E855</f>
        <v>322000.8</v>
      </c>
      <c r="F236" s="247">
        <f t="shared" si="93"/>
        <v>312002.39999999997</v>
      </c>
      <c r="G236" s="247">
        <f t="shared" si="93"/>
        <v>236001.1</v>
      </c>
      <c r="H236" s="247">
        <f t="shared" si="93"/>
        <v>155003.9</v>
      </c>
      <c r="I236" s="247">
        <f t="shared" si="93"/>
        <v>96998.6</v>
      </c>
      <c r="J236" s="247">
        <f t="shared" si="93"/>
        <v>74000.099999999991</v>
      </c>
      <c r="K236" s="247">
        <f t="shared" si="93"/>
        <v>65999</v>
      </c>
      <c r="L236" s="247">
        <f t="shared" si="93"/>
        <v>64001.100000000006</v>
      </c>
      <c r="M236" s="247">
        <f t="shared" si="93"/>
        <v>68998</v>
      </c>
      <c r="N236" s="247">
        <f t="shared" si="93"/>
        <v>90994.6</v>
      </c>
      <c r="O236" s="247">
        <f t="shared" si="93"/>
        <v>139994.69999999998</v>
      </c>
      <c r="P236" s="247">
        <f t="shared" si="93"/>
        <v>233996.5</v>
      </c>
      <c r="Q236" s="247">
        <f>SUM(E236:P236)</f>
        <v>1859990.8000000003</v>
      </c>
    </row>
    <row r="237" spans="1:17" x14ac:dyDescent="0.2">
      <c r="A237" s="224">
        <f>A236+1</f>
        <v>11</v>
      </c>
      <c r="C237" s="451" t="s">
        <v>221</v>
      </c>
      <c r="E237" s="434">
        <f t="shared" ref="E237:P237" si="94">E863</f>
        <v>789616.45</v>
      </c>
      <c r="F237" s="434">
        <f t="shared" si="94"/>
        <v>772729.96</v>
      </c>
      <c r="G237" s="434">
        <f t="shared" si="94"/>
        <v>650934.13</v>
      </c>
      <c r="H237" s="434">
        <f t="shared" si="94"/>
        <v>494426.32999999996</v>
      </c>
      <c r="I237" s="434">
        <f t="shared" si="94"/>
        <v>378455.25</v>
      </c>
      <c r="J237" s="434">
        <f t="shared" si="94"/>
        <v>329980.77999999997</v>
      </c>
      <c r="K237" s="434">
        <f t="shared" si="94"/>
        <v>313540.11</v>
      </c>
      <c r="L237" s="434">
        <f t="shared" si="94"/>
        <v>306979.45999999996</v>
      </c>
      <c r="M237" s="434">
        <f t="shared" si="94"/>
        <v>314988.21999999997</v>
      </c>
      <c r="N237" s="434">
        <f t="shared" si="94"/>
        <v>356013.83999999997</v>
      </c>
      <c r="O237" s="434">
        <f t="shared" si="94"/>
        <v>451324.18999999994</v>
      </c>
      <c r="P237" s="434">
        <f t="shared" si="94"/>
        <v>628048.65</v>
      </c>
      <c r="Q237" s="434">
        <f>SUM(E237:P237)</f>
        <v>5787037.3699999992</v>
      </c>
    </row>
    <row r="238" spans="1:17" x14ac:dyDescent="0.2">
      <c r="A238" s="224">
        <f>A237+1</f>
        <v>12</v>
      </c>
      <c r="C238" s="451" t="s">
        <v>222</v>
      </c>
      <c r="E238" s="434">
        <f t="shared" ref="E238:P238" si="95">E865</f>
        <v>0</v>
      </c>
      <c r="F238" s="434">
        <f t="shared" si="95"/>
        <v>0</v>
      </c>
      <c r="G238" s="434">
        <f t="shared" si="95"/>
        <v>0</v>
      </c>
      <c r="H238" s="434">
        <f t="shared" si="95"/>
        <v>0</v>
      </c>
      <c r="I238" s="434">
        <f t="shared" si="95"/>
        <v>0</v>
      </c>
      <c r="J238" s="434">
        <f t="shared" si="95"/>
        <v>0</v>
      </c>
      <c r="K238" s="434">
        <f t="shared" si="95"/>
        <v>0</v>
      </c>
      <c r="L238" s="434">
        <f t="shared" si="95"/>
        <v>0</v>
      </c>
      <c r="M238" s="434">
        <f t="shared" si="95"/>
        <v>0</v>
      </c>
      <c r="N238" s="434">
        <f t="shared" si="95"/>
        <v>0</v>
      </c>
      <c r="O238" s="434">
        <f t="shared" si="95"/>
        <v>0</v>
      </c>
      <c r="P238" s="434">
        <f t="shared" si="95"/>
        <v>0</v>
      </c>
      <c r="Q238" s="434">
        <f>SUM(E238:P238)</f>
        <v>0</v>
      </c>
    </row>
    <row r="239" spans="1:17" x14ac:dyDescent="0.2">
      <c r="A239" s="453">
        <f>A238+1</f>
        <v>13</v>
      </c>
      <c r="B239" s="454"/>
      <c r="C239" s="455" t="s">
        <v>577</v>
      </c>
      <c r="D239" s="456"/>
      <c r="E239" s="457">
        <f t="shared" ref="E239:P239" si="96">E867</f>
        <v>789616.45</v>
      </c>
      <c r="F239" s="457">
        <f t="shared" si="96"/>
        <v>772729.96</v>
      </c>
      <c r="G239" s="457">
        <f t="shared" si="96"/>
        <v>650934.13</v>
      </c>
      <c r="H239" s="457">
        <f t="shared" si="96"/>
        <v>494426.32999999996</v>
      </c>
      <c r="I239" s="457">
        <f t="shared" si="96"/>
        <v>378455.25</v>
      </c>
      <c r="J239" s="457">
        <f t="shared" si="96"/>
        <v>329980.77999999997</v>
      </c>
      <c r="K239" s="457">
        <f t="shared" si="96"/>
        <v>313540.11</v>
      </c>
      <c r="L239" s="457">
        <f t="shared" si="96"/>
        <v>306979.45999999996</v>
      </c>
      <c r="M239" s="457">
        <f t="shared" si="96"/>
        <v>314988.21999999997</v>
      </c>
      <c r="N239" s="457">
        <f t="shared" si="96"/>
        <v>356013.83999999997</v>
      </c>
      <c r="O239" s="457">
        <f t="shared" si="96"/>
        <v>451324.18999999994</v>
      </c>
      <c r="P239" s="457">
        <f t="shared" si="96"/>
        <v>628048.65</v>
      </c>
      <c r="Q239" s="457">
        <f>SUM(E239:P239)</f>
        <v>5787037.3699999992</v>
      </c>
    </row>
    <row r="240" spans="1:17" x14ac:dyDescent="0.2">
      <c r="C240" s="462"/>
      <c r="G240" s="294"/>
      <c r="Q240" s="294"/>
    </row>
    <row r="241" spans="1:17" x14ac:dyDescent="0.2">
      <c r="A241" s="224">
        <f>A239+1</f>
        <v>14</v>
      </c>
      <c r="B241" s="221" t="str">
        <f>Input!A43</f>
        <v>GTO</v>
      </c>
      <c r="C241" s="221" t="str">
        <f>'Sch M 2.1'!B38</f>
        <v>GTS Choice - Industrial</v>
      </c>
      <c r="E241" s="242"/>
      <c r="G241" s="294"/>
      <c r="Q241" s="294"/>
    </row>
    <row r="242" spans="1:17" x14ac:dyDescent="0.2">
      <c r="A242" s="224">
        <f>A241+1</f>
        <v>15</v>
      </c>
      <c r="C242" s="451" t="s">
        <v>219</v>
      </c>
      <c r="E242" s="242">
        <f t="shared" ref="E242:P242" si="97">E891</f>
        <v>13</v>
      </c>
      <c r="F242" s="242">
        <f t="shared" si="97"/>
        <v>13</v>
      </c>
      <c r="G242" s="242">
        <f t="shared" si="97"/>
        <v>12</v>
      </c>
      <c r="H242" s="242">
        <f t="shared" si="97"/>
        <v>13</v>
      </c>
      <c r="I242" s="242">
        <f t="shared" si="97"/>
        <v>12</v>
      </c>
      <c r="J242" s="242">
        <f t="shared" si="97"/>
        <v>12</v>
      </c>
      <c r="K242" s="242">
        <f t="shared" si="97"/>
        <v>12</v>
      </c>
      <c r="L242" s="242">
        <f t="shared" si="97"/>
        <v>12</v>
      </c>
      <c r="M242" s="242">
        <f t="shared" si="97"/>
        <v>12</v>
      </c>
      <c r="N242" s="242">
        <f t="shared" si="97"/>
        <v>12</v>
      </c>
      <c r="O242" s="242">
        <f t="shared" si="97"/>
        <v>13</v>
      </c>
      <c r="P242" s="242">
        <f t="shared" si="97"/>
        <v>13</v>
      </c>
      <c r="Q242" s="242">
        <f>SUM(E242:P242)</f>
        <v>149</v>
      </c>
    </row>
    <row r="243" spans="1:17" x14ac:dyDescent="0.2">
      <c r="A243" s="224">
        <f>A242+1</f>
        <v>16</v>
      </c>
      <c r="C243" s="451" t="s">
        <v>576</v>
      </c>
      <c r="E243" s="247">
        <f t="shared" ref="E243:P243" si="98">E900</f>
        <v>6000.0999999999995</v>
      </c>
      <c r="F243" s="247">
        <f t="shared" si="98"/>
        <v>5999.9</v>
      </c>
      <c r="G243" s="247">
        <f t="shared" si="98"/>
        <v>5999.9</v>
      </c>
      <c r="H243" s="247">
        <f t="shared" si="98"/>
        <v>5999.9</v>
      </c>
      <c r="I243" s="247">
        <f t="shared" si="98"/>
        <v>6000</v>
      </c>
      <c r="J243" s="247">
        <f t="shared" si="98"/>
        <v>6000.1</v>
      </c>
      <c r="K243" s="247">
        <f t="shared" si="98"/>
        <v>5999.9</v>
      </c>
      <c r="L243" s="247">
        <f t="shared" si="98"/>
        <v>6000</v>
      </c>
      <c r="M243" s="247">
        <f t="shared" si="98"/>
        <v>6000</v>
      </c>
      <c r="N243" s="247">
        <f t="shared" si="98"/>
        <v>6000.1</v>
      </c>
      <c r="O243" s="247">
        <f t="shared" si="98"/>
        <v>6000</v>
      </c>
      <c r="P243" s="247">
        <f t="shared" si="98"/>
        <v>6000</v>
      </c>
      <c r="Q243" s="247">
        <f>SUM(E243:P243)</f>
        <v>71999.899999999994</v>
      </c>
    </row>
    <row r="244" spans="1:17" x14ac:dyDescent="0.2">
      <c r="A244" s="224">
        <f>A243+1</f>
        <v>17</v>
      </c>
      <c r="C244" s="451" t="s">
        <v>221</v>
      </c>
      <c r="E244" s="434">
        <f t="shared" ref="E244:P244" si="99">E908</f>
        <v>10924.45</v>
      </c>
      <c r="F244" s="434">
        <f t="shared" si="99"/>
        <v>10956.53</v>
      </c>
      <c r="G244" s="434">
        <f t="shared" si="99"/>
        <v>10827.15</v>
      </c>
      <c r="H244" s="434">
        <f t="shared" si="99"/>
        <v>10673.79</v>
      </c>
      <c r="I244" s="434">
        <f t="shared" si="99"/>
        <v>10508.53</v>
      </c>
      <c r="J244" s="434">
        <f t="shared" si="99"/>
        <v>10422.530000000001</v>
      </c>
      <c r="K244" s="434">
        <f t="shared" si="99"/>
        <v>10406.379999999999</v>
      </c>
      <c r="L244" s="434">
        <f t="shared" si="99"/>
        <v>10371.209999999999</v>
      </c>
      <c r="M244" s="434">
        <f t="shared" si="99"/>
        <v>10372.99</v>
      </c>
      <c r="N244" s="434">
        <f t="shared" si="99"/>
        <v>10598.68</v>
      </c>
      <c r="O244" s="434">
        <f t="shared" si="99"/>
        <v>10773.99</v>
      </c>
      <c r="P244" s="434">
        <f t="shared" si="99"/>
        <v>10818.01</v>
      </c>
      <c r="Q244" s="434">
        <f>SUM(E244:P244)</f>
        <v>127654.24000000002</v>
      </c>
    </row>
    <row r="245" spans="1:17" x14ac:dyDescent="0.2">
      <c r="A245" s="224">
        <f>A244+1</f>
        <v>18</v>
      </c>
      <c r="C245" s="451" t="s">
        <v>222</v>
      </c>
      <c r="E245" s="434">
        <f t="shared" ref="E245:P245" si="100">E910</f>
        <v>0</v>
      </c>
      <c r="F245" s="434">
        <f t="shared" si="100"/>
        <v>0</v>
      </c>
      <c r="G245" s="434">
        <f t="shared" si="100"/>
        <v>0</v>
      </c>
      <c r="H245" s="434">
        <f t="shared" si="100"/>
        <v>0</v>
      </c>
      <c r="I245" s="434">
        <f t="shared" si="100"/>
        <v>0</v>
      </c>
      <c r="J245" s="434">
        <f t="shared" si="100"/>
        <v>0</v>
      </c>
      <c r="K245" s="434">
        <f t="shared" si="100"/>
        <v>0</v>
      </c>
      <c r="L245" s="434">
        <f t="shared" si="100"/>
        <v>0</v>
      </c>
      <c r="M245" s="434">
        <f t="shared" si="100"/>
        <v>0</v>
      </c>
      <c r="N245" s="434">
        <f t="shared" si="100"/>
        <v>0</v>
      </c>
      <c r="O245" s="434">
        <f t="shared" si="100"/>
        <v>0</v>
      </c>
      <c r="P245" s="434">
        <f t="shared" si="100"/>
        <v>0</v>
      </c>
      <c r="Q245" s="434">
        <f>SUM(E245:P245)</f>
        <v>0</v>
      </c>
    </row>
    <row r="246" spans="1:17" x14ac:dyDescent="0.2">
      <c r="A246" s="453">
        <f>A245+1</f>
        <v>19</v>
      </c>
      <c r="B246" s="454"/>
      <c r="C246" s="455" t="s">
        <v>577</v>
      </c>
      <c r="D246" s="456"/>
      <c r="E246" s="457">
        <f t="shared" ref="E246:P246" si="101">E912</f>
        <v>10924.45</v>
      </c>
      <c r="F246" s="457">
        <f t="shared" si="101"/>
        <v>10956.53</v>
      </c>
      <c r="G246" s="457">
        <f t="shared" si="101"/>
        <v>10827.15</v>
      </c>
      <c r="H246" s="457">
        <f t="shared" si="101"/>
        <v>10673.79</v>
      </c>
      <c r="I246" s="457">
        <f t="shared" si="101"/>
        <v>10508.53</v>
      </c>
      <c r="J246" s="457">
        <f t="shared" si="101"/>
        <v>10422.530000000001</v>
      </c>
      <c r="K246" s="457">
        <f t="shared" si="101"/>
        <v>10406.379999999999</v>
      </c>
      <c r="L246" s="457">
        <f t="shared" si="101"/>
        <v>10371.209999999999</v>
      </c>
      <c r="M246" s="457">
        <f t="shared" si="101"/>
        <v>10372.99</v>
      </c>
      <c r="N246" s="457">
        <f t="shared" si="101"/>
        <v>10598.68</v>
      </c>
      <c r="O246" s="457">
        <f t="shared" si="101"/>
        <v>10773.99</v>
      </c>
      <c r="P246" s="457">
        <f t="shared" si="101"/>
        <v>10818.01</v>
      </c>
      <c r="Q246" s="457">
        <f>SUM(E246:P246)</f>
        <v>127654.24000000002</v>
      </c>
    </row>
    <row r="248" spans="1:17" x14ac:dyDescent="0.2">
      <c r="A248" s="224">
        <f>A246+1</f>
        <v>20</v>
      </c>
      <c r="B248" s="221" t="str">
        <f>Input!A44</f>
        <v>DS</v>
      </c>
      <c r="C248" s="221" t="str">
        <f>'Sch M 2.1'!B39</f>
        <v>GTS Delivery Service - Commercial</v>
      </c>
      <c r="G248" s="294"/>
      <c r="Q248" s="294"/>
    </row>
    <row r="249" spans="1:17" x14ac:dyDescent="0.2">
      <c r="A249" s="224">
        <f>A248+1</f>
        <v>21</v>
      </c>
      <c r="C249" s="451" t="s">
        <v>219</v>
      </c>
      <c r="E249" s="242">
        <f t="shared" ref="E249:P249" si="102">E936</f>
        <v>41</v>
      </c>
      <c r="F249" s="242">
        <f t="shared" si="102"/>
        <v>32</v>
      </c>
      <c r="G249" s="242">
        <f t="shared" si="102"/>
        <v>32</v>
      </c>
      <c r="H249" s="242">
        <f t="shared" si="102"/>
        <v>32</v>
      </c>
      <c r="I249" s="242">
        <f t="shared" si="102"/>
        <v>32</v>
      </c>
      <c r="J249" s="242">
        <f t="shared" si="102"/>
        <v>32</v>
      </c>
      <c r="K249" s="242">
        <f t="shared" si="102"/>
        <v>34</v>
      </c>
      <c r="L249" s="242">
        <f t="shared" si="102"/>
        <v>33</v>
      </c>
      <c r="M249" s="242">
        <f t="shared" si="102"/>
        <v>33</v>
      </c>
      <c r="N249" s="242">
        <f t="shared" si="102"/>
        <v>33</v>
      </c>
      <c r="O249" s="242">
        <f t="shared" si="102"/>
        <v>34</v>
      </c>
      <c r="P249" s="242">
        <f t="shared" si="102"/>
        <v>60</v>
      </c>
      <c r="Q249" s="242">
        <f>SUM(E249:P249)</f>
        <v>428</v>
      </c>
    </row>
    <row r="250" spans="1:17" x14ac:dyDescent="0.2">
      <c r="A250" s="224">
        <f>A249+1</f>
        <v>22</v>
      </c>
      <c r="C250" s="451" t="s">
        <v>576</v>
      </c>
      <c r="E250" s="247">
        <f t="shared" ref="E250:P250" si="103">E944</f>
        <v>188859</v>
      </c>
      <c r="F250" s="247">
        <f t="shared" si="103"/>
        <v>169110.1</v>
      </c>
      <c r="G250" s="247">
        <f t="shared" si="103"/>
        <v>147265.60000000001</v>
      </c>
      <c r="H250" s="247">
        <f t="shared" si="103"/>
        <v>103565.2</v>
      </c>
      <c r="I250" s="247">
        <f t="shared" si="103"/>
        <v>83423.100000000006</v>
      </c>
      <c r="J250" s="247">
        <f t="shared" si="103"/>
        <v>69626.2</v>
      </c>
      <c r="K250" s="247">
        <f t="shared" si="103"/>
        <v>68394.7</v>
      </c>
      <c r="L250" s="247">
        <f t="shared" si="103"/>
        <v>69858.100000000006</v>
      </c>
      <c r="M250" s="247">
        <f t="shared" si="103"/>
        <v>76451.3</v>
      </c>
      <c r="N250" s="247">
        <f t="shared" si="103"/>
        <v>101603.3</v>
      </c>
      <c r="O250" s="247">
        <f t="shared" si="103"/>
        <v>139898.5</v>
      </c>
      <c r="P250" s="247">
        <f t="shared" si="103"/>
        <v>162514.9</v>
      </c>
      <c r="Q250" s="247">
        <f>SUM(E250:P250)</f>
        <v>1380569.9999999998</v>
      </c>
    </row>
    <row r="251" spans="1:17" x14ac:dyDescent="0.2">
      <c r="A251" s="224">
        <f>A250+1</f>
        <v>23</v>
      </c>
      <c r="C251" s="451" t="s">
        <v>221</v>
      </c>
      <c r="E251" s="434">
        <f t="shared" ref="E251:P251" si="104">E950</f>
        <v>164810.09</v>
      </c>
      <c r="F251" s="434">
        <f t="shared" si="104"/>
        <v>140447.91</v>
      </c>
      <c r="G251" s="434">
        <f t="shared" si="104"/>
        <v>128557.95</v>
      </c>
      <c r="H251" s="434">
        <f t="shared" si="104"/>
        <v>104771.82</v>
      </c>
      <c r="I251" s="434">
        <f t="shared" si="104"/>
        <v>93808.47</v>
      </c>
      <c r="J251" s="434">
        <f t="shared" si="104"/>
        <v>86298.82</v>
      </c>
      <c r="K251" s="434">
        <f t="shared" si="104"/>
        <v>88653.599999999991</v>
      </c>
      <c r="L251" s="434">
        <f t="shared" si="104"/>
        <v>87937.58</v>
      </c>
      <c r="M251" s="434">
        <f t="shared" si="104"/>
        <v>91526.260000000009</v>
      </c>
      <c r="N251" s="434">
        <f t="shared" si="104"/>
        <v>105216.5</v>
      </c>
      <c r="O251" s="434">
        <f t="shared" si="104"/>
        <v>127573.10999999999</v>
      </c>
      <c r="P251" s="434">
        <f t="shared" si="104"/>
        <v>179209.26</v>
      </c>
      <c r="Q251" s="434">
        <f>SUM(E251:P251)</f>
        <v>1398811.3699999999</v>
      </c>
    </row>
    <row r="252" spans="1:17" x14ac:dyDescent="0.2">
      <c r="A252" s="224">
        <f>A251+1</f>
        <v>24</v>
      </c>
      <c r="C252" s="451" t="s">
        <v>222</v>
      </c>
      <c r="E252" s="434">
        <f t="shared" ref="E252:P252" si="105">E952</f>
        <v>0</v>
      </c>
      <c r="F252" s="434">
        <f t="shared" si="105"/>
        <v>0</v>
      </c>
      <c r="G252" s="434">
        <f t="shared" si="105"/>
        <v>0</v>
      </c>
      <c r="H252" s="434">
        <f t="shared" si="105"/>
        <v>0</v>
      </c>
      <c r="I252" s="434">
        <f t="shared" si="105"/>
        <v>0</v>
      </c>
      <c r="J252" s="434">
        <f t="shared" si="105"/>
        <v>0</v>
      </c>
      <c r="K252" s="434">
        <f t="shared" si="105"/>
        <v>0</v>
      </c>
      <c r="L252" s="434">
        <f t="shared" si="105"/>
        <v>0</v>
      </c>
      <c r="M252" s="434">
        <f t="shared" si="105"/>
        <v>0</v>
      </c>
      <c r="N252" s="434">
        <f t="shared" si="105"/>
        <v>0</v>
      </c>
      <c r="O252" s="434">
        <f t="shared" si="105"/>
        <v>0</v>
      </c>
      <c r="P252" s="434">
        <f t="shared" si="105"/>
        <v>0</v>
      </c>
      <c r="Q252" s="434">
        <f>SUM(E252:P252)</f>
        <v>0</v>
      </c>
    </row>
    <row r="253" spans="1:17" x14ac:dyDescent="0.2">
      <c r="A253" s="453">
        <f>A252+1</f>
        <v>25</v>
      </c>
      <c r="B253" s="454"/>
      <c r="C253" s="455" t="s">
        <v>577</v>
      </c>
      <c r="D253" s="456"/>
      <c r="E253" s="457">
        <f t="shared" ref="E253:P253" si="106">E954</f>
        <v>164810.09</v>
      </c>
      <c r="F253" s="457">
        <f t="shared" si="106"/>
        <v>140447.91</v>
      </c>
      <c r="G253" s="457">
        <f t="shared" si="106"/>
        <v>128557.95</v>
      </c>
      <c r="H253" s="457">
        <f t="shared" si="106"/>
        <v>104771.82</v>
      </c>
      <c r="I253" s="457">
        <f t="shared" si="106"/>
        <v>93808.47</v>
      </c>
      <c r="J253" s="457">
        <f t="shared" si="106"/>
        <v>86298.82</v>
      </c>
      <c r="K253" s="457">
        <f t="shared" si="106"/>
        <v>88653.599999999991</v>
      </c>
      <c r="L253" s="457">
        <f t="shared" si="106"/>
        <v>87937.58</v>
      </c>
      <c r="M253" s="457">
        <f t="shared" si="106"/>
        <v>91526.260000000009</v>
      </c>
      <c r="N253" s="457">
        <f t="shared" si="106"/>
        <v>105216.5</v>
      </c>
      <c r="O253" s="457">
        <f t="shared" si="106"/>
        <v>127573.10999999999</v>
      </c>
      <c r="P253" s="457">
        <f t="shared" si="106"/>
        <v>179209.26</v>
      </c>
      <c r="Q253" s="457">
        <f>SUM(E253:P253)</f>
        <v>1398811.3699999999</v>
      </c>
    </row>
    <row r="254" spans="1:17" x14ac:dyDescent="0.2">
      <c r="A254" s="306"/>
      <c r="C254" s="462"/>
      <c r="G254" s="294"/>
      <c r="Q254" s="294"/>
    </row>
    <row r="255" spans="1:17" x14ac:dyDescent="0.2">
      <c r="A255" s="224">
        <f>A253+1</f>
        <v>26</v>
      </c>
      <c r="B255" s="221" t="str">
        <f>Input!A45</f>
        <v>DS</v>
      </c>
      <c r="C255" s="221" t="str">
        <f>'Sch M 2.1'!B40</f>
        <v>GTS Delivery Service - Industrial</v>
      </c>
      <c r="G255" s="294"/>
      <c r="Q255" s="294"/>
    </row>
    <row r="256" spans="1:17" x14ac:dyDescent="0.2">
      <c r="A256" s="224">
        <f>A255+1</f>
        <v>27</v>
      </c>
      <c r="C256" s="451" t="s">
        <v>219</v>
      </c>
      <c r="E256" s="242">
        <f t="shared" ref="E256:P256" si="107">E961</f>
        <v>39</v>
      </c>
      <c r="F256" s="242">
        <f t="shared" si="107"/>
        <v>39</v>
      </c>
      <c r="G256" s="242">
        <f t="shared" si="107"/>
        <v>39</v>
      </c>
      <c r="H256" s="242">
        <f t="shared" si="107"/>
        <v>39</v>
      </c>
      <c r="I256" s="242">
        <f t="shared" si="107"/>
        <v>39</v>
      </c>
      <c r="J256" s="242">
        <f t="shared" si="107"/>
        <v>39</v>
      </c>
      <c r="K256" s="242">
        <f t="shared" si="107"/>
        <v>39</v>
      </c>
      <c r="L256" s="242">
        <f t="shared" si="107"/>
        <v>39</v>
      </c>
      <c r="M256" s="242">
        <f t="shared" si="107"/>
        <v>39</v>
      </c>
      <c r="N256" s="242">
        <f t="shared" si="107"/>
        <v>39</v>
      </c>
      <c r="O256" s="242">
        <f t="shared" si="107"/>
        <v>39</v>
      </c>
      <c r="P256" s="242">
        <f t="shared" si="107"/>
        <v>39</v>
      </c>
      <c r="Q256" s="242">
        <f>SUM(E256:P256)</f>
        <v>468</v>
      </c>
    </row>
    <row r="257" spans="1:17" x14ac:dyDescent="0.2">
      <c r="A257" s="224">
        <f>A256+1</f>
        <v>28</v>
      </c>
      <c r="C257" s="451" t="s">
        <v>576</v>
      </c>
      <c r="E257" s="247">
        <f t="shared" ref="E257:P257" si="108">E969</f>
        <v>674909.5</v>
      </c>
      <c r="F257" s="247">
        <f t="shared" si="108"/>
        <v>602578.5</v>
      </c>
      <c r="G257" s="247">
        <f t="shared" si="108"/>
        <v>525440.69999999995</v>
      </c>
      <c r="H257" s="247">
        <f t="shared" si="108"/>
        <v>427583.6</v>
      </c>
      <c r="I257" s="247">
        <f t="shared" si="108"/>
        <v>368992.8</v>
      </c>
      <c r="J257" s="247">
        <f t="shared" si="108"/>
        <v>339504.1</v>
      </c>
      <c r="K257" s="247">
        <f t="shared" si="108"/>
        <v>295115.5</v>
      </c>
      <c r="L257" s="247">
        <f t="shared" si="108"/>
        <v>342173.2</v>
      </c>
      <c r="M257" s="247">
        <f t="shared" si="108"/>
        <v>361661.7</v>
      </c>
      <c r="N257" s="247">
        <f t="shared" si="108"/>
        <v>454356.4</v>
      </c>
      <c r="O257" s="247">
        <f t="shared" si="108"/>
        <v>551432</v>
      </c>
      <c r="P257" s="247">
        <f t="shared" si="108"/>
        <v>573549.4</v>
      </c>
      <c r="Q257" s="247">
        <f>SUM(E257:P257)</f>
        <v>5517297.4000000004</v>
      </c>
    </row>
    <row r="258" spans="1:17" x14ac:dyDescent="0.2">
      <c r="A258" s="224">
        <f>A257+1</f>
        <v>29</v>
      </c>
      <c r="C258" s="451" t="s">
        <v>221</v>
      </c>
      <c r="E258" s="434">
        <f t="shared" ref="E258:P258" si="109">E975</f>
        <v>346618.23</v>
      </c>
      <c r="F258" s="434">
        <f t="shared" si="109"/>
        <v>318983.58999999997</v>
      </c>
      <c r="G258" s="434">
        <f t="shared" si="109"/>
        <v>289731.34999999998</v>
      </c>
      <c r="H258" s="434">
        <f t="shared" si="109"/>
        <v>256523.59</v>
      </c>
      <c r="I258" s="434">
        <f t="shared" si="109"/>
        <v>235868.37</v>
      </c>
      <c r="J258" s="434">
        <f t="shared" si="109"/>
        <v>225560.38</v>
      </c>
      <c r="K258" s="434">
        <f t="shared" si="109"/>
        <v>206224.84</v>
      </c>
      <c r="L258" s="434">
        <f t="shared" si="109"/>
        <v>226264.13</v>
      </c>
      <c r="M258" s="434">
        <f t="shared" si="109"/>
        <v>235123.93</v>
      </c>
      <c r="N258" s="434">
        <f t="shared" si="109"/>
        <v>269348.23</v>
      </c>
      <c r="O258" s="434">
        <f t="shared" si="109"/>
        <v>301962.12</v>
      </c>
      <c r="P258" s="434">
        <f t="shared" si="109"/>
        <v>310255.37</v>
      </c>
      <c r="Q258" s="434">
        <f>SUM(E258:P258)</f>
        <v>3222464.1300000004</v>
      </c>
    </row>
    <row r="259" spans="1:17" x14ac:dyDescent="0.2">
      <c r="A259" s="224">
        <f>A258+1</f>
        <v>30</v>
      </c>
      <c r="C259" s="451" t="s">
        <v>222</v>
      </c>
      <c r="E259" s="434">
        <f t="shared" ref="E259:P259" si="110">E977</f>
        <v>0</v>
      </c>
      <c r="F259" s="434">
        <f t="shared" si="110"/>
        <v>0</v>
      </c>
      <c r="G259" s="434">
        <f t="shared" si="110"/>
        <v>0</v>
      </c>
      <c r="H259" s="434">
        <f t="shared" si="110"/>
        <v>0</v>
      </c>
      <c r="I259" s="434">
        <f t="shared" si="110"/>
        <v>0</v>
      </c>
      <c r="J259" s="434">
        <f t="shared" si="110"/>
        <v>0</v>
      </c>
      <c r="K259" s="434">
        <f t="shared" si="110"/>
        <v>0</v>
      </c>
      <c r="L259" s="434">
        <f t="shared" si="110"/>
        <v>0</v>
      </c>
      <c r="M259" s="434">
        <f t="shared" si="110"/>
        <v>0</v>
      </c>
      <c r="N259" s="434">
        <f t="shared" si="110"/>
        <v>0</v>
      </c>
      <c r="O259" s="434">
        <f t="shared" si="110"/>
        <v>0</v>
      </c>
      <c r="P259" s="434">
        <f t="shared" si="110"/>
        <v>0</v>
      </c>
      <c r="Q259" s="434">
        <f>SUM(E259:P259)</f>
        <v>0</v>
      </c>
    </row>
    <row r="260" spans="1:17" x14ac:dyDescent="0.2">
      <c r="A260" s="453">
        <f>A259+1</f>
        <v>31</v>
      </c>
      <c r="B260" s="454"/>
      <c r="C260" s="455" t="s">
        <v>577</v>
      </c>
      <c r="D260" s="456"/>
      <c r="E260" s="457">
        <f t="shared" ref="E260:P260" si="111">E979</f>
        <v>346618.23</v>
      </c>
      <c r="F260" s="457">
        <f t="shared" si="111"/>
        <v>318983.58999999997</v>
      </c>
      <c r="G260" s="457">
        <f t="shared" si="111"/>
        <v>289731.34999999998</v>
      </c>
      <c r="H260" s="457">
        <f t="shared" si="111"/>
        <v>256523.59</v>
      </c>
      <c r="I260" s="457">
        <f t="shared" si="111"/>
        <v>235868.37</v>
      </c>
      <c r="J260" s="457">
        <f t="shared" si="111"/>
        <v>225560.38</v>
      </c>
      <c r="K260" s="457">
        <f t="shared" si="111"/>
        <v>206224.84</v>
      </c>
      <c r="L260" s="457">
        <f t="shared" si="111"/>
        <v>226264.13</v>
      </c>
      <c r="M260" s="457">
        <f t="shared" si="111"/>
        <v>235123.93</v>
      </c>
      <c r="N260" s="457">
        <f t="shared" si="111"/>
        <v>269348.23</v>
      </c>
      <c r="O260" s="457">
        <f t="shared" si="111"/>
        <v>301962.12</v>
      </c>
      <c r="P260" s="457">
        <f t="shared" si="111"/>
        <v>310255.37</v>
      </c>
      <c r="Q260" s="457">
        <f>SUM(E260:P260)</f>
        <v>3222464.1300000004</v>
      </c>
    </row>
    <row r="261" spans="1:17" x14ac:dyDescent="0.2">
      <c r="G261" s="294"/>
      <c r="Q261" s="294"/>
    </row>
    <row r="262" spans="1:17" x14ac:dyDescent="0.2">
      <c r="A262" s="224">
        <f>A260+1</f>
        <v>32</v>
      </c>
      <c r="B262" s="221" t="str">
        <f>Input!A46</f>
        <v>GDS</v>
      </c>
      <c r="C262" s="221" t="str">
        <f>'Sch M 2.1'!B41</f>
        <v>GTS Grandfathered Delivery Service - Commercial</v>
      </c>
      <c r="G262" s="294"/>
      <c r="Q262" s="294"/>
    </row>
    <row r="263" spans="1:17" x14ac:dyDescent="0.2">
      <c r="A263" s="224">
        <f>A262+1</f>
        <v>33</v>
      </c>
      <c r="C263" s="451" t="s">
        <v>219</v>
      </c>
      <c r="E263" s="242">
        <f t="shared" ref="E263:P263" si="112">E1002</f>
        <v>12</v>
      </c>
      <c r="F263" s="242">
        <f t="shared" si="112"/>
        <v>12</v>
      </c>
      <c r="G263" s="242">
        <f t="shared" si="112"/>
        <v>12</v>
      </c>
      <c r="H263" s="242">
        <f t="shared" si="112"/>
        <v>12</v>
      </c>
      <c r="I263" s="242">
        <f t="shared" si="112"/>
        <v>12</v>
      </c>
      <c r="J263" s="242">
        <f t="shared" si="112"/>
        <v>12</v>
      </c>
      <c r="K263" s="242">
        <f t="shared" si="112"/>
        <v>12</v>
      </c>
      <c r="L263" s="242">
        <f t="shared" si="112"/>
        <v>12</v>
      </c>
      <c r="M263" s="242">
        <f t="shared" si="112"/>
        <v>12</v>
      </c>
      <c r="N263" s="242">
        <f t="shared" si="112"/>
        <v>12</v>
      </c>
      <c r="O263" s="242">
        <f t="shared" si="112"/>
        <v>13</v>
      </c>
      <c r="P263" s="242">
        <f t="shared" si="112"/>
        <v>12</v>
      </c>
      <c r="Q263" s="242">
        <f>SUM(E263:P263)</f>
        <v>145</v>
      </c>
    </row>
    <row r="264" spans="1:17" x14ac:dyDescent="0.2">
      <c r="A264" s="224">
        <f>A263+1</f>
        <v>34</v>
      </c>
      <c r="C264" s="451" t="s">
        <v>576</v>
      </c>
      <c r="E264" s="247">
        <f t="shared" ref="E264:P264" si="113">E1012</f>
        <v>25802.9</v>
      </c>
      <c r="F264" s="247">
        <f t="shared" si="113"/>
        <v>25486</v>
      </c>
      <c r="G264" s="247">
        <f t="shared" si="113"/>
        <v>22066.6</v>
      </c>
      <c r="H264" s="247">
        <f t="shared" si="113"/>
        <v>16282.900000000001</v>
      </c>
      <c r="I264" s="247">
        <f t="shared" si="113"/>
        <v>15072.900000000001</v>
      </c>
      <c r="J264" s="247">
        <f t="shared" si="113"/>
        <v>10869.6</v>
      </c>
      <c r="K264" s="247">
        <f t="shared" si="113"/>
        <v>12145.5</v>
      </c>
      <c r="L264" s="247">
        <f t="shared" si="113"/>
        <v>10637.9</v>
      </c>
      <c r="M264" s="247">
        <f t="shared" si="113"/>
        <v>11242.7</v>
      </c>
      <c r="N264" s="247">
        <f t="shared" si="113"/>
        <v>14420.7</v>
      </c>
      <c r="O264" s="247">
        <f t="shared" si="113"/>
        <v>18455.5</v>
      </c>
      <c r="P264" s="247">
        <f t="shared" si="113"/>
        <v>21147.3</v>
      </c>
      <c r="Q264" s="247">
        <f>SUM(E264:P264)</f>
        <v>203630.5</v>
      </c>
    </row>
    <row r="265" spans="1:17" x14ac:dyDescent="0.2">
      <c r="A265" s="224">
        <f>A264+1</f>
        <v>35</v>
      </c>
      <c r="C265" s="451" t="s">
        <v>221</v>
      </c>
      <c r="E265" s="434">
        <f t="shared" ref="E265:P265" si="114">E1020</f>
        <v>42841.159999999996</v>
      </c>
      <c r="F265" s="434">
        <f t="shared" si="114"/>
        <v>42332.61</v>
      </c>
      <c r="G265" s="434">
        <f t="shared" si="114"/>
        <v>37159.640000000007</v>
      </c>
      <c r="H265" s="434">
        <f t="shared" si="114"/>
        <v>28265.93</v>
      </c>
      <c r="I265" s="434">
        <f t="shared" si="114"/>
        <v>26433.4</v>
      </c>
      <c r="J265" s="434">
        <f t="shared" si="114"/>
        <v>19805.21</v>
      </c>
      <c r="K265" s="434">
        <f t="shared" si="114"/>
        <v>21795.809999999998</v>
      </c>
      <c r="L265" s="434">
        <f t="shared" si="114"/>
        <v>19351.78</v>
      </c>
      <c r="M265" s="434">
        <f t="shared" si="114"/>
        <v>20392.090000000004</v>
      </c>
      <c r="N265" s="434">
        <f t="shared" si="114"/>
        <v>25389.480000000003</v>
      </c>
      <c r="O265" s="434">
        <f t="shared" si="114"/>
        <v>31594.989999999998</v>
      </c>
      <c r="P265" s="434">
        <f t="shared" si="114"/>
        <v>35765.030000000006</v>
      </c>
      <c r="Q265" s="434">
        <f>SUM(E265:P265)</f>
        <v>351127.13</v>
      </c>
    </row>
    <row r="266" spans="1:17" x14ac:dyDescent="0.2">
      <c r="A266" s="224">
        <f>A265+1</f>
        <v>36</v>
      </c>
      <c r="C266" s="451" t="s">
        <v>222</v>
      </c>
      <c r="E266" s="434">
        <f t="shared" ref="E266:P266" si="115">E1022</f>
        <v>0</v>
      </c>
      <c r="F266" s="434">
        <f t="shared" si="115"/>
        <v>0</v>
      </c>
      <c r="G266" s="434">
        <f t="shared" si="115"/>
        <v>0</v>
      </c>
      <c r="H266" s="434">
        <f t="shared" si="115"/>
        <v>0</v>
      </c>
      <c r="I266" s="434">
        <f t="shared" si="115"/>
        <v>0</v>
      </c>
      <c r="J266" s="434">
        <f t="shared" si="115"/>
        <v>0</v>
      </c>
      <c r="K266" s="434">
        <f t="shared" si="115"/>
        <v>0</v>
      </c>
      <c r="L266" s="434">
        <f t="shared" si="115"/>
        <v>0</v>
      </c>
      <c r="M266" s="434">
        <f t="shared" si="115"/>
        <v>0</v>
      </c>
      <c r="N266" s="434">
        <f t="shared" si="115"/>
        <v>0</v>
      </c>
      <c r="O266" s="434">
        <f t="shared" si="115"/>
        <v>0</v>
      </c>
      <c r="P266" s="434">
        <f t="shared" si="115"/>
        <v>0</v>
      </c>
      <c r="Q266" s="434">
        <f>SUM(E266:P266)</f>
        <v>0</v>
      </c>
    </row>
    <row r="267" spans="1:17" x14ac:dyDescent="0.2">
      <c r="A267" s="453">
        <f>A266+1</f>
        <v>37</v>
      </c>
      <c r="B267" s="454"/>
      <c r="C267" s="455" t="s">
        <v>577</v>
      </c>
      <c r="D267" s="456"/>
      <c r="E267" s="457">
        <f t="shared" ref="E267:P267" si="116">E1024</f>
        <v>42841.159999999996</v>
      </c>
      <c r="F267" s="457">
        <f t="shared" si="116"/>
        <v>42332.61</v>
      </c>
      <c r="G267" s="457">
        <f t="shared" si="116"/>
        <v>37159.640000000007</v>
      </c>
      <c r="H267" s="457">
        <f t="shared" si="116"/>
        <v>28265.93</v>
      </c>
      <c r="I267" s="457">
        <f t="shared" si="116"/>
        <v>26433.4</v>
      </c>
      <c r="J267" s="457">
        <f t="shared" si="116"/>
        <v>19805.21</v>
      </c>
      <c r="K267" s="457">
        <f t="shared" si="116"/>
        <v>21795.809999999998</v>
      </c>
      <c r="L267" s="457">
        <f t="shared" si="116"/>
        <v>19351.78</v>
      </c>
      <c r="M267" s="457">
        <f t="shared" si="116"/>
        <v>20392.090000000004</v>
      </c>
      <c r="N267" s="457">
        <f t="shared" si="116"/>
        <v>25389.480000000003</v>
      </c>
      <c r="O267" s="457">
        <f t="shared" si="116"/>
        <v>31594.989999999998</v>
      </c>
      <c r="P267" s="457">
        <f t="shared" si="116"/>
        <v>35765.030000000006</v>
      </c>
      <c r="Q267" s="457">
        <f>SUM(E267:P267)</f>
        <v>351127.13</v>
      </c>
    </row>
    <row r="268" spans="1:17" x14ac:dyDescent="0.2">
      <c r="G268" s="294"/>
      <c r="Q268" s="294"/>
    </row>
    <row r="269" spans="1:17" x14ac:dyDescent="0.2">
      <c r="A269" s="221"/>
      <c r="D269" s="221"/>
      <c r="F269" s="221"/>
      <c r="G269" s="221"/>
      <c r="H269" s="221"/>
      <c r="I269" s="221"/>
      <c r="J269" s="221"/>
      <c r="K269" s="221"/>
      <c r="L269" s="221"/>
      <c r="M269" s="221"/>
      <c r="N269" s="221"/>
      <c r="O269" s="221"/>
      <c r="P269" s="221"/>
    </row>
    <row r="270" spans="1:17" x14ac:dyDescent="0.2">
      <c r="A270" s="224" t="str">
        <f>$A$108</f>
        <v>[1] Reflects Normalized Volumes.</v>
      </c>
    </row>
    <row r="271" spans="1:17" x14ac:dyDescent="0.2">
      <c r="A271" s="467" t="str">
        <f>$A$109</f>
        <v>[2] See Schedule M-2.2 Pages 8 through 21 for detail.</v>
      </c>
    </row>
    <row r="272" spans="1:17" x14ac:dyDescent="0.2">
      <c r="A272" s="887" t="str">
        <f>CONAME</f>
        <v>Columbia Gas of Kentucky, Inc.</v>
      </c>
      <c r="B272" s="887"/>
      <c r="C272" s="887"/>
      <c r="D272" s="887"/>
      <c r="E272" s="887"/>
      <c r="F272" s="887"/>
      <c r="G272" s="887"/>
      <c r="H272" s="887"/>
      <c r="I272" s="887"/>
      <c r="J272" s="887"/>
      <c r="K272" s="887"/>
      <c r="L272" s="887"/>
      <c r="M272" s="887"/>
      <c r="N272" s="887"/>
      <c r="O272" s="887"/>
      <c r="P272" s="887"/>
      <c r="Q272" s="887"/>
    </row>
    <row r="273" spans="1:17" x14ac:dyDescent="0.2">
      <c r="A273" s="875" t="str">
        <f>case</f>
        <v>Case No. 2016-00162</v>
      </c>
      <c r="B273" s="875"/>
      <c r="C273" s="875"/>
      <c r="D273" s="875"/>
      <c r="E273" s="875"/>
      <c r="F273" s="875"/>
      <c r="G273" s="875"/>
      <c r="H273" s="875"/>
      <c r="I273" s="875"/>
      <c r="J273" s="875"/>
      <c r="K273" s="875"/>
      <c r="L273" s="875"/>
      <c r="M273" s="875"/>
      <c r="N273" s="875"/>
      <c r="O273" s="875"/>
      <c r="P273" s="875"/>
      <c r="Q273" s="875"/>
    </row>
    <row r="274" spans="1:17" x14ac:dyDescent="0.2">
      <c r="A274" s="888" t="s">
        <v>503</v>
      </c>
      <c r="B274" s="888"/>
      <c r="C274" s="888"/>
      <c r="D274" s="888"/>
      <c r="E274" s="888"/>
      <c r="F274" s="888"/>
      <c r="G274" s="888"/>
      <c r="H274" s="888"/>
      <c r="I274" s="888"/>
      <c r="J274" s="888"/>
      <c r="K274" s="888"/>
      <c r="L274" s="888"/>
      <c r="M274" s="888"/>
      <c r="N274" s="888"/>
      <c r="O274" s="888"/>
      <c r="P274" s="888"/>
      <c r="Q274" s="888"/>
    </row>
    <row r="275" spans="1:17" x14ac:dyDescent="0.2">
      <c r="A275" s="887" t="str">
        <f>TYDESC</f>
        <v>For the 12 Months Ended December 31, 2017</v>
      </c>
      <c r="B275" s="887"/>
      <c r="C275" s="887"/>
      <c r="D275" s="887"/>
      <c r="E275" s="887"/>
      <c r="F275" s="887"/>
      <c r="G275" s="887"/>
      <c r="H275" s="887"/>
      <c r="I275" s="887"/>
      <c r="J275" s="887"/>
      <c r="K275" s="887"/>
      <c r="L275" s="887"/>
      <c r="M275" s="887"/>
      <c r="N275" s="887"/>
      <c r="O275" s="887"/>
      <c r="P275" s="887"/>
      <c r="Q275" s="887"/>
    </row>
    <row r="276" spans="1:17" x14ac:dyDescent="0.2">
      <c r="A276" s="885" t="s">
        <v>39</v>
      </c>
      <c r="B276" s="885"/>
      <c r="C276" s="885"/>
      <c r="D276" s="885"/>
      <c r="E276" s="885"/>
      <c r="F276" s="885"/>
      <c r="G276" s="885"/>
      <c r="H276" s="885"/>
      <c r="I276" s="885"/>
      <c r="J276" s="885"/>
      <c r="K276" s="885"/>
      <c r="L276" s="885"/>
      <c r="M276" s="885"/>
      <c r="N276" s="885"/>
      <c r="O276" s="885"/>
      <c r="P276" s="885"/>
      <c r="Q276" s="885"/>
    </row>
    <row r="277" spans="1:17" x14ac:dyDescent="0.2">
      <c r="A277" s="266" t="str">
        <f>$A$52</f>
        <v>Data: __ Base Period _X_ Forecasted Period</v>
      </c>
    </row>
    <row r="278" spans="1:17" x14ac:dyDescent="0.2">
      <c r="A278" s="266" t="str">
        <f>$A$53</f>
        <v>Type of Filing: X Original _ Update _ Revised</v>
      </c>
      <c r="Q278" s="420" t="str">
        <f>$Q$53</f>
        <v>Schedule M-2.2</v>
      </c>
    </row>
    <row r="279" spans="1:17" x14ac:dyDescent="0.2">
      <c r="A279" s="266" t="str">
        <f>$A$54</f>
        <v>Work Paper Reference No(s):</v>
      </c>
      <c r="Q279" s="420" t="s">
        <v>509</v>
      </c>
    </row>
    <row r="280" spans="1:17" x14ac:dyDescent="0.2">
      <c r="A280" s="421" t="str">
        <f>$A$55</f>
        <v>12 Months Forecasted</v>
      </c>
      <c r="Q280" s="420" t="str">
        <f>Witness</f>
        <v>Witness:  M. J. Bell</v>
      </c>
    </row>
    <row r="281" spans="1:17" x14ac:dyDescent="0.2">
      <c r="A281" s="886" t="s">
        <v>194</v>
      </c>
      <c r="B281" s="886"/>
      <c r="C281" s="886"/>
      <c r="D281" s="886"/>
      <c r="E281" s="886"/>
      <c r="F281" s="886"/>
      <c r="G281" s="886"/>
      <c r="H281" s="886"/>
      <c r="I281" s="886"/>
      <c r="J281" s="886"/>
      <c r="K281" s="886"/>
      <c r="L281" s="886"/>
      <c r="M281" s="886"/>
      <c r="N281" s="886"/>
      <c r="O281" s="886"/>
      <c r="P281" s="886"/>
      <c r="Q281" s="886"/>
    </row>
    <row r="282" spans="1:17" x14ac:dyDescent="0.2">
      <c r="A282" s="440"/>
      <c r="B282" s="305"/>
      <c r="C282" s="305"/>
      <c r="D282" s="304"/>
      <c r="E282" s="305"/>
      <c r="F282" s="422"/>
      <c r="G282" s="442"/>
      <c r="H282" s="422"/>
      <c r="I282" s="443"/>
      <c r="J282" s="422"/>
      <c r="K282" s="422"/>
      <c r="L282" s="422"/>
      <c r="M282" s="422"/>
      <c r="N282" s="422"/>
      <c r="O282" s="422"/>
      <c r="P282" s="422"/>
      <c r="Q282" s="305"/>
    </row>
    <row r="283" spans="1:17" x14ac:dyDescent="0.2">
      <c r="A283" s="416" t="s">
        <v>1</v>
      </c>
      <c r="B283" s="226" t="s">
        <v>0</v>
      </c>
      <c r="C283" s="226" t="s">
        <v>41</v>
      </c>
      <c r="D283" s="423" t="s">
        <v>47</v>
      </c>
      <c r="E283" s="424"/>
      <c r="F283" s="425"/>
      <c r="G283" s="424"/>
      <c r="H283" s="426"/>
      <c r="I283" s="424"/>
      <c r="J283" s="424"/>
      <c r="K283" s="424"/>
      <c r="L283" s="424"/>
      <c r="M283" s="424"/>
      <c r="N283" s="424"/>
      <c r="O283" s="231"/>
      <c r="P283" s="231"/>
      <c r="Q283" s="231"/>
    </row>
    <row r="284" spans="1:17" x14ac:dyDescent="0.2">
      <c r="A284" s="285" t="s">
        <v>3</v>
      </c>
      <c r="B284" s="228" t="s">
        <v>40</v>
      </c>
      <c r="C284" s="228" t="s">
        <v>4</v>
      </c>
      <c r="D284" s="427" t="s">
        <v>48</v>
      </c>
      <c r="E284" s="428" t="str">
        <f>B!$D$11</f>
        <v>Jan-17</v>
      </c>
      <c r="F284" s="428" t="str">
        <f>B!$E$11</f>
        <v>Feb-17</v>
      </c>
      <c r="G284" s="428" t="str">
        <f>B!$F$11</f>
        <v>Mar-17</v>
      </c>
      <c r="H284" s="428" t="str">
        <f>B!$G$11</f>
        <v>Apr-17</v>
      </c>
      <c r="I284" s="428" t="str">
        <f>B!$H$11</f>
        <v>May-17</v>
      </c>
      <c r="J284" s="428" t="str">
        <f>B!$I$11</f>
        <v>Jun-17</v>
      </c>
      <c r="K284" s="428" t="str">
        <f>B!$J$11</f>
        <v>Jul-17</v>
      </c>
      <c r="L284" s="428" t="str">
        <f>B!$K$11</f>
        <v>Aug-17</v>
      </c>
      <c r="M284" s="428" t="str">
        <f>B!$L$11</f>
        <v>Sep-17</v>
      </c>
      <c r="N284" s="428" t="str">
        <f>B!$M$11</f>
        <v>Oct-17</v>
      </c>
      <c r="O284" s="428" t="str">
        <f>B!$N$11</f>
        <v>Nov-17</v>
      </c>
      <c r="P284" s="428" t="str">
        <f>B!$O$11</f>
        <v>Dec-17</v>
      </c>
      <c r="Q284" s="429" t="s">
        <v>9</v>
      </c>
    </row>
    <row r="285" spans="1:17" x14ac:dyDescent="0.2">
      <c r="A285" s="416"/>
      <c r="B285" s="231" t="s">
        <v>42</v>
      </c>
      <c r="C285" s="231" t="s">
        <v>43</v>
      </c>
      <c r="D285" s="430" t="s">
        <v>45</v>
      </c>
      <c r="E285" s="431" t="s">
        <v>46</v>
      </c>
      <c r="F285" s="431" t="s">
        <v>49</v>
      </c>
      <c r="G285" s="431" t="s">
        <v>50</v>
      </c>
      <c r="H285" s="431" t="s">
        <v>51</v>
      </c>
      <c r="I285" s="431" t="s">
        <v>52</v>
      </c>
      <c r="J285" s="431" t="s">
        <v>53</v>
      </c>
      <c r="K285" s="432" t="s">
        <v>54</v>
      </c>
      <c r="L285" s="432" t="s">
        <v>55</v>
      </c>
      <c r="M285" s="432" t="s">
        <v>56</v>
      </c>
      <c r="N285" s="432" t="s">
        <v>57</v>
      </c>
      <c r="O285" s="432" t="s">
        <v>58</v>
      </c>
      <c r="P285" s="432" t="s">
        <v>59</v>
      </c>
      <c r="Q285" s="432" t="s">
        <v>203</v>
      </c>
    </row>
    <row r="286" spans="1:17" x14ac:dyDescent="0.2">
      <c r="E286" s="231"/>
      <c r="F286" s="432"/>
      <c r="G286" s="444"/>
      <c r="H286" s="432"/>
      <c r="I286" s="431"/>
      <c r="J286" s="432"/>
      <c r="K286" s="432"/>
      <c r="L286" s="432"/>
      <c r="M286" s="432"/>
      <c r="N286" s="432"/>
      <c r="O286" s="432"/>
      <c r="P286" s="432"/>
      <c r="Q286" s="231"/>
    </row>
    <row r="287" spans="1:17" x14ac:dyDescent="0.2">
      <c r="A287" s="224">
        <v>1</v>
      </c>
      <c r="C287" s="445" t="s">
        <v>95</v>
      </c>
    </row>
    <row r="289" spans="1:17" x14ac:dyDescent="0.2">
      <c r="A289" s="224">
        <f>A287+1</f>
        <v>2</v>
      </c>
      <c r="B289" s="221" t="str">
        <f>Input!A47</f>
        <v>GDS</v>
      </c>
      <c r="C289" s="221" t="str">
        <f>'Sch M 2.1'!B42</f>
        <v>GTS Grandfathered Delivery Service - Industrial</v>
      </c>
      <c r="G289" s="294"/>
      <c r="Q289" s="294"/>
    </row>
    <row r="290" spans="1:17" x14ac:dyDescent="0.2">
      <c r="A290" s="224">
        <f>A289+1</f>
        <v>3</v>
      </c>
      <c r="C290" s="451" t="s">
        <v>219</v>
      </c>
      <c r="E290" s="242">
        <f t="shared" ref="E290:P290" si="117">E1030</f>
        <v>15</v>
      </c>
      <c r="F290" s="242">
        <f t="shared" si="117"/>
        <v>15</v>
      </c>
      <c r="G290" s="242">
        <f t="shared" si="117"/>
        <v>15</v>
      </c>
      <c r="H290" s="242">
        <f t="shared" si="117"/>
        <v>15</v>
      </c>
      <c r="I290" s="242">
        <f t="shared" si="117"/>
        <v>15</v>
      </c>
      <c r="J290" s="242">
        <f t="shared" si="117"/>
        <v>15</v>
      </c>
      <c r="K290" s="242">
        <f t="shared" si="117"/>
        <v>15</v>
      </c>
      <c r="L290" s="242">
        <f t="shared" si="117"/>
        <v>15</v>
      </c>
      <c r="M290" s="242">
        <f t="shared" si="117"/>
        <v>15</v>
      </c>
      <c r="N290" s="242">
        <f t="shared" si="117"/>
        <v>15</v>
      </c>
      <c r="O290" s="242">
        <f t="shared" si="117"/>
        <v>15</v>
      </c>
      <c r="P290" s="242">
        <f t="shared" si="117"/>
        <v>15</v>
      </c>
      <c r="Q290" s="242">
        <f>SUM(E290:P290)</f>
        <v>180</v>
      </c>
    </row>
    <row r="291" spans="1:17" x14ac:dyDescent="0.2">
      <c r="A291" s="224">
        <f>A290+1</f>
        <v>4</v>
      </c>
      <c r="C291" s="451" t="s">
        <v>576</v>
      </c>
      <c r="E291" s="247">
        <f t="shared" ref="E291:P291" si="118">E1040</f>
        <v>17844.3</v>
      </c>
      <c r="F291" s="247">
        <f t="shared" si="118"/>
        <v>16829.3</v>
      </c>
      <c r="G291" s="247">
        <f t="shared" si="118"/>
        <v>19051.3</v>
      </c>
      <c r="H291" s="247">
        <f t="shared" si="118"/>
        <v>14067.2</v>
      </c>
      <c r="I291" s="247">
        <f t="shared" si="118"/>
        <v>13118.3</v>
      </c>
      <c r="J291" s="247">
        <f t="shared" si="118"/>
        <v>8875.7000000000007</v>
      </c>
      <c r="K291" s="247">
        <f t="shared" si="118"/>
        <v>8048.4</v>
      </c>
      <c r="L291" s="247">
        <f t="shared" si="118"/>
        <v>9066.7999999999993</v>
      </c>
      <c r="M291" s="247">
        <f t="shared" si="118"/>
        <v>9786.2999999999993</v>
      </c>
      <c r="N291" s="247">
        <f t="shared" si="118"/>
        <v>10096.700000000001</v>
      </c>
      <c r="O291" s="247">
        <f t="shared" si="118"/>
        <v>12703</v>
      </c>
      <c r="P291" s="247">
        <f t="shared" si="118"/>
        <v>14980.599999999999</v>
      </c>
      <c r="Q291" s="247">
        <f>SUM(E291:P291)</f>
        <v>154467.9</v>
      </c>
    </row>
    <row r="292" spans="1:17" x14ac:dyDescent="0.2">
      <c r="A292" s="224">
        <f>A291+1</f>
        <v>5</v>
      </c>
      <c r="C292" s="451" t="s">
        <v>221</v>
      </c>
      <c r="E292" s="434">
        <f t="shared" ref="E292:P292" si="119">E1048</f>
        <v>30796.359999999997</v>
      </c>
      <c r="F292" s="434">
        <f t="shared" si="119"/>
        <v>29309.859999999997</v>
      </c>
      <c r="G292" s="434">
        <f t="shared" si="119"/>
        <v>33019.710000000006</v>
      </c>
      <c r="H292" s="434">
        <f t="shared" si="119"/>
        <v>25233.559999999998</v>
      </c>
      <c r="I292" s="434">
        <f t="shared" si="119"/>
        <v>23458.84</v>
      </c>
      <c r="J292" s="434">
        <f t="shared" si="119"/>
        <v>16407.010000000002</v>
      </c>
      <c r="K292" s="434">
        <f t="shared" si="119"/>
        <v>15157.99</v>
      </c>
      <c r="L292" s="434">
        <f t="shared" si="119"/>
        <v>16877.68</v>
      </c>
      <c r="M292" s="434">
        <f t="shared" si="119"/>
        <v>17953.940000000002</v>
      </c>
      <c r="N292" s="434">
        <f t="shared" si="119"/>
        <v>18532.569999999996</v>
      </c>
      <c r="O292" s="434">
        <f t="shared" si="119"/>
        <v>22800.38</v>
      </c>
      <c r="P292" s="434">
        <f t="shared" si="119"/>
        <v>26513.289999999997</v>
      </c>
      <c r="Q292" s="434">
        <f>SUM(E292:P292)</f>
        <v>276061.19</v>
      </c>
    </row>
    <row r="293" spans="1:17" x14ac:dyDescent="0.2">
      <c r="A293" s="224">
        <f>A292+1</f>
        <v>6</v>
      </c>
      <c r="C293" s="451" t="s">
        <v>222</v>
      </c>
      <c r="E293" s="434">
        <f t="shared" ref="E293:P293" si="120">E1050</f>
        <v>0</v>
      </c>
      <c r="F293" s="434">
        <f t="shared" si="120"/>
        <v>0</v>
      </c>
      <c r="G293" s="434">
        <f t="shared" si="120"/>
        <v>0</v>
      </c>
      <c r="H293" s="434">
        <f t="shared" si="120"/>
        <v>0</v>
      </c>
      <c r="I293" s="434">
        <f t="shared" si="120"/>
        <v>0</v>
      </c>
      <c r="J293" s="434">
        <f t="shared" si="120"/>
        <v>0</v>
      </c>
      <c r="K293" s="434">
        <f t="shared" si="120"/>
        <v>0</v>
      </c>
      <c r="L293" s="434">
        <f t="shared" si="120"/>
        <v>0</v>
      </c>
      <c r="M293" s="434">
        <f t="shared" si="120"/>
        <v>0</v>
      </c>
      <c r="N293" s="434">
        <f t="shared" si="120"/>
        <v>0</v>
      </c>
      <c r="O293" s="434">
        <f t="shared" si="120"/>
        <v>0</v>
      </c>
      <c r="P293" s="434">
        <f t="shared" si="120"/>
        <v>0</v>
      </c>
      <c r="Q293" s="434">
        <f>SUM(E293:P293)</f>
        <v>0</v>
      </c>
    </row>
    <row r="294" spans="1:17" x14ac:dyDescent="0.2">
      <c r="A294" s="453">
        <f>A293+1</f>
        <v>7</v>
      </c>
      <c r="B294" s="454"/>
      <c r="C294" s="455" t="s">
        <v>577</v>
      </c>
      <c r="D294" s="456"/>
      <c r="E294" s="457">
        <f t="shared" ref="E294:P294" si="121">E1052</f>
        <v>30796.359999999997</v>
      </c>
      <c r="F294" s="457">
        <f t="shared" si="121"/>
        <v>29309.859999999997</v>
      </c>
      <c r="G294" s="457">
        <f t="shared" si="121"/>
        <v>33019.710000000006</v>
      </c>
      <c r="H294" s="457">
        <f t="shared" si="121"/>
        <v>25233.559999999998</v>
      </c>
      <c r="I294" s="457">
        <f t="shared" si="121"/>
        <v>23458.84</v>
      </c>
      <c r="J294" s="457">
        <f t="shared" si="121"/>
        <v>16407.010000000002</v>
      </c>
      <c r="K294" s="457">
        <f t="shared" si="121"/>
        <v>15157.99</v>
      </c>
      <c r="L294" s="457">
        <f t="shared" si="121"/>
        <v>16877.68</v>
      </c>
      <c r="M294" s="457">
        <f t="shared" si="121"/>
        <v>17953.940000000002</v>
      </c>
      <c r="N294" s="457">
        <f t="shared" si="121"/>
        <v>18532.569999999996</v>
      </c>
      <c r="O294" s="457">
        <f t="shared" si="121"/>
        <v>22800.38</v>
      </c>
      <c r="P294" s="457">
        <f t="shared" si="121"/>
        <v>26513.289999999997</v>
      </c>
      <c r="Q294" s="457">
        <f>SUM(E294:P294)</f>
        <v>276061.19</v>
      </c>
    </row>
    <row r="295" spans="1:17" x14ac:dyDescent="0.2">
      <c r="G295" s="294"/>
      <c r="Q295" s="294"/>
    </row>
    <row r="296" spans="1:17" x14ac:dyDescent="0.2">
      <c r="A296" s="224">
        <f>A294+1</f>
        <v>8</v>
      </c>
      <c r="B296" s="221" t="str">
        <f>Input!A48</f>
        <v>DS3</v>
      </c>
      <c r="C296" s="221" t="str">
        <f>'Sch M 2.1'!B43</f>
        <v>GTS Main Line Service - Industrial</v>
      </c>
      <c r="G296" s="294"/>
      <c r="Q296" s="294"/>
    </row>
    <row r="297" spans="1:17" x14ac:dyDescent="0.2">
      <c r="A297" s="224">
        <f>A296+1</f>
        <v>9</v>
      </c>
      <c r="C297" s="451" t="s">
        <v>219</v>
      </c>
      <c r="E297" s="242">
        <f t="shared" ref="E297:P297" si="122">E1076</f>
        <v>3</v>
      </c>
      <c r="F297" s="242">
        <f t="shared" si="122"/>
        <v>3</v>
      </c>
      <c r="G297" s="242">
        <f t="shared" si="122"/>
        <v>3</v>
      </c>
      <c r="H297" s="242">
        <f t="shared" si="122"/>
        <v>3</v>
      </c>
      <c r="I297" s="242">
        <f t="shared" si="122"/>
        <v>3</v>
      </c>
      <c r="J297" s="242">
        <f t="shared" si="122"/>
        <v>3</v>
      </c>
      <c r="K297" s="242">
        <f t="shared" si="122"/>
        <v>3</v>
      </c>
      <c r="L297" s="242">
        <f t="shared" si="122"/>
        <v>3</v>
      </c>
      <c r="M297" s="242">
        <f t="shared" si="122"/>
        <v>3</v>
      </c>
      <c r="N297" s="242">
        <f t="shared" si="122"/>
        <v>3</v>
      </c>
      <c r="O297" s="242">
        <f t="shared" si="122"/>
        <v>3</v>
      </c>
      <c r="P297" s="242">
        <f t="shared" si="122"/>
        <v>3</v>
      </c>
      <c r="Q297" s="242">
        <f>SUM(E297:P297)</f>
        <v>36</v>
      </c>
    </row>
    <row r="298" spans="1:17" x14ac:dyDescent="0.2">
      <c r="A298" s="224">
        <f>A297+1</f>
        <v>10</v>
      </c>
      <c r="C298" s="451" t="s">
        <v>576</v>
      </c>
      <c r="E298" s="247">
        <f t="shared" ref="E298:P298" si="123">E1080</f>
        <v>58289</v>
      </c>
      <c r="F298" s="247">
        <f t="shared" si="123"/>
        <v>56724</v>
      </c>
      <c r="G298" s="247">
        <f t="shared" si="123"/>
        <v>56724</v>
      </c>
      <c r="H298" s="247">
        <f t="shared" si="123"/>
        <v>57213</v>
      </c>
      <c r="I298" s="247">
        <f t="shared" si="123"/>
        <v>57995</v>
      </c>
      <c r="J298" s="247">
        <f t="shared" si="123"/>
        <v>58484</v>
      </c>
      <c r="K298" s="247">
        <f t="shared" si="123"/>
        <v>55942</v>
      </c>
      <c r="L298" s="247">
        <f t="shared" si="123"/>
        <v>54866</v>
      </c>
      <c r="M298" s="247">
        <f t="shared" si="123"/>
        <v>55746</v>
      </c>
      <c r="N298" s="247">
        <f t="shared" si="123"/>
        <v>58093</v>
      </c>
      <c r="O298" s="247">
        <f t="shared" si="123"/>
        <v>57604</v>
      </c>
      <c r="P298" s="247">
        <f t="shared" si="123"/>
        <v>53301</v>
      </c>
      <c r="Q298" s="247">
        <f>SUM(E298:P298)</f>
        <v>680981</v>
      </c>
    </row>
    <row r="299" spans="1:17" x14ac:dyDescent="0.2">
      <c r="A299" s="224">
        <f>A298+1</f>
        <v>11</v>
      </c>
      <c r="C299" s="451" t="s">
        <v>221</v>
      </c>
      <c r="E299" s="434">
        <f t="shared" ref="E299:P299" si="124">E1083</f>
        <v>5768.9</v>
      </c>
      <c r="F299" s="434">
        <f t="shared" si="124"/>
        <v>5634.62</v>
      </c>
      <c r="G299" s="434">
        <f t="shared" si="124"/>
        <v>5634.62</v>
      </c>
      <c r="H299" s="434">
        <f t="shared" si="124"/>
        <v>5676.58</v>
      </c>
      <c r="I299" s="434">
        <f t="shared" si="124"/>
        <v>5743.67</v>
      </c>
      <c r="J299" s="434">
        <f t="shared" si="124"/>
        <v>5785.63</v>
      </c>
      <c r="K299" s="434">
        <f t="shared" si="124"/>
        <v>5567.5199999999995</v>
      </c>
      <c r="L299" s="434">
        <f t="shared" si="124"/>
        <v>5475.2</v>
      </c>
      <c r="M299" s="434">
        <f t="shared" si="124"/>
        <v>5550.71</v>
      </c>
      <c r="N299" s="434">
        <f t="shared" si="124"/>
        <v>5752.08</v>
      </c>
      <c r="O299" s="434">
        <f t="shared" si="124"/>
        <v>5710.12</v>
      </c>
      <c r="P299" s="434">
        <f t="shared" si="124"/>
        <v>5340.9299999999994</v>
      </c>
      <c r="Q299" s="434">
        <f>SUM(E299:P299)</f>
        <v>67640.579999999987</v>
      </c>
    </row>
    <row r="300" spans="1:17" x14ac:dyDescent="0.2">
      <c r="A300" s="224">
        <f>A299+1</f>
        <v>12</v>
      </c>
      <c r="C300" s="451" t="s">
        <v>222</v>
      </c>
      <c r="E300" s="434">
        <f t="shared" ref="E300:P300" si="125">E1085</f>
        <v>0</v>
      </c>
      <c r="F300" s="434">
        <f t="shared" si="125"/>
        <v>0</v>
      </c>
      <c r="G300" s="434">
        <f t="shared" si="125"/>
        <v>0</v>
      </c>
      <c r="H300" s="434">
        <f t="shared" si="125"/>
        <v>0</v>
      </c>
      <c r="I300" s="434">
        <f t="shared" si="125"/>
        <v>0</v>
      </c>
      <c r="J300" s="434">
        <f t="shared" si="125"/>
        <v>0</v>
      </c>
      <c r="K300" s="434">
        <f t="shared" si="125"/>
        <v>0</v>
      </c>
      <c r="L300" s="434">
        <f t="shared" si="125"/>
        <v>0</v>
      </c>
      <c r="M300" s="434">
        <f t="shared" si="125"/>
        <v>0</v>
      </c>
      <c r="N300" s="434">
        <f t="shared" si="125"/>
        <v>0</v>
      </c>
      <c r="O300" s="434">
        <f t="shared" si="125"/>
        <v>0</v>
      </c>
      <c r="P300" s="434">
        <f t="shared" si="125"/>
        <v>0</v>
      </c>
      <c r="Q300" s="434">
        <f>SUM(E300:P300)</f>
        <v>0</v>
      </c>
    </row>
    <row r="301" spans="1:17" x14ac:dyDescent="0.2">
      <c r="A301" s="453">
        <f>A300+1</f>
        <v>13</v>
      </c>
      <c r="B301" s="454"/>
      <c r="C301" s="455" t="s">
        <v>577</v>
      </c>
      <c r="D301" s="456"/>
      <c r="E301" s="457">
        <f t="shared" ref="E301:P301" si="126">E1087</f>
        <v>5768.9</v>
      </c>
      <c r="F301" s="457">
        <f t="shared" si="126"/>
        <v>5634.62</v>
      </c>
      <c r="G301" s="457">
        <f t="shared" si="126"/>
        <v>5634.62</v>
      </c>
      <c r="H301" s="457">
        <f t="shared" si="126"/>
        <v>5676.58</v>
      </c>
      <c r="I301" s="457">
        <f t="shared" si="126"/>
        <v>5743.67</v>
      </c>
      <c r="J301" s="457">
        <f t="shared" si="126"/>
        <v>5785.63</v>
      </c>
      <c r="K301" s="457">
        <f t="shared" si="126"/>
        <v>5567.5199999999995</v>
      </c>
      <c r="L301" s="457">
        <f t="shared" si="126"/>
        <v>5475.2</v>
      </c>
      <c r="M301" s="457">
        <f t="shared" si="126"/>
        <v>5550.71</v>
      </c>
      <c r="N301" s="457">
        <f t="shared" si="126"/>
        <v>5752.08</v>
      </c>
      <c r="O301" s="457">
        <f t="shared" si="126"/>
        <v>5710.12</v>
      </c>
      <c r="P301" s="457">
        <f t="shared" si="126"/>
        <v>5340.9299999999994</v>
      </c>
      <c r="Q301" s="457">
        <f>SUM(E301:P301)</f>
        <v>67640.579999999987</v>
      </c>
    </row>
    <row r="303" spans="1:17" x14ac:dyDescent="0.2">
      <c r="A303" s="224">
        <f>A301+1</f>
        <v>14</v>
      </c>
      <c r="B303" s="221" t="str">
        <f>Input!A49</f>
        <v>FX1</v>
      </c>
      <c r="C303" s="221" t="str">
        <f>'Sch M 2.1'!B44</f>
        <v>GTS Flex Rate - Commercial</v>
      </c>
      <c r="G303" s="294"/>
      <c r="Q303" s="294"/>
    </row>
    <row r="304" spans="1:17" x14ac:dyDescent="0.2">
      <c r="A304" s="224">
        <f>A303+1</f>
        <v>15</v>
      </c>
      <c r="C304" s="451" t="s">
        <v>219</v>
      </c>
      <c r="E304" s="242">
        <f t="shared" ref="E304:P304" si="127">E1094</f>
        <v>1</v>
      </c>
      <c r="F304" s="242">
        <f t="shared" si="127"/>
        <v>1</v>
      </c>
      <c r="G304" s="242">
        <f t="shared" si="127"/>
        <v>1</v>
      </c>
      <c r="H304" s="242">
        <f t="shared" si="127"/>
        <v>1</v>
      </c>
      <c r="I304" s="242">
        <f t="shared" si="127"/>
        <v>1</v>
      </c>
      <c r="J304" s="242">
        <f t="shared" si="127"/>
        <v>1</v>
      </c>
      <c r="K304" s="242">
        <f t="shared" si="127"/>
        <v>1</v>
      </c>
      <c r="L304" s="242">
        <f t="shared" si="127"/>
        <v>1</v>
      </c>
      <c r="M304" s="242">
        <f t="shared" si="127"/>
        <v>1</v>
      </c>
      <c r="N304" s="242">
        <f t="shared" si="127"/>
        <v>1</v>
      </c>
      <c r="O304" s="242">
        <f t="shared" si="127"/>
        <v>1</v>
      </c>
      <c r="P304" s="242">
        <f t="shared" si="127"/>
        <v>1</v>
      </c>
      <c r="Q304" s="242">
        <f>SUM(E304:P304)</f>
        <v>12</v>
      </c>
    </row>
    <row r="305" spans="1:17" x14ac:dyDescent="0.2">
      <c r="A305" s="224">
        <f>A304+1</f>
        <v>16</v>
      </c>
      <c r="C305" s="451" t="s">
        <v>576</v>
      </c>
      <c r="E305" s="247">
        <f t="shared" ref="E305:P305" si="128">E1098</f>
        <v>74328</v>
      </c>
      <c r="F305" s="247">
        <f t="shared" si="128"/>
        <v>58680</v>
      </c>
      <c r="G305" s="247">
        <f t="shared" si="128"/>
        <v>70416</v>
      </c>
      <c r="H305" s="247">
        <f t="shared" si="128"/>
        <v>34230</v>
      </c>
      <c r="I305" s="247">
        <f t="shared" si="128"/>
        <v>29340</v>
      </c>
      <c r="J305" s="247">
        <f t="shared" si="128"/>
        <v>29340</v>
      </c>
      <c r="K305" s="247">
        <f t="shared" si="128"/>
        <v>29340</v>
      </c>
      <c r="L305" s="247">
        <f t="shared" si="128"/>
        <v>29340</v>
      </c>
      <c r="M305" s="247">
        <f t="shared" si="128"/>
        <v>34230</v>
      </c>
      <c r="N305" s="247">
        <f t="shared" si="128"/>
        <v>39120</v>
      </c>
      <c r="O305" s="247">
        <f t="shared" si="128"/>
        <v>49878</v>
      </c>
      <c r="P305" s="247">
        <f t="shared" si="128"/>
        <v>63570</v>
      </c>
      <c r="Q305" s="247">
        <f>SUM(E305:P305)</f>
        <v>541812</v>
      </c>
    </row>
    <row r="306" spans="1:17" x14ac:dyDescent="0.2">
      <c r="A306" s="224">
        <f>A305+1</f>
        <v>17</v>
      </c>
      <c r="C306" s="451" t="s">
        <v>221</v>
      </c>
      <c r="E306" s="434">
        <f t="shared" ref="E306:P306" si="129">E1101</f>
        <v>30050.87</v>
      </c>
      <c r="F306" s="434">
        <f t="shared" si="129"/>
        <v>23948.15</v>
      </c>
      <c r="G306" s="434">
        <f t="shared" si="129"/>
        <v>28525.190000000002</v>
      </c>
      <c r="H306" s="434">
        <f t="shared" si="129"/>
        <v>14412.650000000001</v>
      </c>
      <c r="I306" s="434">
        <f t="shared" si="129"/>
        <v>12505.550000000001</v>
      </c>
      <c r="J306" s="434">
        <f t="shared" si="129"/>
        <v>12505.550000000001</v>
      </c>
      <c r="K306" s="434">
        <f t="shared" si="129"/>
        <v>12505.550000000001</v>
      </c>
      <c r="L306" s="434">
        <f t="shared" si="129"/>
        <v>12505.550000000001</v>
      </c>
      <c r="M306" s="434">
        <f t="shared" si="129"/>
        <v>14412.650000000001</v>
      </c>
      <c r="N306" s="434">
        <f t="shared" si="129"/>
        <v>16319.75</v>
      </c>
      <c r="O306" s="434">
        <f t="shared" si="129"/>
        <v>20515.37</v>
      </c>
      <c r="P306" s="434">
        <f t="shared" si="129"/>
        <v>25855.25</v>
      </c>
      <c r="Q306" s="434">
        <f>SUM(E306:P306)</f>
        <v>224062.07999999999</v>
      </c>
    </row>
    <row r="307" spans="1:17" x14ac:dyDescent="0.2">
      <c r="A307" s="224">
        <f>A306+1</f>
        <v>18</v>
      </c>
      <c r="C307" s="451" t="s">
        <v>222</v>
      </c>
      <c r="E307" s="434">
        <f t="shared" ref="E307:P307" si="130">E1103</f>
        <v>0</v>
      </c>
      <c r="F307" s="434">
        <f t="shared" si="130"/>
        <v>0</v>
      </c>
      <c r="G307" s="434">
        <f t="shared" si="130"/>
        <v>0</v>
      </c>
      <c r="H307" s="434">
        <f t="shared" si="130"/>
        <v>0</v>
      </c>
      <c r="I307" s="434">
        <f t="shared" si="130"/>
        <v>0</v>
      </c>
      <c r="J307" s="434">
        <f t="shared" si="130"/>
        <v>0</v>
      </c>
      <c r="K307" s="434">
        <f t="shared" si="130"/>
        <v>0</v>
      </c>
      <c r="L307" s="434">
        <f t="shared" si="130"/>
        <v>0</v>
      </c>
      <c r="M307" s="434">
        <f t="shared" si="130"/>
        <v>0</v>
      </c>
      <c r="N307" s="434">
        <f t="shared" si="130"/>
        <v>0</v>
      </c>
      <c r="O307" s="434">
        <f t="shared" si="130"/>
        <v>0</v>
      </c>
      <c r="P307" s="434">
        <f t="shared" si="130"/>
        <v>0</v>
      </c>
      <c r="Q307" s="434">
        <f>SUM(E307:P307)</f>
        <v>0</v>
      </c>
    </row>
    <row r="308" spans="1:17" x14ac:dyDescent="0.2">
      <c r="A308" s="453">
        <f>A307+1</f>
        <v>19</v>
      </c>
      <c r="B308" s="454"/>
      <c r="C308" s="455" t="s">
        <v>577</v>
      </c>
      <c r="D308" s="456"/>
      <c r="E308" s="457">
        <f t="shared" ref="E308:P308" si="131">E1105</f>
        <v>30050.87</v>
      </c>
      <c r="F308" s="457">
        <f t="shared" si="131"/>
        <v>23948.15</v>
      </c>
      <c r="G308" s="457">
        <f t="shared" si="131"/>
        <v>28525.190000000002</v>
      </c>
      <c r="H308" s="457">
        <f t="shared" si="131"/>
        <v>14412.650000000001</v>
      </c>
      <c r="I308" s="457">
        <f t="shared" si="131"/>
        <v>12505.550000000001</v>
      </c>
      <c r="J308" s="457">
        <f t="shared" si="131"/>
        <v>12505.550000000001</v>
      </c>
      <c r="K308" s="457">
        <f t="shared" si="131"/>
        <v>12505.550000000001</v>
      </c>
      <c r="L308" s="457">
        <f t="shared" si="131"/>
        <v>12505.550000000001</v>
      </c>
      <c r="M308" s="457">
        <f t="shared" si="131"/>
        <v>14412.650000000001</v>
      </c>
      <c r="N308" s="457">
        <f t="shared" si="131"/>
        <v>16319.75</v>
      </c>
      <c r="O308" s="457">
        <f t="shared" si="131"/>
        <v>20515.37</v>
      </c>
      <c r="P308" s="457">
        <f t="shared" si="131"/>
        <v>25855.25</v>
      </c>
      <c r="Q308" s="457">
        <f>SUM(E308:P308)</f>
        <v>224062.07999999999</v>
      </c>
    </row>
    <row r="309" spans="1:17" x14ac:dyDescent="0.2">
      <c r="A309" s="306"/>
      <c r="B309" s="305"/>
      <c r="C309" s="462"/>
      <c r="D309" s="304"/>
      <c r="E309" s="422"/>
      <c r="F309" s="422"/>
      <c r="G309" s="422"/>
      <c r="H309" s="422"/>
      <c r="I309" s="422"/>
      <c r="J309" s="422"/>
      <c r="K309" s="422"/>
      <c r="L309" s="422"/>
      <c r="M309" s="422"/>
      <c r="N309" s="422"/>
      <c r="O309" s="422"/>
      <c r="P309" s="422"/>
      <c r="Q309" s="422"/>
    </row>
    <row r="310" spans="1:17" x14ac:dyDescent="0.2">
      <c r="A310" s="224">
        <f>A308+1</f>
        <v>20</v>
      </c>
      <c r="B310" s="221" t="str">
        <f>Input!A50</f>
        <v>FX2</v>
      </c>
      <c r="C310" s="221" t="str">
        <f>'Sch M 2.1'!B45</f>
        <v>GTS Flex Rate - Commercial</v>
      </c>
      <c r="G310" s="294"/>
      <c r="Q310" s="294"/>
    </row>
    <row r="311" spans="1:17" x14ac:dyDescent="0.2">
      <c r="A311" s="224">
        <f>A310+1</f>
        <v>21</v>
      </c>
      <c r="C311" s="451" t="s">
        <v>219</v>
      </c>
      <c r="E311" s="242">
        <f t="shared" ref="E311:P311" si="132">E1112</f>
        <v>1</v>
      </c>
      <c r="F311" s="242">
        <f t="shared" si="132"/>
        <v>1</v>
      </c>
      <c r="G311" s="242">
        <f t="shared" si="132"/>
        <v>1</v>
      </c>
      <c r="H311" s="242">
        <f t="shared" si="132"/>
        <v>1</v>
      </c>
      <c r="I311" s="242">
        <f t="shared" si="132"/>
        <v>1</v>
      </c>
      <c r="J311" s="242">
        <f t="shared" si="132"/>
        <v>1</v>
      </c>
      <c r="K311" s="242">
        <f t="shared" si="132"/>
        <v>1</v>
      </c>
      <c r="L311" s="242">
        <f t="shared" si="132"/>
        <v>1</v>
      </c>
      <c r="M311" s="242">
        <f t="shared" si="132"/>
        <v>1</v>
      </c>
      <c r="N311" s="242">
        <f t="shared" si="132"/>
        <v>1</v>
      </c>
      <c r="O311" s="242">
        <f t="shared" si="132"/>
        <v>1</v>
      </c>
      <c r="P311" s="242">
        <f t="shared" si="132"/>
        <v>1</v>
      </c>
      <c r="Q311" s="242">
        <f>SUM(E311:P311)</f>
        <v>12</v>
      </c>
    </row>
    <row r="312" spans="1:17" x14ac:dyDescent="0.2">
      <c r="A312" s="224">
        <f>A311+1</f>
        <v>22</v>
      </c>
      <c r="C312" s="451" t="s">
        <v>576</v>
      </c>
      <c r="E312" s="247">
        <f t="shared" ref="E312:P312" si="133">E1116</f>
        <v>44010</v>
      </c>
      <c r="F312" s="247">
        <f t="shared" si="133"/>
        <v>56724</v>
      </c>
      <c r="G312" s="247">
        <f t="shared" si="133"/>
        <v>33252</v>
      </c>
      <c r="H312" s="247">
        <f t="shared" si="133"/>
        <v>47922</v>
      </c>
      <c r="I312" s="247">
        <f t="shared" si="133"/>
        <v>37164</v>
      </c>
      <c r="J312" s="247">
        <f t="shared" si="133"/>
        <v>37164</v>
      </c>
      <c r="K312" s="247">
        <f t="shared" si="133"/>
        <v>39120</v>
      </c>
      <c r="L312" s="247">
        <f t="shared" si="133"/>
        <v>37164</v>
      </c>
      <c r="M312" s="247">
        <f t="shared" si="133"/>
        <v>41076</v>
      </c>
      <c r="N312" s="247">
        <f t="shared" si="133"/>
        <v>50856</v>
      </c>
      <c r="O312" s="247">
        <f t="shared" si="133"/>
        <v>54768</v>
      </c>
      <c r="P312" s="247">
        <f t="shared" si="133"/>
        <v>54768</v>
      </c>
      <c r="Q312" s="247">
        <f>SUM(E312:P312)</f>
        <v>533988</v>
      </c>
    </row>
    <row r="313" spans="1:17" x14ac:dyDescent="0.2">
      <c r="A313" s="224">
        <f>A312+1</f>
        <v>23</v>
      </c>
      <c r="C313" s="451" t="s">
        <v>221</v>
      </c>
      <c r="E313" s="434">
        <f t="shared" ref="E313:P313" si="134">E1119</f>
        <v>18226.850000000002</v>
      </c>
      <c r="F313" s="434">
        <f t="shared" si="134"/>
        <v>23185.31</v>
      </c>
      <c r="G313" s="434">
        <f t="shared" si="134"/>
        <v>14031.230000000001</v>
      </c>
      <c r="H313" s="434">
        <f t="shared" si="134"/>
        <v>19752.530000000002</v>
      </c>
      <c r="I313" s="434">
        <f t="shared" si="134"/>
        <v>15556.91</v>
      </c>
      <c r="J313" s="434">
        <f t="shared" si="134"/>
        <v>15556.91</v>
      </c>
      <c r="K313" s="434">
        <f t="shared" si="134"/>
        <v>16319.75</v>
      </c>
      <c r="L313" s="434">
        <f t="shared" si="134"/>
        <v>15556.91</v>
      </c>
      <c r="M313" s="434">
        <f t="shared" si="134"/>
        <v>17082.59</v>
      </c>
      <c r="N313" s="434">
        <f t="shared" si="134"/>
        <v>20896.79</v>
      </c>
      <c r="O313" s="434">
        <f t="shared" si="134"/>
        <v>22422.47</v>
      </c>
      <c r="P313" s="434">
        <f t="shared" si="134"/>
        <v>22422.47</v>
      </c>
      <c r="Q313" s="434">
        <f>SUM(E313:P313)</f>
        <v>221010.72000000003</v>
      </c>
    </row>
    <row r="314" spans="1:17" x14ac:dyDescent="0.2">
      <c r="A314" s="224">
        <f>A313+1</f>
        <v>24</v>
      </c>
      <c r="C314" s="451" t="s">
        <v>222</v>
      </c>
      <c r="E314" s="434">
        <f t="shared" ref="E314:P314" si="135">E1121</f>
        <v>0</v>
      </c>
      <c r="F314" s="434">
        <f t="shared" si="135"/>
        <v>0</v>
      </c>
      <c r="G314" s="434">
        <f t="shared" si="135"/>
        <v>0</v>
      </c>
      <c r="H314" s="434">
        <f t="shared" si="135"/>
        <v>0</v>
      </c>
      <c r="I314" s="434">
        <f t="shared" si="135"/>
        <v>0</v>
      </c>
      <c r="J314" s="434">
        <f t="shared" si="135"/>
        <v>0</v>
      </c>
      <c r="K314" s="434">
        <f t="shared" si="135"/>
        <v>0</v>
      </c>
      <c r="L314" s="434">
        <f t="shared" si="135"/>
        <v>0</v>
      </c>
      <c r="M314" s="434">
        <f t="shared" si="135"/>
        <v>0</v>
      </c>
      <c r="N314" s="434">
        <f t="shared" si="135"/>
        <v>0</v>
      </c>
      <c r="O314" s="434">
        <f t="shared" si="135"/>
        <v>0</v>
      </c>
      <c r="P314" s="434">
        <f t="shared" si="135"/>
        <v>0</v>
      </c>
      <c r="Q314" s="434">
        <f>SUM(E314:P314)</f>
        <v>0</v>
      </c>
    </row>
    <row r="315" spans="1:17" x14ac:dyDescent="0.2">
      <c r="A315" s="453">
        <f>A314+1</f>
        <v>25</v>
      </c>
      <c r="B315" s="454"/>
      <c r="C315" s="455" t="s">
        <v>577</v>
      </c>
      <c r="D315" s="456"/>
      <c r="E315" s="457">
        <f t="shared" ref="E315:P315" si="136">E1123</f>
        <v>18226.850000000002</v>
      </c>
      <c r="F315" s="457">
        <f t="shared" si="136"/>
        <v>23185.31</v>
      </c>
      <c r="G315" s="457">
        <f t="shared" si="136"/>
        <v>14031.230000000001</v>
      </c>
      <c r="H315" s="457">
        <f t="shared" si="136"/>
        <v>19752.530000000002</v>
      </c>
      <c r="I315" s="457">
        <f t="shared" si="136"/>
        <v>15556.91</v>
      </c>
      <c r="J315" s="457">
        <f t="shared" si="136"/>
        <v>15556.91</v>
      </c>
      <c r="K315" s="457">
        <f t="shared" si="136"/>
        <v>16319.75</v>
      </c>
      <c r="L315" s="457">
        <f t="shared" si="136"/>
        <v>15556.91</v>
      </c>
      <c r="M315" s="457">
        <f t="shared" si="136"/>
        <v>17082.59</v>
      </c>
      <c r="N315" s="457">
        <f t="shared" si="136"/>
        <v>20896.79</v>
      </c>
      <c r="O315" s="457">
        <f t="shared" si="136"/>
        <v>22422.47</v>
      </c>
      <c r="P315" s="457">
        <f t="shared" si="136"/>
        <v>22422.47</v>
      </c>
      <c r="Q315" s="457">
        <f>SUM(E315:P315)</f>
        <v>221010.72000000003</v>
      </c>
    </row>
    <row r="317" spans="1:17" x14ac:dyDescent="0.2">
      <c r="A317" s="224">
        <f>A315+1</f>
        <v>26</v>
      </c>
      <c r="B317" s="221" t="str">
        <f>Input!A51</f>
        <v>FX5</v>
      </c>
      <c r="C317" s="221" t="str">
        <f>'Sch M 2.1'!B46</f>
        <v>GTS Flex Rate - Industrial</v>
      </c>
      <c r="G317" s="294"/>
      <c r="Q317" s="294"/>
    </row>
    <row r="318" spans="1:17" x14ac:dyDescent="0.2">
      <c r="A318" s="224">
        <f>A317+1</f>
        <v>27</v>
      </c>
      <c r="C318" s="451" t="s">
        <v>219</v>
      </c>
      <c r="E318" s="242">
        <f t="shared" ref="E318:P318" si="137">E1146</f>
        <v>3</v>
      </c>
      <c r="F318" s="242">
        <f t="shared" si="137"/>
        <v>3</v>
      </c>
      <c r="G318" s="242">
        <f t="shared" si="137"/>
        <v>3</v>
      </c>
      <c r="H318" s="242">
        <f t="shared" si="137"/>
        <v>3</v>
      </c>
      <c r="I318" s="242">
        <f t="shared" si="137"/>
        <v>3</v>
      </c>
      <c r="J318" s="242">
        <f t="shared" si="137"/>
        <v>3</v>
      </c>
      <c r="K318" s="242">
        <f t="shared" si="137"/>
        <v>3</v>
      </c>
      <c r="L318" s="242">
        <f t="shared" si="137"/>
        <v>3</v>
      </c>
      <c r="M318" s="242">
        <f t="shared" si="137"/>
        <v>3</v>
      </c>
      <c r="N318" s="242">
        <f t="shared" si="137"/>
        <v>3</v>
      </c>
      <c r="O318" s="242">
        <f t="shared" si="137"/>
        <v>3</v>
      </c>
      <c r="P318" s="242">
        <f t="shared" si="137"/>
        <v>3</v>
      </c>
      <c r="Q318" s="242">
        <f>SUM(E318:P318)</f>
        <v>36</v>
      </c>
    </row>
    <row r="319" spans="1:17" x14ac:dyDescent="0.2">
      <c r="A319" s="224">
        <f>A318+1</f>
        <v>28</v>
      </c>
      <c r="C319" s="451" t="s">
        <v>576</v>
      </c>
      <c r="E319" s="247">
        <f t="shared" ref="E319:P319" si="138">E1150</f>
        <v>411738</v>
      </c>
      <c r="F319" s="247">
        <f t="shared" si="138"/>
        <v>369684</v>
      </c>
      <c r="G319" s="247">
        <f t="shared" si="138"/>
        <v>397068</v>
      </c>
      <c r="H319" s="247">
        <f t="shared" si="138"/>
        <v>381420</v>
      </c>
      <c r="I319" s="247">
        <f t="shared" si="138"/>
        <v>392178</v>
      </c>
      <c r="J319" s="247">
        <f t="shared" si="138"/>
        <v>381420</v>
      </c>
      <c r="K319" s="247">
        <f t="shared" si="138"/>
        <v>392178</v>
      </c>
      <c r="L319" s="247">
        <f t="shared" si="138"/>
        <v>392178</v>
      </c>
      <c r="M319" s="247">
        <f t="shared" si="138"/>
        <v>381420</v>
      </c>
      <c r="N319" s="247">
        <f t="shared" si="138"/>
        <v>397068</v>
      </c>
      <c r="O319" s="247">
        <f t="shared" si="138"/>
        <v>391200</v>
      </c>
      <c r="P319" s="247">
        <f t="shared" si="138"/>
        <v>401958</v>
      </c>
      <c r="Q319" s="247">
        <f>SUM(E319:P319)</f>
        <v>4689510</v>
      </c>
    </row>
    <row r="320" spans="1:17" x14ac:dyDescent="0.2">
      <c r="A320" s="224">
        <f>A319+1</f>
        <v>29</v>
      </c>
      <c r="C320" s="451" t="s">
        <v>221</v>
      </c>
      <c r="E320" s="434">
        <f t="shared" ref="E320:P320" si="139">E1153</f>
        <v>36094.82</v>
      </c>
      <c r="F320" s="434">
        <f t="shared" si="139"/>
        <v>32486.59</v>
      </c>
      <c r="G320" s="434">
        <f t="shared" si="139"/>
        <v>34836.129999999997</v>
      </c>
      <c r="H320" s="434">
        <f t="shared" si="139"/>
        <v>33493.54</v>
      </c>
      <c r="I320" s="434">
        <f t="shared" si="139"/>
        <v>34416.57</v>
      </c>
      <c r="J320" s="434">
        <f t="shared" si="139"/>
        <v>33493.54</v>
      </c>
      <c r="K320" s="434">
        <f t="shared" si="139"/>
        <v>34416.57</v>
      </c>
      <c r="L320" s="434">
        <f t="shared" si="139"/>
        <v>34416.57</v>
      </c>
      <c r="M320" s="434">
        <f t="shared" si="139"/>
        <v>33493.54</v>
      </c>
      <c r="N320" s="434">
        <f t="shared" si="139"/>
        <v>34836.129999999997</v>
      </c>
      <c r="O320" s="434">
        <f t="shared" si="139"/>
        <v>34332.659999999996</v>
      </c>
      <c r="P320" s="434">
        <f t="shared" si="139"/>
        <v>35255.699999999997</v>
      </c>
      <c r="Q320" s="434">
        <f>SUM(E320:P320)</f>
        <v>411572.36</v>
      </c>
    </row>
    <row r="321" spans="1:18" x14ac:dyDescent="0.2">
      <c r="A321" s="224">
        <f>A320+1</f>
        <v>30</v>
      </c>
      <c r="C321" s="451" t="s">
        <v>222</v>
      </c>
      <c r="E321" s="434">
        <f t="shared" ref="E321:P321" si="140">E1155</f>
        <v>0</v>
      </c>
      <c r="F321" s="434">
        <f t="shared" si="140"/>
        <v>0</v>
      </c>
      <c r="G321" s="434">
        <f t="shared" si="140"/>
        <v>0</v>
      </c>
      <c r="H321" s="434">
        <f t="shared" si="140"/>
        <v>0</v>
      </c>
      <c r="I321" s="434">
        <f t="shared" si="140"/>
        <v>0</v>
      </c>
      <c r="J321" s="434">
        <f t="shared" si="140"/>
        <v>0</v>
      </c>
      <c r="K321" s="434">
        <f t="shared" si="140"/>
        <v>0</v>
      </c>
      <c r="L321" s="434">
        <f t="shared" si="140"/>
        <v>0</v>
      </c>
      <c r="M321" s="434">
        <f t="shared" si="140"/>
        <v>0</v>
      </c>
      <c r="N321" s="434">
        <f t="shared" si="140"/>
        <v>0</v>
      </c>
      <c r="O321" s="434">
        <f t="shared" si="140"/>
        <v>0</v>
      </c>
      <c r="P321" s="434">
        <f t="shared" si="140"/>
        <v>0</v>
      </c>
      <c r="Q321" s="434">
        <f>SUM(E321:P321)</f>
        <v>0</v>
      </c>
    </row>
    <row r="322" spans="1:18" x14ac:dyDescent="0.2">
      <c r="A322" s="453">
        <f>A321+1</f>
        <v>31</v>
      </c>
      <c r="B322" s="454"/>
      <c r="C322" s="455" t="s">
        <v>577</v>
      </c>
      <c r="D322" s="456"/>
      <c r="E322" s="457">
        <f t="shared" ref="E322:P322" si="141">E1157</f>
        <v>36094.82</v>
      </c>
      <c r="F322" s="457">
        <f t="shared" si="141"/>
        <v>32486.59</v>
      </c>
      <c r="G322" s="457">
        <f t="shared" si="141"/>
        <v>34836.129999999997</v>
      </c>
      <c r="H322" s="457">
        <f t="shared" si="141"/>
        <v>33493.54</v>
      </c>
      <c r="I322" s="457">
        <f t="shared" si="141"/>
        <v>34416.57</v>
      </c>
      <c r="J322" s="457">
        <f t="shared" si="141"/>
        <v>33493.54</v>
      </c>
      <c r="K322" s="457">
        <f t="shared" si="141"/>
        <v>34416.57</v>
      </c>
      <c r="L322" s="457">
        <f t="shared" si="141"/>
        <v>34416.57</v>
      </c>
      <c r="M322" s="457">
        <f t="shared" si="141"/>
        <v>33493.54</v>
      </c>
      <c r="N322" s="457">
        <f t="shared" si="141"/>
        <v>34836.129999999997</v>
      </c>
      <c r="O322" s="457">
        <f t="shared" si="141"/>
        <v>34332.659999999996</v>
      </c>
      <c r="P322" s="457">
        <f t="shared" si="141"/>
        <v>35255.699999999997</v>
      </c>
      <c r="Q322" s="457">
        <f>SUM(E322:P322)</f>
        <v>411572.36</v>
      </c>
    </row>
    <row r="323" spans="1:18" x14ac:dyDescent="0.2">
      <c r="G323" s="294"/>
      <c r="Q323" s="294"/>
    </row>
    <row r="324" spans="1:18" x14ac:dyDescent="0.2">
      <c r="A324" s="224">
        <f>A322+1</f>
        <v>32</v>
      </c>
      <c r="B324" s="221" t="str">
        <f>Input!A52</f>
        <v>FX7</v>
      </c>
      <c r="C324" s="221" t="str">
        <f>'Sch M 2.1'!B47</f>
        <v>GTS Flex Rate - Industrial</v>
      </c>
      <c r="D324" s="290"/>
      <c r="E324" s="224"/>
      <c r="F324" s="292"/>
      <c r="G324" s="292"/>
      <c r="H324" s="292"/>
      <c r="I324" s="297"/>
      <c r="J324" s="292"/>
      <c r="K324" s="292"/>
      <c r="L324" s="292"/>
      <c r="M324" s="292"/>
      <c r="N324" s="292"/>
      <c r="O324" s="292"/>
      <c r="P324" s="292"/>
      <c r="Q324" s="292"/>
      <c r="R324" s="224"/>
    </row>
    <row r="325" spans="1:18" x14ac:dyDescent="0.2">
      <c r="A325" s="224">
        <f>A324+1</f>
        <v>33</v>
      </c>
      <c r="C325" s="451" t="s">
        <v>219</v>
      </c>
      <c r="D325" s="290"/>
      <c r="E325" s="290">
        <f t="shared" ref="E325:P325" si="142">E1164</f>
        <v>1</v>
      </c>
      <c r="F325" s="290">
        <f t="shared" si="142"/>
        <v>1</v>
      </c>
      <c r="G325" s="290">
        <f t="shared" si="142"/>
        <v>1</v>
      </c>
      <c r="H325" s="290">
        <f t="shared" si="142"/>
        <v>1</v>
      </c>
      <c r="I325" s="290">
        <f t="shared" si="142"/>
        <v>1</v>
      </c>
      <c r="J325" s="290">
        <f t="shared" si="142"/>
        <v>1</v>
      </c>
      <c r="K325" s="290">
        <f t="shared" si="142"/>
        <v>1</v>
      </c>
      <c r="L325" s="290">
        <f t="shared" si="142"/>
        <v>1</v>
      </c>
      <c r="M325" s="290">
        <f t="shared" si="142"/>
        <v>1</v>
      </c>
      <c r="N325" s="290">
        <f t="shared" si="142"/>
        <v>1</v>
      </c>
      <c r="O325" s="290">
        <f t="shared" si="142"/>
        <v>1</v>
      </c>
      <c r="P325" s="290">
        <f t="shared" si="142"/>
        <v>1</v>
      </c>
      <c r="Q325" s="242">
        <f>SUM(E325:P325)</f>
        <v>12</v>
      </c>
      <c r="R325" s="224"/>
    </row>
    <row r="326" spans="1:18" x14ac:dyDescent="0.2">
      <c r="A326" s="224">
        <f>A325+1</f>
        <v>34</v>
      </c>
      <c r="C326" s="451" t="s">
        <v>576</v>
      </c>
      <c r="D326" s="290"/>
      <c r="E326" s="297">
        <f t="shared" ref="E326:P326" si="143">E1171</f>
        <v>43107</v>
      </c>
      <c r="F326" s="297">
        <f t="shared" si="143"/>
        <v>25808</v>
      </c>
      <c r="G326" s="297">
        <f t="shared" si="143"/>
        <v>29340</v>
      </c>
      <c r="H326" s="297">
        <f t="shared" si="143"/>
        <v>29340</v>
      </c>
      <c r="I326" s="297">
        <f t="shared" si="143"/>
        <v>29340</v>
      </c>
      <c r="J326" s="297">
        <f t="shared" si="143"/>
        <v>29340</v>
      </c>
      <c r="K326" s="297">
        <f t="shared" si="143"/>
        <v>29340</v>
      </c>
      <c r="L326" s="297">
        <f t="shared" si="143"/>
        <v>29340</v>
      </c>
      <c r="M326" s="297">
        <f t="shared" si="143"/>
        <v>44010</v>
      </c>
      <c r="N326" s="297">
        <f t="shared" si="143"/>
        <v>44010</v>
      </c>
      <c r="O326" s="297">
        <f t="shared" si="143"/>
        <v>38685</v>
      </c>
      <c r="P326" s="297">
        <f t="shared" si="143"/>
        <v>39099</v>
      </c>
      <c r="Q326" s="247">
        <f>SUM(E326:P326)</f>
        <v>410759</v>
      </c>
      <c r="R326" s="224"/>
    </row>
    <row r="327" spans="1:18" x14ac:dyDescent="0.2">
      <c r="A327" s="224">
        <f>A326+1</f>
        <v>35</v>
      </c>
      <c r="C327" s="451" t="s">
        <v>221</v>
      </c>
      <c r="D327" s="290"/>
      <c r="E327" s="434">
        <f t="shared" ref="E327:P327" si="144">E1177</f>
        <v>18201.84</v>
      </c>
      <c r="F327" s="434">
        <f t="shared" si="144"/>
        <v>13531.11</v>
      </c>
      <c r="G327" s="434">
        <f t="shared" si="144"/>
        <v>14484.75</v>
      </c>
      <c r="H327" s="434">
        <f t="shared" si="144"/>
        <v>14484.75</v>
      </c>
      <c r="I327" s="434">
        <f t="shared" si="144"/>
        <v>14484.75</v>
      </c>
      <c r="J327" s="434">
        <f t="shared" si="144"/>
        <v>14484.75</v>
      </c>
      <c r="K327" s="434">
        <f t="shared" si="144"/>
        <v>14484.75</v>
      </c>
      <c r="L327" s="434">
        <f t="shared" si="144"/>
        <v>14484.75</v>
      </c>
      <c r="M327" s="434">
        <f t="shared" si="144"/>
        <v>18445.650000000001</v>
      </c>
      <c r="N327" s="434">
        <f t="shared" si="144"/>
        <v>18445.650000000001</v>
      </c>
      <c r="O327" s="434">
        <f t="shared" si="144"/>
        <v>17007.900000000001</v>
      </c>
      <c r="P327" s="434">
        <f t="shared" si="144"/>
        <v>17119.68</v>
      </c>
      <c r="Q327" s="434">
        <f>SUM(E327:P327)</f>
        <v>189660.33</v>
      </c>
      <c r="R327" s="224"/>
    </row>
    <row r="328" spans="1:18" x14ac:dyDescent="0.2">
      <c r="A328" s="224">
        <f>A327+1</f>
        <v>36</v>
      </c>
      <c r="C328" s="451" t="s">
        <v>222</v>
      </c>
      <c r="D328" s="290"/>
      <c r="E328" s="434">
        <f t="shared" ref="E328:P328" si="145">E1179</f>
        <v>0</v>
      </c>
      <c r="F328" s="434">
        <f t="shared" si="145"/>
        <v>0</v>
      </c>
      <c r="G328" s="434">
        <f t="shared" si="145"/>
        <v>0</v>
      </c>
      <c r="H328" s="434">
        <f t="shared" si="145"/>
        <v>0</v>
      </c>
      <c r="I328" s="434">
        <f t="shared" si="145"/>
        <v>0</v>
      </c>
      <c r="J328" s="434">
        <f t="shared" si="145"/>
        <v>0</v>
      </c>
      <c r="K328" s="434">
        <f t="shared" si="145"/>
        <v>0</v>
      </c>
      <c r="L328" s="434">
        <f t="shared" si="145"/>
        <v>0</v>
      </c>
      <c r="M328" s="434">
        <f t="shared" si="145"/>
        <v>0</v>
      </c>
      <c r="N328" s="434">
        <f t="shared" si="145"/>
        <v>0</v>
      </c>
      <c r="O328" s="434">
        <f t="shared" si="145"/>
        <v>0</v>
      </c>
      <c r="P328" s="434">
        <f t="shared" si="145"/>
        <v>0</v>
      </c>
      <c r="Q328" s="434">
        <f>SUM(E328:P328)</f>
        <v>0</v>
      </c>
      <c r="R328" s="224"/>
    </row>
    <row r="329" spans="1:18" x14ac:dyDescent="0.2">
      <c r="A329" s="453">
        <f>A328+1</f>
        <v>37</v>
      </c>
      <c r="B329" s="454"/>
      <c r="C329" s="455" t="s">
        <v>577</v>
      </c>
      <c r="D329" s="468"/>
      <c r="E329" s="457">
        <f t="shared" ref="E329:P329" si="146">E1181</f>
        <v>18201.84</v>
      </c>
      <c r="F329" s="457">
        <f t="shared" si="146"/>
        <v>13531.11</v>
      </c>
      <c r="G329" s="457">
        <f t="shared" si="146"/>
        <v>14484.75</v>
      </c>
      <c r="H329" s="457">
        <f t="shared" si="146"/>
        <v>14484.75</v>
      </c>
      <c r="I329" s="457">
        <f t="shared" si="146"/>
        <v>14484.75</v>
      </c>
      <c r="J329" s="457">
        <f t="shared" si="146"/>
        <v>14484.75</v>
      </c>
      <c r="K329" s="457">
        <f t="shared" si="146"/>
        <v>14484.75</v>
      </c>
      <c r="L329" s="457">
        <f t="shared" si="146"/>
        <v>14484.75</v>
      </c>
      <c r="M329" s="457">
        <f t="shared" si="146"/>
        <v>18445.650000000001</v>
      </c>
      <c r="N329" s="457">
        <f t="shared" si="146"/>
        <v>18445.650000000001</v>
      </c>
      <c r="O329" s="457">
        <f t="shared" si="146"/>
        <v>17007.900000000001</v>
      </c>
      <c r="P329" s="457">
        <f t="shared" si="146"/>
        <v>17119.68</v>
      </c>
      <c r="Q329" s="457">
        <f>SUM(E329:P329)</f>
        <v>189660.33</v>
      </c>
      <c r="R329" s="224"/>
    </row>
    <row r="330" spans="1:18" x14ac:dyDescent="0.2">
      <c r="A330" s="306"/>
      <c r="B330" s="305"/>
      <c r="C330" s="462"/>
      <c r="D330" s="308"/>
      <c r="E330" s="493"/>
      <c r="F330" s="493"/>
      <c r="G330" s="493"/>
      <c r="H330" s="493"/>
      <c r="I330" s="493"/>
      <c r="J330" s="493"/>
      <c r="K330" s="493"/>
      <c r="L330" s="493"/>
      <c r="M330" s="493"/>
      <c r="N330" s="493"/>
      <c r="O330" s="493"/>
      <c r="P330" s="493"/>
      <c r="Q330" s="493"/>
      <c r="R330" s="224"/>
    </row>
    <row r="331" spans="1:18" x14ac:dyDescent="0.2">
      <c r="A331" s="306"/>
      <c r="B331" s="305"/>
      <c r="C331" s="462"/>
      <c r="D331" s="308"/>
      <c r="E331" s="493"/>
      <c r="F331" s="493"/>
      <c r="G331" s="493"/>
      <c r="H331" s="493"/>
      <c r="I331" s="493"/>
      <c r="J331" s="493"/>
      <c r="K331" s="493"/>
      <c r="L331" s="493"/>
      <c r="M331" s="493"/>
      <c r="N331" s="493"/>
      <c r="O331" s="493"/>
      <c r="P331" s="493"/>
      <c r="Q331" s="493"/>
      <c r="R331" s="224"/>
    </row>
    <row r="332" spans="1:18" x14ac:dyDescent="0.2">
      <c r="A332" s="224" t="str">
        <f>$A$108</f>
        <v>[1] Reflects Normalized Volumes.</v>
      </c>
      <c r="B332" s="305"/>
      <c r="C332" s="462"/>
      <c r="D332" s="308"/>
      <c r="E332" s="493"/>
      <c r="F332" s="493"/>
      <c r="G332" s="493"/>
      <c r="H332" s="493"/>
      <c r="I332" s="493"/>
      <c r="J332" s="493"/>
      <c r="K332" s="493"/>
      <c r="L332" s="493"/>
      <c r="M332" s="493"/>
      <c r="N332" s="493"/>
      <c r="O332" s="493"/>
      <c r="P332" s="493"/>
      <c r="Q332" s="493"/>
      <c r="R332" s="224"/>
    </row>
    <row r="333" spans="1:18" x14ac:dyDescent="0.2">
      <c r="A333" s="467" t="str">
        <f>$A$109</f>
        <v>[2] See Schedule M-2.2 Pages 8 through 21 for detail.</v>
      </c>
      <c r="B333" s="305"/>
      <c r="C333" s="462"/>
      <c r="D333" s="308"/>
      <c r="E333" s="493"/>
      <c r="F333" s="493"/>
      <c r="G333" s="493"/>
      <c r="H333" s="493"/>
      <c r="I333" s="493"/>
      <c r="J333" s="493"/>
      <c r="K333" s="493"/>
      <c r="L333" s="493"/>
      <c r="M333" s="493"/>
      <c r="N333" s="493"/>
      <c r="O333" s="493"/>
      <c r="P333" s="493"/>
      <c r="Q333" s="493"/>
      <c r="R333" s="224"/>
    </row>
    <row r="334" spans="1:18" x14ac:dyDescent="0.2">
      <c r="A334" s="887" t="str">
        <f>CONAME</f>
        <v>Columbia Gas of Kentucky, Inc.</v>
      </c>
      <c r="B334" s="887"/>
      <c r="C334" s="887"/>
      <c r="D334" s="887"/>
      <c r="E334" s="887"/>
      <c r="F334" s="887"/>
      <c r="G334" s="887"/>
      <c r="H334" s="887"/>
      <c r="I334" s="887"/>
      <c r="J334" s="887"/>
      <c r="K334" s="887"/>
      <c r="L334" s="887"/>
      <c r="M334" s="887"/>
      <c r="N334" s="887"/>
      <c r="O334" s="887"/>
      <c r="P334" s="887"/>
      <c r="Q334" s="887"/>
      <c r="R334" s="224"/>
    </row>
    <row r="335" spans="1:18" x14ac:dyDescent="0.2">
      <c r="A335" s="875" t="str">
        <f>case</f>
        <v>Case No. 2016-00162</v>
      </c>
      <c r="B335" s="875"/>
      <c r="C335" s="875"/>
      <c r="D335" s="875"/>
      <c r="E335" s="875"/>
      <c r="F335" s="875"/>
      <c r="G335" s="875"/>
      <c r="H335" s="875"/>
      <c r="I335" s="875"/>
      <c r="J335" s="875"/>
      <c r="K335" s="875"/>
      <c r="L335" s="875"/>
      <c r="M335" s="875"/>
      <c r="N335" s="875"/>
      <c r="O335" s="875"/>
      <c r="P335" s="875"/>
      <c r="Q335" s="875"/>
      <c r="R335" s="224"/>
    </row>
    <row r="336" spans="1:18" x14ac:dyDescent="0.2">
      <c r="A336" s="888" t="s">
        <v>503</v>
      </c>
      <c r="B336" s="888"/>
      <c r="C336" s="888"/>
      <c r="D336" s="888"/>
      <c r="E336" s="888"/>
      <c r="F336" s="888"/>
      <c r="G336" s="888"/>
      <c r="H336" s="888"/>
      <c r="I336" s="888"/>
      <c r="J336" s="888"/>
      <c r="K336" s="888"/>
      <c r="L336" s="888"/>
      <c r="M336" s="888"/>
      <c r="N336" s="888"/>
      <c r="O336" s="888"/>
      <c r="P336" s="888"/>
      <c r="Q336" s="888"/>
      <c r="R336" s="224"/>
    </row>
    <row r="337" spans="1:18" x14ac:dyDescent="0.2">
      <c r="A337" s="887" t="str">
        <f>TYDESC</f>
        <v>For the 12 Months Ended December 31, 2017</v>
      </c>
      <c r="B337" s="887"/>
      <c r="C337" s="887"/>
      <c r="D337" s="887"/>
      <c r="E337" s="887"/>
      <c r="F337" s="887"/>
      <c r="G337" s="887"/>
      <c r="H337" s="887"/>
      <c r="I337" s="887"/>
      <c r="J337" s="887"/>
      <c r="K337" s="887"/>
      <c r="L337" s="887"/>
      <c r="M337" s="887"/>
      <c r="N337" s="887"/>
      <c r="O337" s="887"/>
      <c r="P337" s="887"/>
      <c r="Q337" s="887"/>
      <c r="R337" s="224"/>
    </row>
    <row r="338" spans="1:18" x14ac:dyDescent="0.2">
      <c r="A338" s="885" t="s">
        <v>39</v>
      </c>
      <c r="B338" s="885"/>
      <c r="C338" s="885"/>
      <c r="D338" s="885"/>
      <c r="E338" s="885"/>
      <c r="F338" s="885"/>
      <c r="G338" s="885"/>
      <c r="H338" s="885"/>
      <c r="I338" s="885"/>
      <c r="J338" s="885"/>
      <c r="K338" s="885"/>
      <c r="L338" s="885"/>
      <c r="M338" s="885"/>
      <c r="N338" s="885"/>
      <c r="O338" s="885"/>
      <c r="P338" s="885"/>
      <c r="Q338" s="885"/>
      <c r="R338" s="224"/>
    </row>
    <row r="339" spans="1:18" x14ac:dyDescent="0.2">
      <c r="A339" s="266" t="str">
        <f>$A$52</f>
        <v>Data: __ Base Period _X_ Forecasted Period</v>
      </c>
      <c r="R339" s="224"/>
    </row>
    <row r="340" spans="1:18" x14ac:dyDescent="0.2">
      <c r="A340" s="266" t="str">
        <f>$A$53</f>
        <v>Type of Filing: X Original _ Update _ Revised</v>
      </c>
      <c r="Q340" s="420" t="str">
        <f>$Q$53</f>
        <v>Schedule M-2.2</v>
      </c>
      <c r="R340" s="224"/>
    </row>
    <row r="341" spans="1:18" x14ac:dyDescent="0.2">
      <c r="A341" s="266" t="str">
        <f>$A$54</f>
        <v>Work Paper Reference No(s):</v>
      </c>
      <c r="Q341" s="420" t="s">
        <v>524</v>
      </c>
      <c r="R341" s="224"/>
    </row>
    <row r="342" spans="1:18" x14ac:dyDescent="0.2">
      <c r="A342" s="421" t="str">
        <f>$A$55</f>
        <v>12 Months Forecasted</v>
      </c>
      <c r="Q342" s="420" t="str">
        <f>Witness</f>
        <v>Witness:  M. J. Bell</v>
      </c>
      <c r="R342" s="224"/>
    </row>
    <row r="343" spans="1:18" x14ac:dyDescent="0.2">
      <c r="A343" s="886" t="s">
        <v>194</v>
      </c>
      <c r="B343" s="886"/>
      <c r="C343" s="886"/>
      <c r="D343" s="886"/>
      <c r="E343" s="886"/>
      <c r="F343" s="886"/>
      <c r="G343" s="886"/>
      <c r="H343" s="886"/>
      <c r="I343" s="886"/>
      <c r="J343" s="886"/>
      <c r="K343" s="886"/>
      <c r="L343" s="886"/>
      <c r="M343" s="886"/>
      <c r="N343" s="886"/>
      <c r="O343" s="886"/>
      <c r="P343" s="886"/>
      <c r="Q343" s="886"/>
      <c r="R343" s="224"/>
    </row>
    <row r="344" spans="1:18" x14ac:dyDescent="0.2">
      <c r="A344" s="440"/>
      <c r="B344" s="305"/>
      <c r="C344" s="305"/>
      <c r="D344" s="304"/>
      <c r="E344" s="305"/>
      <c r="F344" s="422"/>
      <c r="G344" s="442"/>
      <c r="H344" s="422"/>
      <c r="I344" s="443"/>
      <c r="J344" s="422"/>
      <c r="K344" s="422"/>
      <c r="L344" s="422"/>
      <c r="M344" s="422"/>
      <c r="N344" s="422"/>
      <c r="O344" s="422"/>
      <c r="P344" s="422"/>
      <c r="Q344" s="305"/>
      <c r="R344" s="224"/>
    </row>
    <row r="345" spans="1:18" x14ac:dyDescent="0.2">
      <c r="A345" s="798" t="s">
        <v>1</v>
      </c>
      <c r="B345" s="800" t="s">
        <v>0</v>
      </c>
      <c r="C345" s="800" t="s">
        <v>41</v>
      </c>
      <c r="D345" s="803" t="s">
        <v>47</v>
      </c>
      <c r="E345" s="800"/>
      <c r="F345" s="424"/>
      <c r="G345" s="425"/>
      <c r="H345" s="424"/>
      <c r="I345" s="802"/>
      <c r="J345" s="424"/>
      <c r="K345" s="424"/>
      <c r="L345" s="424"/>
      <c r="M345" s="424"/>
      <c r="N345" s="424"/>
      <c r="O345" s="424"/>
      <c r="P345" s="424"/>
      <c r="Q345" s="801"/>
      <c r="R345" s="224"/>
    </row>
    <row r="346" spans="1:18" x14ac:dyDescent="0.2">
      <c r="A346" s="285" t="s">
        <v>3</v>
      </c>
      <c r="B346" s="228" t="s">
        <v>40</v>
      </c>
      <c r="C346" s="228" t="s">
        <v>4</v>
      </c>
      <c r="D346" s="427" t="s">
        <v>48</v>
      </c>
      <c r="E346" s="428" t="str">
        <f>B!$D$11</f>
        <v>Jan-17</v>
      </c>
      <c r="F346" s="428" t="str">
        <f>B!$E$11</f>
        <v>Feb-17</v>
      </c>
      <c r="G346" s="428" t="str">
        <f>B!$F$11</f>
        <v>Mar-17</v>
      </c>
      <c r="H346" s="428" t="str">
        <f>B!$G$11</f>
        <v>Apr-17</v>
      </c>
      <c r="I346" s="428" t="str">
        <f>B!$H$11</f>
        <v>May-17</v>
      </c>
      <c r="J346" s="428" t="str">
        <f>B!$I$11</f>
        <v>Jun-17</v>
      </c>
      <c r="K346" s="428" t="str">
        <f>B!$J$11</f>
        <v>Jul-17</v>
      </c>
      <c r="L346" s="428" t="str">
        <f>B!$K$11</f>
        <v>Aug-17</v>
      </c>
      <c r="M346" s="428" t="str">
        <f>B!$L$11</f>
        <v>Sep-17</v>
      </c>
      <c r="N346" s="428" t="str">
        <f>B!$M$11</f>
        <v>Oct-17</v>
      </c>
      <c r="O346" s="428" t="str">
        <f>B!$N$11</f>
        <v>Nov-17</v>
      </c>
      <c r="P346" s="428" t="str">
        <f>B!$O$11</f>
        <v>Dec-17</v>
      </c>
      <c r="Q346" s="429" t="s">
        <v>9</v>
      </c>
      <c r="R346" s="224"/>
    </row>
    <row r="347" spans="1:18" x14ac:dyDescent="0.2">
      <c r="A347" s="798"/>
      <c r="B347" s="801" t="s">
        <v>42</v>
      </c>
      <c r="C347" s="801" t="s">
        <v>43</v>
      </c>
      <c r="D347" s="430" t="s">
        <v>45</v>
      </c>
      <c r="E347" s="431" t="s">
        <v>46</v>
      </c>
      <c r="F347" s="431" t="s">
        <v>49</v>
      </c>
      <c r="G347" s="431" t="s">
        <v>50</v>
      </c>
      <c r="H347" s="431" t="s">
        <v>51</v>
      </c>
      <c r="I347" s="431" t="s">
        <v>52</v>
      </c>
      <c r="J347" s="431" t="s">
        <v>53</v>
      </c>
      <c r="K347" s="432" t="s">
        <v>54</v>
      </c>
      <c r="L347" s="432" t="s">
        <v>55</v>
      </c>
      <c r="M347" s="432" t="s">
        <v>56</v>
      </c>
      <c r="N347" s="432" t="s">
        <v>57</v>
      </c>
      <c r="O347" s="432" t="s">
        <v>58</v>
      </c>
      <c r="P347" s="432" t="s">
        <v>59</v>
      </c>
      <c r="Q347" s="432" t="s">
        <v>203</v>
      </c>
      <c r="R347" s="224"/>
    </row>
    <row r="348" spans="1:18" x14ac:dyDescent="0.2">
      <c r="D348" s="290"/>
      <c r="E348" s="224"/>
      <c r="F348" s="292"/>
      <c r="G348" s="292"/>
      <c r="H348" s="292"/>
      <c r="I348" s="297"/>
      <c r="J348" s="292"/>
      <c r="K348" s="292"/>
      <c r="L348" s="292"/>
      <c r="M348" s="292"/>
      <c r="N348" s="292"/>
      <c r="O348" s="292"/>
      <c r="P348" s="292"/>
      <c r="Q348" s="292"/>
      <c r="R348" s="224"/>
    </row>
    <row r="349" spans="1:18" x14ac:dyDescent="0.2">
      <c r="A349" s="224">
        <v>1</v>
      </c>
      <c r="C349" s="445" t="s">
        <v>95</v>
      </c>
      <c r="D349" s="290"/>
      <c r="E349" s="224"/>
      <c r="F349" s="292"/>
      <c r="G349" s="292"/>
      <c r="H349" s="292"/>
      <c r="I349" s="297"/>
      <c r="J349" s="292"/>
      <c r="K349" s="292"/>
      <c r="L349" s="292"/>
      <c r="M349" s="292"/>
      <c r="N349" s="292"/>
      <c r="O349" s="292"/>
      <c r="P349" s="292"/>
      <c r="Q349" s="292"/>
      <c r="R349" s="224"/>
    </row>
    <row r="350" spans="1:18" x14ac:dyDescent="0.2">
      <c r="D350" s="290"/>
      <c r="E350" s="224"/>
      <c r="F350" s="292"/>
      <c r="G350" s="292"/>
      <c r="H350" s="292"/>
      <c r="I350" s="297"/>
      <c r="J350" s="292"/>
      <c r="K350" s="292"/>
      <c r="L350" s="292"/>
      <c r="M350" s="292"/>
      <c r="N350" s="292"/>
      <c r="O350" s="292"/>
      <c r="P350" s="292"/>
      <c r="Q350" s="292"/>
      <c r="R350" s="224"/>
    </row>
    <row r="351" spans="1:18" x14ac:dyDescent="0.2">
      <c r="A351" s="224">
        <f>A349+1</f>
        <v>2</v>
      </c>
      <c r="B351" s="221" t="str">
        <f>Input!A53</f>
        <v>SAS</v>
      </c>
      <c r="C351" s="221" t="str">
        <f>'Sch M 2.1'!B48</f>
        <v>GTS Special Agency Service</v>
      </c>
      <c r="D351" s="290"/>
      <c r="E351" s="224"/>
      <c r="F351" s="292"/>
      <c r="G351" s="292"/>
      <c r="H351" s="292"/>
      <c r="I351" s="297"/>
      <c r="J351" s="292"/>
      <c r="K351" s="292"/>
      <c r="L351" s="292"/>
      <c r="M351" s="292"/>
      <c r="N351" s="292"/>
      <c r="O351" s="292"/>
      <c r="P351" s="292"/>
      <c r="Q351" s="292"/>
      <c r="R351" s="224"/>
    </row>
    <row r="352" spans="1:18" x14ac:dyDescent="0.2">
      <c r="A352" s="224">
        <f>A351+1</f>
        <v>3</v>
      </c>
      <c r="C352" s="451" t="s">
        <v>219</v>
      </c>
      <c r="D352" s="290"/>
      <c r="E352" s="290">
        <f t="shared" ref="E352:P352" si="147">E1204</f>
        <v>0</v>
      </c>
      <c r="F352" s="290">
        <f t="shared" si="147"/>
        <v>0</v>
      </c>
      <c r="G352" s="290">
        <f t="shared" si="147"/>
        <v>0</v>
      </c>
      <c r="H352" s="290">
        <f t="shared" si="147"/>
        <v>0</v>
      </c>
      <c r="I352" s="290">
        <f t="shared" si="147"/>
        <v>0</v>
      </c>
      <c r="J352" s="290">
        <f t="shared" si="147"/>
        <v>0</v>
      </c>
      <c r="K352" s="290">
        <f t="shared" si="147"/>
        <v>0</v>
      </c>
      <c r="L352" s="290">
        <f t="shared" si="147"/>
        <v>0</v>
      </c>
      <c r="M352" s="290">
        <f t="shared" si="147"/>
        <v>0</v>
      </c>
      <c r="N352" s="290">
        <f t="shared" si="147"/>
        <v>0</v>
      </c>
      <c r="O352" s="290">
        <f t="shared" si="147"/>
        <v>0</v>
      </c>
      <c r="P352" s="290">
        <f t="shared" si="147"/>
        <v>0</v>
      </c>
      <c r="Q352" s="242">
        <f>SUM(E352:P352)</f>
        <v>0</v>
      </c>
      <c r="R352" s="224"/>
    </row>
    <row r="353" spans="1:18" x14ac:dyDescent="0.2">
      <c r="A353" s="224">
        <f>A352+1</f>
        <v>4</v>
      </c>
      <c r="C353" s="451" t="s">
        <v>576</v>
      </c>
      <c r="D353" s="290"/>
      <c r="E353" s="297">
        <f t="shared" ref="E353:P353" si="148">E1212</f>
        <v>0</v>
      </c>
      <c r="F353" s="297">
        <f t="shared" si="148"/>
        <v>0</v>
      </c>
      <c r="G353" s="297">
        <f t="shared" si="148"/>
        <v>0</v>
      </c>
      <c r="H353" s="297">
        <f t="shared" si="148"/>
        <v>0</v>
      </c>
      <c r="I353" s="297">
        <f t="shared" si="148"/>
        <v>0</v>
      </c>
      <c r="J353" s="297">
        <f t="shared" si="148"/>
        <v>0</v>
      </c>
      <c r="K353" s="297">
        <f t="shared" si="148"/>
        <v>0</v>
      </c>
      <c r="L353" s="297">
        <f t="shared" si="148"/>
        <v>0</v>
      </c>
      <c r="M353" s="297">
        <f t="shared" si="148"/>
        <v>0</v>
      </c>
      <c r="N353" s="297">
        <f t="shared" si="148"/>
        <v>0</v>
      </c>
      <c r="O353" s="297">
        <f t="shared" si="148"/>
        <v>0</v>
      </c>
      <c r="P353" s="297">
        <f t="shared" si="148"/>
        <v>0</v>
      </c>
      <c r="Q353" s="247">
        <f>SUM(E353:P353)</f>
        <v>0</v>
      </c>
      <c r="R353" s="224"/>
    </row>
    <row r="354" spans="1:18" x14ac:dyDescent="0.2">
      <c r="A354" s="224">
        <f>A353+1</f>
        <v>5</v>
      </c>
      <c r="C354" s="451" t="s">
        <v>221</v>
      </c>
      <c r="D354" s="290"/>
      <c r="E354" s="434">
        <f t="shared" ref="E354:P354" si="149">E1218</f>
        <v>0</v>
      </c>
      <c r="F354" s="434">
        <f t="shared" si="149"/>
        <v>0</v>
      </c>
      <c r="G354" s="434">
        <f t="shared" si="149"/>
        <v>0</v>
      </c>
      <c r="H354" s="434">
        <f t="shared" si="149"/>
        <v>0</v>
      </c>
      <c r="I354" s="434">
        <f t="shared" si="149"/>
        <v>0</v>
      </c>
      <c r="J354" s="434">
        <f t="shared" si="149"/>
        <v>0</v>
      </c>
      <c r="K354" s="434">
        <f t="shared" si="149"/>
        <v>0</v>
      </c>
      <c r="L354" s="434">
        <f t="shared" si="149"/>
        <v>0</v>
      </c>
      <c r="M354" s="434">
        <f t="shared" si="149"/>
        <v>0</v>
      </c>
      <c r="N354" s="434">
        <f t="shared" si="149"/>
        <v>0</v>
      </c>
      <c r="O354" s="434">
        <f t="shared" si="149"/>
        <v>0</v>
      </c>
      <c r="P354" s="434">
        <f t="shared" si="149"/>
        <v>0</v>
      </c>
      <c r="Q354" s="434">
        <f>SUM(E354:P354)</f>
        <v>0</v>
      </c>
      <c r="R354" s="224"/>
    </row>
    <row r="355" spans="1:18" x14ac:dyDescent="0.2">
      <c r="A355" s="224">
        <f>A354+1</f>
        <v>6</v>
      </c>
      <c r="C355" s="451" t="s">
        <v>222</v>
      </c>
      <c r="D355" s="290"/>
      <c r="E355" s="434">
        <f t="shared" ref="E355:P355" si="150">E1220</f>
        <v>0</v>
      </c>
      <c r="F355" s="434">
        <f t="shared" si="150"/>
        <v>0</v>
      </c>
      <c r="G355" s="434">
        <f t="shared" si="150"/>
        <v>0</v>
      </c>
      <c r="H355" s="434">
        <f t="shared" si="150"/>
        <v>0</v>
      </c>
      <c r="I355" s="434">
        <f t="shared" si="150"/>
        <v>0</v>
      </c>
      <c r="J355" s="434">
        <f t="shared" si="150"/>
        <v>0</v>
      </c>
      <c r="K355" s="434">
        <f t="shared" si="150"/>
        <v>0</v>
      </c>
      <c r="L355" s="434">
        <f t="shared" si="150"/>
        <v>0</v>
      </c>
      <c r="M355" s="434">
        <f t="shared" si="150"/>
        <v>0</v>
      </c>
      <c r="N355" s="434">
        <f t="shared" si="150"/>
        <v>0</v>
      </c>
      <c r="O355" s="434">
        <f t="shared" si="150"/>
        <v>0</v>
      </c>
      <c r="P355" s="434">
        <f t="shared" si="150"/>
        <v>0</v>
      </c>
      <c r="Q355" s="434">
        <f>SUM(E355:P355)</f>
        <v>0</v>
      </c>
      <c r="R355" s="224"/>
    </row>
    <row r="356" spans="1:18" x14ac:dyDescent="0.2">
      <c r="A356" s="453">
        <f>A355+1</f>
        <v>7</v>
      </c>
      <c r="B356" s="454"/>
      <c r="C356" s="455" t="s">
        <v>577</v>
      </c>
      <c r="D356" s="468"/>
      <c r="E356" s="457">
        <f t="shared" ref="E356:P356" si="151">E1222</f>
        <v>0</v>
      </c>
      <c r="F356" s="457">
        <f t="shared" si="151"/>
        <v>0</v>
      </c>
      <c r="G356" s="457">
        <f t="shared" si="151"/>
        <v>0</v>
      </c>
      <c r="H356" s="457">
        <f t="shared" si="151"/>
        <v>0</v>
      </c>
      <c r="I356" s="457">
        <f t="shared" si="151"/>
        <v>0</v>
      </c>
      <c r="J356" s="457">
        <f t="shared" si="151"/>
        <v>0</v>
      </c>
      <c r="K356" s="457">
        <f t="shared" si="151"/>
        <v>0</v>
      </c>
      <c r="L356" s="457">
        <f t="shared" si="151"/>
        <v>0</v>
      </c>
      <c r="M356" s="457">
        <f t="shared" si="151"/>
        <v>0</v>
      </c>
      <c r="N356" s="457">
        <f t="shared" si="151"/>
        <v>0</v>
      </c>
      <c r="O356" s="457">
        <f t="shared" si="151"/>
        <v>0</v>
      </c>
      <c r="P356" s="457">
        <f t="shared" si="151"/>
        <v>0</v>
      </c>
      <c r="Q356" s="457">
        <f>SUM(E356:P356)</f>
        <v>0</v>
      </c>
      <c r="R356" s="224"/>
    </row>
    <row r="357" spans="1:18" x14ac:dyDescent="0.2">
      <c r="D357" s="290"/>
      <c r="E357" s="224"/>
      <c r="F357" s="292"/>
      <c r="G357" s="292"/>
      <c r="H357" s="292"/>
      <c r="I357" s="297"/>
      <c r="J357" s="292"/>
      <c r="K357" s="292"/>
      <c r="L357" s="292"/>
      <c r="M357" s="292"/>
      <c r="N357" s="292"/>
      <c r="O357" s="292"/>
      <c r="P357" s="292"/>
      <c r="Q357" s="292"/>
      <c r="R357" s="224"/>
    </row>
    <row r="358" spans="1:18" x14ac:dyDescent="0.2">
      <c r="A358" s="224">
        <f>A356+1</f>
        <v>8</v>
      </c>
      <c r="B358" s="221" t="str">
        <f>Input!A54</f>
        <v>SC3</v>
      </c>
      <c r="C358" s="221" t="str">
        <f>'Sch M 2.1'!B49</f>
        <v>GTS Special Rate - Industrial</v>
      </c>
      <c r="D358" s="438"/>
      <c r="E358" s="469"/>
      <c r="F358" s="470"/>
      <c r="G358" s="470"/>
      <c r="H358" s="470"/>
      <c r="I358" s="471"/>
      <c r="J358" s="470"/>
      <c r="K358" s="470"/>
      <c r="L358" s="470"/>
      <c r="M358" s="470"/>
      <c r="N358" s="470"/>
      <c r="O358" s="470"/>
      <c r="P358" s="470"/>
      <c r="Q358" s="470"/>
    </row>
    <row r="359" spans="1:18" x14ac:dyDescent="0.2">
      <c r="A359" s="224">
        <f>A358+1</f>
        <v>9</v>
      </c>
      <c r="C359" s="451" t="s">
        <v>219</v>
      </c>
      <c r="D359" s="438"/>
      <c r="E359" s="242">
        <f t="shared" ref="E359:P359" si="152">E1228</f>
        <v>1</v>
      </c>
      <c r="F359" s="242">
        <f t="shared" si="152"/>
        <v>1</v>
      </c>
      <c r="G359" s="242">
        <f t="shared" si="152"/>
        <v>1</v>
      </c>
      <c r="H359" s="242">
        <f t="shared" si="152"/>
        <v>1</v>
      </c>
      <c r="I359" s="242">
        <f t="shared" si="152"/>
        <v>1</v>
      </c>
      <c r="J359" s="242">
        <f t="shared" si="152"/>
        <v>1</v>
      </c>
      <c r="K359" s="242">
        <f t="shared" si="152"/>
        <v>1</v>
      </c>
      <c r="L359" s="242">
        <f t="shared" si="152"/>
        <v>1</v>
      </c>
      <c r="M359" s="242">
        <f t="shared" si="152"/>
        <v>1</v>
      </c>
      <c r="N359" s="242">
        <f t="shared" si="152"/>
        <v>1</v>
      </c>
      <c r="O359" s="242">
        <f t="shared" si="152"/>
        <v>1</v>
      </c>
      <c r="P359" s="242">
        <f t="shared" si="152"/>
        <v>1</v>
      </c>
      <c r="Q359" s="242">
        <f>SUM(E359:P359)</f>
        <v>12</v>
      </c>
    </row>
    <row r="360" spans="1:18" x14ac:dyDescent="0.2">
      <c r="A360" s="224">
        <f>A359+1</f>
        <v>10</v>
      </c>
      <c r="C360" s="451" t="s">
        <v>576</v>
      </c>
      <c r="D360" s="438"/>
      <c r="E360" s="247">
        <f t="shared" ref="E360:P360" si="153">E1235</f>
        <v>170000</v>
      </c>
      <c r="F360" s="247">
        <f t="shared" si="153"/>
        <v>170000</v>
      </c>
      <c r="G360" s="247">
        <f t="shared" si="153"/>
        <v>140000</v>
      </c>
      <c r="H360" s="247">
        <f t="shared" si="153"/>
        <v>140000</v>
      </c>
      <c r="I360" s="247">
        <f t="shared" si="153"/>
        <v>130000</v>
      </c>
      <c r="J360" s="247">
        <f t="shared" si="153"/>
        <v>130000</v>
      </c>
      <c r="K360" s="247">
        <f t="shared" si="153"/>
        <v>130000</v>
      </c>
      <c r="L360" s="247">
        <f t="shared" si="153"/>
        <v>130000</v>
      </c>
      <c r="M360" s="247">
        <f t="shared" si="153"/>
        <v>130000</v>
      </c>
      <c r="N360" s="247">
        <f t="shared" si="153"/>
        <v>130000</v>
      </c>
      <c r="O360" s="247">
        <f t="shared" si="153"/>
        <v>140000</v>
      </c>
      <c r="P360" s="247">
        <f t="shared" si="153"/>
        <v>170000</v>
      </c>
      <c r="Q360" s="247">
        <f>SUM(E360:P360)</f>
        <v>1710000</v>
      </c>
    </row>
    <row r="361" spans="1:18" x14ac:dyDescent="0.2">
      <c r="A361" s="224">
        <f>A360+1</f>
        <v>11</v>
      </c>
      <c r="C361" s="451" t="s">
        <v>221</v>
      </c>
      <c r="D361" s="438"/>
      <c r="E361" s="434">
        <f t="shared" ref="E361:P361" si="154">E1241</f>
        <v>47762.95</v>
      </c>
      <c r="F361" s="434">
        <f t="shared" si="154"/>
        <v>47762.95</v>
      </c>
      <c r="G361" s="434">
        <f t="shared" si="154"/>
        <v>41662.949999999997</v>
      </c>
      <c r="H361" s="434">
        <f t="shared" si="154"/>
        <v>41662.949999999997</v>
      </c>
      <c r="I361" s="434">
        <f t="shared" si="154"/>
        <v>38762.949999999997</v>
      </c>
      <c r="J361" s="434">
        <f t="shared" si="154"/>
        <v>38762.949999999997</v>
      </c>
      <c r="K361" s="434">
        <f t="shared" si="154"/>
        <v>38762.949999999997</v>
      </c>
      <c r="L361" s="434">
        <f t="shared" si="154"/>
        <v>38762.949999999997</v>
      </c>
      <c r="M361" s="434">
        <f t="shared" si="154"/>
        <v>38762.949999999997</v>
      </c>
      <c r="N361" s="434">
        <f t="shared" si="154"/>
        <v>38762.949999999997</v>
      </c>
      <c r="O361" s="434">
        <f t="shared" si="154"/>
        <v>41662.949999999997</v>
      </c>
      <c r="P361" s="434">
        <f t="shared" si="154"/>
        <v>47762.95</v>
      </c>
      <c r="Q361" s="434">
        <f>SUM(E361:P361)</f>
        <v>500855.40000000008</v>
      </c>
    </row>
    <row r="362" spans="1:18" x14ac:dyDescent="0.2">
      <c r="A362" s="224">
        <f>A361+1</f>
        <v>12</v>
      </c>
      <c r="C362" s="451" t="s">
        <v>222</v>
      </c>
      <c r="D362" s="438"/>
      <c r="E362" s="434">
        <f t="shared" ref="E362:P362" si="155">E1243</f>
        <v>0</v>
      </c>
      <c r="F362" s="434">
        <f t="shared" si="155"/>
        <v>0</v>
      </c>
      <c r="G362" s="434">
        <f t="shared" si="155"/>
        <v>0</v>
      </c>
      <c r="H362" s="434">
        <f t="shared" si="155"/>
        <v>0</v>
      </c>
      <c r="I362" s="434">
        <f t="shared" si="155"/>
        <v>0</v>
      </c>
      <c r="J362" s="434">
        <f t="shared" si="155"/>
        <v>0</v>
      </c>
      <c r="K362" s="434">
        <f t="shared" si="155"/>
        <v>0</v>
      </c>
      <c r="L362" s="434">
        <f t="shared" si="155"/>
        <v>0</v>
      </c>
      <c r="M362" s="434">
        <f t="shared" si="155"/>
        <v>0</v>
      </c>
      <c r="N362" s="434">
        <f t="shared" si="155"/>
        <v>0</v>
      </c>
      <c r="O362" s="434">
        <f t="shared" si="155"/>
        <v>0</v>
      </c>
      <c r="P362" s="434">
        <f t="shared" si="155"/>
        <v>0</v>
      </c>
      <c r="Q362" s="434">
        <f>SUM(E362:P362)</f>
        <v>0</v>
      </c>
    </row>
    <row r="363" spans="1:18" x14ac:dyDescent="0.2">
      <c r="A363" s="453">
        <f>A362+1</f>
        <v>13</v>
      </c>
      <c r="B363" s="454"/>
      <c r="C363" s="455" t="s">
        <v>577</v>
      </c>
      <c r="D363" s="472"/>
      <c r="E363" s="457">
        <f t="shared" ref="E363:P363" si="156">E1245</f>
        <v>47762.95</v>
      </c>
      <c r="F363" s="457">
        <f t="shared" si="156"/>
        <v>47762.95</v>
      </c>
      <c r="G363" s="457">
        <f t="shared" si="156"/>
        <v>41662.949999999997</v>
      </c>
      <c r="H363" s="457">
        <f t="shared" si="156"/>
        <v>41662.949999999997</v>
      </c>
      <c r="I363" s="457">
        <f t="shared" si="156"/>
        <v>38762.949999999997</v>
      </c>
      <c r="J363" s="457">
        <f t="shared" si="156"/>
        <v>38762.949999999997</v>
      </c>
      <c r="K363" s="457">
        <f t="shared" si="156"/>
        <v>38762.949999999997</v>
      </c>
      <c r="L363" s="457">
        <f t="shared" si="156"/>
        <v>38762.949999999997</v>
      </c>
      <c r="M363" s="457">
        <f t="shared" si="156"/>
        <v>38762.949999999997</v>
      </c>
      <c r="N363" s="457">
        <f t="shared" si="156"/>
        <v>38762.949999999997</v>
      </c>
      <c r="O363" s="457">
        <f t="shared" si="156"/>
        <v>41662.949999999997</v>
      </c>
      <c r="P363" s="457">
        <f t="shared" si="156"/>
        <v>47762.95</v>
      </c>
      <c r="Q363" s="457">
        <f>SUM(E363:P363)</f>
        <v>500855.40000000008</v>
      </c>
    </row>
    <row r="364" spans="1:18" x14ac:dyDescent="0.2">
      <c r="D364" s="438"/>
      <c r="E364" s="469"/>
      <c r="F364" s="470"/>
      <c r="G364" s="470"/>
      <c r="H364" s="470"/>
      <c r="I364" s="471"/>
      <c r="J364" s="470"/>
      <c r="K364" s="470"/>
      <c r="L364" s="470"/>
      <c r="M364" s="470"/>
      <c r="N364" s="470"/>
      <c r="O364" s="470"/>
      <c r="P364" s="470"/>
      <c r="Q364" s="470"/>
    </row>
    <row r="365" spans="1:18" x14ac:dyDescent="0.2">
      <c r="A365" s="224">
        <f>A363+1</f>
        <v>14</v>
      </c>
      <c r="B365" s="221" t="s">
        <v>106</v>
      </c>
      <c r="E365" s="434">
        <f t="shared" ref="E365:P365" si="157">E70+E77+E84+E91+E98+E105+E134+E141+E148+E155+E162+E190+E197+E204+E232+E239+E246+E253+E260+E267+E294+E301+E308+E315+E322+E329+E356+E363</f>
        <v>14017809.809999997</v>
      </c>
      <c r="F365" s="434">
        <f t="shared" si="157"/>
        <v>13711628.469999999</v>
      </c>
      <c r="G365" s="434">
        <f t="shared" si="157"/>
        <v>11040836.01</v>
      </c>
      <c r="H365" s="434">
        <f t="shared" si="157"/>
        <v>7880727.7600000007</v>
      </c>
      <c r="I365" s="434">
        <f t="shared" si="157"/>
        <v>5576723.2999999998</v>
      </c>
      <c r="J365" s="434">
        <f t="shared" si="157"/>
        <v>4533176.88</v>
      </c>
      <c r="K365" s="434">
        <f t="shared" si="157"/>
        <v>4201053.57</v>
      </c>
      <c r="L365" s="434">
        <f t="shared" si="157"/>
        <v>4189259.88</v>
      </c>
      <c r="M365" s="434">
        <f t="shared" si="157"/>
        <v>4219015.9899999993</v>
      </c>
      <c r="N365" s="434">
        <f t="shared" si="157"/>
        <v>4712991.3400000008</v>
      </c>
      <c r="O365" s="434">
        <f t="shared" si="157"/>
        <v>6691113.7500000028</v>
      </c>
      <c r="P365" s="434">
        <f t="shared" si="157"/>
        <v>10610651.309999997</v>
      </c>
      <c r="Q365" s="434">
        <f>SUM(E365:P365)</f>
        <v>91384988.069999993</v>
      </c>
    </row>
    <row r="366" spans="1:18" x14ac:dyDescent="0.2">
      <c r="E366" s="466"/>
      <c r="F366" s="466"/>
      <c r="G366" s="466"/>
      <c r="H366" s="466"/>
      <c r="I366" s="466"/>
      <c r="J366" s="466"/>
      <c r="K366" s="473"/>
      <c r="L366" s="466"/>
      <c r="M366" s="466"/>
      <c r="N366" s="466"/>
      <c r="O366" s="466"/>
      <c r="P366" s="466"/>
      <c r="Q366" s="466"/>
    </row>
    <row r="367" spans="1:18" x14ac:dyDescent="0.2">
      <c r="A367" s="224">
        <f>A365+1</f>
        <v>15</v>
      </c>
      <c r="C367" s="445" t="s">
        <v>102</v>
      </c>
      <c r="E367" s="474"/>
      <c r="F367" s="474"/>
      <c r="G367" s="474"/>
      <c r="H367" s="474"/>
      <c r="I367" s="474"/>
      <c r="J367" s="474"/>
      <c r="K367" s="474"/>
      <c r="L367" s="474"/>
      <c r="M367" s="474"/>
      <c r="N367" s="474"/>
      <c r="O367" s="474"/>
      <c r="P367" s="474"/>
    </row>
    <row r="368" spans="1:18" x14ac:dyDescent="0.2">
      <c r="E368" s="224"/>
      <c r="F368" s="224"/>
      <c r="G368" s="224"/>
      <c r="H368" s="224"/>
      <c r="I368" s="224"/>
      <c r="J368" s="224"/>
      <c r="K368" s="224"/>
      <c r="L368" s="224"/>
      <c r="M368" s="224"/>
      <c r="N368" s="224"/>
      <c r="O368" s="224"/>
      <c r="P368" s="224"/>
    </row>
    <row r="369" spans="1:17" x14ac:dyDescent="0.2">
      <c r="A369" s="224">
        <f>A367+1</f>
        <v>16</v>
      </c>
      <c r="C369" s="221" t="s">
        <v>179</v>
      </c>
      <c r="E369" s="475">
        <v>56000</v>
      </c>
      <c r="F369" s="475">
        <v>79000</v>
      </c>
      <c r="G369" s="475">
        <v>78000</v>
      </c>
      <c r="H369" s="475">
        <v>74000</v>
      </c>
      <c r="I369" s="475">
        <v>40000</v>
      </c>
      <c r="J369" s="475">
        <v>25000</v>
      </c>
      <c r="K369" s="475">
        <v>20000</v>
      </c>
      <c r="L369" s="475">
        <v>19000</v>
      </c>
      <c r="M369" s="475">
        <v>22000</v>
      </c>
      <c r="N369" s="475">
        <v>11000</v>
      </c>
      <c r="O369" s="475">
        <v>18000</v>
      </c>
      <c r="P369" s="475">
        <v>34000</v>
      </c>
      <c r="Q369" s="434">
        <f>SUM(E369:P369)</f>
        <v>476000</v>
      </c>
    </row>
    <row r="370" spans="1:17" x14ac:dyDescent="0.2">
      <c r="A370" s="224">
        <f>A369+1</f>
        <v>17</v>
      </c>
      <c r="C370" s="221" t="s">
        <v>103</v>
      </c>
      <c r="E370" s="475">
        <v>8000</v>
      </c>
      <c r="F370" s="475">
        <v>9000</v>
      </c>
      <c r="G370" s="475">
        <v>11000</v>
      </c>
      <c r="H370" s="475">
        <v>13000</v>
      </c>
      <c r="I370" s="475">
        <v>10000</v>
      </c>
      <c r="J370" s="475">
        <v>11000</v>
      </c>
      <c r="K370" s="475">
        <v>9000</v>
      </c>
      <c r="L370" s="475">
        <v>8000</v>
      </c>
      <c r="M370" s="475">
        <v>9000</v>
      </c>
      <c r="N370" s="475">
        <v>19000</v>
      </c>
      <c r="O370" s="475">
        <v>20000</v>
      </c>
      <c r="P370" s="475">
        <v>10000</v>
      </c>
      <c r="Q370" s="434">
        <f>SUM(E370:P370)</f>
        <v>137000</v>
      </c>
    </row>
    <row r="371" spans="1:17" x14ac:dyDescent="0.2">
      <c r="A371" s="224">
        <f>A370+1</f>
        <v>18</v>
      </c>
      <c r="C371" s="221" t="s">
        <v>320</v>
      </c>
      <c r="E371" s="475">
        <v>6000</v>
      </c>
      <c r="F371" s="475">
        <v>6000</v>
      </c>
      <c r="G371" s="475">
        <v>6000</v>
      </c>
      <c r="H371" s="475">
        <v>6000</v>
      </c>
      <c r="I371" s="475">
        <v>6000</v>
      </c>
      <c r="J371" s="475">
        <v>6000</v>
      </c>
      <c r="K371" s="475">
        <v>6000</v>
      </c>
      <c r="L371" s="475">
        <v>6000</v>
      </c>
      <c r="M371" s="475">
        <v>6000</v>
      </c>
      <c r="N371" s="475">
        <v>6000</v>
      </c>
      <c r="O371" s="475">
        <v>6000</v>
      </c>
      <c r="P371" s="475">
        <v>6000</v>
      </c>
      <c r="Q371" s="434">
        <f>SUM(E371:P371)</f>
        <v>72000</v>
      </c>
    </row>
    <row r="372" spans="1:17" x14ac:dyDescent="0.2">
      <c r="A372" s="224">
        <f>A371+1</f>
        <v>19</v>
      </c>
      <c r="C372" s="221" t="s">
        <v>104</v>
      </c>
      <c r="E372" s="475">
        <v>0</v>
      </c>
      <c r="F372" s="475">
        <v>0</v>
      </c>
      <c r="G372" s="475">
        <v>0</v>
      </c>
      <c r="H372" s="475">
        <v>0</v>
      </c>
      <c r="I372" s="475">
        <v>0</v>
      </c>
      <c r="J372" s="475">
        <v>0</v>
      </c>
      <c r="K372" s="475">
        <v>0</v>
      </c>
      <c r="L372" s="475">
        <v>0</v>
      </c>
      <c r="M372" s="475">
        <v>0</v>
      </c>
      <c r="N372" s="475">
        <v>0</v>
      </c>
      <c r="O372" s="475">
        <v>0</v>
      </c>
      <c r="P372" s="475">
        <v>0</v>
      </c>
      <c r="Q372" s="434">
        <f>SUM(E372:P372)</f>
        <v>0</v>
      </c>
    </row>
    <row r="373" spans="1:17" x14ac:dyDescent="0.2">
      <c r="A373" s="224">
        <f>A372+1</f>
        <v>20</v>
      </c>
      <c r="C373" s="221" t="s">
        <v>105</v>
      </c>
      <c r="E373" s="475">
        <v>66000</v>
      </c>
      <c r="F373" s="475">
        <v>58000</v>
      </c>
      <c r="G373" s="475">
        <v>61000</v>
      </c>
      <c r="H373" s="475">
        <v>85000</v>
      </c>
      <c r="I373" s="475">
        <v>24000</v>
      </c>
      <c r="J373" s="475">
        <v>19000</v>
      </c>
      <c r="K373" s="475">
        <v>16000</v>
      </c>
      <c r="L373" s="475">
        <v>15000</v>
      </c>
      <c r="M373" s="475">
        <v>16000</v>
      </c>
      <c r="N373" s="475">
        <v>18000</v>
      </c>
      <c r="O373" s="475">
        <v>25000</v>
      </c>
      <c r="P373" s="475">
        <v>112000</v>
      </c>
      <c r="Q373" s="434">
        <f>SUM(E373:P373)</f>
        <v>515000</v>
      </c>
    </row>
    <row r="374" spans="1:17" x14ac:dyDescent="0.2">
      <c r="E374" s="224"/>
      <c r="F374" s="292"/>
      <c r="G374" s="476"/>
      <c r="H374" s="292"/>
      <c r="I374" s="297"/>
      <c r="J374" s="292"/>
      <c r="K374" s="292"/>
      <c r="L374" s="292"/>
      <c r="M374" s="292"/>
      <c r="N374" s="292"/>
      <c r="O374" s="292"/>
      <c r="P374" s="292"/>
    </row>
    <row r="375" spans="1:17" x14ac:dyDescent="0.2">
      <c r="A375" s="224">
        <f>A373+1</f>
        <v>21</v>
      </c>
      <c r="B375" s="221" t="s">
        <v>107</v>
      </c>
      <c r="E375" s="477">
        <f t="shared" ref="E375:P375" si="158">SUM(E369:E374)</f>
        <v>136000</v>
      </c>
      <c r="F375" s="477">
        <f t="shared" si="158"/>
        <v>152000</v>
      </c>
      <c r="G375" s="477">
        <f t="shared" si="158"/>
        <v>156000</v>
      </c>
      <c r="H375" s="477">
        <f t="shared" si="158"/>
        <v>178000</v>
      </c>
      <c r="I375" s="477">
        <f t="shared" si="158"/>
        <v>80000</v>
      </c>
      <c r="J375" s="477">
        <f t="shared" si="158"/>
        <v>61000</v>
      </c>
      <c r="K375" s="477">
        <f t="shared" si="158"/>
        <v>51000</v>
      </c>
      <c r="L375" s="477">
        <f t="shared" si="158"/>
        <v>48000</v>
      </c>
      <c r="M375" s="477">
        <f t="shared" si="158"/>
        <v>53000</v>
      </c>
      <c r="N375" s="477">
        <f t="shared" si="158"/>
        <v>54000</v>
      </c>
      <c r="O375" s="477">
        <f t="shared" si="158"/>
        <v>69000</v>
      </c>
      <c r="P375" s="477">
        <f t="shared" si="158"/>
        <v>162000</v>
      </c>
      <c r="Q375" s="434">
        <f>SUM(E375:P375)</f>
        <v>1200000</v>
      </c>
    </row>
    <row r="376" spans="1:17" x14ac:dyDescent="0.2">
      <c r="C376" s="445"/>
      <c r="K376" s="292"/>
    </row>
    <row r="377" spans="1:17" x14ac:dyDescent="0.2">
      <c r="A377" s="453">
        <f>A375+1</f>
        <v>22</v>
      </c>
      <c r="B377" s="454" t="s">
        <v>108</v>
      </c>
      <c r="C377" s="454"/>
      <c r="D377" s="456"/>
      <c r="E377" s="457">
        <f t="shared" ref="E377:Q377" si="159">E365+E375</f>
        <v>14153809.809999997</v>
      </c>
      <c r="F377" s="457">
        <f t="shared" si="159"/>
        <v>13863628.469999999</v>
      </c>
      <c r="G377" s="457">
        <f t="shared" si="159"/>
        <v>11196836.01</v>
      </c>
      <c r="H377" s="457">
        <f t="shared" si="159"/>
        <v>8058727.7600000007</v>
      </c>
      <c r="I377" s="457">
        <f t="shared" si="159"/>
        <v>5656723.2999999998</v>
      </c>
      <c r="J377" s="457">
        <f t="shared" si="159"/>
        <v>4594176.88</v>
      </c>
      <c r="K377" s="457">
        <f t="shared" si="159"/>
        <v>4252053.57</v>
      </c>
      <c r="L377" s="457">
        <f t="shared" si="159"/>
        <v>4237259.88</v>
      </c>
      <c r="M377" s="457">
        <f t="shared" si="159"/>
        <v>4272015.9899999993</v>
      </c>
      <c r="N377" s="457">
        <f t="shared" si="159"/>
        <v>4766991.3400000008</v>
      </c>
      <c r="O377" s="457">
        <f t="shared" si="159"/>
        <v>6760113.7500000028</v>
      </c>
      <c r="P377" s="457">
        <f t="shared" si="159"/>
        <v>10772651.309999997</v>
      </c>
      <c r="Q377" s="457">
        <f t="shared" si="159"/>
        <v>92584988.069999993</v>
      </c>
    </row>
    <row r="378" spans="1:17" x14ac:dyDescent="0.2">
      <c r="A378" s="306"/>
      <c r="B378" s="305"/>
      <c r="C378" s="305"/>
      <c r="D378" s="304"/>
      <c r="E378" s="422"/>
      <c r="F378" s="422"/>
      <c r="G378" s="422"/>
      <c r="H378" s="422"/>
      <c r="I378" s="422"/>
      <c r="J378" s="422"/>
      <c r="K378" s="422"/>
      <c r="L378" s="422"/>
      <c r="M378" s="422"/>
      <c r="N378" s="422"/>
      <c r="O378" s="422"/>
      <c r="P378" s="422"/>
      <c r="Q378" s="422"/>
    </row>
    <row r="379" spans="1:17" x14ac:dyDescent="0.2">
      <c r="A379" s="224" t="str">
        <f>$A$108</f>
        <v>[1] Reflects Normalized Volumes.</v>
      </c>
      <c r="B379" s="305"/>
      <c r="C379" s="305"/>
      <c r="D379" s="304"/>
      <c r="E379" s="422"/>
      <c r="F379" s="422"/>
      <c r="G379" s="422"/>
      <c r="H379" s="422"/>
      <c r="I379" s="422"/>
      <c r="J379" s="422"/>
      <c r="K379" s="422"/>
      <c r="L379" s="422"/>
      <c r="M379" s="422"/>
      <c r="N379" s="422"/>
      <c r="O379" s="422"/>
      <c r="P379" s="422"/>
      <c r="Q379" s="422"/>
    </row>
    <row r="380" spans="1:17" x14ac:dyDescent="0.2">
      <c r="A380" s="467" t="str">
        <f>$A$109</f>
        <v>[2] See Schedule M-2.2 Pages 8 through 21 for detail.</v>
      </c>
      <c r="B380" s="305"/>
      <c r="C380" s="305"/>
      <c r="D380" s="304"/>
      <c r="E380" s="422"/>
      <c r="F380" s="422"/>
      <c r="G380" s="422"/>
      <c r="H380" s="422"/>
      <c r="I380" s="422"/>
      <c r="J380" s="422"/>
      <c r="K380" s="422"/>
      <c r="L380" s="422"/>
      <c r="M380" s="422"/>
      <c r="N380" s="422"/>
      <c r="O380" s="422"/>
      <c r="P380" s="422"/>
      <c r="Q380" s="422"/>
    </row>
    <row r="381" spans="1:17" x14ac:dyDescent="0.2">
      <c r="A381" s="887" t="str">
        <f>CONAME</f>
        <v>Columbia Gas of Kentucky, Inc.</v>
      </c>
      <c r="B381" s="887"/>
      <c r="C381" s="887"/>
      <c r="D381" s="887"/>
      <c r="E381" s="887"/>
      <c r="F381" s="887"/>
      <c r="G381" s="887"/>
      <c r="H381" s="887"/>
      <c r="I381" s="887"/>
      <c r="J381" s="887"/>
      <c r="K381" s="887"/>
      <c r="L381" s="887"/>
      <c r="M381" s="887"/>
      <c r="N381" s="887"/>
      <c r="O381" s="887"/>
      <c r="P381" s="887"/>
      <c r="Q381" s="887"/>
    </row>
    <row r="382" spans="1:17" x14ac:dyDescent="0.2">
      <c r="A382" s="875" t="str">
        <f>case</f>
        <v>Case No. 2016-00162</v>
      </c>
      <c r="B382" s="875"/>
      <c r="C382" s="875"/>
      <c r="D382" s="875"/>
      <c r="E382" s="875"/>
      <c r="F382" s="875"/>
      <c r="G382" s="875"/>
      <c r="H382" s="875"/>
      <c r="I382" s="875"/>
      <c r="J382" s="875"/>
      <c r="K382" s="875"/>
      <c r="L382" s="875"/>
      <c r="M382" s="875"/>
      <c r="N382" s="875"/>
      <c r="O382" s="875"/>
      <c r="P382" s="875"/>
      <c r="Q382" s="875"/>
    </row>
    <row r="383" spans="1:17" x14ac:dyDescent="0.2">
      <c r="A383" s="888" t="s">
        <v>503</v>
      </c>
      <c r="B383" s="888"/>
      <c r="C383" s="888"/>
      <c r="D383" s="888"/>
      <c r="E383" s="888"/>
      <c r="F383" s="888"/>
      <c r="G383" s="888"/>
      <c r="H383" s="888"/>
      <c r="I383" s="888"/>
      <c r="J383" s="888"/>
      <c r="K383" s="888"/>
      <c r="L383" s="888"/>
      <c r="M383" s="888"/>
      <c r="N383" s="888"/>
      <c r="O383" s="888"/>
      <c r="P383" s="888"/>
      <c r="Q383" s="888"/>
    </row>
    <row r="384" spans="1:17" x14ac:dyDescent="0.2">
      <c r="A384" s="887" t="str">
        <f>TYDESC</f>
        <v>For the 12 Months Ended December 31, 2017</v>
      </c>
      <c r="B384" s="887"/>
      <c r="C384" s="887"/>
      <c r="D384" s="887"/>
      <c r="E384" s="887"/>
      <c r="F384" s="887"/>
      <c r="G384" s="887"/>
      <c r="H384" s="887"/>
      <c r="I384" s="887"/>
      <c r="J384" s="887"/>
      <c r="K384" s="887"/>
      <c r="L384" s="887"/>
      <c r="M384" s="887"/>
      <c r="N384" s="887"/>
      <c r="O384" s="887"/>
      <c r="P384" s="887"/>
      <c r="Q384" s="887"/>
    </row>
    <row r="385" spans="1:17" x14ac:dyDescent="0.2">
      <c r="A385" s="885" t="s">
        <v>39</v>
      </c>
      <c r="B385" s="885"/>
      <c r="C385" s="885"/>
      <c r="D385" s="885"/>
      <c r="E385" s="885"/>
      <c r="F385" s="885"/>
      <c r="G385" s="885"/>
      <c r="H385" s="885"/>
      <c r="I385" s="885"/>
      <c r="J385" s="885"/>
      <c r="K385" s="885"/>
      <c r="L385" s="885"/>
      <c r="M385" s="885"/>
      <c r="N385" s="885"/>
      <c r="O385" s="885"/>
      <c r="P385" s="885"/>
      <c r="Q385" s="885"/>
    </row>
    <row r="386" spans="1:17" x14ac:dyDescent="0.2">
      <c r="A386" s="266" t="str">
        <f>$A$52</f>
        <v>Data: __ Base Period _X_ Forecasted Period</v>
      </c>
    </row>
    <row r="387" spans="1:17" x14ac:dyDescent="0.2">
      <c r="A387" s="266" t="str">
        <f>$A$53</f>
        <v>Type of Filing: X Original _ Update _ Revised</v>
      </c>
      <c r="Q387" s="420" t="str">
        <f>$Q$53</f>
        <v>Schedule M-2.2</v>
      </c>
    </row>
    <row r="388" spans="1:17" x14ac:dyDescent="0.2">
      <c r="A388" s="266" t="str">
        <f>$A$54</f>
        <v>Work Paper Reference No(s):</v>
      </c>
      <c r="Q388" s="420" t="s">
        <v>510</v>
      </c>
    </row>
    <row r="389" spans="1:17" x14ac:dyDescent="0.2">
      <c r="A389" s="421" t="str">
        <f>$A$55</f>
        <v>12 Months Forecasted</v>
      </c>
      <c r="Q389" s="420" t="str">
        <f>Witness</f>
        <v>Witness:  M. J. Bell</v>
      </c>
    </row>
    <row r="390" spans="1:17" x14ac:dyDescent="0.2">
      <c r="A390" s="886" t="s">
        <v>194</v>
      </c>
      <c r="B390" s="886"/>
      <c r="C390" s="886"/>
      <c r="D390" s="886"/>
      <c r="E390" s="886"/>
      <c r="F390" s="886"/>
      <c r="G390" s="886"/>
      <c r="H390" s="886"/>
      <c r="I390" s="886"/>
      <c r="J390" s="886"/>
      <c r="K390" s="886"/>
      <c r="L390" s="886"/>
      <c r="M390" s="886"/>
      <c r="N390" s="886"/>
      <c r="O390" s="886"/>
      <c r="P390" s="886"/>
      <c r="Q390" s="886"/>
    </row>
    <row r="391" spans="1:17" x14ac:dyDescent="0.2">
      <c r="A391" s="440"/>
      <c r="B391" s="305"/>
      <c r="C391" s="305"/>
      <c r="D391" s="304"/>
      <c r="E391" s="305"/>
      <c r="F391" s="422"/>
      <c r="G391" s="442"/>
      <c r="H391" s="422"/>
      <c r="I391" s="443"/>
      <c r="J391" s="422"/>
      <c r="K391" s="422"/>
      <c r="L391" s="422"/>
      <c r="M391" s="422"/>
      <c r="N391" s="422"/>
      <c r="O391" s="422"/>
      <c r="P391" s="422"/>
      <c r="Q391" s="305"/>
    </row>
    <row r="392" spans="1:17" x14ac:dyDescent="0.2">
      <c r="A392" s="416" t="s">
        <v>1</v>
      </c>
      <c r="B392" s="226" t="s">
        <v>0</v>
      </c>
      <c r="C392" s="226" t="s">
        <v>41</v>
      </c>
      <c r="D392" s="423" t="s">
        <v>47</v>
      </c>
      <c r="E392" s="226"/>
      <c r="F392" s="424"/>
      <c r="G392" s="425"/>
      <c r="H392" s="424"/>
      <c r="I392" s="426"/>
      <c r="J392" s="424"/>
      <c r="K392" s="424"/>
      <c r="L392" s="424"/>
      <c r="M392" s="424"/>
      <c r="N392" s="424"/>
      <c r="O392" s="424"/>
      <c r="P392" s="424"/>
      <c r="Q392" s="231"/>
    </row>
    <row r="393" spans="1:17" x14ac:dyDescent="0.2">
      <c r="A393" s="285" t="s">
        <v>3</v>
      </c>
      <c r="B393" s="228" t="s">
        <v>40</v>
      </c>
      <c r="C393" s="228" t="s">
        <v>4</v>
      </c>
      <c r="D393" s="427" t="s">
        <v>48</v>
      </c>
      <c r="E393" s="428" t="str">
        <f>B!$D$11</f>
        <v>Jan-17</v>
      </c>
      <c r="F393" s="428" t="str">
        <f>B!$E$11</f>
        <v>Feb-17</v>
      </c>
      <c r="G393" s="428" t="str">
        <f>B!$F$11</f>
        <v>Mar-17</v>
      </c>
      <c r="H393" s="428" t="str">
        <f>B!$G$11</f>
        <v>Apr-17</v>
      </c>
      <c r="I393" s="428" t="str">
        <f>B!$H$11</f>
        <v>May-17</v>
      </c>
      <c r="J393" s="428" t="str">
        <f>B!$I$11</f>
        <v>Jun-17</v>
      </c>
      <c r="K393" s="428" t="str">
        <f>B!$J$11</f>
        <v>Jul-17</v>
      </c>
      <c r="L393" s="428" t="str">
        <f>B!$K$11</f>
        <v>Aug-17</v>
      </c>
      <c r="M393" s="428" t="str">
        <f>B!$L$11</f>
        <v>Sep-17</v>
      </c>
      <c r="N393" s="428" t="str">
        <f>B!$M$11</f>
        <v>Oct-17</v>
      </c>
      <c r="O393" s="428" t="str">
        <f>B!$N$11</f>
        <v>Nov-17</v>
      </c>
      <c r="P393" s="428" t="str">
        <f>B!$O$11</f>
        <v>Dec-17</v>
      </c>
      <c r="Q393" s="429" t="s">
        <v>9</v>
      </c>
    </row>
    <row r="394" spans="1:17" x14ac:dyDescent="0.2">
      <c r="A394" s="416"/>
      <c r="B394" s="231" t="s">
        <v>42</v>
      </c>
      <c r="C394" s="231" t="s">
        <v>43</v>
      </c>
      <c r="D394" s="430" t="s">
        <v>45</v>
      </c>
      <c r="E394" s="431" t="s">
        <v>46</v>
      </c>
      <c r="F394" s="431" t="s">
        <v>49</v>
      </c>
      <c r="G394" s="431" t="s">
        <v>50</v>
      </c>
      <c r="H394" s="431" t="s">
        <v>51</v>
      </c>
      <c r="I394" s="431" t="s">
        <v>52</v>
      </c>
      <c r="J394" s="431" t="s">
        <v>53</v>
      </c>
      <c r="K394" s="432" t="s">
        <v>54</v>
      </c>
      <c r="L394" s="432" t="s">
        <v>55</v>
      </c>
      <c r="M394" s="432" t="s">
        <v>56</v>
      </c>
      <c r="N394" s="432" t="s">
        <v>57</v>
      </c>
      <c r="O394" s="432" t="s">
        <v>58</v>
      </c>
      <c r="P394" s="432" t="s">
        <v>59</v>
      </c>
      <c r="Q394" s="432" t="s">
        <v>203</v>
      </c>
    </row>
    <row r="395" spans="1:17" x14ac:dyDescent="0.2">
      <c r="E395" s="231"/>
      <c r="F395" s="432"/>
      <c r="G395" s="444"/>
      <c r="H395" s="432"/>
      <c r="I395" s="431"/>
      <c r="J395" s="432"/>
      <c r="K395" s="432"/>
      <c r="L395" s="432"/>
      <c r="M395" s="432"/>
      <c r="N395" s="432"/>
      <c r="O395" s="432"/>
      <c r="P395" s="432"/>
      <c r="Q395" s="231"/>
    </row>
    <row r="396" spans="1:17" x14ac:dyDescent="0.2">
      <c r="A396" s="224">
        <v>1</v>
      </c>
      <c r="B396" s="221" t="str">
        <f>B65</f>
        <v>GSR</v>
      </c>
      <c r="C396" s="221" t="str">
        <f>C65</f>
        <v>General Service - Residential</v>
      </c>
    </row>
    <row r="398" spans="1:17" x14ac:dyDescent="0.2">
      <c r="A398" s="224">
        <f>A396+1</f>
        <v>2</v>
      </c>
      <c r="C398" s="225" t="s">
        <v>109</v>
      </c>
      <c r="I398" s="297"/>
      <c r="J398" s="292"/>
    </row>
    <row r="399" spans="1:17" x14ac:dyDescent="0.2">
      <c r="I399" s="297"/>
      <c r="J399" s="292"/>
    </row>
    <row r="400" spans="1:17" x14ac:dyDescent="0.2">
      <c r="A400" s="224">
        <f>A398+1</f>
        <v>3</v>
      </c>
      <c r="C400" s="221" t="s">
        <v>202</v>
      </c>
      <c r="D400" s="478"/>
      <c r="E400" s="479">
        <f>B!D17</f>
        <v>99289</v>
      </c>
      <c r="F400" s="479">
        <f>B!E17</f>
        <v>99473</v>
      </c>
      <c r="G400" s="479">
        <f>B!F17</f>
        <v>99542</v>
      </c>
      <c r="H400" s="479">
        <f>B!G17</f>
        <v>99522</v>
      </c>
      <c r="I400" s="479">
        <f>B!H17</f>
        <v>99040</v>
      </c>
      <c r="J400" s="479">
        <f>B!I17</f>
        <v>98094</v>
      </c>
      <c r="K400" s="479">
        <f>B!J17</f>
        <v>97239</v>
      </c>
      <c r="L400" s="479">
        <f>B!K17</f>
        <v>97617</v>
      </c>
      <c r="M400" s="479">
        <f>B!L17</f>
        <v>96979</v>
      </c>
      <c r="N400" s="479">
        <f>B!M17</f>
        <v>96955</v>
      </c>
      <c r="O400" s="479">
        <f>B!N17</f>
        <v>97991</v>
      </c>
      <c r="P400" s="479">
        <f>B!O17</f>
        <v>98925</v>
      </c>
      <c r="Q400" s="480">
        <f>SUM(E400:P400)</f>
        <v>1180666</v>
      </c>
    </row>
    <row r="401" spans="1:17" x14ac:dyDescent="0.2">
      <c r="A401" s="224">
        <f>A400+1</f>
        <v>4</v>
      </c>
      <c r="C401" s="221" t="s">
        <v>210</v>
      </c>
      <c r="D401" s="792">
        <f>Input!H19</f>
        <v>15</v>
      </c>
      <c r="E401" s="434">
        <f t="shared" ref="E401:P401" si="160">ROUND(E400*$D$401,2)</f>
        <v>1489335</v>
      </c>
      <c r="F401" s="434">
        <f t="shared" si="160"/>
        <v>1492095</v>
      </c>
      <c r="G401" s="434">
        <f t="shared" si="160"/>
        <v>1493130</v>
      </c>
      <c r="H401" s="434">
        <f t="shared" si="160"/>
        <v>1492830</v>
      </c>
      <c r="I401" s="434">
        <f t="shared" si="160"/>
        <v>1485600</v>
      </c>
      <c r="J401" s="434">
        <f t="shared" si="160"/>
        <v>1471410</v>
      </c>
      <c r="K401" s="434">
        <f t="shared" si="160"/>
        <v>1458585</v>
      </c>
      <c r="L401" s="434">
        <f t="shared" si="160"/>
        <v>1464255</v>
      </c>
      <c r="M401" s="434">
        <f t="shared" si="160"/>
        <v>1454685</v>
      </c>
      <c r="N401" s="434">
        <f t="shared" si="160"/>
        <v>1454325</v>
      </c>
      <c r="O401" s="434">
        <f t="shared" si="160"/>
        <v>1469865</v>
      </c>
      <c r="P401" s="434">
        <f t="shared" si="160"/>
        <v>1483875</v>
      </c>
      <c r="Q401" s="434">
        <f>SUM(E401:P401)</f>
        <v>17709990</v>
      </c>
    </row>
    <row r="402" spans="1:17" x14ac:dyDescent="0.2">
      <c r="A402" s="224">
        <f>A401+1</f>
        <v>5</v>
      </c>
      <c r="C402" s="221" t="s">
        <v>211</v>
      </c>
      <c r="D402" s="792">
        <f>Input!J19</f>
        <v>2.25</v>
      </c>
      <c r="E402" s="434">
        <f t="shared" ref="E402:P402" si="161">ROUND(E400*$D$402,2)</f>
        <v>223400.25</v>
      </c>
      <c r="F402" s="434">
        <f t="shared" si="161"/>
        <v>223814.25</v>
      </c>
      <c r="G402" s="434">
        <f t="shared" si="161"/>
        <v>223969.5</v>
      </c>
      <c r="H402" s="434">
        <f t="shared" si="161"/>
        <v>223924.5</v>
      </c>
      <c r="I402" s="434">
        <f t="shared" si="161"/>
        <v>222840</v>
      </c>
      <c r="J402" s="434">
        <f t="shared" si="161"/>
        <v>220711.5</v>
      </c>
      <c r="K402" s="434">
        <f t="shared" si="161"/>
        <v>218787.75</v>
      </c>
      <c r="L402" s="434">
        <f t="shared" si="161"/>
        <v>219638.25</v>
      </c>
      <c r="M402" s="434">
        <f t="shared" si="161"/>
        <v>218202.75</v>
      </c>
      <c r="N402" s="434">
        <f t="shared" si="161"/>
        <v>218148.75</v>
      </c>
      <c r="O402" s="434">
        <f t="shared" si="161"/>
        <v>220479.75</v>
      </c>
      <c r="P402" s="434">
        <f t="shared" si="161"/>
        <v>222581.25</v>
      </c>
      <c r="Q402" s="434">
        <f>SUM(E402:P402)</f>
        <v>2656498.5</v>
      </c>
    </row>
    <row r="403" spans="1:17" x14ac:dyDescent="0.2">
      <c r="D403" s="481"/>
      <c r="E403" s="482"/>
      <c r="I403" s="297"/>
      <c r="J403" s="292"/>
    </row>
    <row r="404" spans="1:17" x14ac:dyDescent="0.2">
      <c r="A404" s="224">
        <f>A402+1</f>
        <v>6</v>
      </c>
      <c r="C404" s="242" t="s">
        <v>209</v>
      </c>
      <c r="D404" s="481"/>
      <c r="E404" s="483">
        <f>'C'!D17</f>
        <v>1331907.1000000001</v>
      </c>
      <c r="F404" s="483">
        <f>'C'!E17</f>
        <v>1291151.8</v>
      </c>
      <c r="G404" s="483">
        <f>'C'!F17</f>
        <v>968403</v>
      </c>
      <c r="H404" s="483">
        <f>'C'!G17</f>
        <v>552553.4</v>
      </c>
      <c r="I404" s="483">
        <f>'C'!H17</f>
        <v>259776.40000000002</v>
      </c>
      <c r="J404" s="483">
        <f>'C'!I17</f>
        <v>123911.3</v>
      </c>
      <c r="K404" s="483">
        <f>'C'!J17</f>
        <v>88930</v>
      </c>
      <c r="L404" s="483">
        <f>'C'!K17</f>
        <v>85940.7</v>
      </c>
      <c r="M404" s="483">
        <f>'C'!L17</f>
        <v>88922.9</v>
      </c>
      <c r="N404" s="483">
        <f>'C'!M17</f>
        <v>141784.29999999999</v>
      </c>
      <c r="O404" s="483">
        <f>'C'!N17</f>
        <v>408542.4</v>
      </c>
      <c r="P404" s="483">
        <f>'C'!O17</f>
        <v>906257.2</v>
      </c>
      <c r="Q404" s="484">
        <f>SUM(E404:P404)</f>
        <v>6248080.5000000009</v>
      </c>
    </row>
    <row r="405" spans="1:17" x14ac:dyDescent="0.2">
      <c r="A405" s="224">
        <f>A404+1</f>
        <v>7</v>
      </c>
      <c r="C405" s="305" t="s">
        <v>212</v>
      </c>
      <c r="D405" s="793">
        <f>Input!C19</f>
        <v>2.2665999999999999</v>
      </c>
      <c r="E405" s="434">
        <f t="shared" ref="E405:P405" si="162">ROUND(E404*$D$405,2)</f>
        <v>3018900.63</v>
      </c>
      <c r="F405" s="434">
        <f t="shared" si="162"/>
        <v>2926524.67</v>
      </c>
      <c r="G405" s="434">
        <f t="shared" si="162"/>
        <v>2194982.2400000002</v>
      </c>
      <c r="H405" s="434">
        <f t="shared" si="162"/>
        <v>1252417.54</v>
      </c>
      <c r="I405" s="434">
        <f t="shared" si="162"/>
        <v>588809.18999999994</v>
      </c>
      <c r="J405" s="434">
        <f t="shared" si="162"/>
        <v>280857.34999999998</v>
      </c>
      <c r="K405" s="434">
        <f t="shared" si="162"/>
        <v>201568.74</v>
      </c>
      <c r="L405" s="434">
        <f t="shared" si="162"/>
        <v>194793.19</v>
      </c>
      <c r="M405" s="434">
        <f t="shared" si="162"/>
        <v>201552.65</v>
      </c>
      <c r="N405" s="434">
        <f t="shared" si="162"/>
        <v>321368.28999999998</v>
      </c>
      <c r="O405" s="434">
        <f t="shared" si="162"/>
        <v>926002.2</v>
      </c>
      <c r="P405" s="434">
        <f t="shared" si="162"/>
        <v>2054122.57</v>
      </c>
      <c r="Q405" s="434">
        <f>SUM(E405:P405)</f>
        <v>14161899.259999998</v>
      </c>
    </row>
    <row r="406" spans="1:17" x14ac:dyDescent="0.2">
      <c r="C406" s="305"/>
      <c r="D406" s="486"/>
      <c r="E406" s="487"/>
      <c r="F406" s="487"/>
      <c r="G406" s="487"/>
      <c r="H406" s="487"/>
      <c r="I406" s="487"/>
      <c r="J406" s="487"/>
      <c r="K406" s="487"/>
      <c r="L406" s="487"/>
      <c r="M406" s="487"/>
      <c r="N406" s="487"/>
      <c r="O406" s="487"/>
      <c r="P406" s="487"/>
      <c r="Q406" s="488"/>
    </row>
    <row r="407" spans="1:17" x14ac:dyDescent="0.2">
      <c r="A407" s="224">
        <f>A405+1</f>
        <v>8</v>
      </c>
      <c r="C407" s="221" t="s">
        <v>204</v>
      </c>
      <c r="D407" s="486"/>
      <c r="E407" s="434">
        <f t="shared" ref="E407:O407" si="163">E401+E402+E405</f>
        <v>4731635.88</v>
      </c>
      <c r="F407" s="434">
        <f t="shared" si="163"/>
        <v>4642433.92</v>
      </c>
      <c r="G407" s="434">
        <f t="shared" si="163"/>
        <v>3912081.74</v>
      </c>
      <c r="H407" s="434">
        <f t="shared" si="163"/>
        <v>2969172.04</v>
      </c>
      <c r="I407" s="434">
        <f t="shared" si="163"/>
        <v>2297249.19</v>
      </c>
      <c r="J407" s="434">
        <f t="shared" si="163"/>
        <v>1972978.85</v>
      </c>
      <c r="K407" s="434">
        <f t="shared" si="163"/>
        <v>1878941.49</v>
      </c>
      <c r="L407" s="434">
        <f t="shared" si="163"/>
        <v>1878686.44</v>
      </c>
      <c r="M407" s="434">
        <f t="shared" si="163"/>
        <v>1874440.4</v>
      </c>
      <c r="N407" s="434">
        <f t="shared" si="163"/>
        <v>1993842.04</v>
      </c>
      <c r="O407" s="434">
        <f t="shared" si="163"/>
        <v>2616346.9500000002</v>
      </c>
      <c r="P407" s="434">
        <f>P401+P402+P405</f>
        <v>3760578.8200000003</v>
      </c>
      <c r="Q407" s="434">
        <f>SUM(E407:P407)</f>
        <v>34528387.760000005</v>
      </c>
    </row>
    <row r="408" spans="1:17" x14ac:dyDescent="0.2">
      <c r="C408" s="242"/>
      <c r="D408" s="486"/>
      <c r="E408" s="478"/>
      <c r="F408" s="478"/>
      <c r="G408" s="478"/>
      <c r="H408" s="478"/>
      <c r="I408" s="489"/>
      <c r="J408" s="489"/>
      <c r="K408" s="478"/>
      <c r="L408" s="478"/>
      <c r="M408" s="478"/>
      <c r="N408" s="478"/>
      <c r="O408" s="478"/>
      <c r="P408" s="478"/>
      <c r="Q408" s="478"/>
    </row>
    <row r="409" spans="1:17" x14ac:dyDescent="0.2">
      <c r="A409" s="224">
        <f>A407+1</f>
        <v>9</v>
      </c>
      <c r="C409" s="242" t="s">
        <v>208</v>
      </c>
      <c r="D409" s="793">
        <f>EGC</f>
        <v>2.2090999999999998</v>
      </c>
      <c r="E409" s="490">
        <f t="shared" ref="E409:O409" si="164">ROUND(E404*$D$409,2)</f>
        <v>2942315.97</v>
      </c>
      <c r="F409" s="490">
        <f t="shared" si="164"/>
        <v>2852283.44</v>
      </c>
      <c r="G409" s="490">
        <f t="shared" si="164"/>
        <v>2139299.0699999998</v>
      </c>
      <c r="H409" s="490">
        <f t="shared" si="164"/>
        <v>1220645.72</v>
      </c>
      <c r="I409" s="490">
        <f t="shared" si="164"/>
        <v>573872.05000000005</v>
      </c>
      <c r="J409" s="490">
        <f t="shared" si="164"/>
        <v>273732.45</v>
      </c>
      <c r="K409" s="490">
        <f t="shared" si="164"/>
        <v>196455.26</v>
      </c>
      <c r="L409" s="490">
        <f t="shared" si="164"/>
        <v>189851.6</v>
      </c>
      <c r="M409" s="490">
        <f t="shared" si="164"/>
        <v>196439.58</v>
      </c>
      <c r="N409" s="490">
        <f t="shared" si="164"/>
        <v>313215.7</v>
      </c>
      <c r="O409" s="490">
        <f t="shared" si="164"/>
        <v>902511.02</v>
      </c>
      <c r="P409" s="490">
        <f>ROUND(P404*$D$409,2)</f>
        <v>2002012.78</v>
      </c>
      <c r="Q409" s="490">
        <f>SUM(E409:P409)</f>
        <v>13802634.639999999</v>
      </c>
    </row>
    <row r="410" spans="1:17" x14ac:dyDescent="0.2">
      <c r="C410" s="438"/>
      <c r="D410" s="481"/>
      <c r="E410" s="491"/>
      <c r="F410" s="491"/>
      <c r="G410" s="491"/>
      <c r="H410" s="491"/>
      <c r="I410" s="491"/>
      <c r="J410" s="491"/>
      <c r="K410" s="491"/>
      <c r="L410" s="491"/>
      <c r="M410" s="491"/>
      <c r="N410" s="491"/>
      <c r="O410" s="491"/>
      <c r="P410" s="491"/>
      <c r="Q410" s="491"/>
    </row>
    <row r="411" spans="1:17" x14ac:dyDescent="0.2">
      <c r="A411" s="306">
        <f>A409+1</f>
        <v>10</v>
      </c>
      <c r="B411" s="305"/>
      <c r="C411" s="304" t="s">
        <v>206</v>
      </c>
      <c r="D411" s="492"/>
      <c r="E411" s="493">
        <f>E407+E409</f>
        <v>7673951.8499999996</v>
      </c>
      <c r="F411" s="493">
        <f t="shared" ref="F411:O411" si="165">F407+F409</f>
        <v>7494717.3599999994</v>
      </c>
      <c r="G411" s="493">
        <f t="shared" si="165"/>
        <v>6051380.8100000005</v>
      </c>
      <c r="H411" s="493">
        <f t="shared" si="165"/>
        <v>4189817.76</v>
      </c>
      <c r="I411" s="493">
        <f t="shared" si="165"/>
        <v>2871121.24</v>
      </c>
      <c r="J411" s="493">
        <f t="shared" si="165"/>
        <v>2246711.3000000003</v>
      </c>
      <c r="K411" s="493">
        <f t="shared" si="165"/>
        <v>2075396.75</v>
      </c>
      <c r="L411" s="493">
        <f t="shared" si="165"/>
        <v>2068538.04</v>
      </c>
      <c r="M411" s="493">
        <f t="shared" si="165"/>
        <v>2070879.98</v>
      </c>
      <c r="N411" s="493">
        <f t="shared" si="165"/>
        <v>2307057.7400000002</v>
      </c>
      <c r="O411" s="493">
        <f t="shared" si="165"/>
        <v>3518857.97</v>
      </c>
      <c r="P411" s="493">
        <f>P407+P409</f>
        <v>5762591.6000000006</v>
      </c>
      <c r="Q411" s="493">
        <f>SUM(E411:P411)</f>
        <v>48331022.400000006</v>
      </c>
    </row>
    <row r="412" spans="1:17" x14ac:dyDescent="0.2">
      <c r="C412" s="242"/>
      <c r="D412" s="481"/>
      <c r="E412" s="478"/>
      <c r="F412" s="478"/>
      <c r="G412" s="478"/>
      <c r="H412" s="478"/>
      <c r="I412" s="478"/>
      <c r="J412" s="478"/>
      <c r="K412" s="478"/>
      <c r="L412" s="478"/>
      <c r="M412" s="478"/>
      <c r="N412" s="478"/>
      <c r="O412" s="478"/>
      <c r="P412" s="478"/>
      <c r="Q412" s="478"/>
    </row>
    <row r="413" spans="1:17" x14ac:dyDescent="0.2">
      <c r="A413" s="224">
        <f>A411+1</f>
        <v>11</v>
      </c>
      <c r="C413" s="242" t="s">
        <v>196</v>
      </c>
      <c r="D413" s="494"/>
      <c r="E413" s="478"/>
      <c r="F413" s="489"/>
      <c r="G413" s="489"/>
      <c r="H413" s="489"/>
      <c r="I413" s="489"/>
      <c r="J413" s="489"/>
      <c r="K413" s="489"/>
      <c r="L413" s="478"/>
      <c r="M413" s="478"/>
      <c r="N413" s="478"/>
      <c r="O413" s="478"/>
      <c r="P413" s="478"/>
      <c r="Q413" s="478"/>
    </row>
    <row r="414" spans="1:17" x14ac:dyDescent="0.2">
      <c r="A414" s="224">
        <f>A413+1</f>
        <v>12</v>
      </c>
      <c r="C414" s="221" t="s">
        <v>213</v>
      </c>
      <c r="D414" s="793">
        <f>Input!K19</f>
        <v>0.69</v>
      </c>
      <c r="E414" s="434">
        <f t="shared" ref="E414:P414" si="166">ROUND(E400*$D$414,2)</f>
        <v>68509.41</v>
      </c>
      <c r="F414" s="434">
        <f t="shared" si="166"/>
        <v>68636.37</v>
      </c>
      <c r="G414" s="434">
        <f t="shared" si="166"/>
        <v>68683.98</v>
      </c>
      <c r="H414" s="434">
        <f t="shared" si="166"/>
        <v>68670.179999999993</v>
      </c>
      <c r="I414" s="434">
        <f t="shared" si="166"/>
        <v>68337.600000000006</v>
      </c>
      <c r="J414" s="434">
        <f t="shared" si="166"/>
        <v>67684.86</v>
      </c>
      <c r="K414" s="434">
        <f t="shared" si="166"/>
        <v>67094.91</v>
      </c>
      <c r="L414" s="434">
        <f t="shared" si="166"/>
        <v>67355.73</v>
      </c>
      <c r="M414" s="434">
        <f t="shared" si="166"/>
        <v>66915.509999999995</v>
      </c>
      <c r="N414" s="434">
        <f t="shared" si="166"/>
        <v>66898.95</v>
      </c>
      <c r="O414" s="434">
        <f t="shared" si="166"/>
        <v>67613.789999999994</v>
      </c>
      <c r="P414" s="434">
        <f t="shared" si="166"/>
        <v>68258.25</v>
      </c>
      <c r="Q414" s="434">
        <f>SUM(E414:P414)</f>
        <v>814659.54</v>
      </c>
    </row>
    <row r="415" spans="1:17" x14ac:dyDescent="0.2">
      <c r="A415" s="224">
        <f>A414+1</f>
        <v>13</v>
      </c>
      <c r="C415" s="242" t="s">
        <v>214</v>
      </c>
      <c r="D415" s="793">
        <f>Input!N19</f>
        <v>1.6E-2</v>
      </c>
      <c r="E415" s="290">
        <f t="shared" ref="E415:P415" si="167">ROUND(E404*$D$415,2)</f>
        <v>21310.51</v>
      </c>
      <c r="F415" s="290">
        <f t="shared" si="167"/>
        <v>20658.43</v>
      </c>
      <c r="G415" s="290">
        <f t="shared" si="167"/>
        <v>15494.45</v>
      </c>
      <c r="H415" s="290">
        <f t="shared" si="167"/>
        <v>8840.85</v>
      </c>
      <c r="I415" s="290">
        <f t="shared" si="167"/>
        <v>4156.42</v>
      </c>
      <c r="J415" s="290">
        <f t="shared" si="167"/>
        <v>1982.58</v>
      </c>
      <c r="K415" s="290">
        <f t="shared" si="167"/>
        <v>1422.88</v>
      </c>
      <c r="L415" s="290">
        <f t="shared" si="167"/>
        <v>1375.05</v>
      </c>
      <c r="M415" s="290">
        <f t="shared" si="167"/>
        <v>1422.77</v>
      </c>
      <c r="N415" s="290">
        <f t="shared" si="167"/>
        <v>2268.5500000000002</v>
      </c>
      <c r="O415" s="290">
        <f t="shared" si="167"/>
        <v>6536.68</v>
      </c>
      <c r="P415" s="290">
        <f t="shared" si="167"/>
        <v>14500.12</v>
      </c>
      <c r="Q415" s="436">
        <f>SUM(E415:P415)</f>
        <v>99969.290000000008</v>
      </c>
    </row>
    <row r="416" spans="1:17" x14ac:dyDescent="0.2">
      <c r="A416" s="224">
        <f>A415+1</f>
        <v>14</v>
      </c>
      <c r="C416" s="224" t="s">
        <v>215</v>
      </c>
      <c r="D416" s="793">
        <f>Input!L19</f>
        <v>5.9700000000000003E-2</v>
      </c>
      <c r="E416" s="438">
        <f t="shared" ref="E416:P416" si="168">ROUND(E404*$D$416,2)</f>
        <v>79514.850000000006</v>
      </c>
      <c r="F416" s="438">
        <f t="shared" si="168"/>
        <v>77081.759999999995</v>
      </c>
      <c r="G416" s="438">
        <f t="shared" si="168"/>
        <v>57813.66</v>
      </c>
      <c r="H416" s="438">
        <f t="shared" si="168"/>
        <v>32987.440000000002</v>
      </c>
      <c r="I416" s="438">
        <f t="shared" si="168"/>
        <v>15508.65</v>
      </c>
      <c r="J416" s="438">
        <f t="shared" si="168"/>
        <v>7397.5</v>
      </c>
      <c r="K416" s="438">
        <f t="shared" si="168"/>
        <v>5309.12</v>
      </c>
      <c r="L416" s="438">
        <f t="shared" si="168"/>
        <v>5130.66</v>
      </c>
      <c r="M416" s="438">
        <f t="shared" si="168"/>
        <v>5308.7</v>
      </c>
      <c r="N416" s="438">
        <f t="shared" si="168"/>
        <v>8464.52</v>
      </c>
      <c r="O416" s="438">
        <f t="shared" si="168"/>
        <v>24389.98</v>
      </c>
      <c r="P416" s="438">
        <f t="shared" si="168"/>
        <v>54103.55</v>
      </c>
      <c r="Q416" s="438">
        <f>SUM(E416:P416)</f>
        <v>373010.38999999996</v>
      </c>
    </row>
    <row r="417" spans="1:19" x14ac:dyDescent="0.2">
      <c r="A417" s="224">
        <f>A416+1</f>
        <v>15</v>
      </c>
      <c r="C417" s="221" t="s">
        <v>216</v>
      </c>
      <c r="D417" s="478"/>
      <c r="E417" s="434">
        <f t="shared" ref="E417:O417" si="169">SUM(E414:E416)</f>
        <v>169334.77000000002</v>
      </c>
      <c r="F417" s="434">
        <f t="shared" si="169"/>
        <v>166376.56</v>
      </c>
      <c r="G417" s="434">
        <f t="shared" si="169"/>
        <v>141992.09</v>
      </c>
      <c r="H417" s="434">
        <f t="shared" si="169"/>
        <v>110498.47</v>
      </c>
      <c r="I417" s="434">
        <f t="shared" si="169"/>
        <v>88002.67</v>
      </c>
      <c r="J417" s="434">
        <f t="shared" si="169"/>
        <v>77064.94</v>
      </c>
      <c r="K417" s="434">
        <f t="shared" si="169"/>
        <v>73826.91</v>
      </c>
      <c r="L417" s="434">
        <f t="shared" si="169"/>
        <v>73861.440000000002</v>
      </c>
      <c r="M417" s="434">
        <f t="shared" si="169"/>
        <v>73646.98</v>
      </c>
      <c r="N417" s="434">
        <f t="shared" si="169"/>
        <v>77632.02</v>
      </c>
      <c r="O417" s="434">
        <f t="shared" si="169"/>
        <v>98540.45</v>
      </c>
      <c r="P417" s="434">
        <f>SUM(P414:P416)</f>
        <v>136861.91999999998</v>
      </c>
      <c r="Q417" s="434">
        <f>SUM(E417:P417)</f>
        <v>1287639.22</v>
      </c>
    </row>
    <row r="418" spans="1:19" x14ac:dyDescent="0.2">
      <c r="D418" s="478"/>
      <c r="E418" s="478"/>
      <c r="F418" s="489"/>
      <c r="G418" s="489"/>
      <c r="H418" s="489"/>
      <c r="I418" s="489"/>
      <c r="J418" s="489"/>
      <c r="K418" s="489"/>
      <c r="L418" s="478"/>
      <c r="M418" s="478"/>
      <c r="N418" s="478"/>
      <c r="O418" s="478"/>
      <c r="P418" s="478"/>
      <c r="Q418" s="478"/>
    </row>
    <row r="419" spans="1:19" ht="10.8" thickBot="1" x14ac:dyDescent="0.25">
      <c r="A419" s="495">
        <f>A417+1</f>
        <v>16</v>
      </c>
      <c r="B419" s="496"/>
      <c r="C419" s="497" t="s">
        <v>205</v>
      </c>
      <c r="D419" s="498"/>
      <c r="E419" s="499">
        <f>E411+E417</f>
        <v>7843286.6199999992</v>
      </c>
      <c r="F419" s="499">
        <f t="shared" ref="F419:O419" si="170">F411+F417</f>
        <v>7661093.919999999</v>
      </c>
      <c r="G419" s="499">
        <f t="shared" si="170"/>
        <v>6193372.9000000004</v>
      </c>
      <c r="H419" s="499">
        <f t="shared" si="170"/>
        <v>4300316.2299999995</v>
      </c>
      <c r="I419" s="499">
        <f t="shared" si="170"/>
        <v>2959123.91</v>
      </c>
      <c r="J419" s="499">
        <f t="shared" si="170"/>
        <v>2323776.2400000002</v>
      </c>
      <c r="K419" s="499">
        <f t="shared" si="170"/>
        <v>2149223.66</v>
      </c>
      <c r="L419" s="499">
        <f t="shared" si="170"/>
        <v>2142399.48</v>
      </c>
      <c r="M419" s="499">
        <f t="shared" si="170"/>
        <v>2144526.96</v>
      </c>
      <c r="N419" s="499">
        <f t="shared" si="170"/>
        <v>2384689.7600000002</v>
      </c>
      <c r="O419" s="499">
        <f t="shared" si="170"/>
        <v>3617398.4200000004</v>
      </c>
      <c r="P419" s="499">
        <f>P411+P417</f>
        <v>5899453.5200000005</v>
      </c>
      <c r="Q419" s="499">
        <f>SUM(E419:P419)</f>
        <v>49618661.620000005</v>
      </c>
      <c r="S419" s="435">
        <f>Q419-Q415</f>
        <v>49518692.330000006</v>
      </c>
    </row>
    <row r="420" spans="1:19" ht="10.8" thickTop="1" x14ac:dyDescent="0.2">
      <c r="A420" s="306"/>
      <c r="B420" s="305"/>
      <c r="C420" s="305"/>
      <c r="D420" s="304"/>
      <c r="E420" s="500"/>
      <c r="F420" s="500"/>
      <c r="G420" s="500"/>
      <c r="H420" s="500"/>
      <c r="I420" s="500"/>
      <c r="J420" s="500"/>
      <c r="K420" s="500"/>
      <c r="L420" s="500"/>
      <c r="M420" s="500"/>
      <c r="N420" s="500"/>
      <c r="O420" s="500"/>
      <c r="P420" s="500"/>
      <c r="Q420" s="500"/>
    </row>
    <row r="421" spans="1:19" x14ac:dyDescent="0.2">
      <c r="A421" s="306"/>
      <c r="B421" s="305"/>
      <c r="C421" s="305"/>
      <c r="D421" s="304"/>
      <c r="E421" s="500"/>
      <c r="F421" s="500"/>
      <c r="G421" s="500"/>
      <c r="H421" s="500"/>
      <c r="I421" s="500"/>
      <c r="J421" s="500"/>
      <c r="K421" s="500"/>
      <c r="L421" s="500"/>
      <c r="M421" s="500"/>
      <c r="N421" s="500"/>
      <c r="O421" s="500"/>
      <c r="P421" s="500"/>
      <c r="Q421" s="500"/>
    </row>
    <row r="422" spans="1:19" x14ac:dyDescent="0.2">
      <c r="A422" s="306">
        <f>A419+1</f>
        <v>17</v>
      </c>
      <c r="B422" s="305" t="str">
        <f>B72</f>
        <v>G1C</v>
      </c>
      <c r="C422" s="305" t="str">
        <f>C72</f>
        <v>LG&amp;E Commercial</v>
      </c>
      <c r="D422" s="304"/>
      <c r="E422" s="305"/>
      <c r="F422" s="422"/>
      <c r="G422" s="442"/>
      <c r="H422" s="422"/>
      <c r="I422" s="443"/>
      <c r="J422" s="422"/>
      <c r="K422" s="422"/>
      <c r="L422" s="422"/>
      <c r="M422" s="422"/>
      <c r="N422" s="422"/>
      <c r="O422" s="422"/>
      <c r="P422" s="422"/>
      <c r="Q422" s="305"/>
    </row>
    <row r="423" spans="1:19" x14ac:dyDescent="0.2">
      <c r="A423" s="306"/>
      <c r="B423" s="305"/>
      <c r="C423" s="305"/>
      <c r="D423" s="304"/>
      <c r="E423" s="305"/>
      <c r="F423" s="422"/>
      <c r="G423" s="442"/>
      <c r="H423" s="422"/>
      <c r="I423" s="443"/>
      <c r="J423" s="422"/>
      <c r="K423" s="422"/>
      <c r="L423" s="422"/>
      <c r="M423" s="422"/>
      <c r="N423" s="422"/>
      <c r="O423" s="422"/>
      <c r="P423" s="422"/>
      <c r="Q423" s="305"/>
    </row>
    <row r="424" spans="1:19" x14ac:dyDescent="0.2">
      <c r="A424" s="306">
        <f>A422+1</f>
        <v>18</v>
      </c>
      <c r="B424" s="305"/>
      <c r="C424" s="501" t="s">
        <v>111</v>
      </c>
      <c r="D424" s="304"/>
      <c r="E424" s="305"/>
      <c r="F424" s="422"/>
      <c r="G424" s="442"/>
      <c r="H424" s="422"/>
      <c r="I424" s="443"/>
      <c r="J424" s="422"/>
      <c r="K424" s="422"/>
      <c r="L424" s="422"/>
      <c r="M424" s="422"/>
      <c r="N424" s="422"/>
      <c r="O424" s="422"/>
      <c r="P424" s="422"/>
      <c r="Q424" s="305"/>
    </row>
    <row r="425" spans="1:19" x14ac:dyDescent="0.2">
      <c r="A425" s="306"/>
      <c r="B425" s="305"/>
      <c r="C425" s="305"/>
      <c r="D425" s="304"/>
      <c r="E425" s="305"/>
      <c r="F425" s="502"/>
      <c r="G425" s="503"/>
      <c r="H425" s="502"/>
      <c r="I425" s="504"/>
      <c r="J425" s="502"/>
      <c r="K425" s="502"/>
      <c r="L425" s="422"/>
      <c r="M425" s="422"/>
      <c r="N425" s="422"/>
      <c r="O425" s="422"/>
      <c r="P425" s="422"/>
      <c r="Q425" s="305"/>
    </row>
    <row r="426" spans="1:19" x14ac:dyDescent="0.2">
      <c r="A426" s="306">
        <f>A424+1</f>
        <v>19</v>
      </c>
      <c r="B426" s="305"/>
      <c r="C426" s="305" t="s">
        <v>202</v>
      </c>
      <c r="D426" s="304"/>
      <c r="E426" s="505">
        <f>B!D22</f>
        <v>3</v>
      </c>
      <c r="F426" s="505">
        <f>B!E22</f>
        <v>3</v>
      </c>
      <c r="G426" s="505">
        <f>B!F22</f>
        <v>4</v>
      </c>
      <c r="H426" s="505">
        <f>B!G22</f>
        <v>4</v>
      </c>
      <c r="I426" s="505">
        <f>B!H22</f>
        <v>4</v>
      </c>
      <c r="J426" s="505">
        <f>B!I22</f>
        <v>4</v>
      </c>
      <c r="K426" s="505">
        <f>B!J22</f>
        <v>4</v>
      </c>
      <c r="L426" s="505">
        <f>B!K22</f>
        <v>3</v>
      </c>
      <c r="M426" s="505">
        <f>B!L22</f>
        <v>3</v>
      </c>
      <c r="N426" s="505">
        <f>B!M22</f>
        <v>3</v>
      </c>
      <c r="O426" s="505">
        <f>B!N22</f>
        <v>3</v>
      </c>
      <c r="P426" s="505">
        <f>B!O22</f>
        <v>3</v>
      </c>
      <c r="Q426" s="506">
        <f>SUM(E426:P426)</f>
        <v>41</v>
      </c>
    </row>
    <row r="427" spans="1:19" x14ac:dyDescent="0.2">
      <c r="A427" s="306">
        <f>A426+1</f>
        <v>20</v>
      </c>
      <c r="B427" s="305"/>
      <c r="C427" s="305" t="s">
        <v>210</v>
      </c>
      <c r="D427" s="792">
        <f>Input!H20</f>
        <v>56.92</v>
      </c>
      <c r="E427" s="493">
        <f t="shared" ref="E427:P427" si="171">ROUND(E426*$D$427,2)</f>
        <v>170.76</v>
      </c>
      <c r="F427" s="493">
        <f t="shared" si="171"/>
        <v>170.76</v>
      </c>
      <c r="G427" s="493">
        <f t="shared" si="171"/>
        <v>227.68</v>
      </c>
      <c r="H427" s="493">
        <f t="shared" si="171"/>
        <v>227.68</v>
      </c>
      <c r="I427" s="493">
        <f t="shared" si="171"/>
        <v>227.68</v>
      </c>
      <c r="J427" s="493">
        <f t="shared" si="171"/>
        <v>227.68</v>
      </c>
      <c r="K427" s="493">
        <f t="shared" si="171"/>
        <v>227.68</v>
      </c>
      <c r="L427" s="493">
        <f t="shared" si="171"/>
        <v>170.76</v>
      </c>
      <c r="M427" s="493">
        <f t="shared" si="171"/>
        <v>170.76</v>
      </c>
      <c r="N427" s="493">
        <f t="shared" si="171"/>
        <v>170.76</v>
      </c>
      <c r="O427" s="493">
        <f t="shared" si="171"/>
        <v>170.76</v>
      </c>
      <c r="P427" s="493">
        <f t="shared" si="171"/>
        <v>170.76</v>
      </c>
      <c r="Q427" s="493">
        <f>SUM(E427:P427)</f>
        <v>2333.7200000000003</v>
      </c>
    </row>
    <row r="428" spans="1:19" x14ac:dyDescent="0.2">
      <c r="A428" s="306"/>
      <c r="B428" s="305"/>
      <c r="C428" s="305"/>
      <c r="D428" s="290"/>
      <c r="E428" s="305"/>
      <c r="F428" s="502"/>
      <c r="G428" s="503"/>
      <c r="H428" s="502"/>
      <c r="I428" s="504"/>
      <c r="J428" s="502"/>
      <c r="K428" s="502"/>
      <c r="L428" s="422"/>
      <c r="M428" s="422"/>
      <c r="N428" s="422"/>
      <c r="O428" s="422"/>
      <c r="P428" s="422"/>
      <c r="Q428" s="305"/>
    </row>
    <row r="429" spans="1:19" x14ac:dyDescent="0.2">
      <c r="A429" s="306">
        <f>A427+1</f>
        <v>21</v>
      </c>
      <c r="B429" s="305"/>
      <c r="C429" s="305" t="s">
        <v>209</v>
      </c>
      <c r="D429" s="519"/>
      <c r="E429" s="507">
        <f>'C'!D22</f>
        <v>307.2</v>
      </c>
      <c r="F429" s="507">
        <f>'C'!E22</f>
        <v>374.8</v>
      </c>
      <c r="G429" s="507">
        <f>'C'!F22</f>
        <v>373.1</v>
      </c>
      <c r="H429" s="507">
        <f>'C'!G22</f>
        <v>173.3</v>
      </c>
      <c r="I429" s="507">
        <f>'C'!H22</f>
        <v>68.900000000000006</v>
      </c>
      <c r="J429" s="507">
        <f>'C'!I22</f>
        <v>18</v>
      </c>
      <c r="K429" s="507">
        <f>'C'!J22</f>
        <v>29.1</v>
      </c>
      <c r="L429" s="507">
        <f>'C'!K22</f>
        <v>16.7</v>
      </c>
      <c r="M429" s="507">
        <f>'C'!L22</f>
        <v>8.8000000000000007</v>
      </c>
      <c r="N429" s="507">
        <f>'C'!M22</f>
        <v>22.2</v>
      </c>
      <c r="O429" s="507">
        <f>'C'!N22</f>
        <v>83.3</v>
      </c>
      <c r="P429" s="507">
        <f>'C'!O22</f>
        <v>222.4</v>
      </c>
      <c r="Q429" s="508">
        <f>SUM(E429:P429)</f>
        <v>1697.8</v>
      </c>
    </row>
    <row r="430" spans="1:19" x14ac:dyDescent="0.2">
      <c r="A430" s="306">
        <f>A429+1</f>
        <v>22</v>
      </c>
      <c r="B430" s="305"/>
      <c r="C430" s="304" t="s">
        <v>212</v>
      </c>
      <c r="D430" s="793">
        <f>Input!C20</f>
        <v>2.1558000000000002</v>
      </c>
      <c r="E430" s="493">
        <f t="shared" ref="E430:P430" si="172">ROUND(E429*$D$430,2)</f>
        <v>662.26</v>
      </c>
      <c r="F430" s="493">
        <f t="shared" si="172"/>
        <v>807.99</v>
      </c>
      <c r="G430" s="493">
        <f t="shared" si="172"/>
        <v>804.33</v>
      </c>
      <c r="H430" s="493">
        <f t="shared" si="172"/>
        <v>373.6</v>
      </c>
      <c r="I430" s="493">
        <f t="shared" si="172"/>
        <v>148.53</v>
      </c>
      <c r="J430" s="493">
        <f t="shared" si="172"/>
        <v>38.799999999999997</v>
      </c>
      <c r="K430" s="493">
        <f t="shared" si="172"/>
        <v>62.73</v>
      </c>
      <c r="L430" s="493">
        <f t="shared" si="172"/>
        <v>36</v>
      </c>
      <c r="M430" s="493">
        <f t="shared" si="172"/>
        <v>18.97</v>
      </c>
      <c r="N430" s="493">
        <f t="shared" si="172"/>
        <v>47.86</v>
      </c>
      <c r="O430" s="493">
        <f t="shared" si="172"/>
        <v>179.58</v>
      </c>
      <c r="P430" s="493">
        <f t="shared" si="172"/>
        <v>479.45</v>
      </c>
      <c r="Q430" s="493">
        <f>SUM(E430:P430)</f>
        <v>3660.1</v>
      </c>
    </row>
    <row r="431" spans="1:19" x14ac:dyDescent="0.2">
      <c r="A431" s="306"/>
      <c r="B431" s="305"/>
      <c r="C431" s="305"/>
      <c r="D431" s="290"/>
      <c r="E431" s="305"/>
      <c r="F431" s="422"/>
      <c r="G431" s="442"/>
      <c r="H431" s="422"/>
      <c r="I431" s="443"/>
      <c r="J431" s="422"/>
      <c r="K431" s="422"/>
      <c r="L431" s="422"/>
      <c r="M431" s="422"/>
      <c r="N431" s="422"/>
      <c r="O431" s="422"/>
      <c r="P431" s="422"/>
      <c r="Q431" s="509"/>
    </row>
    <row r="432" spans="1:19" x14ac:dyDescent="0.2">
      <c r="A432" s="306">
        <f>A430+1</f>
        <v>23</v>
      </c>
      <c r="B432" s="305"/>
      <c r="C432" s="305" t="s">
        <v>204</v>
      </c>
      <c r="D432" s="290"/>
      <c r="E432" s="493">
        <f t="shared" ref="E432:O432" si="173">E427+E430</f>
        <v>833.02</v>
      </c>
      <c r="F432" s="493">
        <f t="shared" si="173"/>
        <v>978.75</v>
      </c>
      <c r="G432" s="493">
        <f t="shared" si="173"/>
        <v>1032.01</v>
      </c>
      <c r="H432" s="493">
        <f t="shared" si="173"/>
        <v>601.28</v>
      </c>
      <c r="I432" s="493">
        <f t="shared" si="173"/>
        <v>376.21000000000004</v>
      </c>
      <c r="J432" s="493">
        <f t="shared" si="173"/>
        <v>266.48</v>
      </c>
      <c r="K432" s="493">
        <f t="shared" si="173"/>
        <v>290.41000000000003</v>
      </c>
      <c r="L432" s="493">
        <f t="shared" si="173"/>
        <v>206.76</v>
      </c>
      <c r="M432" s="493">
        <f t="shared" si="173"/>
        <v>189.73</v>
      </c>
      <c r="N432" s="493">
        <f t="shared" si="173"/>
        <v>218.62</v>
      </c>
      <c r="O432" s="493">
        <f t="shared" si="173"/>
        <v>350.34000000000003</v>
      </c>
      <c r="P432" s="493">
        <f>P427+P430</f>
        <v>650.21</v>
      </c>
      <c r="Q432" s="493">
        <f>SUM(E432:P432)</f>
        <v>5993.82</v>
      </c>
    </row>
    <row r="433" spans="1:17" x14ac:dyDescent="0.2">
      <c r="A433" s="306"/>
      <c r="B433" s="305"/>
      <c r="C433" s="305"/>
      <c r="D433" s="290"/>
      <c r="E433" s="510"/>
      <c r="F433" s="510"/>
      <c r="G433" s="510"/>
      <c r="H433" s="510"/>
      <c r="I433" s="510"/>
      <c r="J433" s="510"/>
      <c r="K433" s="510"/>
      <c r="L433" s="510"/>
      <c r="M433" s="510"/>
      <c r="N433" s="510"/>
      <c r="O433" s="510"/>
      <c r="P433" s="510"/>
      <c r="Q433" s="510"/>
    </row>
    <row r="434" spans="1:17" x14ac:dyDescent="0.2">
      <c r="A434" s="306">
        <f>A432+1</f>
        <v>24</v>
      </c>
      <c r="B434" s="305"/>
      <c r="C434" s="305" t="s">
        <v>208</v>
      </c>
      <c r="D434" s="793">
        <f>EGC</f>
        <v>2.2090999999999998</v>
      </c>
      <c r="E434" s="511">
        <f t="shared" ref="E434:P434" si="174">ROUND(E429*$D$434,2)</f>
        <v>678.64</v>
      </c>
      <c r="F434" s="511">
        <f t="shared" si="174"/>
        <v>827.97</v>
      </c>
      <c r="G434" s="511">
        <f t="shared" si="174"/>
        <v>824.22</v>
      </c>
      <c r="H434" s="511">
        <f t="shared" si="174"/>
        <v>382.84</v>
      </c>
      <c r="I434" s="511">
        <f t="shared" si="174"/>
        <v>152.21</v>
      </c>
      <c r="J434" s="511">
        <f t="shared" si="174"/>
        <v>39.76</v>
      </c>
      <c r="K434" s="511">
        <f t="shared" si="174"/>
        <v>64.28</v>
      </c>
      <c r="L434" s="511">
        <f t="shared" si="174"/>
        <v>36.89</v>
      </c>
      <c r="M434" s="511">
        <f t="shared" si="174"/>
        <v>19.440000000000001</v>
      </c>
      <c r="N434" s="511">
        <f t="shared" si="174"/>
        <v>49.04</v>
      </c>
      <c r="O434" s="511">
        <f t="shared" si="174"/>
        <v>184.02</v>
      </c>
      <c r="P434" s="511">
        <f t="shared" si="174"/>
        <v>491.3</v>
      </c>
      <c r="Q434" s="511">
        <f>SUM(E434:P434)</f>
        <v>3750.6100000000006</v>
      </c>
    </row>
    <row r="435" spans="1:17" x14ac:dyDescent="0.2">
      <c r="A435" s="306"/>
      <c r="B435" s="305"/>
      <c r="C435" s="305"/>
      <c r="D435" s="304"/>
      <c r="E435" s="510"/>
      <c r="F435" s="510"/>
      <c r="G435" s="510"/>
      <c r="H435" s="510"/>
      <c r="I435" s="510"/>
      <c r="J435" s="510"/>
      <c r="K435" s="510"/>
      <c r="L435" s="510"/>
      <c r="M435" s="510"/>
      <c r="N435" s="510"/>
      <c r="O435" s="510"/>
      <c r="P435" s="510"/>
      <c r="Q435" s="510"/>
    </row>
    <row r="436" spans="1:17" ht="10.8" thickBot="1" x14ac:dyDescent="0.25">
      <c r="A436" s="495">
        <f>A434+1</f>
        <v>25</v>
      </c>
      <c r="B436" s="496"/>
      <c r="C436" s="496" t="s">
        <v>205</v>
      </c>
      <c r="D436" s="497"/>
      <c r="E436" s="499">
        <f t="shared" ref="E436:O436" si="175">E432+E434</f>
        <v>1511.6599999999999</v>
      </c>
      <c r="F436" s="499">
        <f t="shared" si="175"/>
        <v>1806.72</v>
      </c>
      <c r="G436" s="499">
        <f t="shared" si="175"/>
        <v>1856.23</v>
      </c>
      <c r="H436" s="499">
        <f t="shared" si="175"/>
        <v>984.11999999999989</v>
      </c>
      <c r="I436" s="499">
        <f t="shared" si="175"/>
        <v>528.42000000000007</v>
      </c>
      <c r="J436" s="499">
        <f t="shared" si="175"/>
        <v>306.24</v>
      </c>
      <c r="K436" s="499">
        <f t="shared" si="175"/>
        <v>354.69000000000005</v>
      </c>
      <c r="L436" s="499">
        <f t="shared" si="175"/>
        <v>243.64999999999998</v>
      </c>
      <c r="M436" s="499">
        <f t="shared" si="175"/>
        <v>209.17</v>
      </c>
      <c r="N436" s="499">
        <f t="shared" si="175"/>
        <v>267.66000000000003</v>
      </c>
      <c r="O436" s="499">
        <f t="shared" si="175"/>
        <v>534.36</v>
      </c>
      <c r="P436" s="499">
        <f>P432+P434</f>
        <v>1141.51</v>
      </c>
      <c r="Q436" s="499">
        <f>SUM(E436:P436)</f>
        <v>9744.43</v>
      </c>
    </row>
    <row r="437" spans="1:17" ht="10.8" thickTop="1" x14ac:dyDescent="0.2">
      <c r="E437" s="478"/>
      <c r="F437" s="478"/>
      <c r="G437" s="478"/>
      <c r="H437" s="478"/>
      <c r="I437" s="478"/>
      <c r="J437" s="478"/>
      <c r="K437" s="478"/>
      <c r="L437" s="478"/>
      <c r="M437" s="478"/>
      <c r="N437" s="478"/>
      <c r="O437" s="478"/>
      <c r="P437" s="478"/>
      <c r="Q437" s="478"/>
    </row>
    <row r="438" spans="1:17" x14ac:dyDescent="0.2">
      <c r="E438" s="478"/>
      <c r="F438" s="478"/>
      <c r="G438" s="478"/>
      <c r="H438" s="478"/>
      <c r="I438" s="478"/>
      <c r="J438" s="478"/>
      <c r="K438" s="478"/>
      <c r="L438" s="478"/>
      <c r="M438" s="478"/>
      <c r="N438" s="478"/>
      <c r="O438" s="478"/>
      <c r="P438" s="478"/>
      <c r="Q438" s="478"/>
    </row>
    <row r="439" spans="1:17" x14ac:dyDescent="0.2">
      <c r="A439" s="224" t="str">
        <f>$A$270</f>
        <v>[1] Reflects Normalized Volumes.</v>
      </c>
    </row>
    <row r="440" spans="1:17" x14ac:dyDescent="0.2">
      <c r="A440" s="224" t="str">
        <f>"[2] Reflects Gas Cost Adjustment Rate" &amp;CONCATENATE(" as of ",EGCDATE)&amp;"."</f>
        <v>[2] Reflects Gas Cost Adjustment Rate as of March 1, 2016.</v>
      </c>
    </row>
    <row r="441" spans="1:17" x14ac:dyDescent="0.2">
      <c r="A441" s="887" t="str">
        <f>CONAME</f>
        <v>Columbia Gas of Kentucky, Inc.</v>
      </c>
      <c r="B441" s="887"/>
      <c r="C441" s="887"/>
      <c r="D441" s="887"/>
      <c r="E441" s="887"/>
      <c r="F441" s="887"/>
      <c r="G441" s="887"/>
      <c r="H441" s="887"/>
      <c r="I441" s="887"/>
      <c r="J441" s="887"/>
      <c r="K441" s="887"/>
      <c r="L441" s="887"/>
      <c r="M441" s="887"/>
      <c r="N441" s="887"/>
      <c r="O441" s="887"/>
      <c r="P441" s="887"/>
      <c r="Q441" s="887"/>
    </row>
    <row r="442" spans="1:17" x14ac:dyDescent="0.2">
      <c r="A442" s="875" t="str">
        <f>case</f>
        <v>Case No. 2016-00162</v>
      </c>
      <c r="B442" s="875"/>
      <c r="C442" s="875"/>
      <c r="D442" s="875"/>
      <c r="E442" s="875"/>
      <c r="F442" s="875"/>
      <c r="G442" s="875"/>
      <c r="H442" s="875"/>
      <c r="I442" s="875"/>
      <c r="J442" s="875"/>
      <c r="K442" s="875"/>
      <c r="L442" s="875"/>
      <c r="M442" s="875"/>
      <c r="N442" s="875"/>
      <c r="O442" s="875"/>
      <c r="P442" s="875"/>
      <c r="Q442" s="875"/>
    </row>
    <row r="443" spans="1:17" x14ac:dyDescent="0.2">
      <c r="A443" s="888" t="s">
        <v>503</v>
      </c>
      <c r="B443" s="888"/>
      <c r="C443" s="888"/>
      <c r="D443" s="888"/>
      <c r="E443" s="888"/>
      <c r="F443" s="888"/>
      <c r="G443" s="888"/>
      <c r="H443" s="888"/>
      <c r="I443" s="888"/>
      <c r="J443" s="888"/>
      <c r="K443" s="888"/>
      <c r="L443" s="888"/>
      <c r="M443" s="888"/>
      <c r="N443" s="888"/>
      <c r="O443" s="888"/>
      <c r="P443" s="888"/>
      <c r="Q443" s="888"/>
    </row>
    <row r="444" spans="1:17" x14ac:dyDescent="0.2">
      <c r="A444" s="887" t="str">
        <f>TYDESC</f>
        <v>For the 12 Months Ended December 31, 2017</v>
      </c>
      <c r="B444" s="887"/>
      <c r="C444" s="887"/>
      <c r="D444" s="887"/>
      <c r="E444" s="887"/>
      <c r="F444" s="887"/>
      <c r="G444" s="887"/>
      <c r="H444" s="887"/>
      <c r="I444" s="887"/>
      <c r="J444" s="887"/>
      <c r="K444" s="887"/>
      <c r="L444" s="887"/>
      <c r="M444" s="887"/>
      <c r="N444" s="887"/>
      <c r="O444" s="887"/>
      <c r="P444" s="887"/>
      <c r="Q444" s="887"/>
    </row>
    <row r="445" spans="1:17" x14ac:dyDescent="0.2">
      <c r="A445" s="885" t="s">
        <v>39</v>
      </c>
      <c r="B445" s="885"/>
      <c r="C445" s="885"/>
      <c r="D445" s="885"/>
      <c r="E445" s="885"/>
      <c r="F445" s="885"/>
      <c r="G445" s="885"/>
      <c r="H445" s="885"/>
      <c r="I445" s="885"/>
      <c r="J445" s="885"/>
      <c r="K445" s="885"/>
      <c r="L445" s="885"/>
      <c r="M445" s="885"/>
      <c r="N445" s="885"/>
      <c r="O445" s="885"/>
      <c r="P445" s="885"/>
      <c r="Q445" s="885"/>
    </row>
    <row r="446" spans="1:17" x14ac:dyDescent="0.2">
      <c r="A446" s="266" t="str">
        <f>$A$52</f>
        <v>Data: __ Base Period _X_ Forecasted Period</v>
      </c>
    </row>
    <row r="447" spans="1:17" x14ac:dyDescent="0.2">
      <c r="A447" s="266" t="str">
        <f>$A$53</f>
        <v>Type of Filing: X Original _ Update _ Revised</v>
      </c>
      <c r="Q447" s="420" t="str">
        <f>$Q$53</f>
        <v>Schedule M-2.2</v>
      </c>
    </row>
    <row r="448" spans="1:17" x14ac:dyDescent="0.2">
      <c r="A448" s="266" t="str">
        <f>$A$54</f>
        <v>Work Paper Reference No(s):</v>
      </c>
      <c r="Q448" s="420" t="s">
        <v>523</v>
      </c>
    </row>
    <row r="449" spans="1:17" x14ac:dyDescent="0.2">
      <c r="A449" s="421" t="str">
        <f>$A$55</f>
        <v>12 Months Forecasted</v>
      </c>
      <c r="Q449" s="420" t="str">
        <f>Witness</f>
        <v>Witness:  M. J. Bell</v>
      </c>
    </row>
    <row r="450" spans="1:17" x14ac:dyDescent="0.2">
      <c r="A450" s="886" t="s">
        <v>194</v>
      </c>
      <c r="B450" s="886"/>
      <c r="C450" s="886"/>
      <c r="D450" s="886"/>
      <c r="E450" s="886"/>
      <c r="F450" s="886"/>
      <c r="G450" s="886"/>
      <c r="H450" s="886"/>
      <c r="I450" s="886"/>
      <c r="J450" s="886"/>
      <c r="K450" s="886"/>
      <c r="L450" s="886"/>
      <c r="M450" s="886"/>
      <c r="N450" s="886"/>
      <c r="O450" s="886"/>
      <c r="P450" s="886"/>
      <c r="Q450" s="886"/>
    </row>
    <row r="451" spans="1:17" x14ac:dyDescent="0.2">
      <c r="A451" s="440"/>
      <c r="B451" s="305"/>
      <c r="C451" s="305"/>
      <c r="D451" s="304"/>
      <c r="E451" s="305"/>
      <c r="F451" s="422"/>
      <c r="G451" s="442"/>
      <c r="H451" s="422"/>
      <c r="I451" s="443"/>
      <c r="J451" s="422"/>
      <c r="K451" s="422"/>
      <c r="L451" s="422"/>
      <c r="M451" s="422"/>
      <c r="N451" s="422"/>
      <c r="O451" s="422"/>
      <c r="P451" s="422"/>
      <c r="Q451" s="305"/>
    </row>
    <row r="452" spans="1:17" x14ac:dyDescent="0.2">
      <c r="A452" s="416" t="s">
        <v>1</v>
      </c>
      <c r="B452" s="226" t="s">
        <v>0</v>
      </c>
      <c r="C452" s="226" t="s">
        <v>41</v>
      </c>
      <c r="D452" s="423" t="s">
        <v>47</v>
      </c>
      <c r="E452" s="226"/>
      <c r="F452" s="424"/>
      <c r="G452" s="425"/>
      <c r="H452" s="424"/>
      <c r="I452" s="426"/>
      <c r="J452" s="424"/>
      <c r="K452" s="424"/>
      <c r="L452" s="424"/>
      <c r="M452" s="424"/>
      <c r="N452" s="424"/>
      <c r="O452" s="424"/>
      <c r="P452" s="424"/>
      <c r="Q452" s="231"/>
    </row>
    <row r="453" spans="1:17" x14ac:dyDescent="0.2">
      <c r="A453" s="285" t="s">
        <v>3</v>
      </c>
      <c r="B453" s="228" t="s">
        <v>40</v>
      </c>
      <c r="C453" s="228" t="s">
        <v>4</v>
      </c>
      <c r="D453" s="427" t="s">
        <v>48</v>
      </c>
      <c r="E453" s="428" t="str">
        <f>B!$D$11</f>
        <v>Jan-17</v>
      </c>
      <c r="F453" s="428" t="str">
        <f>B!$E$11</f>
        <v>Feb-17</v>
      </c>
      <c r="G453" s="428" t="str">
        <f>B!$F$11</f>
        <v>Mar-17</v>
      </c>
      <c r="H453" s="428" t="str">
        <f>B!$G$11</f>
        <v>Apr-17</v>
      </c>
      <c r="I453" s="428" t="str">
        <f>B!$H$11</f>
        <v>May-17</v>
      </c>
      <c r="J453" s="428" t="str">
        <f>B!$I$11</f>
        <v>Jun-17</v>
      </c>
      <c r="K453" s="428" t="str">
        <f>B!$J$11</f>
        <v>Jul-17</v>
      </c>
      <c r="L453" s="428" t="str">
        <f>B!$K$11</f>
        <v>Aug-17</v>
      </c>
      <c r="M453" s="428" t="str">
        <f>B!$L$11</f>
        <v>Sep-17</v>
      </c>
      <c r="N453" s="428" t="str">
        <f>B!$M$11</f>
        <v>Oct-17</v>
      </c>
      <c r="O453" s="428" t="str">
        <f>B!$N$11</f>
        <v>Nov-17</v>
      </c>
      <c r="P453" s="428" t="str">
        <f>B!$O$11</f>
        <v>Dec-17</v>
      </c>
      <c r="Q453" s="429" t="s">
        <v>9</v>
      </c>
    </row>
    <row r="454" spans="1:17" x14ac:dyDescent="0.2">
      <c r="A454" s="416"/>
      <c r="B454" s="231" t="s">
        <v>42</v>
      </c>
      <c r="C454" s="231" t="s">
        <v>43</v>
      </c>
      <c r="D454" s="430" t="s">
        <v>45</v>
      </c>
      <c r="E454" s="431" t="s">
        <v>46</v>
      </c>
      <c r="F454" s="431" t="s">
        <v>49</v>
      </c>
      <c r="G454" s="431" t="s">
        <v>50</v>
      </c>
      <c r="H454" s="431" t="s">
        <v>51</v>
      </c>
      <c r="I454" s="431" t="s">
        <v>52</v>
      </c>
      <c r="J454" s="431" t="s">
        <v>53</v>
      </c>
      <c r="K454" s="432" t="s">
        <v>54</v>
      </c>
      <c r="L454" s="432" t="s">
        <v>55</v>
      </c>
      <c r="M454" s="432" t="s">
        <v>56</v>
      </c>
      <c r="N454" s="432" t="s">
        <v>57</v>
      </c>
      <c r="O454" s="432" t="s">
        <v>58</v>
      </c>
      <c r="P454" s="432" t="s">
        <v>59</v>
      </c>
      <c r="Q454" s="432" t="s">
        <v>203</v>
      </c>
    </row>
    <row r="455" spans="1:17" x14ac:dyDescent="0.2">
      <c r="E455" s="231"/>
      <c r="F455" s="432"/>
      <c r="G455" s="444"/>
      <c r="H455" s="432"/>
      <c r="I455" s="431"/>
      <c r="J455" s="432"/>
      <c r="K455" s="432"/>
      <c r="L455" s="432"/>
      <c r="M455" s="432"/>
      <c r="N455" s="432"/>
      <c r="O455" s="432"/>
      <c r="P455" s="432"/>
      <c r="Q455" s="231"/>
    </row>
    <row r="456" spans="1:17" x14ac:dyDescent="0.2">
      <c r="A456" s="224">
        <v>1</v>
      </c>
      <c r="B456" s="221" t="str">
        <f>B79</f>
        <v>G1R</v>
      </c>
      <c r="C456" s="221" t="str">
        <f>C79</f>
        <v>LG&amp;E Residential</v>
      </c>
    </row>
    <row r="458" spans="1:17" x14ac:dyDescent="0.2">
      <c r="A458" s="224">
        <f>A456+1</f>
        <v>2</v>
      </c>
      <c r="C458" s="225" t="s">
        <v>109</v>
      </c>
    </row>
    <row r="460" spans="1:17" x14ac:dyDescent="0.2">
      <c r="A460" s="224">
        <f>A458+1</f>
        <v>3</v>
      </c>
      <c r="C460" s="221" t="s">
        <v>202</v>
      </c>
      <c r="E460" s="479">
        <f>B!D27</f>
        <v>16</v>
      </c>
      <c r="F460" s="479">
        <f>B!E27</f>
        <v>16</v>
      </c>
      <c r="G460" s="479">
        <f>B!F27</f>
        <v>16</v>
      </c>
      <c r="H460" s="479">
        <f>B!G27</f>
        <v>16</v>
      </c>
      <c r="I460" s="479">
        <f>B!H27</f>
        <v>16</v>
      </c>
      <c r="J460" s="479">
        <f>B!I27</f>
        <v>16</v>
      </c>
      <c r="K460" s="479">
        <f>B!J27</f>
        <v>16</v>
      </c>
      <c r="L460" s="479">
        <f>B!K27</f>
        <v>16</v>
      </c>
      <c r="M460" s="479">
        <f>B!L27</f>
        <v>16</v>
      </c>
      <c r="N460" s="479">
        <f>B!M27</f>
        <v>16</v>
      </c>
      <c r="O460" s="479">
        <f>B!N27</f>
        <v>16</v>
      </c>
      <c r="P460" s="479">
        <f>B!O27</f>
        <v>16</v>
      </c>
      <c r="Q460" s="512">
        <f>SUM(E460:P460)</f>
        <v>192</v>
      </c>
    </row>
    <row r="461" spans="1:17" x14ac:dyDescent="0.2">
      <c r="A461" s="224">
        <f>A460+1</f>
        <v>4</v>
      </c>
      <c r="C461" s="221" t="s">
        <v>210</v>
      </c>
      <c r="D461" s="792">
        <f>Input!H21</f>
        <v>17.27</v>
      </c>
      <c r="E461" s="434">
        <f t="shared" ref="E461:P461" si="176">ROUND(E460*$D$461,2)</f>
        <v>276.32</v>
      </c>
      <c r="F461" s="434">
        <f t="shared" si="176"/>
        <v>276.32</v>
      </c>
      <c r="G461" s="434">
        <f t="shared" si="176"/>
        <v>276.32</v>
      </c>
      <c r="H461" s="434">
        <f t="shared" si="176"/>
        <v>276.32</v>
      </c>
      <c r="I461" s="434">
        <f t="shared" si="176"/>
        <v>276.32</v>
      </c>
      <c r="J461" s="434">
        <f t="shared" si="176"/>
        <v>276.32</v>
      </c>
      <c r="K461" s="434">
        <f t="shared" si="176"/>
        <v>276.32</v>
      </c>
      <c r="L461" s="434">
        <f t="shared" si="176"/>
        <v>276.32</v>
      </c>
      <c r="M461" s="434">
        <f t="shared" si="176"/>
        <v>276.32</v>
      </c>
      <c r="N461" s="434">
        <f t="shared" si="176"/>
        <v>276.32</v>
      </c>
      <c r="O461" s="434">
        <f t="shared" si="176"/>
        <v>276.32</v>
      </c>
      <c r="P461" s="434">
        <f t="shared" si="176"/>
        <v>276.32</v>
      </c>
      <c r="Q461" s="434">
        <f>SUM(E461:P461)</f>
        <v>3315.8400000000006</v>
      </c>
    </row>
    <row r="462" spans="1:17" x14ac:dyDescent="0.2">
      <c r="D462" s="290"/>
      <c r="E462" s="224"/>
      <c r="F462" s="292"/>
      <c r="G462" s="476"/>
      <c r="H462" s="292"/>
      <c r="I462" s="297"/>
      <c r="J462" s="292"/>
      <c r="K462" s="292"/>
      <c r="L462" s="292"/>
    </row>
    <row r="463" spans="1:17" x14ac:dyDescent="0.2">
      <c r="A463" s="224">
        <f>A461+1</f>
        <v>5</v>
      </c>
      <c r="C463" s="221" t="s">
        <v>209</v>
      </c>
      <c r="D463" s="519"/>
      <c r="E463" s="483">
        <f>'C'!D27</f>
        <v>458.3</v>
      </c>
      <c r="F463" s="483">
        <f>'C'!E27</f>
        <v>345.9</v>
      </c>
      <c r="G463" s="483">
        <f>'C'!F27</f>
        <v>279.39999999999998</v>
      </c>
      <c r="H463" s="483">
        <f>'C'!G27</f>
        <v>174.8</v>
      </c>
      <c r="I463" s="483">
        <f>'C'!H27</f>
        <v>81.099999999999994</v>
      </c>
      <c r="J463" s="483">
        <f>'C'!I27</f>
        <v>33.4</v>
      </c>
      <c r="K463" s="483">
        <f>'C'!J27</f>
        <v>24.1</v>
      </c>
      <c r="L463" s="483">
        <f>'C'!K27</f>
        <v>27.6</v>
      </c>
      <c r="M463" s="483">
        <f>'C'!L27</f>
        <v>28.4</v>
      </c>
      <c r="N463" s="483">
        <f>'C'!M27</f>
        <v>68</v>
      </c>
      <c r="O463" s="483">
        <f>'C'!N27</f>
        <v>159.19999999999999</v>
      </c>
      <c r="P463" s="483">
        <f>'C'!O27</f>
        <v>338.7</v>
      </c>
      <c r="Q463" s="513">
        <f>SUM(E463:P463)</f>
        <v>2018.8999999999999</v>
      </c>
    </row>
    <row r="464" spans="1:17" x14ac:dyDescent="0.2">
      <c r="A464" s="224">
        <f>A463+1</f>
        <v>6</v>
      </c>
      <c r="C464" s="242" t="s">
        <v>212</v>
      </c>
      <c r="D464" s="793">
        <f>Input!C21</f>
        <v>2.96</v>
      </c>
      <c r="E464" s="434">
        <f t="shared" ref="E464:O464" si="177">ROUND(E463*$D$464,2)</f>
        <v>1356.57</v>
      </c>
      <c r="F464" s="434">
        <f t="shared" si="177"/>
        <v>1023.86</v>
      </c>
      <c r="G464" s="434">
        <f t="shared" si="177"/>
        <v>827.02</v>
      </c>
      <c r="H464" s="434">
        <f t="shared" si="177"/>
        <v>517.41</v>
      </c>
      <c r="I464" s="434">
        <f t="shared" si="177"/>
        <v>240.06</v>
      </c>
      <c r="J464" s="434">
        <f t="shared" si="177"/>
        <v>98.86</v>
      </c>
      <c r="K464" s="434">
        <f t="shared" si="177"/>
        <v>71.34</v>
      </c>
      <c r="L464" s="434">
        <f t="shared" si="177"/>
        <v>81.7</v>
      </c>
      <c r="M464" s="434">
        <f t="shared" si="177"/>
        <v>84.06</v>
      </c>
      <c r="N464" s="434">
        <f t="shared" si="177"/>
        <v>201.28</v>
      </c>
      <c r="O464" s="434">
        <f t="shared" si="177"/>
        <v>471.23</v>
      </c>
      <c r="P464" s="434">
        <f>ROUND(P463*$D$464,2)</f>
        <v>1002.55</v>
      </c>
      <c r="Q464" s="434">
        <f>SUM(E464:P464)</f>
        <v>5975.94</v>
      </c>
    </row>
    <row r="465" spans="1:17" x14ac:dyDescent="0.2">
      <c r="D465" s="290"/>
      <c r="E465" s="466"/>
      <c r="F465" s="466"/>
      <c r="G465" s="466"/>
      <c r="H465" s="466"/>
      <c r="I465" s="466"/>
      <c r="J465" s="466"/>
      <c r="K465" s="466"/>
      <c r="L465" s="466"/>
      <c r="M465" s="466"/>
      <c r="N465" s="466"/>
      <c r="O465" s="466"/>
      <c r="P465" s="466"/>
      <c r="Q465" s="491"/>
    </row>
    <row r="466" spans="1:17" x14ac:dyDescent="0.2">
      <c r="A466" s="306">
        <f>A464+1</f>
        <v>7</v>
      </c>
      <c r="B466" s="305"/>
      <c r="C466" s="305" t="s">
        <v>204</v>
      </c>
      <c r="D466" s="290"/>
      <c r="E466" s="434">
        <f t="shared" ref="E466:O466" si="178">E461+E464</f>
        <v>1632.8899999999999</v>
      </c>
      <c r="F466" s="434">
        <f t="shared" si="178"/>
        <v>1300.18</v>
      </c>
      <c r="G466" s="434">
        <f t="shared" si="178"/>
        <v>1103.3399999999999</v>
      </c>
      <c r="H466" s="434">
        <f t="shared" si="178"/>
        <v>793.73</v>
      </c>
      <c r="I466" s="434">
        <f t="shared" si="178"/>
        <v>516.38</v>
      </c>
      <c r="J466" s="434">
        <f t="shared" si="178"/>
        <v>375.18</v>
      </c>
      <c r="K466" s="434">
        <f t="shared" si="178"/>
        <v>347.65999999999997</v>
      </c>
      <c r="L466" s="434">
        <f t="shared" si="178"/>
        <v>358.02</v>
      </c>
      <c r="M466" s="434">
        <f t="shared" si="178"/>
        <v>360.38</v>
      </c>
      <c r="N466" s="434">
        <f t="shared" si="178"/>
        <v>477.6</v>
      </c>
      <c r="O466" s="434">
        <f t="shared" si="178"/>
        <v>747.55</v>
      </c>
      <c r="P466" s="434">
        <f>P461+P464</f>
        <v>1278.8699999999999</v>
      </c>
      <c r="Q466" s="434">
        <f>SUM(E466:P466)</f>
        <v>9291.7799999999988</v>
      </c>
    </row>
    <row r="467" spans="1:17" x14ac:dyDescent="0.2">
      <c r="D467" s="290"/>
      <c r="E467" s="466"/>
      <c r="F467" s="466"/>
      <c r="G467" s="466"/>
      <c r="H467" s="466"/>
      <c r="I467" s="466"/>
      <c r="J467" s="466"/>
      <c r="K467" s="466"/>
      <c r="L467" s="466"/>
      <c r="M467" s="466"/>
      <c r="N467" s="466"/>
      <c r="O467" s="466"/>
      <c r="P467" s="466"/>
      <c r="Q467" s="466"/>
    </row>
    <row r="468" spans="1:17" x14ac:dyDescent="0.2">
      <c r="A468" s="224">
        <f>A466+1</f>
        <v>8</v>
      </c>
      <c r="C468" s="221" t="s">
        <v>208</v>
      </c>
      <c r="D468" s="793">
        <f>EGC</f>
        <v>2.2090999999999998</v>
      </c>
      <c r="E468" s="434">
        <f t="shared" ref="E468:O468" si="179">ROUND(E463*$D$468,2)</f>
        <v>1012.43</v>
      </c>
      <c r="F468" s="434">
        <f t="shared" si="179"/>
        <v>764.13</v>
      </c>
      <c r="G468" s="434">
        <f t="shared" si="179"/>
        <v>617.22</v>
      </c>
      <c r="H468" s="434">
        <f t="shared" si="179"/>
        <v>386.15</v>
      </c>
      <c r="I468" s="434">
        <f t="shared" si="179"/>
        <v>179.16</v>
      </c>
      <c r="J468" s="434">
        <f t="shared" si="179"/>
        <v>73.78</v>
      </c>
      <c r="K468" s="434">
        <f t="shared" si="179"/>
        <v>53.24</v>
      </c>
      <c r="L468" s="434">
        <f t="shared" si="179"/>
        <v>60.97</v>
      </c>
      <c r="M468" s="434">
        <f t="shared" si="179"/>
        <v>62.74</v>
      </c>
      <c r="N468" s="434">
        <f t="shared" si="179"/>
        <v>150.22</v>
      </c>
      <c r="O468" s="434">
        <f t="shared" si="179"/>
        <v>351.69</v>
      </c>
      <c r="P468" s="434">
        <f>ROUND(P463*$D$468,2)</f>
        <v>748.22</v>
      </c>
      <c r="Q468" s="434">
        <f>SUM(E468:P468)</f>
        <v>4459.9499999999989</v>
      </c>
    </row>
    <row r="469" spans="1:17" x14ac:dyDescent="0.2">
      <c r="E469" s="466"/>
      <c r="F469" s="466"/>
      <c r="G469" s="466"/>
      <c r="H469" s="466"/>
      <c r="I469" s="466"/>
      <c r="J469" s="466"/>
      <c r="K469" s="466"/>
      <c r="L469" s="466"/>
      <c r="M469" s="466"/>
      <c r="N469" s="466"/>
      <c r="O469" s="466"/>
      <c r="P469" s="466"/>
      <c r="Q469" s="466"/>
    </row>
    <row r="470" spans="1:17" ht="10.8" thickBot="1" x14ac:dyDescent="0.25">
      <c r="A470" s="495">
        <f>A468+1</f>
        <v>9</v>
      </c>
      <c r="B470" s="496"/>
      <c r="C470" s="496" t="s">
        <v>205</v>
      </c>
      <c r="D470" s="497"/>
      <c r="E470" s="499">
        <f t="shared" ref="E470:O470" si="180">E466+E468</f>
        <v>2645.3199999999997</v>
      </c>
      <c r="F470" s="499">
        <f t="shared" si="180"/>
        <v>2064.31</v>
      </c>
      <c r="G470" s="499">
        <f t="shared" si="180"/>
        <v>1720.56</v>
      </c>
      <c r="H470" s="499">
        <f t="shared" si="180"/>
        <v>1179.8800000000001</v>
      </c>
      <c r="I470" s="499">
        <f t="shared" si="180"/>
        <v>695.54</v>
      </c>
      <c r="J470" s="499">
        <f t="shared" si="180"/>
        <v>448.96000000000004</v>
      </c>
      <c r="K470" s="499">
        <f t="shared" si="180"/>
        <v>400.9</v>
      </c>
      <c r="L470" s="499">
        <f t="shared" si="180"/>
        <v>418.99</v>
      </c>
      <c r="M470" s="499">
        <f t="shared" si="180"/>
        <v>423.12</v>
      </c>
      <c r="N470" s="499">
        <f t="shared" si="180"/>
        <v>627.82000000000005</v>
      </c>
      <c r="O470" s="499">
        <f t="shared" si="180"/>
        <v>1099.24</v>
      </c>
      <c r="P470" s="499">
        <f>P466+P468</f>
        <v>2027.09</v>
      </c>
      <c r="Q470" s="499">
        <f>SUM(E470:P470)</f>
        <v>13751.73</v>
      </c>
    </row>
    <row r="471" spans="1:17" ht="10.8" thickTop="1" x14ac:dyDescent="0.2">
      <c r="A471" s="306"/>
      <c r="B471" s="305"/>
      <c r="C471" s="305"/>
      <c r="D471" s="304"/>
      <c r="E471" s="500"/>
      <c r="F471" s="500"/>
      <c r="G471" s="500"/>
      <c r="H471" s="500"/>
      <c r="I471" s="500"/>
      <c r="J471" s="500"/>
      <c r="K471" s="500"/>
      <c r="L471" s="500"/>
      <c r="M471" s="500"/>
      <c r="N471" s="500"/>
      <c r="O471" s="500"/>
      <c r="P471" s="500"/>
      <c r="Q471" s="458"/>
    </row>
    <row r="472" spans="1:17" x14ac:dyDescent="0.2">
      <c r="A472" s="306"/>
      <c r="B472" s="305"/>
      <c r="C472" s="305"/>
      <c r="D472" s="304"/>
      <c r="E472" s="500"/>
      <c r="F472" s="500"/>
      <c r="G472" s="500"/>
      <c r="H472" s="500"/>
      <c r="I472" s="500"/>
      <c r="J472" s="500"/>
      <c r="K472" s="500"/>
      <c r="L472" s="500"/>
      <c r="M472" s="500"/>
      <c r="N472" s="500"/>
      <c r="O472" s="500"/>
      <c r="P472" s="500"/>
      <c r="Q472" s="458"/>
    </row>
    <row r="473" spans="1:17" x14ac:dyDescent="0.2">
      <c r="A473" s="224">
        <f>A470+1</f>
        <v>10</v>
      </c>
      <c r="B473" s="221" t="str">
        <f>B86</f>
        <v>IN3</v>
      </c>
      <c r="C473" s="221" t="str">
        <f>C86</f>
        <v>Inland Gas General Service - Residential</v>
      </c>
    </row>
    <row r="474" spans="1:17" x14ac:dyDescent="0.2">
      <c r="J474" s="292"/>
    </row>
    <row r="475" spans="1:17" x14ac:dyDescent="0.2">
      <c r="A475" s="224">
        <f>A473+1</f>
        <v>11</v>
      </c>
      <c r="C475" s="225" t="s">
        <v>109</v>
      </c>
      <c r="J475" s="292"/>
    </row>
    <row r="476" spans="1:17" x14ac:dyDescent="0.2">
      <c r="J476" s="292"/>
    </row>
    <row r="477" spans="1:17" x14ac:dyDescent="0.2">
      <c r="A477" s="224">
        <f>A475+1</f>
        <v>12</v>
      </c>
      <c r="C477" s="221" t="s">
        <v>202</v>
      </c>
      <c r="E477" s="479">
        <f>B!D32</f>
        <v>9</v>
      </c>
      <c r="F477" s="479">
        <f>B!E32</f>
        <v>9</v>
      </c>
      <c r="G477" s="479">
        <f>B!F32</f>
        <v>9</v>
      </c>
      <c r="H477" s="479">
        <f>B!G32</f>
        <v>10</v>
      </c>
      <c r="I477" s="479">
        <f>B!H32</f>
        <v>8</v>
      </c>
      <c r="J477" s="479">
        <f>B!I32</f>
        <v>9</v>
      </c>
      <c r="K477" s="479">
        <f>B!J32</f>
        <v>9</v>
      </c>
      <c r="L477" s="479">
        <f>B!K32</f>
        <v>9</v>
      </c>
      <c r="M477" s="479">
        <f>B!L32</f>
        <v>9</v>
      </c>
      <c r="N477" s="479">
        <f>B!M32</f>
        <v>9</v>
      </c>
      <c r="O477" s="479">
        <f>B!N32</f>
        <v>9</v>
      </c>
      <c r="P477" s="479">
        <f>B!O32</f>
        <v>9</v>
      </c>
      <c r="Q477" s="512">
        <f>SUM(E477:P477)</f>
        <v>108</v>
      </c>
    </row>
    <row r="478" spans="1:17" x14ac:dyDescent="0.2">
      <c r="A478" s="224">
        <f>A477+1</f>
        <v>13</v>
      </c>
      <c r="C478" s="221" t="s">
        <v>210</v>
      </c>
      <c r="D478" s="792">
        <f>Input!H22</f>
        <v>0</v>
      </c>
      <c r="E478" s="434">
        <f t="shared" ref="E478:P478" si="181">ROUND(E477*$D$478,2)</f>
        <v>0</v>
      </c>
      <c r="F478" s="434">
        <f t="shared" si="181"/>
        <v>0</v>
      </c>
      <c r="G478" s="434">
        <f t="shared" si="181"/>
        <v>0</v>
      </c>
      <c r="H478" s="434">
        <f t="shared" si="181"/>
        <v>0</v>
      </c>
      <c r="I478" s="434">
        <f t="shared" si="181"/>
        <v>0</v>
      </c>
      <c r="J478" s="434">
        <f t="shared" si="181"/>
        <v>0</v>
      </c>
      <c r="K478" s="434">
        <f t="shared" si="181"/>
        <v>0</v>
      </c>
      <c r="L478" s="434">
        <f t="shared" si="181"/>
        <v>0</v>
      </c>
      <c r="M478" s="434">
        <f t="shared" si="181"/>
        <v>0</v>
      </c>
      <c r="N478" s="434">
        <f t="shared" si="181"/>
        <v>0</v>
      </c>
      <c r="O478" s="434">
        <f t="shared" si="181"/>
        <v>0</v>
      </c>
      <c r="P478" s="434">
        <f t="shared" si="181"/>
        <v>0</v>
      </c>
      <c r="Q478" s="434">
        <f>SUM(E478:P478)</f>
        <v>0</v>
      </c>
    </row>
    <row r="479" spans="1:17" x14ac:dyDescent="0.2">
      <c r="D479" s="290"/>
      <c r="J479" s="514"/>
    </row>
    <row r="480" spans="1:17" x14ac:dyDescent="0.2">
      <c r="A480" s="224">
        <f>A478+1</f>
        <v>14</v>
      </c>
      <c r="C480" s="242" t="s">
        <v>209</v>
      </c>
      <c r="D480" s="519"/>
      <c r="E480" s="483">
        <f>'C'!D32</f>
        <v>247.9</v>
      </c>
      <c r="F480" s="483">
        <f>'C'!E32</f>
        <v>172.9</v>
      </c>
      <c r="G480" s="483">
        <f>'C'!F32</f>
        <v>116.2</v>
      </c>
      <c r="H480" s="483">
        <f>'C'!G32</f>
        <v>84.5</v>
      </c>
      <c r="I480" s="483">
        <f>'C'!H32</f>
        <v>36.299999999999997</v>
      </c>
      <c r="J480" s="483">
        <f>'C'!I32</f>
        <v>17</v>
      </c>
      <c r="K480" s="483">
        <f>'C'!J32</f>
        <v>11.6</v>
      </c>
      <c r="L480" s="483">
        <f>'C'!K32</f>
        <v>10.8</v>
      </c>
      <c r="M480" s="483">
        <f>'C'!L32</f>
        <v>11.5</v>
      </c>
      <c r="N480" s="483">
        <f>'C'!M32</f>
        <v>34</v>
      </c>
      <c r="O480" s="483">
        <f>'C'!N32</f>
        <v>90.2</v>
      </c>
      <c r="P480" s="483">
        <f>'C'!O32</f>
        <v>157.30000000000001</v>
      </c>
      <c r="Q480" s="513">
        <f>SUM(E480:P480)</f>
        <v>990.2</v>
      </c>
    </row>
    <row r="481" spans="1:17" x14ac:dyDescent="0.2">
      <c r="A481" s="224">
        <f>A480+1</f>
        <v>15</v>
      </c>
      <c r="C481" s="221" t="s">
        <v>212</v>
      </c>
      <c r="D481" s="793">
        <f>Input!C22</f>
        <v>0.4</v>
      </c>
      <c r="E481" s="434">
        <f t="shared" ref="E481:P481" si="182">ROUND(E480*$D$481,2)</f>
        <v>99.16</v>
      </c>
      <c r="F481" s="434">
        <f t="shared" si="182"/>
        <v>69.16</v>
      </c>
      <c r="G481" s="434">
        <f t="shared" si="182"/>
        <v>46.48</v>
      </c>
      <c r="H481" s="434">
        <f t="shared" si="182"/>
        <v>33.799999999999997</v>
      </c>
      <c r="I481" s="434">
        <f t="shared" si="182"/>
        <v>14.52</v>
      </c>
      <c r="J481" s="434">
        <f t="shared" si="182"/>
        <v>6.8</v>
      </c>
      <c r="K481" s="434">
        <f t="shared" si="182"/>
        <v>4.6399999999999997</v>
      </c>
      <c r="L481" s="434">
        <f t="shared" si="182"/>
        <v>4.32</v>
      </c>
      <c r="M481" s="434">
        <f t="shared" si="182"/>
        <v>4.5999999999999996</v>
      </c>
      <c r="N481" s="434">
        <f t="shared" si="182"/>
        <v>13.6</v>
      </c>
      <c r="O481" s="434">
        <f t="shared" si="182"/>
        <v>36.08</v>
      </c>
      <c r="P481" s="434">
        <f t="shared" si="182"/>
        <v>62.92</v>
      </c>
      <c r="Q481" s="434">
        <f>SUM(E481:P481)</f>
        <v>396.08</v>
      </c>
    </row>
    <row r="482" spans="1:17" x14ac:dyDescent="0.2">
      <c r="D482" s="290"/>
      <c r="E482" s="466"/>
      <c r="F482" s="466"/>
      <c r="G482" s="466"/>
      <c r="H482" s="466"/>
      <c r="I482" s="466"/>
      <c r="J482" s="466"/>
      <c r="K482" s="466"/>
      <c r="L482" s="466"/>
      <c r="M482" s="466"/>
      <c r="N482" s="466"/>
      <c r="O482" s="466"/>
      <c r="P482" s="466"/>
      <c r="Q482" s="491"/>
    </row>
    <row r="483" spans="1:17" x14ac:dyDescent="0.2">
      <c r="A483" s="224">
        <f>A481+1</f>
        <v>16</v>
      </c>
      <c r="C483" s="221" t="s">
        <v>204</v>
      </c>
      <c r="D483" s="290"/>
      <c r="E483" s="434">
        <f t="shared" ref="E483:O483" si="183">E478+E481</f>
        <v>99.16</v>
      </c>
      <c r="F483" s="434">
        <f t="shared" si="183"/>
        <v>69.16</v>
      </c>
      <c r="G483" s="434">
        <f t="shared" si="183"/>
        <v>46.48</v>
      </c>
      <c r="H483" s="434">
        <f t="shared" si="183"/>
        <v>33.799999999999997</v>
      </c>
      <c r="I483" s="434">
        <f t="shared" si="183"/>
        <v>14.52</v>
      </c>
      <c r="J483" s="434">
        <f t="shared" si="183"/>
        <v>6.8</v>
      </c>
      <c r="K483" s="434">
        <f t="shared" si="183"/>
        <v>4.6399999999999997</v>
      </c>
      <c r="L483" s="434">
        <f t="shared" si="183"/>
        <v>4.32</v>
      </c>
      <c r="M483" s="434">
        <f t="shared" si="183"/>
        <v>4.5999999999999996</v>
      </c>
      <c r="N483" s="434">
        <f t="shared" si="183"/>
        <v>13.6</v>
      </c>
      <c r="O483" s="434">
        <f t="shared" si="183"/>
        <v>36.08</v>
      </c>
      <c r="P483" s="434">
        <f>P478+P481</f>
        <v>62.92</v>
      </c>
      <c r="Q483" s="434">
        <f>SUM(E483:P483)</f>
        <v>396.08</v>
      </c>
    </row>
    <row r="484" spans="1:17" x14ac:dyDescent="0.2">
      <c r="D484" s="290"/>
      <c r="E484" s="224"/>
      <c r="F484" s="292"/>
      <c r="G484" s="476"/>
      <c r="H484" s="292"/>
      <c r="I484" s="297"/>
      <c r="J484" s="292"/>
      <c r="K484" s="292"/>
      <c r="L484" s="292"/>
      <c r="M484" s="292"/>
      <c r="N484" s="292"/>
      <c r="O484" s="292"/>
      <c r="P484" s="292"/>
      <c r="Q484" s="419"/>
    </row>
    <row r="485" spans="1:17" x14ac:dyDescent="0.2">
      <c r="A485" s="224">
        <f>A483+1</f>
        <v>17</v>
      </c>
      <c r="C485" s="221" t="s">
        <v>151</v>
      </c>
      <c r="D485" s="794">
        <v>0</v>
      </c>
      <c r="E485" s="517">
        <v>0</v>
      </c>
      <c r="F485" s="517">
        <v>0</v>
      </c>
      <c r="G485" s="517">
        <v>0</v>
      </c>
      <c r="H485" s="517">
        <v>0</v>
      </c>
      <c r="I485" s="517">
        <v>0</v>
      </c>
      <c r="J485" s="517">
        <v>0</v>
      </c>
      <c r="K485" s="517">
        <v>0</v>
      </c>
      <c r="L485" s="517">
        <v>0</v>
      </c>
      <c r="M485" s="517">
        <v>0</v>
      </c>
      <c r="N485" s="517">
        <v>0</v>
      </c>
      <c r="O485" s="517">
        <v>0</v>
      </c>
      <c r="P485" s="517">
        <v>0</v>
      </c>
      <c r="Q485" s="434">
        <f>SUM(E485:P485)</f>
        <v>0</v>
      </c>
    </row>
    <row r="486" spans="1:17" x14ac:dyDescent="0.2">
      <c r="D486" s="515"/>
    </row>
    <row r="487" spans="1:17" ht="10.8" thickBot="1" x14ac:dyDescent="0.25">
      <c r="A487" s="495">
        <f>A485+1</f>
        <v>18</v>
      </c>
      <c r="B487" s="496"/>
      <c r="C487" s="496" t="s">
        <v>205</v>
      </c>
      <c r="D487" s="497"/>
      <c r="E487" s="499">
        <f t="shared" ref="E487:O487" si="184">E483+E485</f>
        <v>99.16</v>
      </c>
      <c r="F487" s="499">
        <f t="shared" si="184"/>
        <v>69.16</v>
      </c>
      <c r="G487" s="499">
        <f t="shared" si="184"/>
        <v>46.48</v>
      </c>
      <c r="H487" s="499">
        <f t="shared" si="184"/>
        <v>33.799999999999997</v>
      </c>
      <c r="I487" s="499">
        <f t="shared" si="184"/>
        <v>14.52</v>
      </c>
      <c r="J487" s="499">
        <f t="shared" si="184"/>
        <v>6.8</v>
      </c>
      <c r="K487" s="499">
        <f t="shared" si="184"/>
        <v>4.6399999999999997</v>
      </c>
      <c r="L487" s="499">
        <f t="shared" si="184"/>
        <v>4.32</v>
      </c>
      <c r="M487" s="499">
        <f t="shared" si="184"/>
        <v>4.5999999999999996</v>
      </c>
      <c r="N487" s="499">
        <f t="shared" si="184"/>
        <v>13.6</v>
      </c>
      <c r="O487" s="499">
        <f t="shared" si="184"/>
        <v>36.08</v>
      </c>
      <c r="P487" s="499">
        <f>P483+P485</f>
        <v>62.92</v>
      </c>
      <c r="Q487" s="499">
        <f>SUM(E487:P487)</f>
        <v>396.08</v>
      </c>
    </row>
    <row r="488" spans="1:17" ht="10.8" thickTop="1" x14ac:dyDescent="0.2">
      <c r="A488" s="306"/>
      <c r="B488" s="305"/>
      <c r="C488" s="305"/>
      <c r="D488" s="304"/>
      <c r="E488" s="500"/>
      <c r="F488" s="500"/>
      <c r="G488" s="500"/>
      <c r="H488" s="500"/>
      <c r="I488" s="500"/>
      <c r="J488" s="500"/>
      <c r="K488" s="500"/>
      <c r="L488" s="500"/>
      <c r="M488" s="500"/>
      <c r="N488" s="500"/>
      <c r="O488" s="500"/>
      <c r="P488" s="500"/>
      <c r="Q488" s="458"/>
    </row>
    <row r="489" spans="1:17" x14ac:dyDescent="0.2">
      <c r="A489" s="306"/>
      <c r="B489" s="305"/>
      <c r="C489" s="305"/>
      <c r="D489" s="304"/>
      <c r="E489" s="500"/>
      <c r="F489" s="500"/>
      <c r="G489" s="500"/>
      <c r="H489" s="500"/>
      <c r="I489" s="500"/>
      <c r="J489" s="500"/>
      <c r="K489" s="500"/>
      <c r="L489" s="500"/>
      <c r="M489" s="500"/>
      <c r="N489" s="500"/>
      <c r="O489" s="500"/>
      <c r="P489" s="500"/>
      <c r="Q489" s="458"/>
    </row>
    <row r="490" spans="1:17" x14ac:dyDescent="0.2">
      <c r="A490" s="224">
        <f>A487+1</f>
        <v>19</v>
      </c>
      <c r="B490" s="221" t="str">
        <f>B93</f>
        <v>IN4</v>
      </c>
      <c r="C490" s="221" t="str">
        <f>C93</f>
        <v>Inland Gas General Service - Residential</v>
      </c>
    </row>
    <row r="492" spans="1:17" x14ac:dyDescent="0.2">
      <c r="A492" s="224">
        <f>A490+1</f>
        <v>20</v>
      </c>
      <c r="C492" s="225" t="s">
        <v>109</v>
      </c>
    </row>
    <row r="493" spans="1:17" x14ac:dyDescent="0.2">
      <c r="F493" s="292"/>
      <c r="G493" s="476"/>
      <c r="H493" s="292"/>
      <c r="I493" s="297"/>
      <c r="J493" s="292"/>
      <c r="K493" s="292"/>
      <c r="L493" s="292"/>
    </row>
    <row r="494" spans="1:17" x14ac:dyDescent="0.2">
      <c r="A494" s="224">
        <f>A492+1</f>
        <v>21</v>
      </c>
      <c r="C494" s="221" t="s">
        <v>202</v>
      </c>
      <c r="E494" s="479">
        <f>B!D37</f>
        <v>0</v>
      </c>
      <c r="F494" s="479">
        <f>B!E37</f>
        <v>0</v>
      </c>
      <c r="G494" s="479">
        <f>B!F37</f>
        <v>0</v>
      </c>
      <c r="H494" s="479">
        <f>B!G37</f>
        <v>0</v>
      </c>
      <c r="I494" s="479">
        <f>B!H37</f>
        <v>0</v>
      </c>
      <c r="J494" s="479">
        <f>B!I37</f>
        <v>0</v>
      </c>
      <c r="K494" s="479">
        <f>B!J37</f>
        <v>0</v>
      </c>
      <c r="L494" s="479">
        <f>B!K37</f>
        <v>0</v>
      </c>
      <c r="M494" s="479">
        <f>B!L37</f>
        <v>0</v>
      </c>
      <c r="N494" s="479">
        <f>B!M37</f>
        <v>0</v>
      </c>
      <c r="O494" s="479">
        <f>B!N37</f>
        <v>0</v>
      </c>
      <c r="P494" s="479">
        <f>B!O37</f>
        <v>0</v>
      </c>
      <c r="Q494" s="512">
        <f>SUM(E494:P494)</f>
        <v>0</v>
      </c>
    </row>
    <row r="495" spans="1:17" x14ac:dyDescent="0.2">
      <c r="A495" s="224">
        <f>A494+1</f>
        <v>22</v>
      </c>
      <c r="C495" s="221" t="s">
        <v>210</v>
      </c>
      <c r="D495" s="792">
        <f>Input!H24</f>
        <v>0</v>
      </c>
      <c r="E495" s="434">
        <f t="shared" ref="E495:P495" si="185">ROUND(E494*$D$495,2)</f>
        <v>0</v>
      </c>
      <c r="F495" s="434">
        <f t="shared" si="185"/>
        <v>0</v>
      </c>
      <c r="G495" s="434">
        <f t="shared" si="185"/>
        <v>0</v>
      </c>
      <c r="H495" s="434">
        <f t="shared" si="185"/>
        <v>0</v>
      </c>
      <c r="I495" s="434">
        <f t="shared" si="185"/>
        <v>0</v>
      </c>
      <c r="J495" s="434">
        <f t="shared" si="185"/>
        <v>0</v>
      </c>
      <c r="K495" s="434">
        <f t="shared" si="185"/>
        <v>0</v>
      </c>
      <c r="L495" s="434">
        <f t="shared" si="185"/>
        <v>0</v>
      </c>
      <c r="M495" s="434">
        <f t="shared" si="185"/>
        <v>0</v>
      </c>
      <c r="N495" s="434">
        <f t="shared" si="185"/>
        <v>0</v>
      </c>
      <c r="O495" s="434">
        <f t="shared" si="185"/>
        <v>0</v>
      </c>
      <c r="P495" s="434">
        <f t="shared" si="185"/>
        <v>0</v>
      </c>
      <c r="Q495" s="434">
        <f>SUM(E495:P495)</f>
        <v>0</v>
      </c>
    </row>
    <row r="496" spans="1:17" x14ac:dyDescent="0.2">
      <c r="D496" s="290"/>
      <c r="E496" s="482"/>
      <c r="F496" s="292"/>
      <c r="G496" s="476"/>
      <c r="H496" s="292"/>
      <c r="I496" s="297"/>
      <c r="J496" s="514"/>
      <c r="K496" s="292"/>
      <c r="L496" s="292"/>
    </row>
    <row r="497" spans="1:17" x14ac:dyDescent="0.2">
      <c r="A497" s="224">
        <f>A495+1</f>
        <v>23</v>
      </c>
      <c r="C497" s="242" t="s">
        <v>209</v>
      </c>
      <c r="D497" s="519"/>
      <c r="E497" s="483">
        <f>'C'!D37</f>
        <v>0</v>
      </c>
      <c r="F497" s="483">
        <f>'C'!E37</f>
        <v>0</v>
      </c>
      <c r="G497" s="483">
        <f>'C'!F37</f>
        <v>0</v>
      </c>
      <c r="H497" s="483">
        <f>'C'!G37</f>
        <v>0</v>
      </c>
      <c r="I497" s="483">
        <f>'C'!H37</f>
        <v>0</v>
      </c>
      <c r="J497" s="483">
        <f>'C'!I37</f>
        <v>0</v>
      </c>
      <c r="K497" s="483">
        <f>'C'!J37</f>
        <v>0</v>
      </c>
      <c r="L497" s="483">
        <f>'C'!K37</f>
        <v>0</v>
      </c>
      <c r="M497" s="483">
        <f>'C'!L37</f>
        <v>0</v>
      </c>
      <c r="N497" s="483">
        <f>'C'!M37</f>
        <v>0</v>
      </c>
      <c r="O497" s="483">
        <f>'C'!N37</f>
        <v>0</v>
      </c>
      <c r="P497" s="483">
        <f>'C'!O37</f>
        <v>0</v>
      </c>
      <c r="Q497" s="513">
        <f>SUM(E497:P497)</f>
        <v>0</v>
      </c>
    </row>
    <row r="498" spans="1:17" x14ac:dyDescent="0.2">
      <c r="A498" s="224">
        <f>A497+1</f>
        <v>24</v>
      </c>
      <c r="C498" s="221" t="s">
        <v>212</v>
      </c>
      <c r="D498" s="793">
        <f>Input!C24</f>
        <v>0.55000000000000004</v>
      </c>
      <c r="E498" s="434">
        <f t="shared" ref="E498:P498" si="186">ROUND(E497*$D$498,2)</f>
        <v>0</v>
      </c>
      <c r="F498" s="434">
        <f t="shared" si="186"/>
        <v>0</v>
      </c>
      <c r="G498" s="434">
        <f t="shared" si="186"/>
        <v>0</v>
      </c>
      <c r="H498" s="434">
        <f t="shared" si="186"/>
        <v>0</v>
      </c>
      <c r="I498" s="434">
        <f t="shared" si="186"/>
        <v>0</v>
      </c>
      <c r="J498" s="434">
        <f t="shared" si="186"/>
        <v>0</v>
      </c>
      <c r="K498" s="434">
        <f t="shared" si="186"/>
        <v>0</v>
      </c>
      <c r="L498" s="434">
        <f t="shared" si="186"/>
        <v>0</v>
      </c>
      <c r="M498" s="434">
        <f t="shared" si="186"/>
        <v>0</v>
      </c>
      <c r="N498" s="434">
        <f t="shared" si="186"/>
        <v>0</v>
      </c>
      <c r="O498" s="434">
        <f t="shared" si="186"/>
        <v>0</v>
      </c>
      <c r="P498" s="434">
        <f t="shared" si="186"/>
        <v>0</v>
      </c>
      <c r="Q498" s="434">
        <f>SUM(E498:P498)</f>
        <v>0</v>
      </c>
    </row>
    <row r="499" spans="1:17" x14ac:dyDescent="0.2">
      <c r="D499" s="290"/>
      <c r="E499" s="473"/>
      <c r="F499" s="473"/>
      <c r="G499" s="473"/>
      <c r="H499" s="473"/>
      <c r="I499" s="473"/>
      <c r="J499" s="473"/>
      <c r="K499" s="473"/>
      <c r="L499" s="473"/>
      <c r="M499" s="473"/>
      <c r="N499" s="473"/>
      <c r="O499" s="473"/>
      <c r="P499" s="473"/>
      <c r="Q499" s="491"/>
    </row>
    <row r="500" spans="1:17" x14ac:dyDescent="0.2">
      <c r="A500" s="224">
        <f>A498+1</f>
        <v>25</v>
      </c>
      <c r="C500" s="221" t="s">
        <v>204</v>
      </c>
      <c r="D500" s="290"/>
      <c r="E500" s="434">
        <f t="shared" ref="E500:P500" si="187">E495+E498</f>
        <v>0</v>
      </c>
      <c r="F500" s="434">
        <f t="shared" si="187"/>
        <v>0</v>
      </c>
      <c r="G500" s="434">
        <f t="shared" si="187"/>
        <v>0</v>
      </c>
      <c r="H500" s="434">
        <f t="shared" si="187"/>
        <v>0</v>
      </c>
      <c r="I500" s="434">
        <f t="shared" si="187"/>
        <v>0</v>
      </c>
      <c r="J500" s="434">
        <f t="shared" si="187"/>
        <v>0</v>
      </c>
      <c r="K500" s="434">
        <f t="shared" si="187"/>
        <v>0</v>
      </c>
      <c r="L500" s="434">
        <f t="shared" si="187"/>
        <v>0</v>
      </c>
      <c r="M500" s="434">
        <f t="shared" si="187"/>
        <v>0</v>
      </c>
      <c r="N500" s="434">
        <f t="shared" si="187"/>
        <v>0</v>
      </c>
      <c r="O500" s="434">
        <f t="shared" si="187"/>
        <v>0</v>
      </c>
      <c r="P500" s="434">
        <f t="shared" si="187"/>
        <v>0</v>
      </c>
      <c r="Q500" s="434">
        <f>SUM(E500:P500)</f>
        <v>0</v>
      </c>
    </row>
    <row r="501" spans="1:17" x14ac:dyDescent="0.2">
      <c r="D501" s="290"/>
      <c r="E501" s="473"/>
      <c r="F501" s="473"/>
      <c r="G501" s="473"/>
      <c r="H501" s="473"/>
      <c r="I501" s="473"/>
      <c r="J501" s="473"/>
      <c r="K501" s="473"/>
      <c r="L501" s="473"/>
      <c r="M501" s="473"/>
      <c r="N501" s="473"/>
      <c r="O501" s="473"/>
      <c r="P501" s="473"/>
      <c r="Q501" s="466"/>
    </row>
    <row r="502" spans="1:17" x14ac:dyDescent="0.2">
      <c r="A502" s="224">
        <f>A500+1</f>
        <v>26</v>
      </c>
      <c r="C502" s="221" t="s">
        <v>151</v>
      </c>
      <c r="D502" s="794">
        <v>0</v>
      </c>
      <c r="E502" s="517">
        <v>0</v>
      </c>
      <c r="F502" s="517">
        <v>0</v>
      </c>
      <c r="G502" s="517">
        <v>0</v>
      </c>
      <c r="H502" s="517">
        <v>0</v>
      </c>
      <c r="I502" s="517">
        <v>0</v>
      </c>
      <c r="J502" s="517">
        <v>0</v>
      </c>
      <c r="K502" s="517">
        <v>0</v>
      </c>
      <c r="L502" s="517">
        <v>0</v>
      </c>
      <c r="M502" s="517">
        <v>0</v>
      </c>
      <c r="N502" s="517">
        <v>0</v>
      </c>
      <c r="O502" s="517">
        <v>0</v>
      </c>
      <c r="P502" s="517">
        <v>0</v>
      </c>
      <c r="Q502" s="434">
        <f>SUM(E502:P502)</f>
        <v>0</v>
      </c>
    </row>
    <row r="503" spans="1:17" x14ac:dyDescent="0.2">
      <c r="D503" s="290"/>
      <c r="E503" s="473"/>
      <c r="F503" s="473"/>
      <c r="G503" s="473"/>
      <c r="H503" s="473"/>
      <c r="I503" s="473"/>
      <c r="J503" s="473"/>
      <c r="K503" s="473"/>
      <c r="L503" s="473"/>
      <c r="M503" s="473"/>
      <c r="N503" s="473"/>
      <c r="O503" s="473"/>
      <c r="P503" s="473"/>
      <c r="Q503" s="466"/>
    </row>
    <row r="504" spans="1:17" ht="10.8" thickBot="1" x14ac:dyDescent="0.25">
      <c r="A504" s="453">
        <f>A502+1</f>
        <v>27</v>
      </c>
      <c r="B504" s="454"/>
      <c r="C504" s="496" t="s">
        <v>205</v>
      </c>
      <c r="D504" s="497"/>
      <c r="E504" s="499">
        <f t="shared" ref="E504:P504" si="188">E500+E502</f>
        <v>0</v>
      </c>
      <c r="F504" s="499">
        <f t="shared" si="188"/>
        <v>0</v>
      </c>
      <c r="G504" s="499">
        <f t="shared" si="188"/>
        <v>0</v>
      </c>
      <c r="H504" s="499">
        <f t="shared" si="188"/>
        <v>0</v>
      </c>
      <c r="I504" s="499">
        <f t="shared" si="188"/>
        <v>0</v>
      </c>
      <c r="J504" s="499">
        <f t="shared" si="188"/>
        <v>0</v>
      </c>
      <c r="K504" s="499">
        <f t="shared" si="188"/>
        <v>0</v>
      </c>
      <c r="L504" s="499">
        <f t="shared" si="188"/>
        <v>0</v>
      </c>
      <c r="M504" s="499">
        <f t="shared" si="188"/>
        <v>0</v>
      </c>
      <c r="N504" s="499">
        <f t="shared" si="188"/>
        <v>0</v>
      </c>
      <c r="O504" s="499">
        <f t="shared" si="188"/>
        <v>0</v>
      </c>
      <c r="P504" s="499">
        <f t="shared" si="188"/>
        <v>0</v>
      </c>
      <c r="Q504" s="499">
        <f>SUM(E504:P504)</f>
        <v>0</v>
      </c>
    </row>
    <row r="505" spans="1:17" ht="10.8" thickTop="1" x14ac:dyDescent="0.2">
      <c r="A505" s="306"/>
      <c r="B505" s="305"/>
      <c r="C505" s="305"/>
      <c r="D505" s="304"/>
      <c r="E505" s="500"/>
      <c r="F505" s="500"/>
      <c r="G505" s="500"/>
      <c r="H505" s="500"/>
      <c r="I505" s="500"/>
      <c r="J505" s="500"/>
      <c r="K505" s="500"/>
      <c r="L505" s="500"/>
      <c r="M505" s="500"/>
      <c r="N505" s="500"/>
      <c r="O505" s="500"/>
      <c r="P505" s="500"/>
      <c r="Q505" s="458"/>
    </row>
    <row r="506" spans="1:17" x14ac:dyDescent="0.2">
      <c r="A506" s="306"/>
      <c r="B506" s="305"/>
      <c r="C506" s="305"/>
      <c r="D506" s="304"/>
      <c r="E506" s="500"/>
      <c r="F506" s="500"/>
      <c r="G506" s="500"/>
      <c r="H506" s="500"/>
      <c r="I506" s="500"/>
      <c r="J506" s="500"/>
      <c r="K506" s="500"/>
      <c r="L506" s="500"/>
      <c r="M506" s="500"/>
      <c r="N506" s="500"/>
      <c r="O506" s="500"/>
      <c r="P506" s="500"/>
      <c r="Q506" s="458"/>
    </row>
    <row r="507" spans="1:17" x14ac:dyDescent="0.2">
      <c r="A507" s="224" t="str">
        <f>$A$270</f>
        <v>[1] Reflects Normalized Volumes.</v>
      </c>
    </row>
    <row r="508" spans="1:17" x14ac:dyDescent="0.2">
      <c r="A508" s="224" t="str">
        <f>"[2] Reflects Gas Cost Adjustment Rate"&amp;CONCATENATE(" as of ",EGCDATE)&amp;"."</f>
        <v>[2] Reflects Gas Cost Adjustment Rate as of March 1, 2016.</v>
      </c>
    </row>
    <row r="509" spans="1:17" x14ac:dyDescent="0.2">
      <c r="A509" s="887" t="str">
        <f>CONAME</f>
        <v>Columbia Gas of Kentucky, Inc.</v>
      </c>
      <c r="B509" s="887"/>
      <c r="C509" s="887"/>
      <c r="D509" s="887"/>
      <c r="E509" s="887"/>
      <c r="F509" s="887"/>
      <c r="G509" s="887"/>
      <c r="H509" s="887"/>
      <c r="I509" s="887"/>
      <c r="J509" s="887"/>
      <c r="K509" s="887"/>
      <c r="L509" s="887"/>
      <c r="M509" s="887"/>
      <c r="N509" s="887"/>
      <c r="O509" s="887"/>
      <c r="P509" s="887"/>
      <c r="Q509" s="887"/>
    </row>
    <row r="510" spans="1:17" x14ac:dyDescent="0.2">
      <c r="A510" s="875" t="str">
        <f>case</f>
        <v>Case No. 2016-00162</v>
      </c>
      <c r="B510" s="875"/>
      <c r="C510" s="875"/>
      <c r="D510" s="875"/>
      <c r="E510" s="875"/>
      <c r="F510" s="875"/>
      <c r="G510" s="875"/>
      <c r="H510" s="875"/>
      <c r="I510" s="875"/>
      <c r="J510" s="875"/>
      <c r="K510" s="875"/>
      <c r="L510" s="875"/>
      <c r="M510" s="875"/>
      <c r="N510" s="875"/>
      <c r="O510" s="875"/>
      <c r="P510" s="875"/>
      <c r="Q510" s="875"/>
    </row>
    <row r="511" spans="1:17" x14ac:dyDescent="0.2">
      <c r="A511" s="888" t="s">
        <v>503</v>
      </c>
      <c r="B511" s="888"/>
      <c r="C511" s="888"/>
      <c r="D511" s="888"/>
      <c r="E511" s="888"/>
      <c r="F511" s="888"/>
      <c r="G511" s="888"/>
      <c r="H511" s="888"/>
      <c r="I511" s="888"/>
      <c r="J511" s="888"/>
      <c r="K511" s="888"/>
      <c r="L511" s="888"/>
      <c r="M511" s="888"/>
      <c r="N511" s="888"/>
      <c r="O511" s="888"/>
      <c r="P511" s="888"/>
      <c r="Q511" s="888"/>
    </row>
    <row r="512" spans="1:17" x14ac:dyDescent="0.2">
      <c r="A512" s="887" t="str">
        <f>TYDESC</f>
        <v>For the 12 Months Ended December 31, 2017</v>
      </c>
      <c r="B512" s="887"/>
      <c r="C512" s="887"/>
      <c r="D512" s="887"/>
      <c r="E512" s="887"/>
      <c r="F512" s="887"/>
      <c r="G512" s="887"/>
      <c r="H512" s="887"/>
      <c r="I512" s="887"/>
      <c r="J512" s="887"/>
      <c r="K512" s="887"/>
      <c r="L512" s="887"/>
      <c r="M512" s="887"/>
      <c r="N512" s="887"/>
      <c r="O512" s="887"/>
      <c r="P512" s="887"/>
      <c r="Q512" s="887"/>
    </row>
    <row r="513" spans="1:17" x14ac:dyDescent="0.2">
      <c r="A513" s="885" t="s">
        <v>39</v>
      </c>
      <c r="B513" s="885"/>
      <c r="C513" s="885"/>
      <c r="D513" s="885"/>
      <c r="E513" s="885"/>
      <c r="F513" s="885"/>
      <c r="G513" s="885"/>
      <c r="H513" s="885"/>
      <c r="I513" s="885"/>
      <c r="J513" s="885"/>
      <c r="K513" s="885"/>
      <c r="L513" s="885"/>
      <c r="M513" s="885"/>
      <c r="N513" s="885"/>
      <c r="O513" s="885"/>
      <c r="P513" s="885"/>
      <c r="Q513" s="885"/>
    </row>
    <row r="514" spans="1:17" x14ac:dyDescent="0.2">
      <c r="A514" s="266" t="str">
        <f>$A$52</f>
        <v>Data: __ Base Period _X_ Forecasted Period</v>
      </c>
    </row>
    <row r="515" spans="1:17" x14ac:dyDescent="0.2">
      <c r="A515" s="266" t="str">
        <f>$A$53</f>
        <v>Type of Filing: X Original _ Update _ Revised</v>
      </c>
      <c r="Q515" s="420" t="str">
        <f>$Q$53</f>
        <v>Schedule M-2.2</v>
      </c>
    </row>
    <row r="516" spans="1:17" x14ac:dyDescent="0.2">
      <c r="A516" s="266" t="str">
        <f>$A$54</f>
        <v>Work Paper Reference No(s):</v>
      </c>
      <c r="Q516" s="420" t="s">
        <v>511</v>
      </c>
    </row>
    <row r="517" spans="1:17" x14ac:dyDescent="0.2">
      <c r="A517" s="421" t="str">
        <f>$A$55</f>
        <v>12 Months Forecasted</v>
      </c>
      <c r="Q517" s="420" t="str">
        <f>Witness</f>
        <v>Witness:  M. J. Bell</v>
      </c>
    </row>
    <row r="518" spans="1:17" x14ac:dyDescent="0.2">
      <c r="A518" s="886" t="s">
        <v>194</v>
      </c>
      <c r="B518" s="886"/>
      <c r="C518" s="886"/>
      <c r="D518" s="886"/>
      <c r="E518" s="886"/>
      <c r="F518" s="886"/>
      <c r="G518" s="886"/>
      <c r="H518" s="886"/>
      <c r="I518" s="886"/>
      <c r="J518" s="886"/>
      <c r="K518" s="886"/>
      <c r="L518" s="886"/>
      <c r="M518" s="886"/>
      <c r="N518" s="886"/>
      <c r="O518" s="886"/>
      <c r="P518" s="886"/>
      <c r="Q518" s="886"/>
    </row>
    <row r="519" spans="1:17" x14ac:dyDescent="0.2">
      <c r="A519" s="440"/>
      <c r="B519" s="305"/>
      <c r="C519" s="305"/>
      <c r="D519" s="304"/>
      <c r="E519" s="305"/>
      <c r="F519" s="422"/>
      <c r="G519" s="442"/>
      <c r="H519" s="422"/>
      <c r="I519" s="443"/>
      <c r="J519" s="422"/>
      <c r="K519" s="422"/>
      <c r="L519" s="422"/>
      <c r="M519" s="422"/>
      <c r="N519" s="422"/>
      <c r="O519" s="422"/>
      <c r="P519" s="422"/>
      <c r="Q519" s="305"/>
    </row>
    <row r="520" spans="1:17" x14ac:dyDescent="0.2">
      <c r="A520" s="416" t="s">
        <v>1</v>
      </c>
      <c r="B520" s="226" t="s">
        <v>0</v>
      </c>
      <c r="C520" s="226" t="s">
        <v>41</v>
      </c>
      <c r="D520" s="423" t="s">
        <v>47</v>
      </c>
      <c r="E520" s="226"/>
      <c r="F520" s="424"/>
      <c r="G520" s="425"/>
      <c r="H520" s="424"/>
      <c r="I520" s="426"/>
      <c r="J520" s="424"/>
      <c r="K520" s="424"/>
      <c r="L520" s="424"/>
      <c r="M520" s="424"/>
      <c r="N520" s="424"/>
      <c r="O520" s="424"/>
      <c r="P520" s="424"/>
      <c r="Q520" s="231"/>
    </row>
    <row r="521" spans="1:17" x14ac:dyDescent="0.2">
      <c r="A521" s="285" t="s">
        <v>3</v>
      </c>
      <c r="B521" s="228" t="s">
        <v>40</v>
      </c>
      <c r="C521" s="228" t="s">
        <v>4</v>
      </c>
      <c r="D521" s="427" t="s">
        <v>48</v>
      </c>
      <c r="E521" s="428" t="str">
        <f>B!$D$11</f>
        <v>Jan-17</v>
      </c>
      <c r="F521" s="428" t="str">
        <f>B!$E$11</f>
        <v>Feb-17</v>
      </c>
      <c r="G521" s="428" t="str">
        <f>B!$F$11</f>
        <v>Mar-17</v>
      </c>
      <c r="H521" s="428" t="str">
        <f>B!$G$11</f>
        <v>Apr-17</v>
      </c>
      <c r="I521" s="428" t="str">
        <f>B!$H$11</f>
        <v>May-17</v>
      </c>
      <c r="J521" s="428" t="str">
        <f>B!$I$11</f>
        <v>Jun-17</v>
      </c>
      <c r="K521" s="428" t="str">
        <f>B!$J$11</f>
        <v>Jul-17</v>
      </c>
      <c r="L521" s="428" t="str">
        <f>B!$K$11</f>
        <v>Aug-17</v>
      </c>
      <c r="M521" s="428" t="str">
        <f>B!$L$11</f>
        <v>Sep-17</v>
      </c>
      <c r="N521" s="428" t="str">
        <f>B!$M$11</f>
        <v>Oct-17</v>
      </c>
      <c r="O521" s="428" t="str">
        <f>B!$N$11</f>
        <v>Nov-17</v>
      </c>
      <c r="P521" s="428" t="str">
        <f>B!$O$11</f>
        <v>Dec-17</v>
      </c>
      <c r="Q521" s="429" t="s">
        <v>9</v>
      </c>
    </row>
    <row r="522" spans="1:17" x14ac:dyDescent="0.2">
      <c r="A522" s="416"/>
      <c r="B522" s="231" t="s">
        <v>42</v>
      </c>
      <c r="C522" s="231" t="s">
        <v>43</v>
      </c>
      <c r="D522" s="430" t="s">
        <v>45</v>
      </c>
      <c r="E522" s="431" t="s">
        <v>46</v>
      </c>
      <c r="F522" s="431" t="s">
        <v>49</v>
      </c>
      <c r="G522" s="431" t="s">
        <v>50</v>
      </c>
      <c r="H522" s="431" t="s">
        <v>51</v>
      </c>
      <c r="I522" s="431" t="s">
        <v>52</v>
      </c>
      <c r="J522" s="431" t="s">
        <v>53</v>
      </c>
      <c r="K522" s="432" t="s">
        <v>54</v>
      </c>
      <c r="L522" s="432" t="s">
        <v>55</v>
      </c>
      <c r="M522" s="432" t="s">
        <v>56</v>
      </c>
      <c r="N522" s="432" t="s">
        <v>57</v>
      </c>
      <c r="O522" s="432" t="s">
        <v>58</v>
      </c>
      <c r="P522" s="432" t="s">
        <v>59</v>
      </c>
      <c r="Q522" s="432" t="s">
        <v>203</v>
      </c>
    </row>
    <row r="523" spans="1:17" x14ac:dyDescent="0.2">
      <c r="E523" s="231"/>
      <c r="F523" s="432"/>
      <c r="G523" s="444"/>
      <c r="H523" s="432"/>
      <c r="I523" s="431"/>
      <c r="J523" s="432"/>
      <c r="K523" s="432"/>
      <c r="L523" s="432"/>
      <c r="M523" s="432"/>
      <c r="N523" s="432"/>
      <c r="O523" s="432"/>
      <c r="P523" s="432"/>
      <c r="Q523" s="231"/>
    </row>
    <row r="524" spans="1:17" x14ac:dyDescent="0.2">
      <c r="A524" s="224">
        <v>1</v>
      </c>
      <c r="B524" s="221" t="str">
        <f>B100</f>
        <v>IN5</v>
      </c>
      <c r="C524" s="221" t="str">
        <f>C100</f>
        <v>Inland Gas General Service - Residential</v>
      </c>
    </row>
    <row r="526" spans="1:17" x14ac:dyDescent="0.2">
      <c r="A526" s="224">
        <f>A524+1</f>
        <v>2</v>
      </c>
      <c r="C526" s="225" t="s">
        <v>109</v>
      </c>
      <c r="E526" s="224"/>
      <c r="F526" s="292"/>
      <c r="G526" s="476"/>
      <c r="H526" s="292"/>
      <c r="I526" s="297"/>
      <c r="J526" s="292"/>
      <c r="K526" s="292"/>
    </row>
    <row r="527" spans="1:17" x14ac:dyDescent="0.2">
      <c r="E527" s="224"/>
      <c r="F527" s="292"/>
      <c r="G527" s="476"/>
      <c r="H527" s="292"/>
      <c r="I527" s="297"/>
      <c r="J527" s="292"/>
      <c r="K527" s="292"/>
    </row>
    <row r="528" spans="1:17" x14ac:dyDescent="0.2">
      <c r="A528" s="224">
        <f>A526+1</f>
        <v>3</v>
      </c>
      <c r="C528" s="221" t="s">
        <v>202</v>
      </c>
      <c r="D528" s="290"/>
      <c r="E528" s="479">
        <f>B!D42</f>
        <v>3</v>
      </c>
      <c r="F528" s="479">
        <f>B!E42</f>
        <v>3</v>
      </c>
      <c r="G528" s="479">
        <f>B!F42</f>
        <v>3</v>
      </c>
      <c r="H528" s="479">
        <f>B!G42</f>
        <v>3</v>
      </c>
      <c r="I528" s="479">
        <f>B!H42</f>
        <v>3</v>
      </c>
      <c r="J528" s="479">
        <f>B!I42</f>
        <v>3</v>
      </c>
      <c r="K528" s="479">
        <f>B!J42</f>
        <v>3</v>
      </c>
      <c r="L528" s="479">
        <f>B!K42</f>
        <v>3</v>
      </c>
      <c r="M528" s="479">
        <f>B!L42</f>
        <v>3</v>
      </c>
      <c r="N528" s="479">
        <f>B!M42</f>
        <v>3</v>
      </c>
      <c r="O528" s="479">
        <f>B!N42</f>
        <v>3</v>
      </c>
      <c r="P528" s="479">
        <f>B!O42</f>
        <v>3</v>
      </c>
      <c r="Q528" s="512">
        <f>SUM(E528:P528)</f>
        <v>36</v>
      </c>
    </row>
    <row r="529" spans="1:17" x14ac:dyDescent="0.2">
      <c r="A529" s="224">
        <f>A528+1</f>
        <v>4</v>
      </c>
      <c r="C529" s="221" t="s">
        <v>210</v>
      </c>
      <c r="D529" s="792">
        <f>Input!H25</f>
        <v>0</v>
      </c>
      <c r="E529" s="434">
        <f t="shared" ref="E529:P529" si="189">ROUND(E528*$D$495,2)</f>
        <v>0</v>
      </c>
      <c r="F529" s="434">
        <f t="shared" si="189"/>
        <v>0</v>
      </c>
      <c r="G529" s="434">
        <f t="shared" si="189"/>
        <v>0</v>
      </c>
      <c r="H529" s="434">
        <f t="shared" si="189"/>
        <v>0</v>
      </c>
      <c r="I529" s="434">
        <f t="shared" si="189"/>
        <v>0</v>
      </c>
      <c r="J529" s="434">
        <f t="shared" si="189"/>
        <v>0</v>
      </c>
      <c r="K529" s="434">
        <f t="shared" si="189"/>
        <v>0</v>
      </c>
      <c r="L529" s="434">
        <f t="shared" si="189"/>
        <v>0</v>
      </c>
      <c r="M529" s="434">
        <f t="shared" si="189"/>
        <v>0</v>
      </c>
      <c r="N529" s="434">
        <f t="shared" si="189"/>
        <v>0</v>
      </c>
      <c r="O529" s="434">
        <f t="shared" si="189"/>
        <v>0</v>
      </c>
      <c r="P529" s="434">
        <f t="shared" si="189"/>
        <v>0</v>
      </c>
      <c r="Q529" s="434">
        <f>SUM(E529:P529)</f>
        <v>0</v>
      </c>
    </row>
    <row r="530" spans="1:17" x14ac:dyDescent="0.2">
      <c r="D530" s="290"/>
      <c r="E530" s="521"/>
      <c r="F530" s="292"/>
      <c r="G530" s="476"/>
      <c r="H530" s="292"/>
      <c r="I530" s="297"/>
      <c r="J530" s="514"/>
      <c r="K530" s="292"/>
      <c r="L530" s="292"/>
      <c r="M530" s="292"/>
      <c r="N530" s="292"/>
      <c r="O530" s="292"/>
      <c r="P530" s="292"/>
    </row>
    <row r="531" spans="1:17" x14ac:dyDescent="0.2">
      <c r="A531" s="224">
        <f>A529+1</f>
        <v>5</v>
      </c>
      <c r="C531" s="242" t="s">
        <v>209</v>
      </c>
      <c r="D531" s="519"/>
      <c r="E531" s="483">
        <f>'C'!D42</f>
        <v>84.3</v>
      </c>
      <c r="F531" s="483">
        <f>'C'!E42</f>
        <v>54.6</v>
      </c>
      <c r="G531" s="483">
        <f>'C'!F42</f>
        <v>43.5</v>
      </c>
      <c r="H531" s="483">
        <f>'C'!G42</f>
        <v>25.4</v>
      </c>
      <c r="I531" s="483">
        <f>'C'!H42</f>
        <v>12.3</v>
      </c>
      <c r="J531" s="483">
        <f>'C'!I42</f>
        <v>4.9000000000000004</v>
      </c>
      <c r="K531" s="483">
        <f>'C'!J42</f>
        <v>2.4</v>
      </c>
      <c r="L531" s="483">
        <f>'C'!K42</f>
        <v>2.9</v>
      </c>
      <c r="M531" s="483">
        <f>'C'!L42</f>
        <v>4.3</v>
      </c>
      <c r="N531" s="483">
        <f>'C'!M42</f>
        <v>14.9</v>
      </c>
      <c r="O531" s="483">
        <f>'C'!N42</f>
        <v>32.1</v>
      </c>
      <c r="P531" s="483">
        <f>'C'!O42</f>
        <v>52</v>
      </c>
      <c r="Q531" s="513">
        <f>SUM(E531:P531)</f>
        <v>333.60000000000008</v>
      </c>
    </row>
    <row r="532" spans="1:17" x14ac:dyDescent="0.2">
      <c r="A532" s="224">
        <f>A531+1</f>
        <v>6</v>
      </c>
      <c r="C532" s="221" t="s">
        <v>212</v>
      </c>
      <c r="D532" s="793">
        <f>Input!C25</f>
        <v>0.6</v>
      </c>
      <c r="E532" s="434">
        <f t="shared" ref="E532:P532" si="190">ROUND(E531*$D$532,2)</f>
        <v>50.58</v>
      </c>
      <c r="F532" s="434">
        <f t="shared" si="190"/>
        <v>32.76</v>
      </c>
      <c r="G532" s="434">
        <f t="shared" si="190"/>
        <v>26.1</v>
      </c>
      <c r="H532" s="434">
        <f t="shared" si="190"/>
        <v>15.24</v>
      </c>
      <c r="I532" s="434">
        <f t="shared" si="190"/>
        <v>7.38</v>
      </c>
      <c r="J532" s="434">
        <f t="shared" si="190"/>
        <v>2.94</v>
      </c>
      <c r="K532" s="434">
        <f t="shared" si="190"/>
        <v>1.44</v>
      </c>
      <c r="L532" s="434">
        <f t="shared" si="190"/>
        <v>1.74</v>
      </c>
      <c r="M532" s="434">
        <f t="shared" si="190"/>
        <v>2.58</v>
      </c>
      <c r="N532" s="434">
        <f t="shared" si="190"/>
        <v>8.94</v>
      </c>
      <c r="O532" s="434">
        <f t="shared" si="190"/>
        <v>19.260000000000002</v>
      </c>
      <c r="P532" s="434">
        <f t="shared" si="190"/>
        <v>31.2</v>
      </c>
      <c r="Q532" s="434">
        <f>SUM(E532:P532)</f>
        <v>200.16</v>
      </c>
    </row>
    <row r="533" spans="1:17" x14ac:dyDescent="0.2">
      <c r="D533" s="290"/>
      <c r="E533" s="473"/>
      <c r="F533" s="473"/>
      <c r="G533" s="473"/>
      <c r="H533" s="473"/>
      <c r="I533" s="473"/>
      <c r="J533" s="473"/>
      <c r="K533" s="473"/>
      <c r="L533" s="473"/>
      <c r="M533" s="473"/>
      <c r="N533" s="473"/>
      <c r="O533" s="473"/>
      <c r="P533" s="473"/>
      <c r="Q533" s="491"/>
    </row>
    <row r="534" spans="1:17" x14ac:dyDescent="0.2">
      <c r="A534" s="224">
        <f>A532+1</f>
        <v>7</v>
      </c>
      <c r="C534" s="221" t="s">
        <v>204</v>
      </c>
      <c r="D534" s="290"/>
      <c r="E534" s="434">
        <f t="shared" ref="E534:O534" si="191">E529+E532</f>
        <v>50.58</v>
      </c>
      <c r="F534" s="434">
        <f t="shared" si="191"/>
        <v>32.76</v>
      </c>
      <c r="G534" s="434">
        <f t="shared" si="191"/>
        <v>26.1</v>
      </c>
      <c r="H534" s="434">
        <f t="shared" si="191"/>
        <v>15.24</v>
      </c>
      <c r="I534" s="434">
        <f t="shared" si="191"/>
        <v>7.38</v>
      </c>
      <c r="J534" s="434">
        <f t="shared" si="191"/>
        <v>2.94</v>
      </c>
      <c r="K534" s="434">
        <f t="shared" si="191"/>
        <v>1.44</v>
      </c>
      <c r="L534" s="434">
        <f t="shared" si="191"/>
        <v>1.74</v>
      </c>
      <c r="M534" s="434">
        <f t="shared" si="191"/>
        <v>2.58</v>
      </c>
      <c r="N534" s="434">
        <f t="shared" si="191"/>
        <v>8.94</v>
      </c>
      <c r="O534" s="434">
        <f t="shared" si="191"/>
        <v>19.260000000000002</v>
      </c>
      <c r="P534" s="434">
        <f>P529+P532</f>
        <v>31.2</v>
      </c>
      <c r="Q534" s="434">
        <f>SUM(E534:P534)</f>
        <v>200.16</v>
      </c>
    </row>
    <row r="535" spans="1:17" x14ac:dyDescent="0.2">
      <c r="D535" s="290"/>
      <c r="E535" s="473"/>
      <c r="F535" s="473"/>
      <c r="G535" s="473"/>
      <c r="H535" s="473"/>
      <c r="I535" s="473"/>
      <c r="J535" s="473"/>
      <c r="K535" s="473"/>
      <c r="L535" s="473"/>
      <c r="M535" s="473"/>
      <c r="N535" s="473"/>
      <c r="O535" s="473"/>
      <c r="P535" s="473"/>
      <c r="Q535" s="466"/>
    </row>
    <row r="536" spans="1:17" x14ac:dyDescent="0.2">
      <c r="A536" s="224">
        <f>A534+1</f>
        <v>8</v>
      </c>
      <c r="C536" s="221" t="s">
        <v>151</v>
      </c>
      <c r="D536" s="794">
        <v>0</v>
      </c>
      <c r="E536" s="517">
        <v>0</v>
      </c>
      <c r="F536" s="517">
        <v>0</v>
      </c>
      <c r="G536" s="517">
        <v>0</v>
      </c>
      <c r="H536" s="517">
        <v>0</v>
      </c>
      <c r="I536" s="517">
        <v>0</v>
      </c>
      <c r="J536" s="517">
        <v>0</v>
      </c>
      <c r="K536" s="517">
        <v>0</v>
      </c>
      <c r="L536" s="517">
        <v>0</v>
      </c>
      <c r="M536" s="517">
        <v>0</v>
      </c>
      <c r="N536" s="517">
        <v>0</v>
      </c>
      <c r="O536" s="517">
        <v>0</v>
      </c>
      <c r="P536" s="517">
        <v>0</v>
      </c>
      <c r="Q536" s="434">
        <f>SUM(E536:P536)</f>
        <v>0</v>
      </c>
    </row>
    <row r="537" spans="1:17" x14ac:dyDescent="0.2">
      <c r="D537" s="290"/>
      <c r="E537" s="473"/>
      <c r="F537" s="473"/>
      <c r="G537" s="473"/>
      <c r="H537" s="473"/>
      <c r="I537" s="473"/>
      <c r="J537" s="473"/>
      <c r="K537" s="473"/>
      <c r="L537" s="473"/>
      <c r="M537" s="473"/>
      <c r="N537" s="473"/>
      <c r="O537" s="473"/>
      <c r="P537" s="473"/>
      <c r="Q537" s="466"/>
    </row>
    <row r="538" spans="1:17" ht="10.8" thickBot="1" x14ac:dyDescent="0.25">
      <c r="A538" s="453">
        <f>A536+1</f>
        <v>9</v>
      </c>
      <c r="B538" s="454"/>
      <c r="C538" s="496" t="s">
        <v>205</v>
      </c>
      <c r="D538" s="497"/>
      <c r="E538" s="499">
        <f t="shared" ref="E538:O538" si="192">E534+E536</f>
        <v>50.58</v>
      </c>
      <c r="F538" s="499">
        <f t="shared" si="192"/>
        <v>32.76</v>
      </c>
      <c r="G538" s="499">
        <f t="shared" si="192"/>
        <v>26.1</v>
      </c>
      <c r="H538" s="499">
        <f t="shared" si="192"/>
        <v>15.24</v>
      </c>
      <c r="I538" s="499">
        <f t="shared" si="192"/>
        <v>7.38</v>
      </c>
      <c r="J538" s="499">
        <f t="shared" si="192"/>
        <v>2.94</v>
      </c>
      <c r="K538" s="499">
        <f t="shared" si="192"/>
        <v>1.44</v>
      </c>
      <c r="L538" s="499">
        <f t="shared" si="192"/>
        <v>1.74</v>
      </c>
      <c r="M538" s="499">
        <f t="shared" si="192"/>
        <v>2.58</v>
      </c>
      <c r="N538" s="499">
        <f t="shared" si="192"/>
        <v>8.94</v>
      </c>
      <c r="O538" s="499">
        <f t="shared" si="192"/>
        <v>19.260000000000002</v>
      </c>
      <c r="P538" s="499">
        <f>P534+P536</f>
        <v>31.2</v>
      </c>
      <c r="Q538" s="499">
        <f>SUM(E538:P538)</f>
        <v>200.16</v>
      </c>
    </row>
    <row r="539" spans="1:17" ht="10.8" thickTop="1" x14ac:dyDescent="0.2">
      <c r="A539" s="306"/>
      <c r="B539" s="305"/>
      <c r="C539" s="305"/>
      <c r="D539" s="304"/>
      <c r="E539" s="493"/>
      <c r="F539" s="493"/>
      <c r="G539" s="493"/>
      <c r="H539" s="493"/>
      <c r="I539" s="493"/>
      <c r="J539" s="493"/>
      <c r="K539" s="493"/>
      <c r="L539" s="493"/>
      <c r="M539" s="493"/>
      <c r="N539" s="493"/>
      <c r="O539" s="493"/>
      <c r="P539" s="493"/>
      <c r="Q539" s="493"/>
    </row>
    <row r="540" spans="1:17" x14ac:dyDescent="0.2">
      <c r="Q540" s="419"/>
    </row>
    <row r="541" spans="1:17" x14ac:dyDescent="0.2">
      <c r="A541" s="224">
        <f>A538+1</f>
        <v>10</v>
      </c>
      <c r="B541" s="221" t="str">
        <f>B129</f>
        <v>LG2</v>
      </c>
      <c r="C541" s="221" t="str">
        <f>C129</f>
        <v xml:space="preserve">LG&amp;E Residential </v>
      </c>
    </row>
    <row r="543" spans="1:17" x14ac:dyDescent="0.2">
      <c r="A543" s="224">
        <f>A541+1</f>
        <v>11</v>
      </c>
      <c r="C543" s="225" t="s">
        <v>109</v>
      </c>
    </row>
    <row r="544" spans="1:17" x14ac:dyDescent="0.2">
      <c r="E544" s="224"/>
      <c r="F544" s="292"/>
      <c r="G544" s="476"/>
      <c r="H544" s="292"/>
      <c r="I544" s="297"/>
      <c r="J544" s="292"/>
      <c r="K544" s="292"/>
      <c r="L544" s="292"/>
    </row>
    <row r="545" spans="1:17" x14ac:dyDescent="0.2">
      <c r="A545" s="224">
        <f>A543+1</f>
        <v>12</v>
      </c>
      <c r="C545" s="221" t="s">
        <v>202</v>
      </c>
      <c r="E545" s="479">
        <f>B!D47</f>
        <v>1</v>
      </c>
      <c r="F545" s="479">
        <f>B!E47</f>
        <v>1</v>
      </c>
      <c r="G545" s="479">
        <f>B!F47</f>
        <v>1</v>
      </c>
      <c r="H545" s="479">
        <f>B!G47</f>
        <v>1</v>
      </c>
      <c r="I545" s="479">
        <f>B!H47</f>
        <v>1</v>
      </c>
      <c r="J545" s="479">
        <f>B!I47</f>
        <v>1</v>
      </c>
      <c r="K545" s="479">
        <f>B!J47</f>
        <v>1</v>
      </c>
      <c r="L545" s="479">
        <f>B!K47</f>
        <v>1</v>
      </c>
      <c r="M545" s="479">
        <f>B!L47</f>
        <v>1</v>
      </c>
      <c r="N545" s="479">
        <f>B!M47</f>
        <v>1</v>
      </c>
      <c r="O545" s="479">
        <f>B!N47</f>
        <v>1</v>
      </c>
      <c r="P545" s="479">
        <f>B!O47</f>
        <v>1</v>
      </c>
      <c r="Q545" s="512">
        <f>SUM(E545:P545)</f>
        <v>12</v>
      </c>
    </row>
    <row r="546" spans="1:17" x14ac:dyDescent="0.2">
      <c r="A546" s="224">
        <f>A545+1</f>
        <v>13</v>
      </c>
      <c r="C546" s="221" t="s">
        <v>210</v>
      </c>
      <c r="D546" s="792">
        <f>Input!H26</f>
        <v>0</v>
      </c>
      <c r="E546" s="434">
        <f t="shared" ref="E546:P546" si="193">ROUND(E545*$D$495,2)</f>
        <v>0</v>
      </c>
      <c r="F546" s="434">
        <f t="shared" si="193"/>
        <v>0</v>
      </c>
      <c r="G546" s="434">
        <f t="shared" si="193"/>
        <v>0</v>
      </c>
      <c r="H546" s="434">
        <f t="shared" si="193"/>
        <v>0</v>
      </c>
      <c r="I546" s="434">
        <f t="shared" si="193"/>
        <v>0</v>
      </c>
      <c r="J546" s="434">
        <f t="shared" si="193"/>
        <v>0</v>
      </c>
      <c r="K546" s="434">
        <f t="shared" si="193"/>
        <v>0</v>
      </c>
      <c r="L546" s="434">
        <f t="shared" si="193"/>
        <v>0</v>
      </c>
      <c r="M546" s="434">
        <f t="shared" si="193"/>
        <v>0</v>
      </c>
      <c r="N546" s="434">
        <f t="shared" si="193"/>
        <v>0</v>
      </c>
      <c r="O546" s="434">
        <f t="shared" si="193"/>
        <v>0</v>
      </c>
      <c r="P546" s="434">
        <f t="shared" si="193"/>
        <v>0</v>
      </c>
      <c r="Q546" s="434">
        <f>SUM(E546:P546)</f>
        <v>0</v>
      </c>
    </row>
    <row r="547" spans="1:17" x14ac:dyDescent="0.2">
      <c r="D547" s="290"/>
      <c r="E547" s="482"/>
      <c r="F547" s="292"/>
      <c r="G547" s="476"/>
      <c r="H547" s="292"/>
      <c r="I547" s="297"/>
      <c r="J547" s="514"/>
      <c r="K547" s="292"/>
      <c r="L547" s="292"/>
    </row>
    <row r="548" spans="1:17" x14ac:dyDescent="0.2">
      <c r="A548" s="224">
        <f>A546+1</f>
        <v>14</v>
      </c>
      <c r="C548" s="242" t="s">
        <v>209</v>
      </c>
      <c r="D548" s="519"/>
      <c r="E548" s="483">
        <f>'C'!D47</f>
        <v>161.1</v>
      </c>
      <c r="F548" s="483">
        <f>'C'!E47</f>
        <v>142.80000000000001</v>
      </c>
      <c r="G548" s="483">
        <f>'C'!F47</f>
        <v>70.5</v>
      </c>
      <c r="H548" s="483">
        <f>'C'!G47</f>
        <v>36.6</v>
      </c>
      <c r="I548" s="483">
        <f>'C'!H47</f>
        <v>15.2</v>
      </c>
      <c r="J548" s="297">
        <f>'C'!I47</f>
        <v>2.9</v>
      </c>
      <c r="K548" s="297">
        <f>'C'!J47</f>
        <v>3.2</v>
      </c>
      <c r="L548" s="483">
        <f>'C'!K47</f>
        <v>3.4</v>
      </c>
      <c r="M548" s="483">
        <f>'C'!L47</f>
        <v>3.8</v>
      </c>
      <c r="N548" s="483">
        <f>'C'!M47</f>
        <v>19</v>
      </c>
      <c r="O548" s="483">
        <f>'C'!N47</f>
        <v>51.7</v>
      </c>
      <c r="P548" s="483">
        <f>'C'!O47</f>
        <v>95</v>
      </c>
      <c r="Q548" s="513">
        <f>SUM(E548:P548)</f>
        <v>605.19999999999993</v>
      </c>
    </row>
    <row r="549" spans="1:17" x14ac:dyDescent="0.2">
      <c r="A549" s="224">
        <f>A548+1</f>
        <v>15</v>
      </c>
      <c r="C549" s="221" t="s">
        <v>212</v>
      </c>
      <c r="D549" s="793">
        <f>Input!C26</f>
        <v>0.35</v>
      </c>
      <c r="E549" s="434">
        <f t="shared" ref="E549:P549" si="194">ROUND(E548*$D$549,2)</f>
        <v>56.39</v>
      </c>
      <c r="F549" s="434">
        <f t="shared" si="194"/>
        <v>49.98</v>
      </c>
      <c r="G549" s="434">
        <f t="shared" si="194"/>
        <v>24.68</v>
      </c>
      <c r="H549" s="434">
        <f t="shared" si="194"/>
        <v>12.81</v>
      </c>
      <c r="I549" s="434">
        <f t="shared" si="194"/>
        <v>5.32</v>
      </c>
      <c r="J549" s="434">
        <f t="shared" si="194"/>
        <v>1.02</v>
      </c>
      <c r="K549" s="434">
        <f t="shared" si="194"/>
        <v>1.1200000000000001</v>
      </c>
      <c r="L549" s="434">
        <f t="shared" si="194"/>
        <v>1.19</v>
      </c>
      <c r="M549" s="434">
        <f t="shared" si="194"/>
        <v>1.33</v>
      </c>
      <c r="N549" s="434">
        <f t="shared" si="194"/>
        <v>6.65</v>
      </c>
      <c r="O549" s="434">
        <f t="shared" si="194"/>
        <v>18.100000000000001</v>
      </c>
      <c r="P549" s="434">
        <f t="shared" si="194"/>
        <v>33.25</v>
      </c>
      <c r="Q549" s="434">
        <f>SUM(E549:P549)</f>
        <v>211.84000000000003</v>
      </c>
    </row>
    <row r="550" spans="1:17" x14ac:dyDescent="0.2">
      <c r="D550" s="290"/>
      <c r="E550" s="466"/>
      <c r="F550" s="473"/>
      <c r="G550" s="473"/>
      <c r="H550" s="473"/>
      <c r="I550" s="473"/>
      <c r="J550" s="473"/>
      <c r="K550" s="473"/>
      <c r="L550" s="473"/>
      <c r="M550" s="466"/>
      <c r="N550" s="466"/>
      <c r="O550" s="466"/>
      <c r="P550" s="466"/>
      <c r="Q550" s="491"/>
    </row>
    <row r="551" spans="1:17" x14ac:dyDescent="0.2">
      <c r="A551" s="224">
        <f>A549+1</f>
        <v>16</v>
      </c>
      <c r="C551" s="221" t="s">
        <v>204</v>
      </c>
      <c r="D551" s="290"/>
      <c r="E551" s="434">
        <f t="shared" ref="E551:O551" si="195">E546+E549</f>
        <v>56.39</v>
      </c>
      <c r="F551" s="434">
        <f t="shared" si="195"/>
        <v>49.98</v>
      </c>
      <c r="G551" s="434">
        <f t="shared" si="195"/>
        <v>24.68</v>
      </c>
      <c r="H551" s="434">
        <f t="shared" si="195"/>
        <v>12.81</v>
      </c>
      <c r="I551" s="434">
        <f t="shared" si="195"/>
        <v>5.32</v>
      </c>
      <c r="J551" s="434">
        <f t="shared" si="195"/>
        <v>1.02</v>
      </c>
      <c r="K551" s="434">
        <f t="shared" si="195"/>
        <v>1.1200000000000001</v>
      </c>
      <c r="L551" s="434">
        <f t="shared" si="195"/>
        <v>1.19</v>
      </c>
      <c r="M551" s="434">
        <f t="shared" si="195"/>
        <v>1.33</v>
      </c>
      <c r="N551" s="434">
        <f t="shared" si="195"/>
        <v>6.65</v>
      </c>
      <c r="O551" s="434">
        <f t="shared" si="195"/>
        <v>18.100000000000001</v>
      </c>
      <c r="P551" s="434">
        <f>P546+P549</f>
        <v>33.25</v>
      </c>
      <c r="Q551" s="434">
        <f>SUM(E551:P551)</f>
        <v>211.84000000000003</v>
      </c>
    </row>
    <row r="552" spans="1:17" x14ac:dyDescent="0.2">
      <c r="D552" s="290"/>
      <c r="E552" s="473"/>
      <c r="F552" s="473"/>
      <c r="G552" s="473"/>
      <c r="H552" s="473"/>
      <c r="I552" s="473"/>
      <c r="J552" s="473"/>
      <c r="K552" s="473"/>
      <c r="L552" s="473"/>
      <c r="M552" s="473"/>
      <c r="N552" s="473"/>
      <c r="O552" s="473"/>
      <c r="P552" s="473"/>
      <c r="Q552" s="466"/>
    </row>
    <row r="553" spans="1:17" x14ac:dyDescent="0.2">
      <c r="A553" s="224">
        <f>A551+1</f>
        <v>17</v>
      </c>
      <c r="C553" s="221" t="s">
        <v>151</v>
      </c>
      <c r="D553" s="794">
        <v>0</v>
      </c>
      <c r="E553" s="517">
        <v>0</v>
      </c>
      <c r="F553" s="517">
        <v>0</v>
      </c>
      <c r="G553" s="517">
        <v>0</v>
      </c>
      <c r="H553" s="517">
        <v>0</v>
      </c>
      <c r="I553" s="517">
        <v>0</v>
      </c>
      <c r="J553" s="517">
        <v>0</v>
      </c>
      <c r="K553" s="517">
        <v>0</v>
      </c>
      <c r="L553" s="517">
        <v>0</v>
      </c>
      <c r="M553" s="517">
        <v>0</v>
      </c>
      <c r="N553" s="517">
        <v>0</v>
      </c>
      <c r="O553" s="517">
        <v>0</v>
      </c>
      <c r="P553" s="517">
        <v>0</v>
      </c>
      <c r="Q553" s="434">
        <f>SUM(E553:P553)</f>
        <v>0</v>
      </c>
    </row>
    <row r="554" spans="1:17" x14ac:dyDescent="0.2">
      <c r="E554" s="466"/>
      <c r="F554" s="466"/>
      <c r="G554" s="466"/>
      <c r="H554" s="466"/>
      <c r="I554" s="466"/>
      <c r="J554" s="466"/>
      <c r="K554" s="466"/>
      <c r="L554" s="466"/>
      <c r="M554" s="466"/>
      <c r="N554" s="466"/>
      <c r="O554" s="466"/>
      <c r="P554" s="466"/>
      <c r="Q554" s="466"/>
    </row>
    <row r="555" spans="1:17" ht="10.8" thickBot="1" x14ac:dyDescent="0.25">
      <c r="A555" s="495">
        <f>A553+1</f>
        <v>18</v>
      </c>
      <c r="B555" s="496"/>
      <c r="C555" s="496" t="s">
        <v>205</v>
      </c>
      <c r="D555" s="497"/>
      <c r="E555" s="499">
        <f t="shared" ref="E555:O555" si="196">E551+E553</f>
        <v>56.39</v>
      </c>
      <c r="F555" s="499">
        <f t="shared" si="196"/>
        <v>49.98</v>
      </c>
      <c r="G555" s="499">
        <f t="shared" si="196"/>
        <v>24.68</v>
      </c>
      <c r="H555" s="499">
        <f t="shared" si="196"/>
        <v>12.81</v>
      </c>
      <c r="I555" s="499">
        <f t="shared" si="196"/>
        <v>5.32</v>
      </c>
      <c r="J555" s="499">
        <f t="shared" si="196"/>
        <v>1.02</v>
      </c>
      <c r="K555" s="499">
        <f t="shared" si="196"/>
        <v>1.1200000000000001</v>
      </c>
      <c r="L555" s="499">
        <f t="shared" si="196"/>
        <v>1.19</v>
      </c>
      <c r="M555" s="499">
        <f t="shared" si="196"/>
        <v>1.33</v>
      </c>
      <c r="N555" s="499">
        <f t="shared" si="196"/>
        <v>6.65</v>
      </c>
      <c r="O555" s="499">
        <f t="shared" si="196"/>
        <v>18.100000000000001</v>
      </c>
      <c r="P555" s="499">
        <f>P551+P553</f>
        <v>33.25</v>
      </c>
      <c r="Q555" s="499">
        <f>SUM(E555:P555)</f>
        <v>211.84000000000003</v>
      </c>
    </row>
    <row r="556" spans="1:17" ht="10.8" thickTop="1" x14ac:dyDescent="0.2"/>
    <row r="558" spans="1:17" x14ac:dyDescent="0.2">
      <c r="A558" s="224">
        <f>A555+1</f>
        <v>19</v>
      </c>
      <c r="B558" s="221" t="str">
        <f>B136</f>
        <v>LG2</v>
      </c>
      <c r="C558" s="221" t="str">
        <f>C136</f>
        <v>LG&amp;E Commercial</v>
      </c>
    </row>
    <row r="560" spans="1:17" x14ac:dyDescent="0.2">
      <c r="A560" s="224">
        <f>A558+1</f>
        <v>20</v>
      </c>
      <c r="C560" s="225" t="s">
        <v>111</v>
      </c>
    </row>
    <row r="562" spans="1:17" x14ac:dyDescent="0.2">
      <c r="A562" s="224">
        <f>A560+1</f>
        <v>21</v>
      </c>
      <c r="C562" s="221" t="s">
        <v>202</v>
      </c>
      <c r="E562" s="479">
        <f>B!D52</f>
        <v>1</v>
      </c>
      <c r="F562" s="479">
        <f>B!E52</f>
        <v>1</v>
      </c>
      <c r="G562" s="479">
        <f>B!F52</f>
        <v>1</v>
      </c>
      <c r="H562" s="479">
        <f>B!G52</f>
        <v>1</v>
      </c>
      <c r="I562" s="479">
        <f>B!H52</f>
        <v>1</v>
      </c>
      <c r="J562" s="479">
        <f>B!I52</f>
        <v>1</v>
      </c>
      <c r="K562" s="479">
        <f>B!J52</f>
        <v>1</v>
      </c>
      <c r="L562" s="479">
        <f>B!K52</f>
        <v>1</v>
      </c>
      <c r="M562" s="479">
        <f>B!L52</f>
        <v>1</v>
      </c>
      <c r="N562" s="479">
        <f>B!M52</f>
        <v>1</v>
      </c>
      <c r="O562" s="479">
        <f>B!N52</f>
        <v>1</v>
      </c>
      <c r="P562" s="479">
        <f>B!O52</f>
        <v>1</v>
      </c>
      <c r="Q562" s="512">
        <f>SUM(E562:P562)</f>
        <v>12</v>
      </c>
    </row>
    <row r="563" spans="1:17" x14ac:dyDescent="0.2">
      <c r="A563" s="224">
        <f>A562+1</f>
        <v>22</v>
      </c>
      <c r="C563" s="221" t="s">
        <v>210</v>
      </c>
      <c r="D563" s="792">
        <f>Input!H27</f>
        <v>0</v>
      </c>
      <c r="E563" s="434">
        <f t="shared" ref="E563:P563" si="197">ROUND(E562*$D$495,2)</f>
        <v>0</v>
      </c>
      <c r="F563" s="434">
        <f t="shared" si="197"/>
        <v>0</v>
      </c>
      <c r="G563" s="434">
        <f t="shared" si="197"/>
        <v>0</v>
      </c>
      <c r="H563" s="434">
        <f t="shared" si="197"/>
        <v>0</v>
      </c>
      <c r="I563" s="434">
        <f t="shared" si="197"/>
        <v>0</v>
      </c>
      <c r="J563" s="434">
        <f t="shared" si="197"/>
        <v>0</v>
      </c>
      <c r="K563" s="434">
        <f t="shared" si="197"/>
        <v>0</v>
      </c>
      <c r="L563" s="434">
        <f t="shared" si="197"/>
        <v>0</v>
      </c>
      <c r="M563" s="434">
        <f t="shared" si="197"/>
        <v>0</v>
      </c>
      <c r="N563" s="434">
        <f t="shared" si="197"/>
        <v>0</v>
      </c>
      <c r="O563" s="434">
        <f t="shared" si="197"/>
        <v>0</v>
      </c>
      <c r="P563" s="434">
        <f t="shared" si="197"/>
        <v>0</v>
      </c>
      <c r="Q563" s="434">
        <f>SUM(E563:P563)</f>
        <v>0</v>
      </c>
    </row>
    <row r="564" spans="1:17" x14ac:dyDescent="0.2">
      <c r="D564" s="290"/>
      <c r="E564" s="482"/>
      <c r="F564" s="292"/>
      <c r="G564" s="476"/>
      <c r="H564" s="292"/>
      <c r="I564" s="297"/>
      <c r="J564" s="514"/>
      <c r="K564" s="292"/>
      <c r="L564" s="292"/>
    </row>
    <row r="565" spans="1:17" x14ac:dyDescent="0.2">
      <c r="A565" s="224">
        <f>A563+1</f>
        <v>23</v>
      </c>
      <c r="C565" s="242" t="s">
        <v>209</v>
      </c>
      <c r="D565" s="519"/>
      <c r="E565" s="483">
        <f>'C'!D52</f>
        <v>191.8</v>
      </c>
      <c r="F565" s="483">
        <f>'C'!E52</f>
        <v>167.7</v>
      </c>
      <c r="G565" s="483">
        <f>'C'!F52</f>
        <v>88.3</v>
      </c>
      <c r="H565" s="483">
        <f>'C'!G52</f>
        <v>54</v>
      </c>
      <c r="I565" s="483">
        <f>'C'!H52</f>
        <v>20.2</v>
      </c>
      <c r="J565" s="483">
        <f>'C'!I52</f>
        <v>7.6</v>
      </c>
      <c r="K565" s="483">
        <f>'C'!J52</f>
        <v>7.9</v>
      </c>
      <c r="L565" s="483">
        <f>'C'!K52</f>
        <v>6.8</v>
      </c>
      <c r="M565" s="483">
        <f>'C'!L52</f>
        <v>6.6</v>
      </c>
      <c r="N565" s="483">
        <f>'C'!M52</f>
        <v>14.8</v>
      </c>
      <c r="O565" s="483">
        <f>'C'!N52</f>
        <v>41.5</v>
      </c>
      <c r="P565" s="483">
        <f>'C'!O52</f>
        <v>103.7</v>
      </c>
      <c r="Q565" s="513">
        <f>SUM(E565:P565)</f>
        <v>710.9</v>
      </c>
    </row>
    <row r="566" spans="1:17" x14ac:dyDescent="0.2">
      <c r="A566" s="224">
        <f>A565+1</f>
        <v>24</v>
      </c>
      <c r="C566" s="221" t="s">
        <v>212</v>
      </c>
      <c r="D566" s="793">
        <f>Input!C27</f>
        <v>0.35</v>
      </c>
      <c r="E566" s="434">
        <f t="shared" ref="E566:P566" si="198">ROUND(E565*$D$566,2)</f>
        <v>67.13</v>
      </c>
      <c r="F566" s="434">
        <f t="shared" si="198"/>
        <v>58.7</v>
      </c>
      <c r="G566" s="434">
        <f t="shared" si="198"/>
        <v>30.91</v>
      </c>
      <c r="H566" s="434">
        <f t="shared" si="198"/>
        <v>18.899999999999999</v>
      </c>
      <c r="I566" s="434">
        <f t="shared" si="198"/>
        <v>7.07</v>
      </c>
      <c r="J566" s="434">
        <f t="shared" si="198"/>
        <v>2.66</v>
      </c>
      <c r="K566" s="434">
        <f t="shared" si="198"/>
        <v>2.77</v>
      </c>
      <c r="L566" s="434">
        <f t="shared" si="198"/>
        <v>2.38</v>
      </c>
      <c r="M566" s="434">
        <f t="shared" si="198"/>
        <v>2.31</v>
      </c>
      <c r="N566" s="434">
        <f t="shared" si="198"/>
        <v>5.18</v>
      </c>
      <c r="O566" s="434">
        <f t="shared" si="198"/>
        <v>14.53</v>
      </c>
      <c r="P566" s="434">
        <f t="shared" si="198"/>
        <v>36.299999999999997</v>
      </c>
      <c r="Q566" s="434">
        <f>SUM(E566:P566)</f>
        <v>248.84000000000003</v>
      </c>
    </row>
    <row r="567" spans="1:17" x14ac:dyDescent="0.2">
      <c r="D567" s="290"/>
      <c r="E567" s="466"/>
      <c r="F567" s="473"/>
      <c r="G567" s="473"/>
      <c r="H567" s="473"/>
      <c r="I567" s="473"/>
      <c r="J567" s="473"/>
      <c r="K567" s="473"/>
      <c r="L567" s="473"/>
      <c r="M567" s="466"/>
      <c r="N567" s="466"/>
      <c r="O567" s="466"/>
      <c r="P567" s="466"/>
      <c r="Q567" s="491"/>
    </row>
    <row r="568" spans="1:17" x14ac:dyDescent="0.2">
      <c r="A568" s="224">
        <f>A566+1</f>
        <v>25</v>
      </c>
      <c r="C568" s="221" t="s">
        <v>204</v>
      </c>
      <c r="D568" s="290"/>
      <c r="E568" s="434">
        <f t="shared" ref="E568:O568" si="199">E563+E566</f>
        <v>67.13</v>
      </c>
      <c r="F568" s="434">
        <f t="shared" si="199"/>
        <v>58.7</v>
      </c>
      <c r="G568" s="434">
        <f t="shared" si="199"/>
        <v>30.91</v>
      </c>
      <c r="H568" s="434">
        <f t="shared" si="199"/>
        <v>18.899999999999999</v>
      </c>
      <c r="I568" s="434">
        <f t="shared" si="199"/>
        <v>7.07</v>
      </c>
      <c r="J568" s="434">
        <f t="shared" si="199"/>
        <v>2.66</v>
      </c>
      <c r="K568" s="434">
        <f t="shared" si="199"/>
        <v>2.77</v>
      </c>
      <c r="L568" s="434">
        <f t="shared" si="199"/>
        <v>2.38</v>
      </c>
      <c r="M568" s="434">
        <f t="shared" si="199"/>
        <v>2.31</v>
      </c>
      <c r="N568" s="434">
        <f t="shared" si="199"/>
        <v>5.18</v>
      </c>
      <c r="O568" s="434">
        <f t="shared" si="199"/>
        <v>14.53</v>
      </c>
      <c r="P568" s="434">
        <f>P563+P566</f>
        <v>36.299999999999997</v>
      </c>
      <c r="Q568" s="434">
        <f>SUM(E568:P568)</f>
        <v>248.84000000000003</v>
      </c>
    </row>
    <row r="569" spans="1:17" x14ac:dyDescent="0.2">
      <c r="D569" s="290"/>
      <c r="E569" s="466"/>
      <c r="F569" s="466"/>
      <c r="G569" s="466"/>
      <c r="H569" s="466"/>
      <c r="I569" s="466"/>
      <c r="J569" s="466"/>
      <c r="K569" s="466"/>
      <c r="L569" s="466"/>
      <c r="M569" s="466"/>
      <c r="N569" s="466"/>
      <c r="O569" s="466"/>
      <c r="P569" s="466"/>
      <c r="Q569" s="466"/>
    </row>
    <row r="570" spans="1:17" x14ac:dyDescent="0.2">
      <c r="A570" s="224">
        <f>A568+1</f>
        <v>26</v>
      </c>
      <c r="C570" s="224" t="s">
        <v>151</v>
      </c>
      <c r="D570" s="794">
        <v>0</v>
      </c>
      <c r="E570" s="517">
        <v>0</v>
      </c>
      <c r="F570" s="517">
        <v>0</v>
      </c>
      <c r="G570" s="517">
        <v>0</v>
      </c>
      <c r="H570" s="517">
        <v>0</v>
      </c>
      <c r="I570" s="517">
        <v>0</v>
      </c>
      <c r="J570" s="517">
        <v>0</v>
      </c>
      <c r="K570" s="517">
        <v>0</v>
      </c>
      <c r="L570" s="517">
        <v>0</v>
      </c>
      <c r="M570" s="517">
        <v>0</v>
      </c>
      <c r="N570" s="517">
        <v>0</v>
      </c>
      <c r="O570" s="517">
        <v>0</v>
      </c>
      <c r="P570" s="517">
        <v>0</v>
      </c>
      <c r="Q570" s="434">
        <f>SUM(E570:P570)</f>
        <v>0</v>
      </c>
    </row>
    <row r="571" spans="1:17" x14ac:dyDescent="0.2">
      <c r="E571" s="466"/>
      <c r="F571" s="466"/>
      <c r="G571" s="466"/>
      <c r="H571" s="466"/>
      <c r="I571" s="466"/>
      <c r="J571" s="466"/>
      <c r="K571" s="466"/>
      <c r="L571" s="466"/>
      <c r="M571" s="466"/>
      <c r="N571" s="466"/>
      <c r="O571" s="466"/>
      <c r="P571" s="466"/>
      <c r="Q571" s="466"/>
    </row>
    <row r="572" spans="1:17" ht="10.8" thickBot="1" x14ac:dyDescent="0.25">
      <c r="A572" s="495">
        <f>A570+1</f>
        <v>27</v>
      </c>
      <c r="B572" s="496"/>
      <c r="C572" s="496" t="s">
        <v>205</v>
      </c>
      <c r="D572" s="497"/>
      <c r="E572" s="499">
        <f t="shared" ref="E572:O572" si="200">E568+E570</f>
        <v>67.13</v>
      </c>
      <c r="F572" s="499">
        <f t="shared" si="200"/>
        <v>58.7</v>
      </c>
      <c r="G572" s="499">
        <f t="shared" si="200"/>
        <v>30.91</v>
      </c>
      <c r="H572" s="499">
        <f t="shared" si="200"/>
        <v>18.899999999999999</v>
      </c>
      <c r="I572" s="499">
        <f t="shared" si="200"/>
        <v>7.07</v>
      </c>
      <c r="J572" s="499">
        <f t="shared" si="200"/>
        <v>2.66</v>
      </c>
      <c r="K572" s="499">
        <f t="shared" si="200"/>
        <v>2.77</v>
      </c>
      <c r="L572" s="499">
        <f t="shared" si="200"/>
        <v>2.38</v>
      </c>
      <c r="M572" s="499">
        <f t="shared" si="200"/>
        <v>2.31</v>
      </c>
      <c r="N572" s="499">
        <f t="shared" si="200"/>
        <v>5.18</v>
      </c>
      <c r="O572" s="499">
        <f t="shared" si="200"/>
        <v>14.53</v>
      </c>
      <c r="P572" s="499">
        <f>P568+P570</f>
        <v>36.299999999999997</v>
      </c>
      <c r="Q572" s="499">
        <f>SUM(E572:P572)</f>
        <v>248.84000000000003</v>
      </c>
    </row>
    <row r="573" spans="1:17" ht="10.8" thickTop="1" x14ac:dyDescent="0.2"/>
    <row r="575" spans="1:17" x14ac:dyDescent="0.2">
      <c r="A575" s="224" t="str">
        <f>$A$270</f>
        <v>[1] Reflects Normalized Volumes.</v>
      </c>
    </row>
    <row r="576" spans="1:17" x14ac:dyDescent="0.2">
      <c r="A576" s="887" t="str">
        <f>CONAME</f>
        <v>Columbia Gas of Kentucky, Inc.</v>
      </c>
      <c r="B576" s="887"/>
      <c r="C576" s="887"/>
      <c r="D576" s="887"/>
      <c r="E576" s="887"/>
      <c r="F576" s="887"/>
      <c r="G576" s="887"/>
      <c r="H576" s="887"/>
      <c r="I576" s="887"/>
      <c r="J576" s="887"/>
      <c r="K576" s="887"/>
      <c r="L576" s="887"/>
      <c r="M576" s="887"/>
      <c r="N576" s="887"/>
      <c r="O576" s="887"/>
      <c r="P576" s="887"/>
      <c r="Q576" s="887"/>
    </row>
    <row r="577" spans="1:17" x14ac:dyDescent="0.2">
      <c r="A577" s="875" t="str">
        <f>case</f>
        <v>Case No. 2016-00162</v>
      </c>
      <c r="B577" s="875"/>
      <c r="C577" s="875"/>
      <c r="D577" s="875"/>
      <c r="E577" s="875"/>
      <c r="F577" s="875"/>
      <c r="G577" s="875"/>
      <c r="H577" s="875"/>
      <c r="I577" s="875"/>
      <c r="J577" s="875"/>
      <c r="K577" s="875"/>
      <c r="L577" s="875"/>
      <c r="M577" s="875"/>
      <c r="N577" s="875"/>
      <c r="O577" s="875"/>
      <c r="P577" s="875"/>
      <c r="Q577" s="875"/>
    </row>
    <row r="578" spans="1:17" x14ac:dyDescent="0.2">
      <c r="A578" s="888" t="s">
        <v>504</v>
      </c>
      <c r="B578" s="888"/>
      <c r="C578" s="888"/>
      <c r="D578" s="888"/>
      <c r="E578" s="888"/>
      <c r="F578" s="888"/>
      <c r="G578" s="888"/>
      <c r="H578" s="888"/>
      <c r="I578" s="888"/>
      <c r="J578" s="888"/>
      <c r="K578" s="888"/>
      <c r="L578" s="888"/>
      <c r="M578" s="888"/>
      <c r="N578" s="888"/>
      <c r="O578" s="888"/>
      <c r="P578" s="888"/>
      <c r="Q578" s="888"/>
    </row>
    <row r="579" spans="1:17" x14ac:dyDescent="0.2">
      <c r="A579" s="887" t="str">
        <f>TYDESC</f>
        <v>For the 12 Months Ended December 31, 2017</v>
      </c>
      <c r="B579" s="887"/>
      <c r="C579" s="887"/>
      <c r="D579" s="887"/>
      <c r="E579" s="887"/>
      <c r="F579" s="887"/>
      <c r="G579" s="887"/>
      <c r="H579" s="887"/>
      <c r="I579" s="887"/>
      <c r="J579" s="887"/>
      <c r="K579" s="887"/>
      <c r="L579" s="887"/>
      <c r="M579" s="887"/>
      <c r="N579" s="887"/>
      <c r="O579" s="887"/>
      <c r="P579" s="887"/>
      <c r="Q579" s="887"/>
    </row>
    <row r="580" spans="1:17" x14ac:dyDescent="0.2">
      <c r="A580" s="885" t="s">
        <v>39</v>
      </c>
      <c r="B580" s="885"/>
      <c r="C580" s="885"/>
      <c r="D580" s="885"/>
      <c r="E580" s="885"/>
      <c r="F580" s="885"/>
      <c r="G580" s="885"/>
      <c r="H580" s="885"/>
      <c r="I580" s="885"/>
      <c r="J580" s="885"/>
      <c r="K580" s="885"/>
      <c r="L580" s="885"/>
      <c r="M580" s="885"/>
      <c r="N580" s="885"/>
      <c r="O580" s="885"/>
      <c r="P580" s="885"/>
      <c r="Q580" s="885"/>
    </row>
    <row r="581" spans="1:17" x14ac:dyDescent="0.2">
      <c r="A581" s="266" t="str">
        <f>$A$52</f>
        <v>Data: __ Base Period _X_ Forecasted Period</v>
      </c>
    </row>
    <row r="582" spans="1:17" x14ac:dyDescent="0.2">
      <c r="A582" s="266" t="str">
        <f>$A$53</f>
        <v>Type of Filing: X Original _ Update _ Revised</v>
      </c>
      <c r="Q582" s="420" t="str">
        <f>$Q$53</f>
        <v>Schedule M-2.2</v>
      </c>
    </row>
    <row r="583" spans="1:17" x14ac:dyDescent="0.2">
      <c r="A583" s="266" t="str">
        <f>$A$54</f>
        <v>Work Paper Reference No(s):</v>
      </c>
      <c r="Q583" s="420" t="s">
        <v>522</v>
      </c>
    </row>
    <row r="584" spans="1:17" x14ac:dyDescent="0.2">
      <c r="A584" s="421" t="str">
        <f>$A$55</f>
        <v>12 Months Forecasted</v>
      </c>
      <c r="Q584" s="420" t="str">
        <f>Witness</f>
        <v>Witness:  M. J. Bell</v>
      </c>
    </row>
    <row r="585" spans="1:17" x14ac:dyDescent="0.2">
      <c r="A585" s="886" t="s">
        <v>194</v>
      </c>
      <c r="B585" s="886"/>
      <c r="C585" s="886"/>
      <c r="D585" s="886"/>
      <c r="E585" s="886"/>
      <c r="F585" s="886"/>
      <c r="G585" s="886"/>
      <c r="H585" s="886"/>
      <c r="I585" s="886"/>
      <c r="J585" s="886"/>
      <c r="K585" s="886"/>
      <c r="L585" s="886"/>
      <c r="M585" s="886"/>
      <c r="N585" s="886"/>
      <c r="O585" s="886"/>
      <c r="P585" s="886"/>
      <c r="Q585" s="886"/>
    </row>
    <row r="586" spans="1:17" x14ac:dyDescent="0.2">
      <c r="A586" s="440"/>
      <c r="B586" s="305"/>
      <c r="C586" s="305"/>
      <c r="D586" s="304"/>
      <c r="E586" s="305"/>
      <c r="F586" s="422"/>
      <c r="G586" s="442"/>
      <c r="H586" s="422"/>
      <c r="I586" s="443"/>
      <c r="J586" s="422"/>
      <c r="K586" s="422"/>
      <c r="L586" s="422"/>
      <c r="M586" s="422"/>
      <c r="N586" s="422"/>
      <c r="O586" s="422"/>
      <c r="P586" s="422"/>
      <c r="Q586" s="305"/>
    </row>
    <row r="587" spans="1:17" x14ac:dyDescent="0.2">
      <c r="A587" s="416" t="s">
        <v>1</v>
      </c>
      <c r="B587" s="226" t="s">
        <v>0</v>
      </c>
      <c r="C587" s="226" t="s">
        <v>41</v>
      </c>
      <c r="D587" s="423" t="s">
        <v>47</v>
      </c>
      <c r="E587" s="226"/>
      <c r="F587" s="424"/>
      <c r="G587" s="425"/>
      <c r="H587" s="424"/>
      <c r="I587" s="426"/>
      <c r="J587" s="424"/>
      <c r="K587" s="424"/>
      <c r="L587" s="424"/>
      <c r="M587" s="424"/>
      <c r="N587" s="424"/>
      <c r="O587" s="424"/>
      <c r="P587" s="424"/>
      <c r="Q587" s="231"/>
    </row>
    <row r="588" spans="1:17" x14ac:dyDescent="0.2">
      <c r="A588" s="285" t="s">
        <v>3</v>
      </c>
      <c r="B588" s="228" t="s">
        <v>40</v>
      </c>
      <c r="C588" s="228" t="s">
        <v>4</v>
      </c>
      <c r="D588" s="427" t="s">
        <v>48</v>
      </c>
      <c r="E588" s="428" t="str">
        <f>B!$D$11</f>
        <v>Jan-17</v>
      </c>
      <c r="F588" s="428" t="str">
        <f>B!$E$11</f>
        <v>Feb-17</v>
      </c>
      <c r="G588" s="428" t="str">
        <f>B!$F$11</f>
        <v>Mar-17</v>
      </c>
      <c r="H588" s="428" t="str">
        <f>B!$G$11</f>
        <v>Apr-17</v>
      </c>
      <c r="I588" s="428" t="str">
        <f>B!$H$11</f>
        <v>May-17</v>
      </c>
      <c r="J588" s="428" t="str">
        <f>B!$I$11</f>
        <v>Jun-17</v>
      </c>
      <c r="K588" s="428" t="str">
        <f>B!$J$11</f>
        <v>Jul-17</v>
      </c>
      <c r="L588" s="428" t="str">
        <f>B!$K$11</f>
        <v>Aug-17</v>
      </c>
      <c r="M588" s="428" t="str">
        <f>B!$L$11</f>
        <v>Sep-17</v>
      </c>
      <c r="N588" s="428" t="str">
        <f>B!$M$11</f>
        <v>Oct-17</v>
      </c>
      <c r="O588" s="428" t="str">
        <f>B!$N$11</f>
        <v>Nov-17</v>
      </c>
      <c r="P588" s="428" t="str">
        <f>B!$O$11</f>
        <v>Dec-17</v>
      </c>
      <c r="Q588" s="429" t="s">
        <v>9</v>
      </c>
    </row>
    <row r="589" spans="1:17" x14ac:dyDescent="0.2">
      <c r="A589" s="416"/>
      <c r="B589" s="231" t="s">
        <v>42</v>
      </c>
      <c r="C589" s="231" t="s">
        <v>43</v>
      </c>
      <c r="D589" s="430" t="s">
        <v>45</v>
      </c>
      <c r="E589" s="431" t="s">
        <v>46</v>
      </c>
      <c r="F589" s="431" t="s">
        <v>49</v>
      </c>
      <c r="G589" s="431" t="s">
        <v>50</v>
      </c>
      <c r="H589" s="431" t="s">
        <v>51</v>
      </c>
      <c r="I589" s="431" t="s">
        <v>52</v>
      </c>
      <c r="J589" s="431" t="s">
        <v>53</v>
      </c>
      <c r="K589" s="432" t="s">
        <v>54</v>
      </c>
      <c r="L589" s="432" t="s">
        <v>55</v>
      </c>
      <c r="M589" s="432" t="s">
        <v>56</v>
      </c>
      <c r="N589" s="432" t="s">
        <v>57</v>
      </c>
      <c r="O589" s="432" t="s">
        <v>58</v>
      </c>
      <c r="P589" s="432" t="s">
        <v>59</v>
      </c>
      <c r="Q589" s="432" t="s">
        <v>203</v>
      </c>
    </row>
    <row r="590" spans="1:17" x14ac:dyDescent="0.2">
      <c r="E590" s="231"/>
      <c r="F590" s="432"/>
      <c r="G590" s="444"/>
      <c r="H590" s="432"/>
      <c r="I590" s="431"/>
      <c r="J590" s="432"/>
      <c r="K590" s="432"/>
      <c r="L590" s="432"/>
      <c r="M590" s="432"/>
      <c r="N590" s="432"/>
      <c r="O590" s="432"/>
      <c r="P590" s="432"/>
      <c r="Q590" s="231"/>
    </row>
    <row r="591" spans="1:17" x14ac:dyDescent="0.2">
      <c r="A591" s="224">
        <v>1</v>
      </c>
      <c r="B591" s="221" t="str">
        <f>B143</f>
        <v>LG3</v>
      </c>
      <c r="C591" s="221" t="str">
        <f>C143</f>
        <v>LG&amp;E Residential</v>
      </c>
    </row>
    <row r="593" spans="1:17" x14ac:dyDescent="0.2">
      <c r="A593" s="224">
        <f>A591+1</f>
        <v>2</v>
      </c>
      <c r="C593" s="225" t="s">
        <v>109</v>
      </c>
    </row>
    <row r="594" spans="1:17" x14ac:dyDescent="0.2">
      <c r="D594" s="221"/>
      <c r="F594" s="221"/>
      <c r="G594" s="221"/>
      <c r="H594" s="221"/>
      <c r="I594" s="221"/>
      <c r="J594" s="221"/>
      <c r="K594" s="221"/>
      <c r="L594" s="221"/>
      <c r="M594" s="221"/>
      <c r="N594" s="221"/>
      <c r="O594" s="221"/>
      <c r="P594" s="221"/>
    </row>
    <row r="595" spans="1:17" x14ac:dyDescent="0.2">
      <c r="A595" s="224">
        <f>A593+1</f>
        <v>3</v>
      </c>
      <c r="C595" s="221" t="s">
        <v>202</v>
      </c>
      <c r="E595" s="479">
        <f>B!D70</f>
        <v>1</v>
      </c>
      <c r="F595" s="479">
        <f>B!E70</f>
        <v>1</v>
      </c>
      <c r="G595" s="479">
        <f>B!F70</f>
        <v>1</v>
      </c>
      <c r="H595" s="479">
        <f>B!G70</f>
        <v>1</v>
      </c>
      <c r="I595" s="479">
        <f>B!H70</f>
        <v>1</v>
      </c>
      <c r="J595" s="479">
        <f>B!I70</f>
        <v>1</v>
      </c>
      <c r="K595" s="479">
        <f>B!J70</f>
        <v>1</v>
      </c>
      <c r="L595" s="479">
        <f>B!K70</f>
        <v>1</v>
      </c>
      <c r="M595" s="479">
        <f>B!L70</f>
        <v>1</v>
      </c>
      <c r="N595" s="479">
        <f>B!M70</f>
        <v>1</v>
      </c>
      <c r="O595" s="479">
        <f>B!N70</f>
        <v>1</v>
      </c>
      <c r="P595" s="479">
        <f>B!O70</f>
        <v>1</v>
      </c>
      <c r="Q595" s="480">
        <f>SUM(E595:P595)</f>
        <v>12</v>
      </c>
    </row>
    <row r="596" spans="1:17" x14ac:dyDescent="0.2">
      <c r="A596" s="224">
        <f>A595+1</f>
        <v>4</v>
      </c>
      <c r="C596" s="221" t="s">
        <v>210</v>
      </c>
      <c r="D596" s="792">
        <f>Input!H28</f>
        <v>1.2</v>
      </c>
      <c r="E596" s="434">
        <f t="shared" ref="E596:P596" si="201">ROUND(E595*$D$596,2)</f>
        <v>1.2</v>
      </c>
      <c r="F596" s="434">
        <f t="shared" si="201"/>
        <v>1.2</v>
      </c>
      <c r="G596" s="434">
        <f t="shared" si="201"/>
        <v>1.2</v>
      </c>
      <c r="H596" s="434">
        <f t="shared" si="201"/>
        <v>1.2</v>
      </c>
      <c r="I596" s="434">
        <f t="shared" si="201"/>
        <v>1.2</v>
      </c>
      <c r="J596" s="434">
        <f t="shared" si="201"/>
        <v>1.2</v>
      </c>
      <c r="K596" s="434">
        <f t="shared" si="201"/>
        <v>1.2</v>
      </c>
      <c r="L596" s="434">
        <f t="shared" si="201"/>
        <v>1.2</v>
      </c>
      <c r="M596" s="434">
        <f t="shared" si="201"/>
        <v>1.2</v>
      </c>
      <c r="N596" s="434">
        <f t="shared" si="201"/>
        <v>1.2</v>
      </c>
      <c r="O596" s="434">
        <f t="shared" si="201"/>
        <v>1.2</v>
      </c>
      <c r="P596" s="434">
        <f t="shared" si="201"/>
        <v>1.2</v>
      </c>
      <c r="Q596" s="434">
        <f>SUM(E596:P596)</f>
        <v>14.399999999999997</v>
      </c>
    </row>
    <row r="597" spans="1:17" x14ac:dyDescent="0.2">
      <c r="D597" s="290"/>
      <c r="E597" s="224"/>
      <c r="F597" s="292"/>
      <c r="G597" s="476"/>
      <c r="H597" s="292"/>
      <c r="I597" s="297"/>
      <c r="J597" s="514"/>
      <c r="K597" s="292"/>
    </row>
    <row r="598" spans="1:17" x14ac:dyDescent="0.2">
      <c r="A598" s="224">
        <f>A596+1</f>
        <v>5</v>
      </c>
      <c r="C598" s="242" t="s">
        <v>209</v>
      </c>
      <c r="D598" s="290"/>
      <c r="E598" s="521"/>
      <c r="F598" s="292"/>
      <c r="G598" s="476"/>
      <c r="H598" s="292"/>
      <c r="I598" s="297"/>
      <c r="J598" s="514"/>
      <c r="K598" s="292"/>
    </row>
    <row r="599" spans="1:17" x14ac:dyDescent="0.2">
      <c r="A599" s="224">
        <f>A598+1</f>
        <v>6</v>
      </c>
      <c r="C599" s="221" t="str">
        <f>'C'!B69</f>
        <v xml:space="preserve">    First 2 Mcf</v>
      </c>
      <c r="D599" s="224"/>
      <c r="E599" s="297">
        <f>'C'!D69</f>
        <v>2</v>
      </c>
      <c r="F599" s="297">
        <f>'C'!E69</f>
        <v>2</v>
      </c>
      <c r="G599" s="297">
        <f>'C'!F69</f>
        <v>2</v>
      </c>
      <c r="H599" s="297">
        <f>'C'!G69</f>
        <v>2</v>
      </c>
      <c r="I599" s="297">
        <f>'C'!H69</f>
        <v>2</v>
      </c>
      <c r="J599" s="297">
        <f>'C'!I69</f>
        <v>2.4</v>
      </c>
      <c r="K599" s="297">
        <f>'C'!J69</f>
        <v>2</v>
      </c>
      <c r="L599" s="297">
        <f>'C'!K69</f>
        <v>2</v>
      </c>
      <c r="M599" s="297">
        <f>'C'!L69</f>
        <v>2</v>
      </c>
      <c r="N599" s="297">
        <f>'C'!M69</f>
        <v>2</v>
      </c>
      <c r="O599" s="297">
        <f>'C'!N69</f>
        <v>2</v>
      </c>
      <c r="P599" s="297">
        <f>'C'!O69</f>
        <v>2</v>
      </c>
      <c r="Q599" s="513">
        <f>SUM(E599:P599)</f>
        <v>24.4</v>
      </c>
    </row>
    <row r="600" spans="1:17" x14ac:dyDescent="0.2">
      <c r="A600" s="224">
        <f>A599+1</f>
        <v>7</v>
      </c>
      <c r="C600" s="221" t="str">
        <f>'C'!B70</f>
        <v xml:space="preserve">    Over 2 Mcf</v>
      </c>
      <c r="D600" s="224"/>
      <c r="E600" s="522">
        <f>'C'!D70</f>
        <v>89.8</v>
      </c>
      <c r="F600" s="522">
        <f>'C'!E70</f>
        <v>71.400000000000006</v>
      </c>
      <c r="G600" s="522">
        <f>'C'!F70</f>
        <v>43.4</v>
      </c>
      <c r="H600" s="522">
        <f>'C'!G70</f>
        <v>102.5</v>
      </c>
      <c r="I600" s="522">
        <f>'C'!H70</f>
        <v>65.400000000000006</v>
      </c>
      <c r="J600" s="522">
        <f>'C'!I70</f>
        <v>24.1</v>
      </c>
      <c r="K600" s="522">
        <f>'C'!J70</f>
        <v>24.2</v>
      </c>
      <c r="L600" s="522">
        <f>'C'!K70</f>
        <v>9.8000000000000007</v>
      </c>
      <c r="M600" s="522">
        <f>'C'!L70</f>
        <v>24.2</v>
      </c>
      <c r="N600" s="522">
        <f>'C'!M70</f>
        <v>73.900000000000006</v>
      </c>
      <c r="O600" s="522">
        <f>'C'!N70</f>
        <v>103.5</v>
      </c>
      <c r="P600" s="522">
        <f>'C'!O70</f>
        <v>57.5</v>
      </c>
      <c r="Q600" s="522">
        <f>SUM(E600:P600)</f>
        <v>689.7</v>
      </c>
    </row>
    <row r="601" spans="1:17" x14ac:dyDescent="0.2">
      <c r="D601" s="290"/>
      <c r="E601" s="297">
        <f t="shared" ref="E601:O601" si="202">SUM(E599:E600)</f>
        <v>91.8</v>
      </c>
      <c r="F601" s="297">
        <f t="shared" si="202"/>
        <v>73.400000000000006</v>
      </c>
      <c r="G601" s="297">
        <f t="shared" si="202"/>
        <v>45.4</v>
      </c>
      <c r="H601" s="297">
        <f t="shared" si="202"/>
        <v>104.5</v>
      </c>
      <c r="I601" s="297">
        <f t="shared" si="202"/>
        <v>67.400000000000006</v>
      </c>
      <c r="J601" s="297">
        <f t="shared" si="202"/>
        <v>26.5</v>
      </c>
      <c r="K601" s="297">
        <f t="shared" si="202"/>
        <v>26.2</v>
      </c>
      <c r="L601" s="297">
        <f t="shared" si="202"/>
        <v>11.8</v>
      </c>
      <c r="M601" s="297">
        <f t="shared" si="202"/>
        <v>26.2</v>
      </c>
      <c r="N601" s="297">
        <f t="shared" si="202"/>
        <v>75.900000000000006</v>
      </c>
      <c r="O601" s="297">
        <f t="shared" si="202"/>
        <v>105.5</v>
      </c>
      <c r="P601" s="297">
        <f>SUM(P599:P600)</f>
        <v>59.5</v>
      </c>
      <c r="Q601" s="484">
        <f>SUM(E601:P601)</f>
        <v>714.1</v>
      </c>
    </row>
    <row r="602" spans="1:17" x14ac:dyDescent="0.2">
      <c r="A602" s="224">
        <f>A600+1</f>
        <v>8</v>
      </c>
      <c r="C602" s="221" t="s">
        <v>207</v>
      </c>
      <c r="D602" s="290"/>
      <c r="E602" s="224"/>
      <c r="F602" s="292"/>
      <c r="G602" s="476"/>
      <c r="H602" s="292"/>
      <c r="I602" s="297"/>
      <c r="J602" s="292"/>
      <c r="K602" s="292"/>
    </row>
    <row r="603" spans="1:17" x14ac:dyDescent="0.2">
      <c r="A603" s="224">
        <f>A602+1</f>
        <v>9</v>
      </c>
      <c r="C603" s="221" t="str">
        <f>C599</f>
        <v xml:space="preserve">    First 2 Mcf</v>
      </c>
      <c r="D603" s="793">
        <f>Input!C28</f>
        <v>0</v>
      </c>
      <c r="E603" s="434">
        <f t="shared" ref="E603:P603" si="203">ROUND(E599*$D$603,2)</f>
        <v>0</v>
      </c>
      <c r="F603" s="434">
        <f t="shared" si="203"/>
        <v>0</v>
      </c>
      <c r="G603" s="434">
        <f t="shared" si="203"/>
        <v>0</v>
      </c>
      <c r="H603" s="434">
        <f t="shared" si="203"/>
        <v>0</v>
      </c>
      <c r="I603" s="434">
        <f t="shared" si="203"/>
        <v>0</v>
      </c>
      <c r="J603" s="434">
        <f t="shared" si="203"/>
        <v>0</v>
      </c>
      <c r="K603" s="434">
        <f t="shared" si="203"/>
        <v>0</v>
      </c>
      <c r="L603" s="434">
        <f t="shared" si="203"/>
        <v>0</v>
      </c>
      <c r="M603" s="434">
        <f t="shared" si="203"/>
        <v>0</v>
      </c>
      <c r="N603" s="434">
        <f t="shared" si="203"/>
        <v>0</v>
      </c>
      <c r="O603" s="434">
        <f t="shared" si="203"/>
        <v>0</v>
      </c>
      <c r="P603" s="434">
        <f t="shared" si="203"/>
        <v>0</v>
      </c>
      <c r="Q603" s="434">
        <f>SUM(E603:P603)</f>
        <v>0</v>
      </c>
    </row>
    <row r="604" spans="1:17" x14ac:dyDescent="0.2">
      <c r="A604" s="224">
        <f>A603+1</f>
        <v>10</v>
      </c>
      <c r="C604" s="221" t="str">
        <f>C600</f>
        <v xml:space="preserve">    Over 2 Mcf</v>
      </c>
      <c r="D604" s="793">
        <f>Input!D28</f>
        <v>0.35</v>
      </c>
      <c r="E604" s="438">
        <f t="shared" ref="E604:P604" si="204">ROUND(E600*$D$604,2)</f>
        <v>31.43</v>
      </c>
      <c r="F604" s="438">
        <f t="shared" si="204"/>
        <v>24.99</v>
      </c>
      <c r="G604" s="438">
        <f t="shared" si="204"/>
        <v>15.19</v>
      </c>
      <c r="H604" s="438">
        <f t="shared" si="204"/>
        <v>35.880000000000003</v>
      </c>
      <c r="I604" s="438">
        <f t="shared" si="204"/>
        <v>22.89</v>
      </c>
      <c r="J604" s="438">
        <f t="shared" si="204"/>
        <v>8.44</v>
      </c>
      <c r="K604" s="438">
        <f t="shared" si="204"/>
        <v>8.4700000000000006</v>
      </c>
      <c r="L604" s="438">
        <f t="shared" si="204"/>
        <v>3.43</v>
      </c>
      <c r="M604" s="438">
        <f t="shared" si="204"/>
        <v>8.4700000000000006</v>
      </c>
      <c r="N604" s="438">
        <f t="shared" si="204"/>
        <v>25.87</v>
      </c>
      <c r="O604" s="438">
        <f t="shared" si="204"/>
        <v>36.229999999999997</v>
      </c>
      <c r="P604" s="438">
        <f t="shared" si="204"/>
        <v>20.13</v>
      </c>
      <c r="Q604" s="438">
        <f>SUM(E604:P604)</f>
        <v>241.42</v>
      </c>
    </row>
    <row r="605" spans="1:17" x14ac:dyDescent="0.2">
      <c r="D605" s="290"/>
      <c r="E605" s="434">
        <f t="shared" ref="E605:O605" si="205">SUM(E603:E604)</f>
        <v>31.43</v>
      </c>
      <c r="F605" s="434">
        <f t="shared" si="205"/>
        <v>24.99</v>
      </c>
      <c r="G605" s="434">
        <f t="shared" si="205"/>
        <v>15.19</v>
      </c>
      <c r="H605" s="434">
        <f t="shared" si="205"/>
        <v>35.880000000000003</v>
      </c>
      <c r="I605" s="434">
        <f t="shared" si="205"/>
        <v>22.89</v>
      </c>
      <c r="J605" s="434">
        <f t="shared" si="205"/>
        <v>8.44</v>
      </c>
      <c r="K605" s="434">
        <f t="shared" si="205"/>
        <v>8.4700000000000006</v>
      </c>
      <c r="L605" s="434">
        <f t="shared" si="205"/>
        <v>3.43</v>
      </c>
      <c r="M605" s="434">
        <f t="shared" si="205"/>
        <v>8.4700000000000006</v>
      </c>
      <c r="N605" s="434">
        <f t="shared" si="205"/>
        <v>25.87</v>
      </c>
      <c r="O605" s="434">
        <f t="shared" si="205"/>
        <v>36.229999999999997</v>
      </c>
      <c r="P605" s="434">
        <f>SUM(P603:P604)</f>
        <v>20.13</v>
      </c>
      <c r="Q605" s="434">
        <f>SUM(E605:P605)</f>
        <v>241.42</v>
      </c>
    </row>
    <row r="606" spans="1:17" x14ac:dyDescent="0.2">
      <c r="D606" s="290"/>
    </row>
    <row r="607" spans="1:17" x14ac:dyDescent="0.2">
      <c r="A607" s="224">
        <f>A604+1</f>
        <v>11</v>
      </c>
      <c r="C607" s="221" t="s">
        <v>204</v>
      </c>
      <c r="D607" s="290"/>
      <c r="E607" s="434">
        <f t="shared" ref="E607:O607" si="206">E596+E605</f>
        <v>32.630000000000003</v>
      </c>
      <c r="F607" s="434">
        <f t="shared" si="206"/>
        <v>26.189999999999998</v>
      </c>
      <c r="G607" s="434">
        <f t="shared" si="206"/>
        <v>16.39</v>
      </c>
      <c r="H607" s="434">
        <f t="shared" si="206"/>
        <v>37.080000000000005</v>
      </c>
      <c r="I607" s="434">
        <f t="shared" si="206"/>
        <v>24.09</v>
      </c>
      <c r="J607" s="434">
        <f t="shared" si="206"/>
        <v>9.6399999999999988</v>
      </c>
      <c r="K607" s="434">
        <f t="shared" si="206"/>
        <v>9.67</v>
      </c>
      <c r="L607" s="434">
        <f t="shared" si="206"/>
        <v>4.63</v>
      </c>
      <c r="M607" s="434">
        <f t="shared" si="206"/>
        <v>9.67</v>
      </c>
      <c r="N607" s="434">
        <f t="shared" si="206"/>
        <v>27.07</v>
      </c>
      <c r="O607" s="434">
        <f t="shared" si="206"/>
        <v>37.43</v>
      </c>
      <c r="P607" s="434">
        <f>P596+P605</f>
        <v>21.33</v>
      </c>
      <c r="Q607" s="434">
        <f>SUM(E607:P607)</f>
        <v>255.82</v>
      </c>
    </row>
    <row r="608" spans="1:17" x14ac:dyDescent="0.2">
      <c r="D608" s="290"/>
      <c r="E608" s="466"/>
      <c r="F608" s="466"/>
      <c r="G608" s="466"/>
      <c r="H608" s="466"/>
      <c r="I608" s="466"/>
      <c r="J608" s="466"/>
      <c r="K608" s="466"/>
      <c r="L608" s="466"/>
      <c r="M608" s="466"/>
      <c r="N608" s="466"/>
      <c r="O608" s="466"/>
      <c r="P608" s="466"/>
      <c r="Q608" s="466"/>
    </row>
    <row r="609" spans="1:17" x14ac:dyDescent="0.2">
      <c r="A609" s="224">
        <f>A607+1</f>
        <v>12</v>
      </c>
      <c r="C609" s="221" t="s">
        <v>151</v>
      </c>
      <c r="D609" s="794">
        <v>0</v>
      </c>
      <c r="E609" s="517">
        <v>0</v>
      </c>
      <c r="F609" s="517">
        <v>0</v>
      </c>
      <c r="G609" s="517">
        <v>0</v>
      </c>
      <c r="H609" s="517">
        <v>0</v>
      </c>
      <c r="I609" s="517">
        <v>0</v>
      </c>
      <c r="J609" s="517">
        <v>0</v>
      </c>
      <c r="K609" s="517">
        <v>0</v>
      </c>
      <c r="L609" s="517">
        <v>0</v>
      </c>
      <c r="M609" s="517">
        <v>0</v>
      </c>
      <c r="N609" s="517">
        <v>0</v>
      </c>
      <c r="O609" s="517">
        <v>0</v>
      </c>
      <c r="P609" s="517">
        <v>0</v>
      </c>
      <c r="Q609" s="434">
        <f>SUM(E609:P609)</f>
        <v>0</v>
      </c>
    </row>
    <row r="610" spans="1:17" x14ac:dyDescent="0.2">
      <c r="E610" s="466"/>
      <c r="F610" s="466"/>
      <c r="G610" s="466"/>
      <c r="H610" s="466"/>
      <c r="I610" s="466"/>
      <c r="J610" s="466"/>
      <c r="K610" s="466"/>
      <c r="L610" s="466"/>
      <c r="M610" s="466"/>
      <c r="N610" s="466"/>
      <c r="O610" s="466"/>
      <c r="P610" s="466"/>
      <c r="Q610" s="466"/>
    </row>
    <row r="611" spans="1:17" ht="10.8" thickBot="1" x14ac:dyDescent="0.25">
      <c r="A611" s="495">
        <f>A609+1</f>
        <v>13</v>
      </c>
      <c r="B611" s="496"/>
      <c r="C611" s="496" t="s">
        <v>205</v>
      </c>
      <c r="D611" s="497"/>
      <c r="E611" s="499">
        <f t="shared" ref="E611:O611" si="207">E607+E609</f>
        <v>32.630000000000003</v>
      </c>
      <c r="F611" s="499">
        <f t="shared" si="207"/>
        <v>26.189999999999998</v>
      </c>
      <c r="G611" s="499">
        <f t="shared" si="207"/>
        <v>16.39</v>
      </c>
      <c r="H611" s="499">
        <f t="shared" si="207"/>
        <v>37.080000000000005</v>
      </c>
      <c r="I611" s="499">
        <f t="shared" si="207"/>
        <v>24.09</v>
      </c>
      <c r="J611" s="499">
        <f t="shared" si="207"/>
        <v>9.6399999999999988</v>
      </c>
      <c r="K611" s="499">
        <f t="shared" si="207"/>
        <v>9.67</v>
      </c>
      <c r="L611" s="499">
        <f t="shared" si="207"/>
        <v>4.63</v>
      </c>
      <c r="M611" s="499">
        <f t="shared" si="207"/>
        <v>9.67</v>
      </c>
      <c r="N611" s="499">
        <f t="shared" si="207"/>
        <v>27.07</v>
      </c>
      <c r="O611" s="499">
        <f t="shared" si="207"/>
        <v>37.43</v>
      </c>
      <c r="P611" s="499">
        <f>P607+P609</f>
        <v>21.33</v>
      </c>
      <c r="Q611" s="499">
        <f>SUM(E611:P611)</f>
        <v>255.82</v>
      </c>
    </row>
    <row r="612" spans="1:17" ht="10.8" thickTop="1" x14ac:dyDescent="0.2"/>
    <row r="614" spans="1:17" x14ac:dyDescent="0.2">
      <c r="A614" s="224">
        <f>A611+1</f>
        <v>14</v>
      </c>
      <c r="B614" s="221" t="str">
        <f>B150</f>
        <v>LG4</v>
      </c>
      <c r="C614" s="221" t="str">
        <f>C150</f>
        <v>LG&amp;E Residential</v>
      </c>
    </row>
    <row r="616" spans="1:17" x14ac:dyDescent="0.2">
      <c r="A616" s="224">
        <v>2</v>
      </c>
      <c r="C616" s="225" t="s">
        <v>109</v>
      </c>
    </row>
    <row r="618" spans="1:17" x14ac:dyDescent="0.2">
      <c r="A618" s="224">
        <v>3</v>
      </c>
      <c r="C618" s="221" t="s">
        <v>202</v>
      </c>
      <c r="E618" s="479">
        <f>B!D75</f>
        <v>1</v>
      </c>
      <c r="F618" s="479">
        <f>B!E75</f>
        <v>1</v>
      </c>
      <c r="G618" s="479">
        <f>B!F75</f>
        <v>1</v>
      </c>
      <c r="H618" s="479">
        <f>B!G75</f>
        <v>1</v>
      </c>
      <c r="I618" s="479">
        <f>B!H75</f>
        <v>1</v>
      </c>
      <c r="J618" s="479">
        <f>B!I75</f>
        <v>1</v>
      </c>
      <c r="K618" s="479">
        <f>B!J75</f>
        <v>1</v>
      </c>
      <c r="L618" s="479">
        <f>B!K75</f>
        <v>1</v>
      </c>
      <c r="M618" s="479">
        <f>B!L75</f>
        <v>1</v>
      </c>
      <c r="N618" s="479">
        <f>B!M75</f>
        <v>1</v>
      </c>
      <c r="O618" s="479">
        <f>B!N75</f>
        <v>1</v>
      </c>
      <c r="P618" s="479">
        <f>B!O75</f>
        <v>1</v>
      </c>
      <c r="Q618" s="512">
        <f>SUM(E618:P618)</f>
        <v>12</v>
      </c>
    </row>
    <row r="619" spans="1:17" x14ac:dyDescent="0.2">
      <c r="A619" s="224">
        <v>4</v>
      </c>
      <c r="C619" s="221" t="s">
        <v>210</v>
      </c>
      <c r="D619" s="792">
        <f>Input!H29</f>
        <v>0</v>
      </c>
      <c r="E619" s="434">
        <f t="shared" ref="E619:P619" si="208">ROUND(E618*$D$495,2)</f>
        <v>0</v>
      </c>
      <c r="F619" s="434">
        <f t="shared" si="208"/>
        <v>0</v>
      </c>
      <c r="G619" s="434">
        <f t="shared" si="208"/>
        <v>0</v>
      </c>
      <c r="H619" s="434">
        <f t="shared" si="208"/>
        <v>0</v>
      </c>
      <c r="I619" s="434">
        <f t="shared" si="208"/>
        <v>0</v>
      </c>
      <c r="J619" s="434">
        <f t="shared" si="208"/>
        <v>0</v>
      </c>
      <c r="K619" s="434">
        <f t="shared" si="208"/>
        <v>0</v>
      </c>
      <c r="L619" s="434">
        <f t="shared" si="208"/>
        <v>0</v>
      </c>
      <c r="M619" s="434">
        <f t="shared" si="208"/>
        <v>0</v>
      </c>
      <c r="N619" s="434">
        <f t="shared" si="208"/>
        <v>0</v>
      </c>
      <c r="O619" s="434">
        <f t="shared" si="208"/>
        <v>0</v>
      </c>
      <c r="P619" s="434">
        <f t="shared" si="208"/>
        <v>0</v>
      </c>
      <c r="Q619" s="434">
        <f>SUM(E619:P619)</f>
        <v>0</v>
      </c>
    </row>
    <row r="620" spans="1:17" x14ac:dyDescent="0.2">
      <c r="D620" s="290"/>
      <c r="E620" s="482"/>
      <c r="F620" s="292"/>
      <c r="G620" s="476"/>
      <c r="H620" s="292"/>
      <c r="I620" s="297"/>
      <c r="J620" s="514"/>
      <c r="K620" s="292"/>
      <c r="L620" s="292"/>
    </row>
    <row r="621" spans="1:17" x14ac:dyDescent="0.2">
      <c r="A621" s="224">
        <v>5</v>
      </c>
      <c r="C621" s="242" t="s">
        <v>209</v>
      </c>
      <c r="D621" s="519"/>
      <c r="E621" s="483">
        <f>'C'!D76</f>
        <v>49.5</v>
      </c>
      <c r="F621" s="483">
        <f>'C'!E76</f>
        <v>58.7</v>
      </c>
      <c r="G621" s="483">
        <f>'C'!F76</f>
        <v>42</v>
      </c>
      <c r="H621" s="483">
        <f>'C'!G76</f>
        <v>20.7</v>
      </c>
      <c r="I621" s="483">
        <f>'C'!H76</f>
        <v>11.2</v>
      </c>
      <c r="J621" s="483">
        <f>'C'!I76</f>
        <v>4</v>
      </c>
      <c r="K621" s="483">
        <f>'C'!J76</f>
        <v>2.6</v>
      </c>
      <c r="L621" s="483">
        <f>'C'!K76</f>
        <v>2.8</v>
      </c>
      <c r="M621" s="483">
        <f>'C'!L76</f>
        <v>3</v>
      </c>
      <c r="N621" s="483">
        <f>'C'!M76</f>
        <v>3.9</v>
      </c>
      <c r="O621" s="483">
        <f>'C'!N76</f>
        <v>18.899999999999999</v>
      </c>
      <c r="P621" s="483">
        <f>'C'!O76</f>
        <v>40.299999999999997</v>
      </c>
      <c r="Q621" s="513">
        <f>SUM(E621:P621)</f>
        <v>257.59999999999997</v>
      </c>
    </row>
    <row r="622" spans="1:17" x14ac:dyDescent="0.2">
      <c r="A622" s="224">
        <v>6</v>
      </c>
      <c r="C622" s="221" t="s">
        <v>212</v>
      </c>
      <c r="D622" s="793">
        <f>Input!C29</f>
        <v>0.4</v>
      </c>
      <c r="E622" s="434">
        <f t="shared" ref="E622:P622" si="209">ROUND(E621*$D$622,2)</f>
        <v>19.8</v>
      </c>
      <c r="F622" s="434">
        <f t="shared" si="209"/>
        <v>23.48</v>
      </c>
      <c r="G622" s="434">
        <f t="shared" si="209"/>
        <v>16.8</v>
      </c>
      <c r="H622" s="434">
        <f t="shared" si="209"/>
        <v>8.2799999999999994</v>
      </c>
      <c r="I622" s="434">
        <f t="shared" si="209"/>
        <v>4.4800000000000004</v>
      </c>
      <c r="J622" s="434">
        <f t="shared" si="209"/>
        <v>1.6</v>
      </c>
      <c r="K622" s="434">
        <f t="shared" si="209"/>
        <v>1.04</v>
      </c>
      <c r="L622" s="434">
        <f t="shared" si="209"/>
        <v>1.1200000000000001</v>
      </c>
      <c r="M622" s="434">
        <f t="shared" si="209"/>
        <v>1.2</v>
      </c>
      <c r="N622" s="434">
        <f t="shared" si="209"/>
        <v>1.56</v>
      </c>
      <c r="O622" s="434">
        <f t="shared" si="209"/>
        <v>7.56</v>
      </c>
      <c r="P622" s="434">
        <f t="shared" si="209"/>
        <v>16.12</v>
      </c>
      <c r="Q622" s="434">
        <f>SUM(E622:P622)</f>
        <v>103.04000000000002</v>
      </c>
    </row>
    <row r="623" spans="1:17" x14ac:dyDescent="0.2">
      <c r="D623" s="290"/>
      <c r="E623" s="466"/>
      <c r="F623" s="473"/>
      <c r="G623" s="473"/>
      <c r="H623" s="473"/>
      <c r="I623" s="473"/>
      <c r="J623" s="473"/>
      <c r="K623" s="473"/>
      <c r="L623" s="473"/>
      <c r="M623" s="466"/>
      <c r="N623" s="466"/>
      <c r="O623" s="466"/>
      <c r="P623" s="466"/>
      <c r="Q623" s="491"/>
    </row>
    <row r="624" spans="1:17" x14ac:dyDescent="0.2">
      <c r="A624" s="224">
        <v>7</v>
      </c>
      <c r="C624" s="221" t="s">
        <v>204</v>
      </c>
      <c r="D624" s="290"/>
      <c r="E624" s="434">
        <f t="shared" ref="E624:O624" si="210">E619+E622</f>
        <v>19.8</v>
      </c>
      <c r="F624" s="434">
        <f t="shared" si="210"/>
        <v>23.48</v>
      </c>
      <c r="G624" s="434">
        <f t="shared" si="210"/>
        <v>16.8</v>
      </c>
      <c r="H624" s="434">
        <f t="shared" si="210"/>
        <v>8.2799999999999994</v>
      </c>
      <c r="I624" s="434">
        <f t="shared" si="210"/>
        <v>4.4800000000000004</v>
      </c>
      <c r="J624" s="434">
        <f t="shared" si="210"/>
        <v>1.6</v>
      </c>
      <c r="K624" s="434">
        <f t="shared" si="210"/>
        <v>1.04</v>
      </c>
      <c r="L624" s="434">
        <f t="shared" si="210"/>
        <v>1.1200000000000001</v>
      </c>
      <c r="M624" s="434">
        <f t="shared" si="210"/>
        <v>1.2</v>
      </c>
      <c r="N624" s="434">
        <f t="shared" si="210"/>
        <v>1.56</v>
      </c>
      <c r="O624" s="434">
        <f t="shared" si="210"/>
        <v>7.56</v>
      </c>
      <c r="P624" s="434">
        <f>P619+P622</f>
        <v>16.12</v>
      </c>
      <c r="Q624" s="434">
        <f>SUM(E624:P624)</f>
        <v>103.04000000000002</v>
      </c>
    </row>
    <row r="625" spans="1:17" x14ac:dyDescent="0.2">
      <c r="D625" s="290"/>
      <c r="E625" s="466"/>
      <c r="F625" s="466"/>
      <c r="G625" s="466"/>
      <c r="H625" s="466"/>
      <c r="I625" s="466"/>
      <c r="J625" s="466"/>
      <c r="K625" s="466"/>
      <c r="L625" s="466"/>
      <c r="M625" s="466"/>
      <c r="N625" s="466"/>
      <c r="O625" s="466"/>
      <c r="P625" s="466"/>
      <c r="Q625" s="466"/>
    </row>
    <row r="626" spans="1:17" x14ac:dyDescent="0.2">
      <c r="A626" s="224">
        <v>8</v>
      </c>
      <c r="C626" s="224" t="s">
        <v>151</v>
      </c>
      <c r="D626" s="794">
        <v>0</v>
      </c>
      <c r="E626" s="517">
        <v>0</v>
      </c>
      <c r="F626" s="517">
        <v>0</v>
      </c>
      <c r="G626" s="517">
        <v>0</v>
      </c>
      <c r="H626" s="517">
        <v>0</v>
      </c>
      <c r="I626" s="517">
        <v>0</v>
      </c>
      <c r="J626" s="517">
        <v>0</v>
      </c>
      <c r="K626" s="517">
        <v>0</v>
      </c>
      <c r="L626" s="517">
        <v>0</v>
      </c>
      <c r="M626" s="517">
        <v>0</v>
      </c>
      <c r="N626" s="517">
        <v>0</v>
      </c>
      <c r="O626" s="517">
        <v>0</v>
      </c>
      <c r="P626" s="517">
        <v>0</v>
      </c>
      <c r="Q626" s="434">
        <f>SUM(E626:P626)</f>
        <v>0</v>
      </c>
    </row>
    <row r="627" spans="1:17" x14ac:dyDescent="0.2">
      <c r="E627" s="466"/>
      <c r="F627" s="466"/>
      <c r="G627" s="466"/>
      <c r="H627" s="466"/>
      <c r="I627" s="466"/>
      <c r="J627" s="466"/>
      <c r="K627" s="466"/>
      <c r="L627" s="466"/>
      <c r="M627" s="466"/>
      <c r="N627" s="466"/>
      <c r="O627" s="466"/>
      <c r="P627" s="466"/>
      <c r="Q627" s="466"/>
    </row>
    <row r="628" spans="1:17" ht="10.8" thickBot="1" x14ac:dyDescent="0.25">
      <c r="A628" s="495">
        <v>9</v>
      </c>
      <c r="B628" s="496"/>
      <c r="C628" s="496" t="s">
        <v>205</v>
      </c>
      <c r="D628" s="497"/>
      <c r="E628" s="499">
        <f t="shared" ref="E628:O628" si="211">E624+E626</f>
        <v>19.8</v>
      </c>
      <c r="F628" s="499">
        <f t="shared" si="211"/>
        <v>23.48</v>
      </c>
      <c r="G628" s="499">
        <f t="shared" si="211"/>
        <v>16.8</v>
      </c>
      <c r="H628" s="499">
        <f t="shared" si="211"/>
        <v>8.2799999999999994</v>
      </c>
      <c r="I628" s="499">
        <f t="shared" si="211"/>
        <v>4.4800000000000004</v>
      </c>
      <c r="J628" s="499">
        <f t="shared" si="211"/>
        <v>1.6</v>
      </c>
      <c r="K628" s="499">
        <f t="shared" si="211"/>
        <v>1.04</v>
      </c>
      <c r="L628" s="499">
        <f t="shared" si="211"/>
        <v>1.1200000000000001</v>
      </c>
      <c r="M628" s="499">
        <f t="shared" si="211"/>
        <v>1.2</v>
      </c>
      <c r="N628" s="499">
        <f t="shared" si="211"/>
        <v>1.56</v>
      </c>
      <c r="O628" s="499">
        <f t="shared" si="211"/>
        <v>7.56</v>
      </c>
      <c r="P628" s="499">
        <f>P624+P626</f>
        <v>16.12</v>
      </c>
      <c r="Q628" s="499">
        <f>SUM(E628:P628)</f>
        <v>103.04000000000002</v>
      </c>
    </row>
    <row r="629" spans="1:17" ht="10.8" thickTop="1" x14ac:dyDescent="0.2"/>
    <row r="631" spans="1:17" x14ac:dyDescent="0.2">
      <c r="A631" s="224" t="str">
        <f>$A$270</f>
        <v>[1] Reflects Normalized Volumes.</v>
      </c>
    </row>
    <row r="632" spans="1:17" x14ac:dyDescent="0.2">
      <c r="A632" s="887" t="str">
        <f>CONAME</f>
        <v>Columbia Gas of Kentucky, Inc.</v>
      </c>
      <c r="B632" s="887"/>
      <c r="C632" s="887"/>
      <c r="D632" s="887"/>
      <c r="E632" s="887"/>
      <c r="F632" s="887"/>
      <c r="G632" s="887"/>
      <c r="H632" s="887"/>
      <c r="I632" s="887"/>
      <c r="J632" s="887"/>
      <c r="K632" s="887"/>
      <c r="L632" s="887"/>
      <c r="M632" s="887"/>
      <c r="N632" s="887"/>
      <c r="O632" s="887"/>
      <c r="P632" s="887"/>
      <c r="Q632" s="887"/>
    </row>
    <row r="633" spans="1:17" x14ac:dyDescent="0.2">
      <c r="A633" s="875" t="str">
        <f>case</f>
        <v>Case No. 2016-00162</v>
      </c>
      <c r="B633" s="875"/>
      <c r="C633" s="875"/>
      <c r="D633" s="875"/>
      <c r="E633" s="875"/>
      <c r="F633" s="875"/>
      <c r="G633" s="875"/>
      <c r="H633" s="875"/>
      <c r="I633" s="875"/>
      <c r="J633" s="875"/>
      <c r="K633" s="875"/>
      <c r="L633" s="875"/>
      <c r="M633" s="875"/>
      <c r="N633" s="875"/>
      <c r="O633" s="875"/>
      <c r="P633" s="875"/>
      <c r="Q633" s="875"/>
    </row>
    <row r="634" spans="1:17" x14ac:dyDescent="0.2">
      <c r="A634" s="888" t="s">
        <v>503</v>
      </c>
      <c r="B634" s="888"/>
      <c r="C634" s="888"/>
      <c r="D634" s="888"/>
      <c r="E634" s="888"/>
      <c r="F634" s="888"/>
      <c r="G634" s="888"/>
      <c r="H634" s="888"/>
      <c r="I634" s="888"/>
      <c r="J634" s="888"/>
      <c r="K634" s="888"/>
      <c r="L634" s="888"/>
      <c r="M634" s="888"/>
      <c r="N634" s="888"/>
      <c r="O634" s="888"/>
      <c r="P634" s="888"/>
      <c r="Q634" s="888"/>
    </row>
    <row r="635" spans="1:17" x14ac:dyDescent="0.2">
      <c r="A635" s="887" t="str">
        <f>TYDESC</f>
        <v>For the 12 Months Ended December 31, 2017</v>
      </c>
      <c r="B635" s="887"/>
      <c r="C635" s="887"/>
      <c r="D635" s="887"/>
      <c r="E635" s="887"/>
      <c r="F635" s="887"/>
      <c r="G635" s="887"/>
      <c r="H635" s="887"/>
      <c r="I635" s="887"/>
      <c r="J635" s="887"/>
      <c r="K635" s="887"/>
      <c r="L635" s="887"/>
      <c r="M635" s="887"/>
      <c r="N635" s="887"/>
      <c r="O635" s="887"/>
      <c r="P635" s="887"/>
      <c r="Q635" s="887"/>
    </row>
    <row r="636" spans="1:17" x14ac:dyDescent="0.2">
      <c r="A636" s="885" t="s">
        <v>39</v>
      </c>
      <c r="B636" s="885"/>
      <c r="C636" s="885"/>
      <c r="D636" s="885"/>
      <c r="E636" s="885"/>
      <c r="F636" s="885"/>
      <c r="G636" s="885"/>
      <c r="H636" s="885"/>
      <c r="I636" s="885"/>
      <c r="J636" s="885"/>
      <c r="K636" s="885"/>
      <c r="L636" s="885"/>
      <c r="M636" s="885"/>
      <c r="N636" s="885"/>
      <c r="O636" s="885"/>
      <c r="P636" s="885"/>
      <c r="Q636" s="885"/>
    </row>
    <row r="637" spans="1:17" x14ac:dyDescent="0.2">
      <c r="A637" s="266" t="str">
        <f>$A$52</f>
        <v>Data: __ Base Period _X_ Forecasted Period</v>
      </c>
    </row>
    <row r="638" spans="1:17" x14ac:dyDescent="0.2">
      <c r="A638" s="266" t="str">
        <f>$A$53</f>
        <v>Type of Filing: X Original _ Update _ Revised</v>
      </c>
      <c r="Q638" s="420" t="str">
        <f>$Q$53</f>
        <v>Schedule M-2.2</v>
      </c>
    </row>
    <row r="639" spans="1:17" x14ac:dyDescent="0.2">
      <c r="A639" s="266" t="str">
        <f>$A$54</f>
        <v>Work Paper Reference No(s):</v>
      </c>
      <c r="Q639" s="420" t="s">
        <v>512</v>
      </c>
    </row>
    <row r="640" spans="1:17" x14ac:dyDescent="0.2">
      <c r="A640" s="421" t="str">
        <f>$A$55</f>
        <v>12 Months Forecasted</v>
      </c>
      <c r="Q640" s="420" t="str">
        <f>Witness</f>
        <v>Witness:  M. J. Bell</v>
      </c>
    </row>
    <row r="641" spans="1:17" x14ac:dyDescent="0.2">
      <c r="A641" s="886" t="s">
        <v>194</v>
      </c>
      <c r="B641" s="886"/>
      <c r="C641" s="886"/>
      <c r="D641" s="886"/>
      <c r="E641" s="886"/>
      <c r="F641" s="886"/>
      <c r="G641" s="886"/>
      <c r="H641" s="886"/>
      <c r="I641" s="886"/>
      <c r="J641" s="886"/>
      <c r="K641" s="886"/>
      <c r="L641" s="886"/>
      <c r="M641" s="886"/>
      <c r="N641" s="886"/>
      <c r="O641" s="886"/>
      <c r="P641" s="886"/>
      <c r="Q641" s="886"/>
    </row>
    <row r="642" spans="1:17" x14ac:dyDescent="0.2">
      <c r="A642" s="440"/>
      <c r="B642" s="305"/>
      <c r="C642" s="305"/>
      <c r="D642" s="304"/>
      <c r="E642" s="305"/>
      <c r="F642" s="422"/>
      <c r="G642" s="442"/>
      <c r="H642" s="422"/>
      <c r="I642" s="443"/>
      <c r="J642" s="422"/>
      <c r="K642" s="422"/>
      <c r="L642" s="422"/>
      <c r="M642" s="422"/>
      <c r="N642" s="422"/>
      <c r="O642" s="422"/>
      <c r="P642" s="422"/>
      <c r="Q642" s="305"/>
    </row>
    <row r="643" spans="1:17" x14ac:dyDescent="0.2">
      <c r="A643" s="416" t="s">
        <v>1</v>
      </c>
      <c r="B643" s="226" t="s">
        <v>0</v>
      </c>
      <c r="C643" s="226" t="s">
        <v>41</v>
      </c>
      <c r="D643" s="423" t="s">
        <v>47</v>
      </c>
      <c r="E643" s="226"/>
      <c r="F643" s="424"/>
      <c r="G643" s="425"/>
      <c r="H643" s="424"/>
      <c r="I643" s="426"/>
      <c r="J643" s="424"/>
      <c r="K643" s="424"/>
      <c r="L643" s="424"/>
      <c r="M643" s="424"/>
      <c r="N643" s="424"/>
      <c r="O643" s="424"/>
      <c r="P643" s="424"/>
      <c r="Q643" s="231"/>
    </row>
    <row r="644" spans="1:17" x14ac:dyDescent="0.2">
      <c r="A644" s="285" t="s">
        <v>3</v>
      </c>
      <c r="B644" s="228" t="s">
        <v>40</v>
      </c>
      <c r="C644" s="228" t="s">
        <v>4</v>
      </c>
      <c r="D644" s="427" t="s">
        <v>48</v>
      </c>
      <c r="E644" s="428" t="str">
        <f>B!$D$11</f>
        <v>Jan-17</v>
      </c>
      <c r="F644" s="428" t="str">
        <f>B!$E$11</f>
        <v>Feb-17</v>
      </c>
      <c r="G644" s="428" t="str">
        <f>B!$F$11</f>
        <v>Mar-17</v>
      </c>
      <c r="H644" s="428" t="str">
        <f>B!$G$11</f>
        <v>Apr-17</v>
      </c>
      <c r="I644" s="428" t="str">
        <f>B!$H$11</f>
        <v>May-17</v>
      </c>
      <c r="J644" s="428" t="str">
        <f>B!$I$11</f>
        <v>Jun-17</v>
      </c>
      <c r="K644" s="428" t="str">
        <f>B!$J$11</f>
        <v>Jul-17</v>
      </c>
      <c r="L644" s="428" t="str">
        <f>B!$K$11</f>
        <v>Aug-17</v>
      </c>
      <c r="M644" s="428" t="str">
        <f>B!$L$11</f>
        <v>Sep-17</v>
      </c>
      <c r="N644" s="428" t="str">
        <f>B!$M$11</f>
        <v>Oct-17</v>
      </c>
      <c r="O644" s="428" t="str">
        <f>B!$N$11</f>
        <v>Nov-17</v>
      </c>
      <c r="P644" s="428" t="str">
        <f>B!$O$11</f>
        <v>Dec-17</v>
      </c>
      <c r="Q644" s="429" t="s">
        <v>9</v>
      </c>
    </row>
    <row r="645" spans="1:17" x14ac:dyDescent="0.2">
      <c r="A645" s="416"/>
      <c r="B645" s="231" t="s">
        <v>42</v>
      </c>
      <c r="C645" s="231" t="s">
        <v>43</v>
      </c>
      <c r="D645" s="430" t="s">
        <v>45</v>
      </c>
      <c r="E645" s="431" t="s">
        <v>46</v>
      </c>
      <c r="F645" s="431" t="s">
        <v>49</v>
      </c>
      <c r="G645" s="431" t="s">
        <v>50</v>
      </c>
      <c r="H645" s="431" t="s">
        <v>51</v>
      </c>
      <c r="I645" s="431" t="s">
        <v>52</v>
      </c>
      <c r="J645" s="431" t="s">
        <v>53</v>
      </c>
      <c r="K645" s="432" t="s">
        <v>54</v>
      </c>
      <c r="L645" s="432" t="s">
        <v>55</v>
      </c>
      <c r="M645" s="432" t="s">
        <v>56</v>
      </c>
      <c r="N645" s="432" t="s">
        <v>57</v>
      </c>
      <c r="O645" s="432" t="s">
        <v>58</v>
      </c>
      <c r="P645" s="432" t="s">
        <v>59</v>
      </c>
      <c r="Q645" s="432" t="s">
        <v>203</v>
      </c>
    </row>
    <row r="646" spans="1:17" x14ac:dyDescent="0.2">
      <c r="E646" s="231"/>
      <c r="F646" s="432"/>
      <c r="G646" s="444"/>
      <c r="H646" s="432"/>
      <c r="I646" s="431"/>
      <c r="J646" s="432"/>
      <c r="K646" s="432"/>
      <c r="L646" s="432"/>
      <c r="M646" s="432"/>
      <c r="N646" s="432"/>
      <c r="O646" s="432"/>
      <c r="P646" s="432"/>
      <c r="Q646" s="231"/>
    </row>
    <row r="647" spans="1:17" x14ac:dyDescent="0.2">
      <c r="A647" s="224">
        <v>1</v>
      </c>
      <c r="B647" s="221" t="str">
        <f>B157</f>
        <v>GSO</v>
      </c>
      <c r="C647" s="221" t="str">
        <f>C157</f>
        <v>General Service - Commercial</v>
      </c>
    </row>
    <row r="649" spans="1:17" x14ac:dyDescent="0.2">
      <c r="A649" s="224">
        <f>A647+1</f>
        <v>2</v>
      </c>
      <c r="C649" s="225" t="s">
        <v>111</v>
      </c>
    </row>
    <row r="650" spans="1:17" x14ac:dyDescent="0.2">
      <c r="C650" s="225"/>
    </row>
    <row r="651" spans="1:17" x14ac:dyDescent="0.2">
      <c r="A651" s="224">
        <f>A649+1</f>
        <v>3</v>
      </c>
      <c r="C651" s="221" t="s">
        <v>202</v>
      </c>
      <c r="E651" s="479">
        <f>B!D81</f>
        <v>10207</v>
      </c>
      <c r="F651" s="479">
        <f>B!E81</f>
        <v>10271</v>
      </c>
      <c r="G651" s="479">
        <f>B!F81</f>
        <v>10035</v>
      </c>
      <c r="H651" s="479">
        <f>B!G81</f>
        <v>10003</v>
      </c>
      <c r="I651" s="479">
        <f>B!H81</f>
        <v>9882</v>
      </c>
      <c r="J651" s="479">
        <f>B!I81</f>
        <v>9780</v>
      </c>
      <c r="K651" s="479">
        <f>B!J81</f>
        <v>9783</v>
      </c>
      <c r="L651" s="479">
        <f>B!K81</f>
        <v>9770</v>
      </c>
      <c r="M651" s="479">
        <f>B!L81</f>
        <v>9739</v>
      </c>
      <c r="N651" s="479">
        <f>B!M81</f>
        <v>9772</v>
      </c>
      <c r="O651" s="479">
        <f>B!N81</f>
        <v>9915</v>
      </c>
      <c r="P651" s="479">
        <f>B!O81</f>
        <v>10076</v>
      </c>
      <c r="Q651" s="480">
        <f>SUM(E651:P651)</f>
        <v>119233</v>
      </c>
    </row>
    <row r="652" spans="1:17" x14ac:dyDescent="0.2">
      <c r="A652" s="224">
        <f>A651+1</f>
        <v>4</v>
      </c>
      <c r="C652" s="221" t="s">
        <v>210</v>
      </c>
      <c r="D652" s="792">
        <f>Input!H30</f>
        <v>37.5</v>
      </c>
      <c r="E652" s="434">
        <f t="shared" ref="E652:P652" si="212">ROUND(E651*$D$652,2)</f>
        <v>382762.5</v>
      </c>
      <c r="F652" s="434">
        <f t="shared" si="212"/>
        <v>385162.5</v>
      </c>
      <c r="G652" s="434">
        <f t="shared" si="212"/>
        <v>376312.5</v>
      </c>
      <c r="H652" s="434">
        <f t="shared" si="212"/>
        <v>375112.5</v>
      </c>
      <c r="I652" s="434">
        <f t="shared" si="212"/>
        <v>370575</v>
      </c>
      <c r="J652" s="434">
        <f t="shared" si="212"/>
        <v>366750</v>
      </c>
      <c r="K652" s="434">
        <f t="shared" si="212"/>
        <v>366862.5</v>
      </c>
      <c r="L652" s="434">
        <f t="shared" si="212"/>
        <v>366375</v>
      </c>
      <c r="M652" s="434">
        <f t="shared" si="212"/>
        <v>365212.5</v>
      </c>
      <c r="N652" s="434">
        <f t="shared" si="212"/>
        <v>366450</v>
      </c>
      <c r="O652" s="434">
        <f t="shared" si="212"/>
        <v>371812.5</v>
      </c>
      <c r="P652" s="434">
        <f t="shared" si="212"/>
        <v>377850</v>
      </c>
      <c r="Q652" s="434">
        <f>SUM(E652:P652)</f>
        <v>4471237.5</v>
      </c>
    </row>
    <row r="653" spans="1:17" x14ac:dyDescent="0.2">
      <c r="A653" s="224">
        <f>A652+1</f>
        <v>5</v>
      </c>
      <c r="C653" s="221" t="s">
        <v>211</v>
      </c>
      <c r="D653" s="792">
        <f>Input!J30</f>
        <v>8.02</v>
      </c>
      <c r="E653" s="434">
        <f t="shared" ref="E653:P653" si="213">ROUND(E651*$D$653,2)</f>
        <v>81860.14</v>
      </c>
      <c r="F653" s="434">
        <f t="shared" si="213"/>
        <v>82373.42</v>
      </c>
      <c r="G653" s="434">
        <f t="shared" si="213"/>
        <v>80480.7</v>
      </c>
      <c r="H653" s="434">
        <f t="shared" si="213"/>
        <v>80224.06</v>
      </c>
      <c r="I653" s="434">
        <f t="shared" si="213"/>
        <v>79253.64</v>
      </c>
      <c r="J653" s="434">
        <f t="shared" si="213"/>
        <v>78435.600000000006</v>
      </c>
      <c r="K653" s="434">
        <f t="shared" si="213"/>
        <v>78459.66</v>
      </c>
      <c r="L653" s="434">
        <f t="shared" si="213"/>
        <v>78355.399999999994</v>
      </c>
      <c r="M653" s="434">
        <f t="shared" si="213"/>
        <v>78106.78</v>
      </c>
      <c r="N653" s="434">
        <f t="shared" si="213"/>
        <v>78371.44</v>
      </c>
      <c r="O653" s="434">
        <f t="shared" si="213"/>
        <v>79518.3</v>
      </c>
      <c r="P653" s="434">
        <f t="shared" si="213"/>
        <v>80809.52</v>
      </c>
      <c r="Q653" s="434">
        <f>SUM(E653:P653)</f>
        <v>956248.66000000015</v>
      </c>
    </row>
    <row r="654" spans="1:17" x14ac:dyDescent="0.2">
      <c r="D654" s="738"/>
      <c r="E654" s="224"/>
      <c r="F654" s="292"/>
      <c r="G654" s="476"/>
      <c r="H654" s="292"/>
      <c r="I654" s="297"/>
      <c r="J654" s="292"/>
      <c r="K654" s="292"/>
    </row>
    <row r="655" spans="1:17" x14ac:dyDescent="0.2">
      <c r="A655" s="224">
        <f>A653+1</f>
        <v>6</v>
      </c>
      <c r="C655" s="221" t="s">
        <v>209</v>
      </c>
      <c r="D655" s="738"/>
      <c r="E655" s="521"/>
      <c r="F655" s="292"/>
      <c r="G655" s="476"/>
      <c r="H655" s="292"/>
      <c r="I655" s="297"/>
      <c r="J655" s="292"/>
      <c r="K655" s="292"/>
    </row>
    <row r="656" spans="1:17" x14ac:dyDescent="0.2">
      <c r="A656" s="224">
        <f>A655+1</f>
        <v>7</v>
      </c>
      <c r="C656" s="221" t="str">
        <f>'C'!B80</f>
        <v xml:space="preserve">    First 50 Mcf</v>
      </c>
      <c r="D656" s="738"/>
      <c r="E656" s="483">
        <f>'C'!D92</f>
        <v>267674</v>
      </c>
      <c r="F656" s="483">
        <f>'C'!E92</f>
        <v>278751.2</v>
      </c>
      <c r="G656" s="483">
        <f>'C'!F92</f>
        <v>227896.5</v>
      </c>
      <c r="H656" s="483">
        <f>'C'!G92</f>
        <v>149381.79999999999</v>
      </c>
      <c r="I656" s="483">
        <f>'C'!H92</f>
        <v>76805.7</v>
      </c>
      <c r="J656" s="483">
        <f>'C'!I92</f>
        <v>48735.1</v>
      </c>
      <c r="K656" s="483">
        <f>'C'!J92</f>
        <v>38320.5</v>
      </c>
      <c r="L656" s="483">
        <f>'C'!K92</f>
        <v>36243</v>
      </c>
      <c r="M656" s="483">
        <f>'C'!L92</f>
        <v>36349</v>
      </c>
      <c r="N656" s="483">
        <f>'C'!M92</f>
        <v>49862.3</v>
      </c>
      <c r="O656" s="483">
        <f>'C'!N92</f>
        <v>96888</v>
      </c>
      <c r="P656" s="483">
        <f>'C'!O92</f>
        <v>195908.3</v>
      </c>
      <c r="Q656" s="484">
        <f>SUM(E656:P656)</f>
        <v>1502815.4000000001</v>
      </c>
    </row>
    <row r="657" spans="1:17" x14ac:dyDescent="0.2">
      <c r="A657" s="224">
        <f>A656+1</f>
        <v>8</v>
      </c>
      <c r="C657" s="221" t="str">
        <f>'C'!B81</f>
        <v xml:space="preserve">    Next 350 Mcf</v>
      </c>
      <c r="D657" s="738"/>
      <c r="E657" s="483">
        <f>'C'!D93</f>
        <v>283489.2</v>
      </c>
      <c r="F657" s="483">
        <f>'C'!E93</f>
        <v>279296.2</v>
      </c>
      <c r="G657" s="483">
        <f>'C'!F93</f>
        <v>181833.2</v>
      </c>
      <c r="H657" s="483">
        <f>'C'!G93</f>
        <v>106946.4</v>
      </c>
      <c r="I657" s="483">
        <f>'C'!H93</f>
        <v>47813</v>
      </c>
      <c r="J657" s="483">
        <f>'C'!I93</f>
        <v>28650.6</v>
      </c>
      <c r="K657" s="483">
        <f>'C'!J93</f>
        <v>16633.3</v>
      </c>
      <c r="L657" s="483">
        <f>'C'!K93</f>
        <v>15250.7</v>
      </c>
      <c r="M657" s="483">
        <f>'C'!L93</f>
        <v>14035.7</v>
      </c>
      <c r="N657" s="483">
        <f>'C'!M93</f>
        <v>24169.7</v>
      </c>
      <c r="O657" s="483">
        <f>'C'!N93</f>
        <v>64078</v>
      </c>
      <c r="P657" s="483">
        <f>'C'!O93</f>
        <v>176923</v>
      </c>
      <c r="Q657" s="484">
        <f>SUM(E657:P657)</f>
        <v>1239119</v>
      </c>
    </row>
    <row r="658" spans="1:17" x14ac:dyDescent="0.2">
      <c r="A658" s="224">
        <f>A657+1</f>
        <v>9</v>
      </c>
      <c r="C658" s="221" t="str">
        <f>'C'!B82</f>
        <v xml:space="preserve">    Next 600 Mcf</v>
      </c>
      <c r="D658" s="738"/>
      <c r="E658" s="483">
        <f>'C'!D94</f>
        <v>79219.5</v>
      </c>
      <c r="F658" s="483">
        <f>'C'!E94</f>
        <v>70800.100000000006</v>
      </c>
      <c r="G658" s="483">
        <f>'C'!F94</f>
        <v>38109.599999999999</v>
      </c>
      <c r="H658" s="483">
        <f>'C'!G94</f>
        <v>16494.099999999999</v>
      </c>
      <c r="I658" s="483">
        <f>'C'!H94</f>
        <v>7331.2</v>
      </c>
      <c r="J658" s="483">
        <f>'C'!I94</f>
        <v>3286.7</v>
      </c>
      <c r="K658" s="483">
        <f>'C'!J94</f>
        <v>1774.7</v>
      </c>
      <c r="L658" s="483">
        <f>'C'!K94</f>
        <v>1292</v>
      </c>
      <c r="M658" s="483">
        <f>'C'!L94</f>
        <v>1416.5</v>
      </c>
      <c r="N658" s="483">
        <f>'C'!M94</f>
        <v>3112.1</v>
      </c>
      <c r="O658" s="483">
        <f>'C'!N94</f>
        <v>8498.7999999999993</v>
      </c>
      <c r="P658" s="483">
        <f>'C'!O94</f>
        <v>39805.4</v>
      </c>
      <c r="Q658" s="484">
        <f>SUM(E658:P658)</f>
        <v>271140.70000000007</v>
      </c>
    </row>
    <row r="659" spans="1:17" x14ac:dyDescent="0.2">
      <c r="A659" s="224">
        <f>A658+1</f>
        <v>10</v>
      </c>
      <c r="C659" s="221" t="str">
        <f>'C'!B83</f>
        <v xml:space="preserve">    Over 1,000 Mcf</v>
      </c>
      <c r="D659" s="738"/>
      <c r="E659" s="522">
        <f>'C'!D95</f>
        <v>30357.3</v>
      </c>
      <c r="F659" s="522">
        <f>'C'!E95</f>
        <v>26213.4</v>
      </c>
      <c r="G659" s="522">
        <f>'C'!F95</f>
        <v>9008.2000000000007</v>
      </c>
      <c r="H659" s="522">
        <f>'C'!G95</f>
        <v>4479.6000000000004</v>
      </c>
      <c r="I659" s="522">
        <f>'C'!H95</f>
        <v>2530.3000000000002</v>
      </c>
      <c r="J659" s="522">
        <f>'C'!I95</f>
        <v>45.9</v>
      </c>
      <c r="K659" s="522">
        <f>'C'!J95</f>
        <v>0</v>
      </c>
      <c r="L659" s="522">
        <f>'C'!K95</f>
        <v>0</v>
      </c>
      <c r="M659" s="522">
        <f>'C'!L95</f>
        <v>0</v>
      </c>
      <c r="N659" s="522">
        <f>'C'!M95</f>
        <v>0</v>
      </c>
      <c r="O659" s="522">
        <f>'C'!N95</f>
        <v>1571.1</v>
      </c>
      <c r="P659" s="522">
        <f>'C'!O95</f>
        <v>10934.2</v>
      </c>
      <c r="Q659" s="522">
        <f>SUM(E659:P659)</f>
        <v>85140</v>
      </c>
    </row>
    <row r="660" spans="1:17" x14ac:dyDescent="0.2">
      <c r="D660" s="738"/>
      <c r="E660" s="483">
        <f t="shared" ref="E660:O660" si="214">SUM(E656:E659)</f>
        <v>660740</v>
      </c>
      <c r="F660" s="483">
        <f t="shared" si="214"/>
        <v>655060.9</v>
      </c>
      <c r="G660" s="483">
        <f t="shared" si="214"/>
        <v>456847.5</v>
      </c>
      <c r="H660" s="483">
        <f t="shared" si="214"/>
        <v>277301.89999999997</v>
      </c>
      <c r="I660" s="483">
        <f t="shared" si="214"/>
        <v>134480.19999999998</v>
      </c>
      <c r="J660" s="483">
        <f t="shared" si="214"/>
        <v>80718.299999999988</v>
      </c>
      <c r="K660" s="483">
        <f t="shared" si="214"/>
        <v>56728.5</v>
      </c>
      <c r="L660" s="483">
        <f t="shared" si="214"/>
        <v>52785.7</v>
      </c>
      <c r="M660" s="483">
        <f t="shared" si="214"/>
        <v>51801.2</v>
      </c>
      <c r="N660" s="483">
        <f t="shared" si="214"/>
        <v>77144.100000000006</v>
      </c>
      <c r="O660" s="483">
        <f t="shared" si="214"/>
        <v>171035.9</v>
      </c>
      <c r="P660" s="483">
        <f>SUM(P656:P659)</f>
        <v>423570.9</v>
      </c>
      <c r="Q660" s="483">
        <f>SUM(E660:P660)</f>
        <v>3098215.1</v>
      </c>
    </row>
    <row r="661" spans="1:17" x14ac:dyDescent="0.2">
      <c r="A661" s="224">
        <f>A659+1</f>
        <v>11</v>
      </c>
      <c r="C661" s="221" t="s">
        <v>207</v>
      </c>
      <c r="D661" s="738"/>
      <c r="E661" s="224"/>
      <c r="F661" s="292"/>
      <c r="G661" s="476"/>
      <c r="H661" s="292"/>
      <c r="I661" s="297"/>
      <c r="J661" s="292"/>
      <c r="K661" s="292"/>
      <c r="Q661" s="524"/>
    </row>
    <row r="662" spans="1:17" x14ac:dyDescent="0.2">
      <c r="A662" s="224">
        <f>A661+1</f>
        <v>12</v>
      </c>
      <c r="C662" s="221" t="str">
        <f>C656</f>
        <v xml:space="preserve">    First 50 Mcf</v>
      </c>
      <c r="D662" s="793">
        <f>Input!C30</f>
        <v>2.2665999999999999</v>
      </c>
      <c r="E662" s="434">
        <f t="shared" ref="E662:P662" si="215">ROUND(E656*$D$662,2)</f>
        <v>606709.89</v>
      </c>
      <c r="F662" s="434">
        <f t="shared" si="215"/>
        <v>631817.47</v>
      </c>
      <c r="G662" s="434">
        <f t="shared" si="215"/>
        <v>516550.21</v>
      </c>
      <c r="H662" s="434">
        <f t="shared" si="215"/>
        <v>338588.79</v>
      </c>
      <c r="I662" s="434">
        <f t="shared" si="215"/>
        <v>174087.8</v>
      </c>
      <c r="J662" s="434">
        <f t="shared" si="215"/>
        <v>110462.98</v>
      </c>
      <c r="K662" s="434">
        <f t="shared" si="215"/>
        <v>86857.25</v>
      </c>
      <c r="L662" s="434">
        <f t="shared" si="215"/>
        <v>82148.38</v>
      </c>
      <c r="M662" s="434">
        <f t="shared" si="215"/>
        <v>82388.639999999999</v>
      </c>
      <c r="N662" s="434">
        <f t="shared" si="215"/>
        <v>113017.89</v>
      </c>
      <c r="O662" s="434">
        <f t="shared" si="215"/>
        <v>219606.34</v>
      </c>
      <c r="P662" s="434">
        <f t="shared" si="215"/>
        <v>444045.75</v>
      </c>
      <c r="Q662" s="434">
        <f>SUM(E662:P662)</f>
        <v>3406281.3899999997</v>
      </c>
    </row>
    <row r="663" spans="1:17" x14ac:dyDescent="0.2">
      <c r="A663" s="224">
        <f>A662+1</f>
        <v>13</v>
      </c>
      <c r="C663" s="221" t="str">
        <f>C657</f>
        <v xml:space="preserve">    Next 350 Mcf</v>
      </c>
      <c r="D663" s="793">
        <f>Input!D30</f>
        <v>1.752</v>
      </c>
      <c r="E663" s="479">
        <f t="shared" ref="E663:P663" si="216">ROUND(E657*$D$663,2)</f>
        <v>496673.08</v>
      </c>
      <c r="F663" s="479">
        <f t="shared" si="216"/>
        <v>489326.94</v>
      </c>
      <c r="G663" s="479">
        <f t="shared" si="216"/>
        <v>318571.77</v>
      </c>
      <c r="H663" s="479">
        <f t="shared" si="216"/>
        <v>187370.09</v>
      </c>
      <c r="I663" s="479">
        <f t="shared" si="216"/>
        <v>83768.38</v>
      </c>
      <c r="J663" s="479">
        <f t="shared" si="216"/>
        <v>50195.85</v>
      </c>
      <c r="K663" s="479">
        <f t="shared" si="216"/>
        <v>29141.54</v>
      </c>
      <c r="L663" s="479">
        <f t="shared" si="216"/>
        <v>26719.23</v>
      </c>
      <c r="M663" s="479">
        <f t="shared" si="216"/>
        <v>24590.55</v>
      </c>
      <c r="N663" s="479">
        <f t="shared" si="216"/>
        <v>42345.31</v>
      </c>
      <c r="O663" s="479">
        <f t="shared" si="216"/>
        <v>112264.66</v>
      </c>
      <c r="P663" s="479">
        <f t="shared" si="216"/>
        <v>309969.09999999998</v>
      </c>
      <c r="Q663" s="480">
        <f>SUM(E663:P663)</f>
        <v>2170936.5000000005</v>
      </c>
    </row>
    <row r="664" spans="1:17" x14ac:dyDescent="0.2">
      <c r="A664" s="224">
        <f>A663+1</f>
        <v>14</v>
      </c>
      <c r="C664" s="221" t="str">
        <f>C658</f>
        <v xml:space="preserve">    Next 600 Mcf</v>
      </c>
      <c r="D664" s="793">
        <f>Input!E30</f>
        <v>1.6658999999999999</v>
      </c>
      <c r="E664" s="479">
        <f t="shared" ref="E664:P664" si="217">ROUND(E658*$D$664,2)</f>
        <v>131971.76999999999</v>
      </c>
      <c r="F664" s="479">
        <f t="shared" si="217"/>
        <v>117945.89</v>
      </c>
      <c r="G664" s="479">
        <f t="shared" si="217"/>
        <v>63486.78</v>
      </c>
      <c r="H664" s="479">
        <f t="shared" si="217"/>
        <v>27477.52</v>
      </c>
      <c r="I664" s="479">
        <f t="shared" si="217"/>
        <v>12213.05</v>
      </c>
      <c r="J664" s="479">
        <f t="shared" si="217"/>
        <v>5475.31</v>
      </c>
      <c r="K664" s="479">
        <f t="shared" si="217"/>
        <v>2956.47</v>
      </c>
      <c r="L664" s="479">
        <f t="shared" si="217"/>
        <v>2152.34</v>
      </c>
      <c r="M664" s="479">
        <f t="shared" si="217"/>
        <v>2359.75</v>
      </c>
      <c r="N664" s="479">
        <f t="shared" si="217"/>
        <v>5184.45</v>
      </c>
      <c r="O664" s="479">
        <f t="shared" si="217"/>
        <v>14158.15</v>
      </c>
      <c r="P664" s="479">
        <f t="shared" si="217"/>
        <v>66311.820000000007</v>
      </c>
      <c r="Q664" s="480">
        <f>SUM(E664:P664)</f>
        <v>451693.3</v>
      </c>
    </row>
    <row r="665" spans="1:17" x14ac:dyDescent="0.2">
      <c r="A665" s="224">
        <f>A664+1</f>
        <v>15</v>
      </c>
      <c r="C665" s="221" t="str">
        <f>C659</f>
        <v xml:space="preserve">    Over 1,000 Mcf</v>
      </c>
      <c r="D665" s="793">
        <f>Input!F30</f>
        <v>1.5164</v>
      </c>
      <c r="E665" s="525">
        <f t="shared" ref="E665:P665" si="218">ROUND(E659*$D$665,2)</f>
        <v>46033.81</v>
      </c>
      <c r="F665" s="525">
        <f t="shared" si="218"/>
        <v>39750</v>
      </c>
      <c r="G665" s="525">
        <f t="shared" si="218"/>
        <v>13660.03</v>
      </c>
      <c r="H665" s="525">
        <f t="shared" si="218"/>
        <v>6792.87</v>
      </c>
      <c r="I665" s="525">
        <f t="shared" si="218"/>
        <v>3836.95</v>
      </c>
      <c r="J665" s="525">
        <f t="shared" si="218"/>
        <v>69.599999999999994</v>
      </c>
      <c r="K665" s="525">
        <f t="shared" si="218"/>
        <v>0</v>
      </c>
      <c r="L665" s="525">
        <f t="shared" si="218"/>
        <v>0</v>
      </c>
      <c r="M665" s="525">
        <f t="shared" si="218"/>
        <v>0</v>
      </c>
      <c r="N665" s="525">
        <f t="shared" si="218"/>
        <v>0</v>
      </c>
      <c r="O665" s="525">
        <f t="shared" si="218"/>
        <v>2382.42</v>
      </c>
      <c r="P665" s="525">
        <f t="shared" si="218"/>
        <v>16580.62</v>
      </c>
      <c r="Q665" s="525">
        <f>SUM(E665:P665)</f>
        <v>129106.29999999999</v>
      </c>
    </row>
    <row r="666" spans="1:17" x14ac:dyDescent="0.2">
      <c r="D666" s="738"/>
      <c r="E666" s="434">
        <f t="shared" ref="E666:O666" si="219">SUM(E662:E665)</f>
        <v>1281388.55</v>
      </c>
      <c r="F666" s="434">
        <f t="shared" si="219"/>
        <v>1278840.2999999998</v>
      </c>
      <c r="G666" s="434">
        <f t="shared" si="219"/>
        <v>912268.79</v>
      </c>
      <c r="H666" s="434">
        <f t="shared" si="219"/>
        <v>560229.27</v>
      </c>
      <c r="I666" s="434">
        <f t="shared" si="219"/>
        <v>273906.18</v>
      </c>
      <c r="J666" s="434">
        <f t="shared" si="219"/>
        <v>166203.74</v>
      </c>
      <c r="K666" s="434">
        <f t="shared" si="219"/>
        <v>118955.26000000001</v>
      </c>
      <c r="L666" s="434">
        <f t="shared" si="219"/>
        <v>111019.95</v>
      </c>
      <c r="M666" s="434">
        <f t="shared" si="219"/>
        <v>109338.94</v>
      </c>
      <c r="N666" s="434">
        <f t="shared" si="219"/>
        <v>160547.65000000002</v>
      </c>
      <c r="O666" s="434">
        <f t="shared" si="219"/>
        <v>348411.57</v>
      </c>
      <c r="P666" s="434">
        <f>SUM(P662:P665)</f>
        <v>836907.28999999992</v>
      </c>
      <c r="Q666" s="434">
        <f>SUM(E666:P666)</f>
        <v>6158017.4900000012</v>
      </c>
    </row>
    <row r="667" spans="1:17" x14ac:dyDescent="0.2">
      <c r="D667" s="738"/>
      <c r="E667" s="292"/>
      <c r="F667" s="292"/>
      <c r="G667" s="292"/>
      <c r="H667" s="292"/>
      <c r="I667" s="292"/>
      <c r="J667" s="292"/>
      <c r="K667" s="292"/>
      <c r="L667" s="292"/>
      <c r="M667" s="292"/>
      <c r="N667" s="292"/>
      <c r="O667" s="292"/>
      <c r="P667" s="292"/>
      <c r="Q667" s="292"/>
    </row>
    <row r="668" spans="1:17" x14ac:dyDescent="0.2">
      <c r="A668" s="224">
        <f>A665+1</f>
        <v>16</v>
      </c>
      <c r="C668" s="221" t="s">
        <v>204</v>
      </c>
      <c r="D668" s="738"/>
      <c r="E668" s="434">
        <f t="shared" ref="E668:O668" si="220">E652+E653+E666</f>
        <v>1746011.19</v>
      </c>
      <c r="F668" s="434">
        <f t="shared" si="220"/>
        <v>1746376.2199999997</v>
      </c>
      <c r="G668" s="434">
        <f t="shared" si="220"/>
        <v>1369061.99</v>
      </c>
      <c r="H668" s="434">
        <f t="shared" si="220"/>
        <v>1015565.8300000001</v>
      </c>
      <c r="I668" s="434">
        <f t="shared" si="220"/>
        <v>723734.82000000007</v>
      </c>
      <c r="J668" s="434">
        <f t="shared" si="220"/>
        <v>611389.34</v>
      </c>
      <c r="K668" s="434">
        <f t="shared" si="220"/>
        <v>564277.42000000004</v>
      </c>
      <c r="L668" s="434">
        <f t="shared" si="220"/>
        <v>555750.35</v>
      </c>
      <c r="M668" s="434">
        <f t="shared" si="220"/>
        <v>552658.22</v>
      </c>
      <c r="N668" s="434">
        <f t="shared" si="220"/>
        <v>605369.09000000008</v>
      </c>
      <c r="O668" s="434">
        <f t="shared" si="220"/>
        <v>799742.37</v>
      </c>
      <c r="P668" s="434">
        <f>P652+P653+P666</f>
        <v>1295566.81</v>
      </c>
      <c r="Q668" s="434">
        <f>SUM(E668:P668)</f>
        <v>11585503.649999999</v>
      </c>
    </row>
    <row r="669" spans="1:17" x14ac:dyDescent="0.2">
      <c r="D669" s="738"/>
      <c r="E669" s="473"/>
      <c r="F669" s="473"/>
      <c r="G669" s="473"/>
      <c r="H669" s="473"/>
      <c r="I669" s="473"/>
      <c r="J669" s="473"/>
      <c r="K669" s="473"/>
      <c r="L669" s="473"/>
      <c r="M669" s="473"/>
      <c r="N669" s="473"/>
      <c r="O669" s="473"/>
      <c r="P669" s="473"/>
      <c r="Q669" s="473"/>
    </row>
    <row r="670" spans="1:17" x14ac:dyDescent="0.2">
      <c r="A670" s="224">
        <f>A668+1</f>
        <v>17</v>
      </c>
      <c r="C670" s="221" t="s">
        <v>208</v>
      </c>
      <c r="D670" s="793">
        <f>EGC</f>
        <v>2.2090999999999998</v>
      </c>
      <c r="E670" s="434">
        <f t="shared" ref="E670:O670" si="221">ROUND(E660*$D$670,2)</f>
        <v>1459640.73</v>
      </c>
      <c r="F670" s="434">
        <f t="shared" si="221"/>
        <v>1447095.03</v>
      </c>
      <c r="G670" s="434">
        <f t="shared" si="221"/>
        <v>1009221.81</v>
      </c>
      <c r="H670" s="434">
        <f t="shared" si="221"/>
        <v>612587.63</v>
      </c>
      <c r="I670" s="434">
        <f t="shared" si="221"/>
        <v>297080.21000000002</v>
      </c>
      <c r="J670" s="434">
        <f t="shared" si="221"/>
        <v>178314.8</v>
      </c>
      <c r="K670" s="434">
        <f t="shared" si="221"/>
        <v>125318.93</v>
      </c>
      <c r="L670" s="434">
        <f t="shared" si="221"/>
        <v>116608.89</v>
      </c>
      <c r="M670" s="434">
        <f t="shared" si="221"/>
        <v>114434.03</v>
      </c>
      <c r="N670" s="434">
        <f t="shared" si="221"/>
        <v>170419.03</v>
      </c>
      <c r="O670" s="434">
        <f t="shared" si="221"/>
        <v>377835.41</v>
      </c>
      <c r="P670" s="434">
        <f>ROUND(P660*$D$670,2)</f>
        <v>935710.48</v>
      </c>
      <c r="Q670" s="434">
        <f>SUM(E670:P670)</f>
        <v>6844266.9800000004</v>
      </c>
    </row>
    <row r="671" spans="1:17" x14ac:dyDescent="0.2">
      <c r="D671" s="523"/>
      <c r="E671" s="473"/>
      <c r="F671" s="473"/>
      <c r="G671" s="473"/>
      <c r="H671" s="473"/>
      <c r="I671" s="473"/>
      <c r="J671" s="473"/>
      <c r="K671" s="473"/>
      <c r="L671" s="473"/>
      <c r="M671" s="473"/>
      <c r="N671" s="473"/>
      <c r="O671" s="473"/>
      <c r="P671" s="473"/>
      <c r="Q671" s="473"/>
    </row>
    <row r="672" spans="1:17" x14ac:dyDescent="0.2">
      <c r="A672" s="453">
        <f>A670+1</f>
        <v>18</v>
      </c>
      <c r="B672" s="454"/>
      <c r="C672" s="454" t="s">
        <v>206</v>
      </c>
      <c r="D672" s="526"/>
      <c r="E672" s="457">
        <f t="shared" ref="E672:O672" si="222">E668+E670</f>
        <v>3205651.92</v>
      </c>
      <c r="F672" s="457">
        <f t="shared" si="222"/>
        <v>3193471.25</v>
      </c>
      <c r="G672" s="457">
        <f t="shared" si="222"/>
        <v>2378283.7999999998</v>
      </c>
      <c r="H672" s="457">
        <f t="shared" si="222"/>
        <v>1628153.46</v>
      </c>
      <c r="I672" s="457">
        <f t="shared" si="222"/>
        <v>1020815.03</v>
      </c>
      <c r="J672" s="457">
        <f t="shared" si="222"/>
        <v>789704.1399999999</v>
      </c>
      <c r="K672" s="457">
        <f t="shared" si="222"/>
        <v>689596.35000000009</v>
      </c>
      <c r="L672" s="457">
        <f t="shared" si="222"/>
        <v>672359.24</v>
      </c>
      <c r="M672" s="457">
        <f t="shared" si="222"/>
        <v>667092.25</v>
      </c>
      <c r="N672" s="457">
        <f t="shared" si="222"/>
        <v>775788.12000000011</v>
      </c>
      <c r="O672" s="457">
        <f t="shared" si="222"/>
        <v>1177577.78</v>
      </c>
      <c r="P672" s="457">
        <f>P668+P670</f>
        <v>2231277.29</v>
      </c>
      <c r="Q672" s="457">
        <f>SUM(E672:P672)</f>
        <v>18429770.629999999</v>
      </c>
    </row>
    <row r="673" spans="1:17" x14ac:dyDescent="0.2">
      <c r="D673" s="527"/>
      <c r="E673" s="473"/>
      <c r="F673" s="473"/>
      <c r="G673" s="473"/>
      <c r="H673" s="473"/>
      <c r="I673" s="473"/>
      <c r="J673" s="473"/>
      <c r="K673" s="473"/>
      <c r="L673" s="466"/>
      <c r="M673" s="466"/>
      <c r="N673" s="466"/>
      <c r="O673" s="466"/>
      <c r="P673" s="466"/>
      <c r="Q673" s="491"/>
    </row>
    <row r="674" spans="1:17" x14ac:dyDescent="0.2">
      <c r="A674" s="224">
        <f>A672+1</f>
        <v>19</v>
      </c>
      <c r="C674" s="221" t="s">
        <v>196</v>
      </c>
      <c r="D674" s="527"/>
      <c r="E674" s="473"/>
      <c r="F674" s="473"/>
      <c r="G674" s="473"/>
      <c r="H674" s="473"/>
      <c r="I674" s="473"/>
      <c r="J674" s="473"/>
      <c r="K674" s="473"/>
      <c r="L674" s="466"/>
      <c r="M674" s="466"/>
      <c r="N674" s="466"/>
      <c r="O674" s="466"/>
      <c r="P674" s="466"/>
      <c r="Q674" s="491"/>
    </row>
    <row r="675" spans="1:17" x14ac:dyDescent="0.2">
      <c r="A675" s="224">
        <f>A674+1</f>
        <v>20</v>
      </c>
      <c r="C675" s="242" t="s">
        <v>214</v>
      </c>
      <c r="D675" s="793">
        <f>Input!N30</f>
        <v>1.6E-2</v>
      </c>
      <c r="E675" s="434">
        <f t="shared" ref="E675:P675" si="223">ROUND(E660*$D$675,2)</f>
        <v>10571.84</v>
      </c>
      <c r="F675" s="434">
        <f t="shared" si="223"/>
        <v>10480.969999999999</v>
      </c>
      <c r="G675" s="434">
        <f t="shared" si="223"/>
        <v>7309.56</v>
      </c>
      <c r="H675" s="434">
        <f t="shared" si="223"/>
        <v>4436.83</v>
      </c>
      <c r="I675" s="434">
        <f t="shared" si="223"/>
        <v>2151.6799999999998</v>
      </c>
      <c r="J675" s="434">
        <f t="shared" si="223"/>
        <v>1291.49</v>
      </c>
      <c r="K675" s="434">
        <f t="shared" si="223"/>
        <v>907.66</v>
      </c>
      <c r="L675" s="434">
        <f t="shared" si="223"/>
        <v>844.57</v>
      </c>
      <c r="M675" s="434">
        <f t="shared" si="223"/>
        <v>828.82</v>
      </c>
      <c r="N675" s="434">
        <f t="shared" si="223"/>
        <v>1234.31</v>
      </c>
      <c r="O675" s="434">
        <f t="shared" si="223"/>
        <v>2736.57</v>
      </c>
      <c r="P675" s="434">
        <f t="shared" si="223"/>
        <v>6777.13</v>
      </c>
      <c r="Q675" s="434">
        <f>SUM(E675:P675)</f>
        <v>49571.429999999993</v>
      </c>
    </row>
    <row r="676" spans="1:17" x14ac:dyDescent="0.2">
      <c r="E676" s="466"/>
      <c r="F676" s="466"/>
      <c r="G676" s="466"/>
      <c r="H676" s="466"/>
      <c r="I676" s="466"/>
      <c r="J676" s="466"/>
      <c r="K676" s="466"/>
      <c r="L676" s="466"/>
      <c r="M676" s="466"/>
      <c r="N676" s="466"/>
      <c r="O676" s="466"/>
      <c r="P676" s="466"/>
      <c r="Q676" s="466"/>
    </row>
    <row r="677" spans="1:17" ht="10.8" thickBot="1" x14ac:dyDescent="0.25">
      <c r="A677" s="495">
        <f>A675+1</f>
        <v>21</v>
      </c>
      <c r="B677" s="496"/>
      <c r="C677" s="497" t="s">
        <v>205</v>
      </c>
      <c r="D677" s="498"/>
      <c r="E677" s="499">
        <f>E672+E675</f>
        <v>3216223.76</v>
      </c>
      <c r="F677" s="499">
        <f t="shared" ref="F677:P677" si="224">F672+F675</f>
        <v>3203952.22</v>
      </c>
      <c r="G677" s="499">
        <f t="shared" si="224"/>
        <v>2385593.36</v>
      </c>
      <c r="H677" s="499">
        <f t="shared" si="224"/>
        <v>1632590.29</v>
      </c>
      <c r="I677" s="499">
        <f t="shared" si="224"/>
        <v>1022966.7100000001</v>
      </c>
      <c r="J677" s="499">
        <f t="shared" si="224"/>
        <v>790995.62999999989</v>
      </c>
      <c r="K677" s="499">
        <f t="shared" si="224"/>
        <v>690504.01000000013</v>
      </c>
      <c r="L677" s="499">
        <f t="shared" si="224"/>
        <v>673203.80999999994</v>
      </c>
      <c r="M677" s="499">
        <f t="shared" si="224"/>
        <v>667921.06999999995</v>
      </c>
      <c r="N677" s="499">
        <f t="shared" si="224"/>
        <v>777022.43000000017</v>
      </c>
      <c r="O677" s="499">
        <f t="shared" si="224"/>
        <v>1180314.3500000001</v>
      </c>
      <c r="P677" s="499">
        <f t="shared" si="224"/>
        <v>2238054.42</v>
      </c>
      <c r="Q677" s="499">
        <f>SUM(E677:P677)</f>
        <v>18479342.059999999</v>
      </c>
    </row>
    <row r="678" spans="1:17" ht="10.8" thickTop="1" x14ac:dyDescent="0.2">
      <c r="Q678" s="419"/>
    </row>
    <row r="680" spans="1:17" x14ac:dyDescent="0.2">
      <c r="A680" s="224" t="str">
        <f>$A$270</f>
        <v>[1] Reflects Normalized Volumes.</v>
      </c>
    </row>
    <row r="681" spans="1:17" x14ac:dyDescent="0.2">
      <c r="A681" s="224" t="str">
        <f>"[2] Reflects Gas Cost Adjustment Rate"&amp;CONCATENATE(" as of ",EGCDATE)&amp;"."</f>
        <v>[2] Reflects Gas Cost Adjustment Rate as of March 1, 2016.</v>
      </c>
    </row>
    <row r="682" spans="1:17" x14ac:dyDescent="0.2">
      <c r="A682" s="887" t="str">
        <f>CONAME</f>
        <v>Columbia Gas of Kentucky, Inc.</v>
      </c>
      <c r="B682" s="887"/>
      <c r="C682" s="887"/>
      <c r="D682" s="887"/>
      <c r="E682" s="887"/>
      <c r="F682" s="887"/>
      <c r="G682" s="887"/>
      <c r="H682" s="887"/>
      <c r="I682" s="887"/>
      <c r="J682" s="887"/>
      <c r="K682" s="887"/>
      <c r="L682" s="887"/>
      <c r="M682" s="887"/>
      <c r="N682" s="887"/>
      <c r="O682" s="887"/>
      <c r="P682" s="887"/>
      <c r="Q682" s="887"/>
    </row>
    <row r="683" spans="1:17" x14ac:dyDescent="0.2">
      <c r="A683" s="875" t="str">
        <f>case</f>
        <v>Case No. 2016-00162</v>
      </c>
      <c r="B683" s="875"/>
      <c r="C683" s="875"/>
      <c r="D683" s="875"/>
      <c r="E683" s="875"/>
      <c r="F683" s="875"/>
      <c r="G683" s="875"/>
      <c r="H683" s="875"/>
      <c r="I683" s="875"/>
      <c r="J683" s="875"/>
      <c r="K683" s="875"/>
      <c r="L683" s="875"/>
      <c r="M683" s="875"/>
      <c r="N683" s="875"/>
      <c r="O683" s="875"/>
      <c r="P683" s="875"/>
      <c r="Q683" s="875"/>
    </row>
    <row r="684" spans="1:17" x14ac:dyDescent="0.2">
      <c r="A684" s="888" t="s">
        <v>503</v>
      </c>
      <c r="B684" s="888"/>
      <c r="C684" s="888"/>
      <c r="D684" s="888"/>
      <c r="E684" s="888"/>
      <c r="F684" s="888"/>
      <c r="G684" s="888"/>
      <c r="H684" s="888"/>
      <c r="I684" s="888"/>
      <c r="J684" s="888"/>
      <c r="K684" s="888"/>
      <c r="L684" s="888"/>
      <c r="M684" s="888"/>
      <c r="N684" s="888"/>
      <c r="O684" s="888"/>
      <c r="P684" s="888"/>
      <c r="Q684" s="888"/>
    </row>
    <row r="685" spans="1:17" x14ac:dyDescent="0.2">
      <c r="A685" s="887" t="str">
        <f>TYDESC</f>
        <v>For the 12 Months Ended December 31, 2017</v>
      </c>
      <c r="B685" s="887"/>
      <c r="C685" s="887"/>
      <c r="D685" s="887"/>
      <c r="E685" s="887"/>
      <c r="F685" s="887"/>
      <c r="G685" s="887"/>
      <c r="H685" s="887"/>
      <c r="I685" s="887"/>
      <c r="J685" s="887"/>
      <c r="K685" s="887"/>
      <c r="L685" s="887"/>
      <c r="M685" s="887"/>
      <c r="N685" s="887"/>
      <c r="O685" s="887"/>
      <c r="P685" s="887"/>
      <c r="Q685" s="887"/>
    </row>
    <row r="686" spans="1:17" x14ac:dyDescent="0.2">
      <c r="A686" s="885" t="s">
        <v>39</v>
      </c>
      <c r="B686" s="885"/>
      <c r="C686" s="885"/>
      <c r="D686" s="885"/>
      <c r="E686" s="885"/>
      <c r="F686" s="885"/>
      <c r="G686" s="885"/>
      <c r="H686" s="885"/>
      <c r="I686" s="885"/>
      <c r="J686" s="885"/>
      <c r="K686" s="885"/>
      <c r="L686" s="885"/>
      <c r="M686" s="885"/>
      <c r="N686" s="885"/>
      <c r="O686" s="885"/>
      <c r="P686" s="885"/>
      <c r="Q686" s="885"/>
    </row>
    <row r="687" spans="1:17" x14ac:dyDescent="0.2">
      <c r="A687" s="266" t="str">
        <f>$A$52</f>
        <v>Data: __ Base Period _X_ Forecasted Period</v>
      </c>
    </row>
    <row r="688" spans="1:17" x14ac:dyDescent="0.2">
      <c r="A688" s="266" t="str">
        <f>$A$53</f>
        <v>Type of Filing: X Original _ Update _ Revised</v>
      </c>
      <c r="Q688" s="420" t="str">
        <f>$Q$53</f>
        <v>Schedule M-2.2</v>
      </c>
    </row>
    <row r="689" spans="1:17" x14ac:dyDescent="0.2">
      <c r="A689" s="266" t="str">
        <f>$A$54</f>
        <v>Work Paper Reference No(s):</v>
      </c>
      <c r="Q689" s="420" t="s">
        <v>521</v>
      </c>
    </row>
    <row r="690" spans="1:17" x14ac:dyDescent="0.2">
      <c r="A690" s="421" t="str">
        <f>$A$55</f>
        <v>12 Months Forecasted</v>
      </c>
      <c r="Q690" s="420" t="str">
        <f>Witness</f>
        <v>Witness:  M. J. Bell</v>
      </c>
    </row>
    <row r="691" spans="1:17" x14ac:dyDescent="0.2">
      <c r="A691" s="886" t="s">
        <v>194</v>
      </c>
      <c r="B691" s="886"/>
      <c r="C691" s="886"/>
      <c r="D691" s="886"/>
      <c r="E691" s="886"/>
      <c r="F691" s="886"/>
      <c r="G691" s="886"/>
      <c r="H691" s="886"/>
      <c r="I691" s="886"/>
      <c r="J691" s="886"/>
      <c r="K691" s="886"/>
      <c r="L691" s="886"/>
      <c r="M691" s="886"/>
      <c r="N691" s="886"/>
      <c r="O691" s="886"/>
      <c r="P691" s="886"/>
      <c r="Q691" s="886"/>
    </row>
    <row r="692" spans="1:17" x14ac:dyDescent="0.2">
      <c r="A692" s="440"/>
      <c r="B692" s="305"/>
      <c r="C692" s="305"/>
      <c r="D692" s="304"/>
      <c r="E692" s="305"/>
      <c r="F692" s="422"/>
      <c r="G692" s="442"/>
      <c r="H692" s="422"/>
      <c r="I692" s="443"/>
      <c r="J692" s="422"/>
      <c r="K692" s="422"/>
      <c r="L692" s="422"/>
      <c r="M692" s="422"/>
      <c r="N692" s="422"/>
      <c r="O692" s="422"/>
      <c r="P692" s="422"/>
      <c r="Q692" s="305"/>
    </row>
    <row r="693" spans="1:17" x14ac:dyDescent="0.2">
      <c r="A693" s="416" t="s">
        <v>1</v>
      </c>
      <c r="B693" s="226" t="s">
        <v>0</v>
      </c>
      <c r="C693" s="226" t="s">
        <v>41</v>
      </c>
      <c r="D693" s="423" t="s">
        <v>47</v>
      </c>
      <c r="E693" s="226"/>
      <c r="F693" s="424"/>
      <c r="G693" s="425"/>
      <c r="H693" s="424"/>
      <c r="I693" s="426"/>
      <c r="J693" s="424"/>
      <c r="K693" s="424"/>
      <c r="L693" s="424"/>
      <c r="M693" s="424"/>
      <c r="N693" s="424"/>
      <c r="O693" s="424"/>
      <c r="P693" s="424"/>
      <c r="Q693" s="231"/>
    </row>
    <row r="694" spans="1:17" x14ac:dyDescent="0.2">
      <c r="A694" s="285" t="s">
        <v>3</v>
      </c>
      <c r="B694" s="228" t="s">
        <v>40</v>
      </c>
      <c r="C694" s="228" t="s">
        <v>4</v>
      </c>
      <c r="D694" s="427" t="s">
        <v>48</v>
      </c>
      <c r="E694" s="428" t="str">
        <f>B!$D$11</f>
        <v>Jan-17</v>
      </c>
      <c r="F694" s="428" t="str">
        <f>B!$E$11</f>
        <v>Feb-17</v>
      </c>
      <c r="G694" s="428" t="str">
        <f>B!$F$11</f>
        <v>Mar-17</v>
      </c>
      <c r="H694" s="428" t="str">
        <f>B!$G$11</f>
        <v>Apr-17</v>
      </c>
      <c r="I694" s="428" t="str">
        <f>B!$H$11</f>
        <v>May-17</v>
      </c>
      <c r="J694" s="428" t="str">
        <f>B!$I$11</f>
        <v>Jun-17</v>
      </c>
      <c r="K694" s="428" t="str">
        <f>B!$J$11</f>
        <v>Jul-17</v>
      </c>
      <c r="L694" s="428" t="str">
        <f>B!$K$11</f>
        <v>Aug-17</v>
      </c>
      <c r="M694" s="428" t="str">
        <f>B!$L$11</f>
        <v>Sep-17</v>
      </c>
      <c r="N694" s="428" t="str">
        <f>B!$M$11</f>
        <v>Oct-17</v>
      </c>
      <c r="O694" s="428" t="str">
        <f>B!$N$11</f>
        <v>Nov-17</v>
      </c>
      <c r="P694" s="428" t="str">
        <f>B!$O$11</f>
        <v>Dec-17</v>
      </c>
      <c r="Q694" s="429" t="s">
        <v>9</v>
      </c>
    </row>
    <row r="695" spans="1:17" x14ac:dyDescent="0.2">
      <c r="A695" s="416"/>
      <c r="B695" s="231" t="s">
        <v>42</v>
      </c>
      <c r="C695" s="231" t="s">
        <v>43</v>
      </c>
      <c r="D695" s="430" t="s">
        <v>45</v>
      </c>
      <c r="E695" s="431" t="s">
        <v>46</v>
      </c>
      <c r="F695" s="431" t="s">
        <v>49</v>
      </c>
      <c r="G695" s="431" t="s">
        <v>50</v>
      </c>
      <c r="H695" s="431" t="s">
        <v>51</v>
      </c>
      <c r="I695" s="431" t="s">
        <v>52</v>
      </c>
      <c r="J695" s="431" t="s">
        <v>53</v>
      </c>
      <c r="K695" s="432" t="s">
        <v>54</v>
      </c>
      <c r="L695" s="432" t="s">
        <v>55</v>
      </c>
      <c r="M695" s="432" t="s">
        <v>56</v>
      </c>
      <c r="N695" s="432" t="s">
        <v>57</v>
      </c>
      <c r="O695" s="432" t="s">
        <v>58</v>
      </c>
      <c r="P695" s="432" t="s">
        <v>59</v>
      </c>
      <c r="Q695" s="432" t="s">
        <v>203</v>
      </c>
    </row>
    <row r="696" spans="1:17" x14ac:dyDescent="0.2">
      <c r="E696" s="231"/>
      <c r="F696" s="432"/>
      <c r="G696" s="444"/>
      <c r="H696" s="432"/>
      <c r="I696" s="431"/>
      <c r="J696" s="432"/>
      <c r="K696" s="432"/>
      <c r="L696" s="432"/>
      <c r="M696" s="432"/>
      <c r="N696" s="432"/>
      <c r="O696" s="432"/>
      <c r="P696" s="432"/>
      <c r="Q696" s="231"/>
    </row>
    <row r="697" spans="1:17" x14ac:dyDescent="0.2">
      <c r="A697" s="224">
        <v>1</v>
      </c>
      <c r="B697" s="221" t="str">
        <f>B185</f>
        <v>GSO</v>
      </c>
      <c r="C697" s="221" t="str">
        <f>C185</f>
        <v>General Service - Industrial</v>
      </c>
    </row>
    <row r="699" spans="1:17" x14ac:dyDescent="0.2">
      <c r="A699" s="224">
        <f>A697+1</f>
        <v>2</v>
      </c>
      <c r="C699" s="225" t="s">
        <v>112</v>
      </c>
    </row>
    <row r="700" spans="1:17" x14ac:dyDescent="0.2">
      <c r="C700" s="225"/>
    </row>
    <row r="701" spans="1:17" x14ac:dyDescent="0.2">
      <c r="A701" s="224">
        <f>A699+1</f>
        <v>3</v>
      </c>
      <c r="C701" s="221" t="s">
        <v>202</v>
      </c>
      <c r="E701" s="479">
        <f>B!D87</f>
        <v>43</v>
      </c>
      <c r="F701" s="479">
        <f>B!E87</f>
        <v>43</v>
      </c>
      <c r="G701" s="479">
        <f>B!F87</f>
        <v>43</v>
      </c>
      <c r="H701" s="479">
        <f>B!G87</f>
        <v>43</v>
      </c>
      <c r="I701" s="479">
        <f>B!H87</f>
        <v>43</v>
      </c>
      <c r="J701" s="479">
        <f>B!I87</f>
        <v>44</v>
      </c>
      <c r="K701" s="479">
        <f>B!J87</f>
        <v>44</v>
      </c>
      <c r="L701" s="479">
        <f>B!K87</f>
        <v>45</v>
      </c>
      <c r="M701" s="479">
        <f>B!L87</f>
        <v>44</v>
      </c>
      <c r="N701" s="479">
        <f>B!M87</f>
        <v>44</v>
      </c>
      <c r="O701" s="479">
        <f>B!N87</f>
        <v>44</v>
      </c>
      <c r="P701" s="479">
        <f>B!O87</f>
        <v>44</v>
      </c>
      <c r="Q701" s="480">
        <f>SUM(E701:P701)</f>
        <v>524</v>
      </c>
    </row>
    <row r="702" spans="1:17" x14ac:dyDescent="0.2">
      <c r="A702" s="224">
        <f>A701+1</f>
        <v>4</v>
      </c>
      <c r="C702" s="221" t="s">
        <v>210</v>
      </c>
      <c r="D702" s="792">
        <f>Input!H31</f>
        <v>37.5</v>
      </c>
      <c r="E702" s="434">
        <f t="shared" ref="E702:P702" si="225">ROUND(E701*$D$702,2)</f>
        <v>1612.5</v>
      </c>
      <c r="F702" s="434">
        <f t="shared" si="225"/>
        <v>1612.5</v>
      </c>
      <c r="G702" s="434">
        <f t="shared" si="225"/>
        <v>1612.5</v>
      </c>
      <c r="H702" s="434">
        <f t="shared" si="225"/>
        <v>1612.5</v>
      </c>
      <c r="I702" s="434">
        <f t="shared" si="225"/>
        <v>1612.5</v>
      </c>
      <c r="J702" s="434">
        <f t="shared" si="225"/>
        <v>1650</v>
      </c>
      <c r="K702" s="434">
        <f t="shared" si="225"/>
        <v>1650</v>
      </c>
      <c r="L702" s="434">
        <f t="shared" si="225"/>
        <v>1687.5</v>
      </c>
      <c r="M702" s="434">
        <f t="shared" si="225"/>
        <v>1650</v>
      </c>
      <c r="N702" s="434">
        <f t="shared" si="225"/>
        <v>1650</v>
      </c>
      <c r="O702" s="434">
        <f t="shared" si="225"/>
        <v>1650</v>
      </c>
      <c r="P702" s="434">
        <f t="shared" si="225"/>
        <v>1650</v>
      </c>
      <c r="Q702" s="434">
        <f>SUM(E702:P702)</f>
        <v>19650</v>
      </c>
    </row>
    <row r="703" spans="1:17" x14ac:dyDescent="0.2">
      <c r="A703" s="224">
        <f>A702+1</f>
        <v>5</v>
      </c>
      <c r="C703" s="221" t="s">
        <v>211</v>
      </c>
      <c r="D703" s="792">
        <f>Input!J31</f>
        <v>8.02</v>
      </c>
      <c r="E703" s="434">
        <f t="shared" ref="E703:P703" si="226">ROUND(E701*$D$703,2)</f>
        <v>344.86</v>
      </c>
      <c r="F703" s="434">
        <f t="shared" si="226"/>
        <v>344.86</v>
      </c>
      <c r="G703" s="434">
        <f t="shared" si="226"/>
        <v>344.86</v>
      </c>
      <c r="H703" s="434">
        <f t="shared" si="226"/>
        <v>344.86</v>
      </c>
      <c r="I703" s="434">
        <f t="shared" si="226"/>
        <v>344.86</v>
      </c>
      <c r="J703" s="434">
        <f t="shared" si="226"/>
        <v>352.88</v>
      </c>
      <c r="K703" s="434">
        <f t="shared" si="226"/>
        <v>352.88</v>
      </c>
      <c r="L703" s="434">
        <f t="shared" si="226"/>
        <v>360.9</v>
      </c>
      <c r="M703" s="434">
        <f t="shared" si="226"/>
        <v>352.88</v>
      </c>
      <c r="N703" s="434">
        <f t="shared" si="226"/>
        <v>352.88</v>
      </c>
      <c r="O703" s="434">
        <f t="shared" si="226"/>
        <v>352.88</v>
      </c>
      <c r="P703" s="434">
        <f t="shared" si="226"/>
        <v>352.88</v>
      </c>
      <c r="Q703" s="434">
        <f>SUM(E703:P703)</f>
        <v>4202.4800000000005</v>
      </c>
    </row>
    <row r="704" spans="1:17" x14ac:dyDescent="0.2">
      <c r="D704" s="738"/>
      <c r="E704" s="224"/>
      <c r="F704" s="292"/>
      <c r="G704" s="476"/>
      <c r="H704" s="292"/>
      <c r="I704" s="297"/>
      <c r="J704" s="292"/>
      <c r="K704" s="292"/>
    </row>
    <row r="705" spans="1:17" x14ac:dyDescent="0.2">
      <c r="A705" s="224">
        <f>A703+1</f>
        <v>6</v>
      </c>
      <c r="C705" s="221" t="s">
        <v>209</v>
      </c>
      <c r="D705" s="738"/>
      <c r="E705" s="521"/>
      <c r="F705" s="292"/>
      <c r="G705" s="476"/>
      <c r="H705" s="292"/>
      <c r="I705" s="297"/>
      <c r="J705" s="292"/>
      <c r="K705" s="292"/>
    </row>
    <row r="706" spans="1:17" x14ac:dyDescent="0.2">
      <c r="A706" s="224">
        <f>A705+1</f>
        <v>7</v>
      </c>
      <c r="C706" s="221" t="str">
        <f>'C'!B113</f>
        <v xml:space="preserve">    First 50 Mcf</v>
      </c>
      <c r="D706" s="738"/>
      <c r="E706" s="483">
        <f>'C'!D125</f>
        <v>1708.9</v>
      </c>
      <c r="F706" s="483">
        <f>'C'!E125</f>
        <v>1701.3</v>
      </c>
      <c r="G706" s="483">
        <f>'C'!F125</f>
        <v>1750.8</v>
      </c>
      <c r="H706" s="483">
        <f>'C'!G125</f>
        <v>1513.3</v>
      </c>
      <c r="I706" s="483">
        <f>'C'!H125</f>
        <v>1170.7</v>
      </c>
      <c r="J706" s="483">
        <f>'C'!I125</f>
        <v>916.7</v>
      </c>
      <c r="K706" s="483">
        <f>'C'!J125</f>
        <v>785.3</v>
      </c>
      <c r="L706" s="483">
        <f>'C'!K125</f>
        <v>882.2</v>
      </c>
      <c r="M706" s="483">
        <f>'C'!L125</f>
        <v>940.1</v>
      </c>
      <c r="N706" s="483">
        <f>'C'!M125</f>
        <v>1050</v>
      </c>
      <c r="O706" s="483">
        <f>'C'!N125</f>
        <v>1434.4</v>
      </c>
      <c r="P706" s="483">
        <f>'C'!O125</f>
        <v>1636.5</v>
      </c>
      <c r="Q706" s="484">
        <f>SUM(E706:P706)</f>
        <v>15490.2</v>
      </c>
    </row>
    <row r="707" spans="1:17" x14ac:dyDescent="0.2">
      <c r="A707" s="224">
        <f>A706+1</f>
        <v>8</v>
      </c>
      <c r="C707" s="221" t="str">
        <f>'C'!B114</f>
        <v xml:space="preserve">    Next 350 Mcf</v>
      </c>
      <c r="D707" s="738"/>
      <c r="E707" s="483">
        <f>'C'!D126</f>
        <v>7148.9</v>
      </c>
      <c r="F707" s="483">
        <f>'C'!E126</f>
        <v>6006.8</v>
      </c>
      <c r="G707" s="483">
        <f>'C'!F126</f>
        <v>6156.4</v>
      </c>
      <c r="H707" s="483">
        <f>'C'!G126</f>
        <v>6215.5</v>
      </c>
      <c r="I707" s="483">
        <f>'C'!H126</f>
        <v>4577.2</v>
      </c>
      <c r="J707" s="483">
        <f>'C'!I126</f>
        <v>4111.5</v>
      </c>
      <c r="K707" s="483">
        <f>'C'!J126</f>
        <v>4287.7</v>
      </c>
      <c r="L707" s="483">
        <f>'C'!K126</f>
        <v>4689.2</v>
      </c>
      <c r="M707" s="483">
        <f>'C'!L126</f>
        <v>4390.5</v>
      </c>
      <c r="N707" s="483">
        <f>'C'!M126</f>
        <v>4922.5</v>
      </c>
      <c r="O707" s="483">
        <f>'C'!N126</f>
        <v>5568</v>
      </c>
      <c r="P707" s="483">
        <f>'C'!O126</f>
        <v>5921.9</v>
      </c>
      <c r="Q707" s="484">
        <f>SUM(E707:P707)</f>
        <v>63996.1</v>
      </c>
    </row>
    <row r="708" spans="1:17" x14ac:dyDescent="0.2">
      <c r="A708" s="224">
        <f>A707+1</f>
        <v>9</v>
      </c>
      <c r="C708" s="221" t="str">
        <f>'C'!B115</f>
        <v xml:space="preserve">    Next 600 Mcf</v>
      </c>
      <c r="D708" s="738"/>
      <c r="E708" s="483">
        <f>'C'!D127</f>
        <v>5057.5</v>
      </c>
      <c r="F708" s="483">
        <f>'C'!E127</f>
        <v>5060.1000000000004</v>
      </c>
      <c r="G708" s="483">
        <f>'C'!F127</f>
        <v>5050.7</v>
      </c>
      <c r="H708" s="483">
        <f>'C'!G127</f>
        <v>4677.8999999999996</v>
      </c>
      <c r="I708" s="483">
        <f>'C'!H127</f>
        <v>4645.7</v>
      </c>
      <c r="J708" s="483">
        <f>'C'!I127</f>
        <v>4385</v>
      </c>
      <c r="K708" s="483">
        <f>'C'!J127</f>
        <v>4760.5</v>
      </c>
      <c r="L708" s="483">
        <f>'C'!K127</f>
        <v>5222.2</v>
      </c>
      <c r="M708" s="483">
        <f>'C'!L127</f>
        <v>5369</v>
      </c>
      <c r="N708" s="483">
        <f>'C'!M127</f>
        <v>5769.7</v>
      </c>
      <c r="O708" s="483">
        <f>'C'!N127</f>
        <v>4707.2</v>
      </c>
      <c r="P708" s="483">
        <f>'C'!O127</f>
        <v>4633.3999999999996</v>
      </c>
      <c r="Q708" s="484">
        <f>SUM(E708:P708)</f>
        <v>59338.899999999987</v>
      </c>
    </row>
    <row r="709" spans="1:17" x14ac:dyDescent="0.2">
      <c r="A709" s="224">
        <f>A708+1</f>
        <v>10</v>
      </c>
      <c r="C709" s="221" t="str">
        <f>'C'!B116</f>
        <v xml:space="preserve">    Over 1,000 Mcf</v>
      </c>
      <c r="D709" s="738"/>
      <c r="E709" s="522">
        <f>'C'!D128</f>
        <v>19084.900000000001</v>
      </c>
      <c r="F709" s="522">
        <f>'C'!E128</f>
        <v>19231.7</v>
      </c>
      <c r="G709" s="522">
        <f>'C'!F128</f>
        <v>17942.099999999999</v>
      </c>
      <c r="H709" s="522">
        <f>'C'!G128</f>
        <v>17393.2</v>
      </c>
      <c r="I709" s="522">
        <f>'C'!H128</f>
        <v>18406.7</v>
      </c>
      <c r="J709" s="522">
        <f>'C'!I128</f>
        <v>18336.7</v>
      </c>
      <c r="K709" s="522">
        <f>'C'!J128</f>
        <v>17916.400000000001</v>
      </c>
      <c r="L709" s="522">
        <f>'C'!K128</f>
        <v>17956.599999999999</v>
      </c>
      <c r="M709" s="522">
        <f>'C'!L128</f>
        <v>18050.599999999999</v>
      </c>
      <c r="N709" s="522">
        <f>'C'!M128</f>
        <v>19107.7</v>
      </c>
      <c r="O709" s="522">
        <f>'C'!N128</f>
        <v>19190.400000000001</v>
      </c>
      <c r="P709" s="522">
        <f>'C'!O128</f>
        <v>18808.3</v>
      </c>
      <c r="Q709" s="522">
        <f>SUM(E709:P709)</f>
        <v>221425.30000000002</v>
      </c>
    </row>
    <row r="710" spans="1:17" x14ac:dyDescent="0.2">
      <c r="D710" s="738"/>
      <c r="E710" s="483">
        <f t="shared" ref="E710:O710" si="227">SUM(E706:E709)</f>
        <v>33000.199999999997</v>
      </c>
      <c r="F710" s="483">
        <f t="shared" si="227"/>
        <v>31999.9</v>
      </c>
      <c r="G710" s="483">
        <f t="shared" si="227"/>
        <v>30900</v>
      </c>
      <c r="H710" s="483">
        <f t="shared" si="227"/>
        <v>29799.9</v>
      </c>
      <c r="I710" s="483">
        <f t="shared" si="227"/>
        <v>28800.3</v>
      </c>
      <c r="J710" s="483">
        <f t="shared" si="227"/>
        <v>27749.9</v>
      </c>
      <c r="K710" s="483">
        <f t="shared" si="227"/>
        <v>27749.9</v>
      </c>
      <c r="L710" s="483">
        <f t="shared" si="227"/>
        <v>28750.199999999997</v>
      </c>
      <c r="M710" s="483">
        <f t="shared" si="227"/>
        <v>28750.199999999997</v>
      </c>
      <c r="N710" s="483">
        <f t="shared" si="227"/>
        <v>30849.9</v>
      </c>
      <c r="O710" s="483">
        <f t="shared" si="227"/>
        <v>30900</v>
      </c>
      <c r="P710" s="483">
        <f>SUM(P706:P709)</f>
        <v>31000.1</v>
      </c>
      <c r="Q710" s="483">
        <f>SUM(E710:P710)</f>
        <v>360250.5</v>
      </c>
    </row>
    <row r="711" spans="1:17" x14ac:dyDescent="0.2">
      <c r="A711" s="224">
        <f>A709+1</f>
        <v>11</v>
      </c>
      <c r="C711" s="221" t="s">
        <v>207</v>
      </c>
      <c r="D711" s="738"/>
      <c r="E711" s="224"/>
      <c r="F711" s="292"/>
      <c r="G711" s="476"/>
      <c r="H711" s="292"/>
      <c r="I711" s="297"/>
      <c r="J711" s="292"/>
      <c r="K711" s="292"/>
      <c r="Q711" s="524"/>
    </row>
    <row r="712" spans="1:17" x14ac:dyDescent="0.2">
      <c r="A712" s="224">
        <f>A711+1</f>
        <v>12</v>
      </c>
      <c r="C712" s="221" t="str">
        <f>C706</f>
        <v xml:space="preserve">    First 50 Mcf</v>
      </c>
      <c r="D712" s="793">
        <f>Input!C31</f>
        <v>2.2665999999999999</v>
      </c>
      <c r="E712" s="434">
        <f t="shared" ref="E712:P712" si="228">ROUND(E706*$D$712,2)</f>
        <v>3873.39</v>
      </c>
      <c r="F712" s="434">
        <f t="shared" si="228"/>
        <v>3856.17</v>
      </c>
      <c r="G712" s="434">
        <f t="shared" si="228"/>
        <v>3968.36</v>
      </c>
      <c r="H712" s="434">
        <f t="shared" si="228"/>
        <v>3430.05</v>
      </c>
      <c r="I712" s="434">
        <f t="shared" si="228"/>
        <v>2653.51</v>
      </c>
      <c r="J712" s="434">
        <f t="shared" si="228"/>
        <v>2077.79</v>
      </c>
      <c r="K712" s="434">
        <f t="shared" si="228"/>
        <v>1779.96</v>
      </c>
      <c r="L712" s="434">
        <f t="shared" si="228"/>
        <v>1999.59</v>
      </c>
      <c r="M712" s="434">
        <f t="shared" si="228"/>
        <v>2130.83</v>
      </c>
      <c r="N712" s="434">
        <f t="shared" si="228"/>
        <v>2379.9299999999998</v>
      </c>
      <c r="O712" s="434">
        <f t="shared" si="228"/>
        <v>3251.21</v>
      </c>
      <c r="P712" s="434">
        <f t="shared" si="228"/>
        <v>3709.29</v>
      </c>
      <c r="Q712" s="434">
        <f>SUM(E712:P712)</f>
        <v>35110.080000000002</v>
      </c>
    </row>
    <row r="713" spans="1:17" x14ac:dyDescent="0.2">
      <c r="A713" s="224">
        <f>A712+1</f>
        <v>13</v>
      </c>
      <c r="C713" s="221" t="str">
        <f>C707</f>
        <v xml:space="preserve">    Next 350 Mcf</v>
      </c>
      <c r="D713" s="793">
        <f>Input!D31</f>
        <v>1.752</v>
      </c>
      <c r="E713" s="479">
        <f t="shared" ref="E713:P713" si="229">ROUND(E707*$D$713,2)</f>
        <v>12524.87</v>
      </c>
      <c r="F713" s="479">
        <f t="shared" si="229"/>
        <v>10523.91</v>
      </c>
      <c r="G713" s="479">
        <f t="shared" si="229"/>
        <v>10786.01</v>
      </c>
      <c r="H713" s="479">
        <f t="shared" si="229"/>
        <v>10889.56</v>
      </c>
      <c r="I713" s="479">
        <f t="shared" si="229"/>
        <v>8019.25</v>
      </c>
      <c r="J713" s="479">
        <f t="shared" si="229"/>
        <v>7203.35</v>
      </c>
      <c r="K713" s="479">
        <f t="shared" si="229"/>
        <v>7512.05</v>
      </c>
      <c r="L713" s="479">
        <f t="shared" si="229"/>
        <v>8215.48</v>
      </c>
      <c r="M713" s="479">
        <f t="shared" si="229"/>
        <v>7692.16</v>
      </c>
      <c r="N713" s="479">
        <f t="shared" si="229"/>
        <v>8624.2199999999993</v>
      </c>
      <c r="O713" s="479">
        <f t="shared" si="229"/>
        <v>9755.14</v>
      </c>
      <c r="P713" s="479">
        <f t="shared" si="229"/>
        <v>10375.17</v>
      </c>
      <c r="Q713" s="480">
        <f>SUM(E713:P713)</f>
        <v>112121.17</v>
      </c>
    </row>
    <row r="714" spans="1:17" x14ac:dyDescent="0.2">
      <c r="A714" s="224">
        <f>A713+1</f>
        <v>14</v>
      </c>
      <c r="C714" s="221" t="str">
        <f>C708</f>
        <v xml:space="preserve">    Next 600 Mcf</v>
      </c>
      <c r="D714" s="793">
        <f>Input!E31</f>
        <v>1.6658999999999999</v>
      </c>
      <c r="E714" s="479">
        <f t="shared" ref="E714:P714" si="230">ROUND(E708*$D$714,2)</f>
        <v>8425.2900000000009</v>
      </c>
      <c r="F714" s="479">
        <f t="shared" si="230"/>
        <v>8429.6200000000008</v>
      </c>
      <c r="G714" s="479">
        <f t="shared" si="230"/>
        <v>8413.9599999999991</v>
      </c>
      <c r="H714" s="479">
        <f t="shared" si="230"/>
        <v>7792.91</v>
      </c>
      <c r="I714" s="479">
        <f t="shared" si="230"/>
        <v>7739.27</v>
      </c>
      <c r="J714" s="479">
        <f t="shared" si="230"/>
        <v>7304.97</v>
      </c>
      <c r="K714" s="479">
        <f t="shared" si="230"/>
        <v>7930.52</v>
      </c>
      <c r="L714" s="479">
        <f t="shared" si="230"/>
        <v>8699.66</v>
      </c>
      <c r="M714" s="479">
        <f t="shared" si="230"/>
        <v>8944.2199999999993</v>
      </c>
      <c r="N714" s="479">
        <f t="shared" si="230"/>
        <v>9611.74</v>
      </c>
      <c r="O714" s="479">
        <f t="shared" si="230"/>
        <v>7841.72</v>
      </c>
      <c r="P714" s="479">
        <f t="shared" si="230"/>
        <v>7718.78</v>
      </c>
      <c r="Q714" s="480">
        <f>SUM(E714:P714)</f>
        <v>98852.660000000018</v>
      </c>
    </row>
    <row r="715" spans="1:17" x14ac:dyDescent="0.2">
      <c r="A715" s="224">
        <f>A714+1</f>
        <v>15</v>
      </c>
      <c r="C715" s="221" t="str">
        <f>C709</f>
        <v xml:space="preserve">    Over 1,000 Mcf</v>
      </c>
      <c r="D715" s="793">
        <f>Input!F31</f>
        <v>1.5164</v>
      </c>
      <c r="E715" s="528">
        <f t="shared" ref="E715:P715" si="231">ROUND(E709*$D$715,2)</f>
        <v>28940.34</v>
      </c>
      <c r="F715" s="528">
        <f t="shared" si="231"/>
        <v>29162.95</v>
      </c>
      <c r="G715" s="528">
        <f t="shared" si="231"/>
        <v>27207.4</v>
      </c>
      <c r="H715" s="528">
        <f t="shared" si="231"/>
        <v>26375.05</v>
      </c>
      <c r="I715" s="528">
        <f t="shared" si="231"/>
        <v>27911.919999999998</v>
      </c>
      <c r="J715" s="528">
        <f t="shared" si="231"/>
        <v>27805.77</v>
      </c>
      <c r="K715" s="528">
        <f t="shared" si="231"/>
        <v>27168.43</v>
      </c>
      <c r="L715" s="528">
        <f t="shared" si="231"/>
        <v>27229.39</v>
      </c>
      <c r="M715" s="528">
        <f t="shared" si="231"/>
        <v>27371.93</v>
      </c>
      <c r="N715" s="528">
        <f t="shared" si="231"/>
        <v>28974.92</v>
      </c>
      <c r="O715" s="528">
        <f t="shared" si="231"/>
        <v>29100.32</v>
      </c>
      <c r="P715" s="528">
        <f t="shared" si="231"/>
        <v>28520.91</v>
      </c>
      <c r="Q715" s="529">
        <f>SUM(E715:P715)</f>
        <v>335769.32999999996</v>
      </c>
    </row>
    <row r="716" spans="1:17" x14ac:dyDescent="0.2">
      <c r="D716" s="738"/>
      <c r="E716" s="434">
        <f t="shared" ref="E716:O716" si="232">SUM(E712:E715)</f>
        <v>53763.89</v>
      </c>
      <c r="F716" s="434">
        <f t="shared" si="232"/>
        <v>51972.65</v>
      </c>
      <c r="G716" s="434">
        <f t="shared" si="232"/>
        <v>50375.73</v>
      </c>
      <c r="H716" s="434">
        <f t="shared" si="232"/>
        <v>48487.57</v>
      </c>
      <c r="I716" s="434">
        <f t="shared" si="232"/>
        <v>46323.95</v>
      </c>
      <c r="J716" s="434">
        <f t="shared" si="232"/>
        <v>44391.880000000005</v>
      </c>
      <c r="K716" s="434">
        <f t="shared" si="232"/>
        <v>44390.96</v>
      </c>
      <c r="L716" s="434">
        <f t="shared" si="232"/>
        <v>46144.119999999995</v>
      </c>
      <c r="M716" s="434">
        <f t="shared" si="232"/>
        <v>46139.14</v>
      </c>
      <c r="N716" s="434">
        <f t="shared" si="232"/>
        <v>49590.81</v>
      </c>
      <c r="O716" s="434">
        <f t="shared" si="232"/>
        <v>49948.39</v>
      </c>
      <c r="P716" s="434">
        <f>SUM(P712:P715)</f>
        <v>50324.149999999994</v>
      </c>
      <c r="Q716" s="434">
        <f>SUM(E716:P716)</f>
        <v>581853.24000000011</v>
      </c>
    </row>
    <row r="717" spans="1:17" x14ac:dyDescent="0.2">
      <c r="D717" s="738"/>
      <c r="E717" s="473"/>
      <c r="F717" s="473"/>
      <c r="G717" s="473"/>
      <c r="H717" s="473"/>
      <c r="I717" s="473"/>
      <c r="J717" s="473"/>
      <c r="K717" s="473"/>
      <c r="L717" s="473"/>
      <c r="M717" s="473"/>
      <c r="N717" s="473"/>
      <c r="O717" s="473"/>
      <c r="P717" s="473"/>
      <c r="Q717" s="473"/>
    </row>
    <row r="718" spans="1:17" x14ac:dyDescent="0.2">
      <c r="A718" s="224">
        <f>A715+1</f>
        <v>16</v>
      </c>
      <c r="C718" s="221" t="s">
        <v>204</v>
      </c>
      <c r="D718" s="738"/>
      <c r="E718" s="434">
        <f t="shared" ref="E718:O718" si="233">E702+E703+E716</f>
        <v>55721.25</v>
      </c>
      <c r="F718" s="434">
        <f t="shared" si="233"/>
        <v>53930.01</v>
      </c>
      <c r="G718" s="434">
        <f t="shared" si="233"/>
        <v>52333.090000000004</v>
      </c>
      <c r="H718" s="434">
        <f t="shared" si="233"/>
        <v>50444.93</v>
      </c>
      <c r="I718" s="434">
        <f t="shared" si="233"/>
        <v>48281.31</v>
      </c>
      <c r="J718" s="434">
        <f t="shared" si="233"/>
        <v>46394.76</v>
      </c>
      <c r="K718" s="434">
        <f t="shared" si="233"/>
        <v>46393.84</v>
      </c>
      <c r="L718" s="434">
        <f t="shared" si="233"/>
        <v>48192.52</v>
      </c>
      <c r="M718" s="434">
        <f t="shared" si="233"/>
        <v>48142.02</v>
      </c>
      <c r="N718" s="434">
        <f t="shared" si="233"/>
        <v>51593.689999999995</v>
      </c>
      <c r="O718" s="434">
        <f t="shared" si="233"/>
        <v>51951.27</v>
      </c>
      <c r="P718" s="434">
        <f>P702+P703+P716</f>
        <v>52327.029999999992</v>
      </c>
      <c r="Q718" s="434">
        <f>SUM(E718:P718)</f>
        <v>605705.72</v>
      </c>
    </row>
    <row r="719" spans="1:17" x14ac:dyDescent="0.2">
      <c r="D719" s="738"/>
      <c r="E719" s="473"/>
      <c r="F719" s="473"/>
      <c r="G719" s="473"/>
      <c r="H719" s="473"/>
      <c r="I719" s="473"/>
      <c r="J719" s="473"/>
      <c r="K719" s="473"/>
      <c r="L719" s="473"/>
      <c r="M719" s="473"/>
      <c r="N719" s="473"/>
      <c r="O719" s="473"/>
      <c r="P719" s="473"/>
      <c r="Q719" s="473"/>
    </row>
    <row r="720" spans="1:17" x14ac:dyDescent="0.2">
      <c r="A720" s="224">
        <f>A718+1</f>
        <v>17</v>
      </c>
      <c r="C720" s="221" t="s">
        <v>208</v>
      </c>
      <c r="D720" s="793">
        <f>EGC</f>
        <v>2.2090999999999998</v>
      </c>
      <c r="E720" s="434">
        <f t="shared" ref="E720:O720" si="234">ROUND(E710*$D$720,2)</f>
        <v>72900.740000000005</v>
      </c>
      <c r="F720" s="434">
        <f t="shared" si="234"/>
        <v>70690.98</v>
      </c>
      <c r="G720" s="434">
        <f t="shared" si="234"/>
        <v>68261.19</v>
      </c>
      <c r="H720" s="434">
        <f t="shared" si="234"/>
        <v>65830.960000000006</v>
      </c>
      <c r="I720" s="434">
        <f t="shared" si="234"/>
        <v>63622.74</v>
      </c>
      <c r="J720" s="434">
        <f t="shared" si="234"/>
        <v>61302.3</v>
      </c>
      <c r="K720" s="434">
        <f t="shared" si="234"/>
        <v>61302.3</v>
      </c>
      <c r="L720" s="434">
        <f t="shared" si="234"/>
        <v>63512.07</v>
      </c>
      <c r="M720" s="434">
        <f t="shared" si="234"/>
        <v>63512.07</v>
      </c>
      <c r="N720" s="434">
        <f t="shared" si="234"/>
        <v>68150.509999999995</v>
      </c>
      <c r="O720" s="434">
        <f t="shared" si="234"/>
        <v>68261.19</v>
      </c>
      <c r="P720" s="434">
        <f>ROUND(P710*$D$720,2)</f>
        <v>68482.320000000007</v>
      </c>
      <c r="Q720" s="434">
        <f>SUM(E720:P720)</f>
        <v>795829.36999999988</v>
      </c>
    </row>
    <row r="721" spans="1:17" x14ac:dyDescent="0.2">
      <c r="D721" s="738"/>
      <c r="E721" s="473"/>
      <c r="F721" s="473"/>
      <c r="G721" s="473"/>
      <c r="H721" s="473"/>
      <c r="I721" s="473"/>
      <c r="J721" s="473"/>
      <c r="K721" s="473"/>
      <c r="L721" s="473"/>
      <c r="M721" s="473"/>
      <c r="N721" s="473"/>
      <c r="O721" s="473"/>
      <c r="P721" s="473"/>
      <c r="Q721" s="473"/>
    </row>
    <row r="722" spans="1:17" x14ac:dyDescent="0.2">
      <c r="A722" s="453">
        <f>A720+1</f>
        <v>18</v>
      </c>
      <c r="B722" s="454"/>
      <c r="C722" s="454" t="s">
        <v>206</v>
      </c>
      <c r="D722" s="739"/>
      <c r="E722" s="457">
        <f t="shared" ref="E722:O722" si="235">E718+E720</f>
        <v>128621.99</v>
      </c>
      <c r="F722" s="457">
        <f t="shared" si="235"/>
        <v>124620.98999999999</v>
      </c>
      <c r="G722" s="457">
        <f t="shared" si="235"/>
        <v>120594.28</v>
      </c>
      <c r="H722" s="457">
        <f t="shared" si="235"/>
        <v>116275.89000000001</v>
      </c>
      <c r="I722" s="457">
        <f t="shared" si="235"/>
        <v>111904.04999999999</v>
      </c>
      <c r="J722" s="457">
        <f t="shared" si="235"/>
        <v>107697.06</v>
      </c>
      <c r="K722" s="457">
        <f t="shared" si="235"/>
        <v>107696.14</v>
      </c>
      <c r="L722" s="457">
        <f t="shared" si="235"/>
        <v>111704.59</v>
      </c>
      <c r="M722" s="457">
        <f t="shared" si="235"/>
        <v>111654.09</v>
      </c>
      <c r="N722" s="457">
        <f t="shared" si="235"/>
        <v>119744.19999999998</v>
      </c>
      <c r="O722" s="457">
        <f t="shared" si="235"/>
        <v>120212.45999999999</v>
      </c>
      <c r="P722" s="457">
        <f>P718+P720</f>
        <v>120809.35</v>
      </c>
      <c r="Q722" s="457">
        <f>SUM(E722:P722)</f>
        <v>1401535.09</v>
      </c>
    </row>
    <row r="723" spans="1:17" x14ac:dyDescent="0.2">
      <c r="D723" s="740"/>
      <c r="E723" s="473"/>
      <c r="F723" s="473"/>
      <c r="G723" s="473"/>
      <c r="H723" s="473"/>
      <c r="I723" s="473"/>
      <c r="J723" s="473"/>
      <c r="K723" s="473"/>
      <c r="L723" s="466"/>
      <c r="M723" s="466"/>
      <c r="N723" s="466"/>
      <c r="O723" s="466"/>
      <c r="P723" s="466"/>
      <c r="Q723" s="491"/>
    </row>
    <row r="724" spans="1:17" x14ac:dyDescent="0.2">
      <c r="A724" s="224">
        <f>A722+1</f>
        <v>19</v>
      </c>
      <c r="C724" s="221" t="s">
        <v>196</v>
      </c>
      <c r="D724" s="740"/>
      <c r="E724" s="473"/>
      <c r="F724" s="473"/>
      <c r="G724" s="473"/>
      <c r="H724" s="473"/>
      <c r="I724" s="473"/>
      <c r="J724" s="473"/>
      <c r="K724" s="473"/>
      <c r="L724" s="466"/>
      <c r="M724" s="466"/>
      <c r="N724" s="466"/>
      <c r="O724" s="466"/>
      <c r="P724" s="466"/>
      <c r="Q724" s="491"/>
    </row>
    <row r="725" spans="1:17" x14ac:dyDescent="0.2">
      <c r="A725" s="224">
        <f>A724+1</f>
        <v>20</v>
      </c>
      <c r="C725" s="242" t="s">
        <v>214</v>
      </c>
      <c r="D725" s="793">
        <f>Input!N31</f>
        <v>1.6E-2</v>
      </c>
      <c r="E725" s="434">
        <f t="shared" ref="E725:O725" si="236">ROUND(E710*$D$725,2)</f>
        <v>528</v>
      </c>
      <c r="F725" s="434">
        <f t="shared" si="236"/>
        <v>512</v>
      </c>
      <c r="G725" s="434">
        <f t="shared" si="236"/>
        <v>494.4</v>
      </c>
      <c r="H725" s="434">
        <f t="shared" si="236"/>
        <v>476.8</v>
      </c>
      <c r="I725" s="434">
        <f t="shared" si="236"/>
        <v>460.8</v>
      </c>
      <c r="J725" s="434">
        <f t="shared" si="236"/>
        <v>444</v>
      </c>
      <c r="K725" s="434">
        <f t="shared" si="236"/>
        <v>444</v>
      </c>
      <c r="L725" s="434">
        <f t="shared" si="236"/>
        <v>460</v>
      </c>
      <c r="M725" s="434">
        <f t="shared" si="236"/>
        <v>460</v>
      </c>
      <c r="N725" s="434">
        <f t="shared" si="236"/>
        <v>493.6</v>
      </c>
      <c r="O725" s="434">
        <f t="shared" si="236"/>
        <v>494.4</v>
      </c>
      <c r="P725" s="434">
        <f>ROUND(P710*$D$725,2)</f>
        <v>496</v>
      </c>
      <c r="Q725" s="434">
        <f>SUM(E725:P725)</f>
        <v>5764</v>
      </c>
    </row>
    <row r="726" spans="1:17" x14ac:dyDescent="0.2">
      <c r="E726" s="466"/>
      <c r="F726" s="466"/>
      <c r="G726" s="466"/>
      <c r="H726" s="466"/>
      <c r="I726" s="466"/>
      <c r="J726" s="466"/>
      <c r="K726" s="466"/>
      <c r="L726" s="466"/>
      <c r="M726" s="466"/>
      <c r="N726" s="466"/>
      <c r="O726" s="466"/>
      <c r="P726" s="466"/>
      <c r="Q726" s="466"/>
    </row>
    <row r="727" spans="1:17" ht="10.8" thickBot="1" x14ac:dyDescent="0.25">
      <c r="A727" s="495">
        <f>A725+1</f>
        <v>21</v>
      </c>
      <c r="B727" s="496"/>
      <c r="C727" s="496" t="s">
        <v>205</v>
      </c>
      <c r="D727" s="497"/>
      <c r="E727" s="499">
        <f>E722+E725</f>
        <v>129149.99</v>
      </c>
      <c r="F727" s="499">
        <f t="shared" ref="F727:P727" si="237">F722+F725</f>
        <v>125132.98999999999</v>
      </c>
      <c r="G727" s="499">
        <f t="shared" si="237"/>
        <v>121088.68</v>
      </c>
      <c r="H727" s="499">
        <f t="shared" si="237"/>
        <v>116752.69000000002</v>
      </c>
      <c r="I727" s="499">
        <f t="shared" si="237"/>
        <v>112364.84999999999</v>
      </c>
      <c r="J727" s="499">
        <f t="shared" si="237"/>
        <v>108141.06</v>
      </c>
      <c r="K727" s="499">
        <f t="shared" si="237"/>
        <v>108140.14</v>
      </c>
      <c r="L727" s="499">
        <f t="shared" si="237"/>
        <v>112164.59</v>
      </c>
      <c r="M727" s="499">
        <f t="shared" si="237"/>
        <v>112114.09</v>
      </c>
      <c r="N727" s="499">
        <f t="shared" si="237"/>
        <v>120237.79999999999</v>
      </c>
      <c r="O727" s="499">
        <f t="shared" si="237"/>
        <v>120706.85999999999</v>
      </c>
      <c r="P727" s="499">
        <f t="shared" si="237"/>
        <v>121305.35</v>
      </c>
      <c r="Q727" s="499">
        <f>SUM(E727:P727)</f>
        <v>1407299.0899999999</v>
      </c>
    </row>
    <row r="728" spans="1:17" ht="10.8" thickTop="1" x14ac:dyDescent="0.2"/>
    <row r="730" spans="1:17" x14ac:dyDescent="0.2">
      <c r="A730" s="224" t="str">
        <f>$A$270</f>
        <v>[1] Reflects Normalized Volumes.</v>
      </c>
    </row>
    <row r="731" spans="1:17" x14ac:dyDescent="0.2">
      <c r="A731" s="224" t="str">
        <f>"[2] Reflects Gas Cost Adjustment Rate"&amp;CONCATENATE(" as of ",EGCDATE)&amp;"."</f>
        <v>[2] Reflects Gas Cost Adjustment Rate as of March 1, 2016.</v>
      </c>
    </row>
    <row r="733" spans="1:17" x14ac:dyDescent="0.2">
      <c r="A733" s="887" t="str">
        <f>CONAME</f>
        <v>Columbia Gas of Kentucky, Inc.</v>
      </c>
      <c r="B733" s="887"/>
      <c r="C733" s="887"/>
      <c r="D733" s="887"/>
      <c r="E733" s="887"/>
      <c r="F733" s="887"/>
      <c r="G733" s="887"/>
      <c r="H733" s="887"/>
      <c r="I733" s="887"/>
      <c r="J733" s="887"/>
      <c r="K733" s="887"/>
      <c r="L733" s="887"/>
      <c r="M733" s="887"/>
      <c r="N733" s="887"/>
      <c r="O733" s="887"/>
      <c r="P733" s="887"/>
      <c r="Q733" s="887"/>
    </row>
    <row r="734" spans="1:17" x14ac:dyDescent="0.2">
      <c r="A734" s="875" t="str">
        <f>case</f>
        <v>Case No. 2016-00162</v>
      </c>
      <c r="B734" s="875"/>
      <c r="C734" s="875"/>
      <c r="D734" s="875"/>
      <c r="E734" s="875"/>
      <c r="F734" s="875"/>
      <c r="G734" s="875"/>
      <c r="H734" s="875"/>
      <c r="I734" s="875"/>
      <c r="J734" s="875"/>
      <c r="K734" s="875"/>
      <c r="L734" s="875"/>
      <c r="M734" s="875"/>
      <c r="N734" s="875"/>
      <c r="O734" s="875"/>
      <c r="P734" s="875"/>
      <c r="Q734" s="875"/>
    </row>
    <row r="735" spans="1:17" x14ac:dyDescent="0.2">
      <c r="A735" s="888" t="s">
        <v>503</v>
      </c>
      <c r="B735" s="888"/>
      <c r="C735" s="888"/>
      <c r="D735" s="888"/>
      <c r="E735" s="888"/>
      <c r="F735" s="888"/>
      <c r="G735" s="888"/>
      <c r="H735" s="888"/>
      <c r="I735" s="888"/>
      <c r="J735" s="888"/>
      <c r="K735" s="888"/>
      <c r="L735" s="888"/>
      <c r="M735" s="888"/>
      <c r="N735" s="888"/>
      <c r="O735" s="888"/>
      <c r="P735" s="888"/>
      <c r="Q735" s="888"/>
    </row>
    <row r="736" spans="1:17" x14ac:dyDescent="0.2">
      <c r="A736" s="887" t="str">
        <f>TYDESC</f>
        <v>For the 12 Months Ended December 31, 2017</v>
      </c>
      <c r="B736" s="887"/>
      <c r="C736" s="887"/>
      <c r="D736" s="887"/>
      <c r="E736" s="887"/>
      <c r="F736" s="887"/>
      <c r="G736" s="887"/>
      <c r="H736" s="887"/>
      <c r="I736" s="887"/>
      <c r="J736" s="887"/>
      <c r="K736" s="887"/>
      <c r="L736" s="887"/>
      <c r="M736" s="887"/>
      <c r="N736" s="887"/>
      <c r="O736" s="887"/>
      <c r="P736" s="887"/>
      <c r="Q736" s="887"/>
    </row>
    <row r="737" spans="1:17" x14ac:dyDescent="0.2">
      <c r="A737" s="885" t="s">
        <v>39</v>
      </c>
      <c r="B737" s="885"/>
      <c r="C737" s="885"/>
      <c r="D737" s="885"/>
      <c r="E737" s="885"/>
      <c r="F737" s="885"/>
      <c r="G737" s="885"/>
      <c r="H737" s="885"/>
      <c r="I737" s="885"/>
      <c r="J737" s="885"/>
      <c r="K737" s="885"/>
      <c r="L737" s="885"/>
      <c r="M737" s="885"/>
      <c r="N737" s="885"/>
      <c r="O737" s="885"/>
      <c r="P737" s="885"/>
      <c r="Q737" s="885"/>
    </row>
    <row r="738" spans="1:17" x14ac:dyDescent="0.2">
      <c r="A738" s="266" t="str">
        <f>$A$52</f>
        <v>Data: __ Base Period _X_ Forecasted Period</v>
      </c>
    </row>
    <row r="739" spans="1:17" x14ac:dyDescent="0.2">
      <c r="A739" s="266" t="str">
        <f>$A$53</f>
        <v>Type of Filing: X Original _ Update _ Revised</v>
      </c>
      <c r="Q739" s="420" t="str">
        <f>$Q$53</f>
        <v>Schedule M-2.2</v>
      </c>
    </row>
    <row r="740" spans="1:17" x14ac:dyDescent="0.2">
      <c r="A740" s="266" t="str">
        <f>$A$54</f>
        <v>Work Paper Reference No(s):</v>
      </c>
      <c r="Q740" s="420" t="s">
        <v>513</v>
      </c>
    </row>
    <row r="741" spans="1:17" x14ac:dyDescent="0.2">
      <c r="A741" s="421" t="str">
        <f>$A$55</f>
        <v>12 Months Forecasted</v>
      </c>
      <c r="Q741" s="420" t="str">
        <f>Witness</f>
        <v>Witness:  M. J. Bell</v>
      </c>
    </row>
    <row r="742" spans="1:17" x14ac:dyDescent="0.2">
      <c r="A742" s="886" t="s">
        <v>194</v>
      </c>
      <c r="B742" s="886"/>
      <c r="C742" s="886"/>
      <c r="D742" s="886"/>
      <c r="E742" s="886"/>
      <c r="F742" s="886"/>
      <c r="G742" s="886"/>
      <c r="H742" s="886"/>
      <c r="I742" s="886"/>
      <c r="J742" s="886"/>
      <c r="K742" s="886"/>
      <c r="L742" s="886"/>
      <c r="M742" s="886"/>
      <c r="N742" s="886"/>
      <c r="O742" s="886"/>
      <c r="P742" s="886"/>
      <c r="Q742" s="886"/>
    </row>
    <row r="743" spans="1:17" x14ac:dyDescent="0.2">
      <c r="A743" s="440"/>
      <c r="B743" s="305"/>
      <c r="C743" s="305"/>
      <c r="D743" s="304"/>
      <c r="E743" s="305"/>
      <c r="F743" s="422"/>
      <c r="G743" s="442"/>
      <c r="H743" s="422"/>
      <c r="I743" s="443"/>
      <c r="J743" s="422"/>
      <c r="K743" s="422"/>
      <c r="L743" s="422"/>
      <c r="M743" s="422"/>
      <c r="N743" s="422"/>
      <c r="O743" s="422"/>
      <c r="P743" s="422"/>
      <c r="Q743" s="305"/>
    </row>
    <row r="744" spans="1:17" x14ac:dyDescent="0.2">
      <c r="A744" s="416" t="s">
        <v>1</v>
      </c>
      <c r="B744" s="226" t="s">
        <v>0</v>
      </c>
      <c r="C744" s="226" t="s">
        <v>41</v>
      </c>
      <c r="D744" s="423" t="s">
        <v>47</v>
      </c>
      <c r="E744" s="226"/>
      <c r="F744" s="424"/>
      <c r="G744" s="425"/>
      <c r="H744" s="424"/>
      <c r="I744" s="426"/>
      <c r="J744" s="424"/>
      <c r="K744" s="424"/>
      <c r="L744" s="424"/>
      <c r="M744" s="424"/>
      <c r="N744" s="424"/>
      <c r="O744" s="424"/>
      <c r="P744" s="424"/>
      <c r="Q744" s="231"/>
    </row>
    <row r="745" spans="1:17" x14ac:dyDescent="0.2">
      <c r="A745" s="285" t="s">
        <v>3</v>
      </c>
      <c r="B745" s="228" t="s">
        <v>40</v>
      </c>
      <c r="C745" s="228" t="s">
        <v>4</v>
      </c>
      <c r="D745" s="427" t="s">
        <v>48</v>
      </c>
      <c r="E745" s="428" t="str">
        <f>B!$D$11</f>
        <v>Jan-17</v>
      </c>
      <c r="F745" s="428" t="str">
        <f>B!$E$11</f>
        <v>Feb-17</v>
      </c>
      <c r="G745" s="428" t="str">
        <f>B!$F$11</f>
        <v>Mar-17</v>
      </c>
      <c r="H745" s="428" t="str">
        <f>B!$G$11</f>
        <v>Apr-17</v>
      </c>
      <c r="I745" s="428" t="str">
        <f>B!$H$11</f>
        <v>May-17</v>
      </c>
      <c r="J745" s="428" t="str">
        <f>B!$I$11</f>
        <v>Jun-17</v>
      </c>
      <c r="K745" s="428" t="str">
        <f>B!$J$11</f>
        <v>Jul-17</v>
      </c>
      <c r="L745" s="428" t="str">
        <f>B!$K$11</f>
        <v>Aug-17</v>
      </c>
      <c r="M745" s="428" t="str">
        <f>B!$L$11</f>
        <v>Sep-17</v>
      </c>
      <c r="N745" s="428" t="str">
        <f>B!$M$11</f>
        <v>Oct-17</v>
      </c>
      <c r="O745" s="428" t="str">
        <f>B!$N$11</f>
        <v>Nov-17</v>
      </c>
      <c r="P745" s="428" t="str">
        <f>B!$O$11</f>
        <v>Dec-17</v>
      </c>
      <c r="Q745" s="429" t="s">
        <v>9</v>
      </c>
    </row>
    <row r="746" spans="1:17" x14ac:dyDescent="0.2">
      <c r="A746" s="416"/>
      <c r="B746" s="231" t="s">
        <v>42</v>
      </c>
      <c r="C746" s="231" t="s">
        <v>43</v>
      </c>
      <c r="D746" s="430" t="s">
        <v>45</v>
      </c>
      <c r="E746" s="431" t="s">
        <v>46</v>
      </c>
      <c r="F746" s="431" t="s">
        <v>49</v>
      </c>
      <c r="G746" s="431" t="s">
        <v>50</v>
      </c>
      <c r="H746" s="431" t="s">
        <v>51</v>
      </c>
      <c r="I746" s="431" t="s">
        <v>52</v>
      </c>
      <c r="J746" s="431" t="s">
        <v>53</v>
      </c>
      <c r="K746" s="432" t="s">
        <v>54</v>
      </c>
      <c r="L746" s="432" t="s">
        <v>55</v>
      </c>
      <c r="M746" s="432" t="s">
        <v>56</v>
      </c>
      <c r="N746" s="432" t="s">
        <v>57</v>
      </c>
      <c r="O746" s="432" t="s">
        <v>58</v>
      </c>
      <c r="P746" s="432" t="s">
        <v>59</v>
      </c>
      <c r="Q746" s="432" t="s">
        <v>203</v>
      </c>
    </row>
    <row r="747" spans="1:17" x14ac:dyDescent="0.2">
      <c r="E747" s="231"/>
      <c r="F747" s="432"/>
      <c r="G747" s="444"/>
      <c r="H747" s="432"/>
      <c r="I747" s="431"/>
      <c r="J747" s="432"/>
      <c r="K747" s="432"/>
      <c r="L747" s="432"/>
      <c r="M747" s="432"/>
      <c r="N747" s="432"/>
      <c r="O747" s="432"/>
      <c r="P747" s="432"/>
      <c r="Q747" s="231"/>
    </row>
    <row r="748" spans="1:17" x14ac:dyDescent="0.2">
      <c r="A748" s="224">
        <v>1</v>
      </c>
      <c r="B748" s="221" t="str">
        <f>B192</f>
        <v xml:space="preserve">IS </v>
      </c>
      <c r="C748" s="221" t="str">
        <f>C192</f>
        <v>Interruptible Service - Industrial</v>
      </c>
    </row>
    <row r="750" spans="1:17" x14ac:dyDescent="0.2">
      <c r="A750" s="224">
        <v>2</v>
      </c>
      <c r="C750" s="225" t="s">
        <v>112</v>
      </c>
    </row>
    <row r="751" spans="1:17" x14ac:dyDescent="0.2">
      <c r="E751" s="224"/>
      <c r="F751" s="292"/>
      <c r="G751" s="476"/>
      <c r="H751" s="292"/>
      <c r="I751" s="297"/>
      <c r="J751" s="292"/>
      <c r="K751" s="292"/>
    </row>
    <row r="752" spans="1:17" x14ac:dyDescent="0.2">
      <c r="A752" s="224">
        <v>3</v>
      </c>
      <c r="C752" s="221" t="s">
        <v>202</v>
      </c>
      <c r="E752" s="290">
        <f>B!D93</f>
        <v>0</v>
      </c>
      <c r="F752" s="290">
        <f>B!E93</f>
        <v>0</v>
      </c>
      <c r="G752" s="290">
        <f>B!F93</f>
        <v>0</v>
      </c>
      <c r="H752" s="290">
        <f>B!G93</f>
        <v>0</v>
      </c>
      <c r="I752" s="290">
        <f>B!H93</f>
        <v>0</v>
      </c>
      <c r="J752" s="290">
        <f>B!I93</f>
        <v>0</v>
      </c>
      <c r="K752" s="290">
        <f>B!J93</f>
        <v>0</v>
      </c>
      <c r="L752" s="290">
        <f>B!K93</f>
        <v>0</v>
      </c>
      <c r="M752" s="290">
        <f>B!L93</f>
        <v>0</v>
      </c>
      <c r="N752" s="290">
        <f>B!M93</f>
        <v>0</v>
      </c>
      <c r="O752" s="290">
        <f>B!N93</f>
        <v>0</v>
      </c>
      <c r="P752" s="290">
        <f>B!O93</f>
        <v>0</v>
      </c>
      <c r="Q752" s="242">
        <f>SUM(E752:P752)</f>
        <v>0</v>
      </c>
    </row>
    <row r="753" spans="1:17" x14ac:dyDescent="0.2">
      <c r="A753" s="224">
        <v>4</v>
      </c>
      <c r="C753" s="221" t="s">
        <v>210</v>
      </c>
      <c r="D753" s="792">
        <f>Input!H36</f>
        <v>1007.05</v>
      </c>
      <c r="E753" s="434">
        <f t="shared" ref="E753:P753" si="238">ROUND(E752*$D$753,2)</f>
        <v>0</v>
      </c>
      <c r="F753" s="434">
        <f t="shared" si="238"/>
        <v>0</v>
      </c>
      <c r="G753" s="434">
        <f t="shared" si="238"/>
        <v>0</v>
      </c>
      <c r="H753" s="434">
        <f t="shared" si="238"/>
        <v>0</v>
      </c>
      <c r="I753" s="434">
        <f t="shared" si="238"/>
        <v>0</v>
      </c>
      <c r="J753" s="434">
        <f t="shared" si="238"/>
        <v>0</v>
      </c>
      <c r="K753" s="434">
        <f t="shared" si="238"/>
        <v>0</v>
      </c>
      <c r="L753" s="434">
        <f t="shared" si="238"/>
        <v>0</v>
      </c>
      <c r="M753" s="434">
        <f t="shared" si="238"/>
        <v>0</v>
      </c>
      <c r="N753" s="434">
        <f t="shared" si="238"/>
        <v>0</v>
      </c>
      <c r="O753" s="434">
        <f t="shared" si="238"/>
        <v>0</v>
      </c>
      <c r="P753" s="434">
        <f t="shared" si="238"/>
        <v>0</v>
      </c>
      <c r="Q753" s="434">
        <f>SUM(E753:P753)</f>
        <v>0</v>
      </c>
    </row>
    <row r="754" spans="1:17" x14ac:dyDescent="0.2">
      <c r="A754" s="224">
        <f>A753+1</f>
        <v>5</v>
      </c>
      <c r="C754" s="221" t="s">
        <v>211</v>
      </c>
      <c r="D754" s="792">
        <f>Input!J36</f>
        <v>449.59</v>
      </c>
      <c r="E754" s="434">
        <f t="shared" ref="E754:P754" si="239">ROUND(E752*$D$754,2)</f>
        <v>0</v>
      </c>
      <c r="F754" s="434">
        <f t="shared" si="239"/>
        <v>0</v>
      </c>
      <c r="G754" s="434">
        <f t="shared" si="239"/>
        <v>0</v>
      </c>
      <c r="H754" s="434">
        <f t="shared" si="239"/>
        <v>0</v>
      </c>
      <c r="I754" s="434">
        <f t="shared" si="239"/>
        <v>0</v>
      </c>
      <c r="J754" s="434">
        <f t="shared" si="239"/>
        <v>0</v>
      </c>
      <c r="K754" s="434">
        <f t="shared" si="239"/>
        <v>0</v>
      </c>
      <c r="L754" s="434">
        <f t="shared" si="239"/>
        <v>0</v>
      </c>
      <c r="M754" s="434">
        <f t="shared" si="239"/>
        <v>0</v>
      </c>
      <c r="N754" s="434">
        <f t="shared" si="239"/>
        <v>0</v>
      </c>
      <c r="O754" s="434">
        <f t="shared" si="239"/>
        <v>0</v>
      </c>
      <c r="P754" s="434">
        <f t="shared" si="239"/>
        <v>0</v>
      </c>
      <c r="Q754" s="434">
        <f>SUM(E754:P754)</f>
        <v>0</v>
      </c>
    </row>
    <row r="755" spans="1:17" x14ac:dyDescent="0.2">
      <c r="D755" s="520"/>
      <c r="E755" s="294"/>
      <c r="G755" s="294"/>
      <c r="I755" s="294"/>
      <c r="Q755" s="294"/>
    </row>
    <row r="756" spans="1:17" x14ac:dyDescent="0.2">
      <c r="A756" s="224">
        <f>A754+1</f>
        <v>6</v>
      </c>
      <c r="C756" s="242" t="s">
        <v>209</v>
      </c>
      <c r="D756" s="290"/>
      <c r="E756" s="530"/>
      <c r="F756" s="530"/>
      <c r="G756" s="530"/>
      <c r="H756" s="530"/>
      <c r="I756" s="530"/>
      <c r="J756" s="530"/>
      <c r="K756" s="530"/>
      <c r="L756" s="530"/>
      <c r="M756" s="530"/>
      <c r="N756" s="530"/>
      <c r="O756" s="530"/>
      <c r="P756" s="530"/>
      <c r="Q756" s="297"/>
    </row>
    <row r="757" spans="1:17" x14ac:dyDescent="0.2">
      <c r="A757" s="224">
        <f>A756+1</f>
        <v>7</v>
      </c>
      <c r="C757" s="242" t="str">
        <f>'C'!B133</f>
        <v xml:space="preserve">    First 30,000 Mcf</v>
      </c>
      <c r="D757" s="290"/>
      <c r="E757" s="297">
        <f>'C'!D133</f>
        <v>0</v>
      </c>
      <c r="F757" s="297">
        <f>'C'!E133</f>
        <v>0</v>
      </c>
      <c r="G757" s="297">
        <f>'C'!F133</f>
        <v>0</v>
      </c>
      <c r="H757" s="297">
        <f>'C'!G133</f>
        <v>0</v>
      </c>
      <c r="I757" s="297">
        <f>'C'!H133</f>
        <v>0</v>
      </c>
      <c r="J757" s="297">
        <f>'C'!I133</f>
        <v>0</v>
      </c>
      <c r="K757" s="297">
        <f>'C'!J133</f>
        <v>0</v>
      </c>
      <c r="L757" s="297">
        <f>'C'!K133</f>
        <v>0</v>
      </c>
      <c r="M757" s="297">
        <f>'C'!L133</f>
        <v>0</v>
      </c>
      <c r="N757" s="297">
        <f>'C'!M133</f>
        <v>0</v>
      </c>
      <c r="O757" s="297">
        <f>'C'!N133</f>
        <v>0</v>
      </c>
      <c r="P757" s="297">
        <f>'C'!O133</f>
        <v>0</v>
      </c>
      <c r="Q757" s="247">
        <f>SUM(E757:P757)</f>
        <v>0</v>
      </c>
    </row>
    <row r="758" spans="1:17" x14ac:dyDescent="0.2">
      <c r="A758" s="224">
        <f>A757+1</f>
        <v>8</v>
      </c>
      <c r="C758" s="242" t="str">
        <f>'C'!B134</f>
        <v xml:space="preserve">    Over 30,000 Mcf</v>
      </c>
      <c r="D758" s="290"/>
      <c r="E758" s="522">
        <f>'C'!D134</f>
        <v>0</v>
      </c>
      <c r="F758" s="522">
        <f>'C'!E134</f>
        <v>0</v>
      </c>
      <c r="G758" s="522">
        <f>'C'!F134</f>
        <v>0</v>
      </c>
      <c r="H758" s="522">
        <f>'C'!G134</f>
        <v>0</v>
      </c>
      <c r="I758" s="522">
        <f>'C'!H134</f>
        <v>0</v>
      </c>
      <c r="J758" s="522">
        <f>'C'!I134</f>
        <v>0</v>
      </c>
      <c r="K758" s="522">
        <f>'C'!J134</f>
        <v>0</v>
      </c>
      <c r="L758" s="522">
        <f>'C'!K134</f>
        <v>0</v>
      </c>
      <c r="M758" s="522">
        <f>'C'!L134</f>
        <v>0</v>
      </c>
      <c r="N758" s="522">
        <f>'C'!M134</f>
        <v>0</v>
      </c>
      <c r="O758" s="522">
        <f>'C'!N134</f>
        <v>0</v>
      </c>
      <c r="P758" s="522">
        <f>'C'!O134</f>
        <v>0</v>
      </c>
      <c r="Q758" s="471">
        <f>SUM(E758:P758)</f>
        <v>0</v>
      </c>
    </row>
    <row r="759" spans="1:17" x14ac:dyDescent="0.2">
      <c r="C759" s="242"/>
      <c r="D759" s="290"/>
      <c r="E759" s="297">
        <f t="shared" ref="E759:O759" si="240">SUM(E757:E758)</f>
        <v>0</v>
      </c>
      <c r="F759" s="297">
        <f t="shared" si="240"/>
        <v>0</v>
      </c>
      <c r="G759" s="297">
        <f t="shared" si="240"/>
        <v>0</v>
      </c>
      <c r="H759" s="297">
        <f t="shared" si="240"/>
        <v>0</v>
      </c>
      <c r="I759" s="297">
        <f t="shared" si="240"/>
        <v>0</v>
      </c>
      <c r="J759" s="297">
        <f t="shared" si="240"/>
        <v>0</v>
      </c>
      <c r="K759" s="297">
        <f t="shared" si="240"/>
        <v>0</v>
      </c>
      <c r="L759" s="297">
        <f t="shared" si="240"/>
        <v>0</v>
      </c>
      <c r="M759" s="297">
        <f t="shared" si="240"/>
        <v>0</v>
      </c>
      <c r="N759" s="297">
        <f t="shared" si="240"/>
        <v>0</v>
      </c>
      <c r="O759" s="297">
        <f t="shared" si="240"/>
        <v>0</v>
      </c>
      <c r="P759" s="297">
        <f>SUM(P757:P758)</f>
        <v>0</v>
      </c>
      <c r="Q759" s="247">
        <f>SUM(E759:P759)</f>
        <v>0</v>
      </c>
    </row>
    <row r="760" spans="1:17" x14ac:dyDescent="0.2">
      <c r="A760" s="224">
        <f>A758+1</f>
        <v>9</v>
      </c>
      <c r="C760" s="221" t="s">
        <v>207</v>
      </c>
      <c r="D760" s="737"/>
      <c r="E760" s="292"/>
      <c r="F760" s="292"/>
      <c r="G760" s="292"/>
      <c r="H760" s="292"/>
      <c r="I760" s="292"/>
      <c r="J760" s="292"/>
      <c r="K760" s="292"/>
      <c r="L760" s="292"/>
      <c r="M760" s="292"/>
      <c r="N760" s="292"/>
      <c r="O760" s="292"/>
      <c r="P760" s="292"/>
      <c r="Q760" s="294"/>
    </row>
    <row r="761" spans="1:17" x14ac:dyDescent="0.2">
      <c r="A761" s="224">
        <f>A760+1</f>
        <v>10</v>
      </c>
      <c r="C761" s="242" t="str">
        <f>C757</f>
        <v xml:space="preserve">    First 30,000 Mcf</v>
      </c>
      <c r="D761" s="793">
        <f>Input!C36</f>
        <v>0.54430000000000001</v>
      </c>
      <c r="E761" s="434">
        <f t="shared" ref="E761:P761" si="241">ROUND(E757*$D$761,2)</f>
        <v>0</v>
      </c>
      <c r="F761" s="434">
        <f t="shared" si="241"/>
        <v>0</v>
      </c>
      <c r="G761" s="434">
        <f t="shared" si="241"/>
        <v>0</v>
      </c>
      <c r="H761" s="434">
        <f t="shared" si="241"/>
        <v>0</v>
      </c>
      <c r="I761" s="434">
        <f t="shared" si="241"/>
        <v>0</v>
      </c>
      <c r="J761" s="434">
        <f t="shared" si="241"/>
        <v>0</v>
      </c>
      <c r="K761" s="434">
        <f t="shared" si="241"/>
        <v>0</v>
      </c>
      <c r="L761" s="434">
        <f t="shared" si="241"/>
        <v>0</v>
      </c>
      <c r="M761" s="434">
        <f t="shared" si="241"/>
        <v>0</v>
      </c>
      <c r="N761" s="434">
        <f t="shared" si="241"/>
        <v>0</v>
      </c>
      <c r="O761" s="434">
        <f t="shared" si="241"/>
        <v>0</v>
      </c>
      <c r="P761" s="434">
        <f t="shared" si="241"/>
        <v>0</v>
      </c>
      <c r="Q761" s="434">
        <f>SUM(E761:P761)</f>
        <v>0</v>
      </c>
    </row>
    <row r="762" spans="1:17" x14ac:dyDescent="0.2">
      <c r="A762" s="224">
        <f>A761+1</f>
        <v>11</v>
      </c>
      <c r="C762" s="242" t="str">
        <f>C758</f>
        <v xml:space="preserve">    Over 30,000 Mcf</v>
      </c>
      <c r="D762" s="793">
        <f>Input!D36</f>
        <v>0.28899999999999998</v>
      </c>
      <c r="E762" s="438">
        <f t="shared" ref="E762:P762" si="242">ROUND(E758*$D$762,2)</f>
        <v>0</v>
      </c>
      <c r="F762" s="438">
        <f t="shared" si="242"/>
        <v>0</v>
      </c>
      <c r="G762" s="438">
        <f t="shared" si="242"/>
        <v>0</v>
      </c>
      <c r="H762" s="438">
        <f t="shared" si="242"/>
        <v>0</v>
      </c>
      <c r="I762" s="438">
        <f t="shared" si="242"/>
        <v>0</v>
      </c>
      <c r="J762" s="438">
        <f t="shared" si="242"/>
        <v>0</v>
      </c>
      <c r="K762" s="438">
        <f t="shared" si="242"/>
        <v>0</v>
      </c>
      <c r="L762" s="438">
        <f t="shared" si="242"/>
        <v>0</v>
      </c>
      <c r="M762" s="438">
        <f t="shared" si="242"/>
        <v>0</v>
      </c>
      <c r="N762" s="438">
        <f t="shared" si="242"/>
        <v>0</v>
      </c>
      <c r="O762" s="438">
        <f t="shared" si="242"/>
        <v>0</v>
      </c>
      <c r="P762" s="438">
        <f t="shared" si="242"/>
        <v>0</v>
      </c>
      <c r="Q762" s="438">
        <f>SUM(E762:P762)</f>
        <v>0</v>
      </c>
    </row>
    <row r="763" spans="1:17" x14ac:dyDescent="0.2">
      <c r="C763" s="242"/>
      <c r="D763" s="793"/>
      <c r="E763" s="434">
        <f t="shared" ref="E763:O763" si="243">SUM(E761:E762)</f>
        <v>0</v>
      </c>
      <c r="F763" s="434">
        <f t="shared" si="243"/>
        <v>0</v>
      </c>
      <c r="G763" s="434">
        <f t="shared" si="243"/>
        <v>0</v>
      </c>
      <c r="H763" s="434">
        <f t="shared" si="243"/>
        <v>0</v>
      </c>
      <c r="I763" s="434">
        <f t="shared" si="243"/>
        <v>0</v>
      </c>
      <c r="J763" s="434">
        <f t="shared" si="243"/>
        <v>0</v>
      </c>
      <c r="K763" s="434">
        <f t="shared" si="243"/>
        <v>0</v>
      </c>
      <c r="L763" s="434">
        <f t="shared" si="243"/>
        <v>0</v>
      </c>
      <c r="M763" s="434">
        <f t="shared" si="243"/>
        <v>0</v>
      </c>
      <c r="N763" s="434">
        <f t="shared" si="243"/>
        <v>0</v>
      </c>
      <c r="O763" s="434">
        <f t="shared" si="243"/>
        <v>0</v>
      </c>
      <c r="P763" s="434">
        <f>SUM(P761:P762)</f>
        <v>0</v>
      </c>
      <c r="Q763" s="434">
        <f>SUM(E763:P763)</f>
        <v>0</v>
      </c>
    </row>
    <row r="764" spans="1:17" x14ac:dyDescent="0.2">
      <c r="C764" s="242"/>
      <c r="D764" s="793"/>
      <c r="E764" s="294"/>
      <c r="G764" s="294"/>
      <c r="I764" s="294"/>
      <c r="Q764" s="294"/>
    </row>
    <row r="765" spans="1:17" x14ac:dyDescent="0.2">
      <c r="A765" s="224">
        <f>A762+1</f>
        <v>12</v>
      </c>
      <c r="C765" s="221" t="s">
        <v>204</v>
      </c>
      <c r="D765" s="290"/>
      <c r="E765" s="434">
        <f t="shared" ref="E765:O765" si="244">E753+E754+E763</f>
        <v>0</v>
      </c>
      <c r="F765" s="434">
        <f t="shared" si="244"/>
        <v>0</v>
      </c>
      <c r="G765" s="434">
        <f t="shared" si="244"/>
        <v>0</v>
      </c>
      <c r="H765" s="434">
        <f t="shared" si="244"/>
        <v>0</v>
      </c>
      <c r="I765" s="434">
        <f t="shared" si="244"/>
        <v>0</v>
      </c>
      <c r="J765" s="434">
        <f t="shared" si="244"/>
        <v>0</v>
      </c>
      <c r="K765" s="434">
        <f t="shared" si="244"/>
        <v>0</v>
      </c>
      <c r="L765" s="434">
        <f t="shared" si="244"/>
        <v>0</v>
      </c>
      <c r="M765" s="434">
        <f t="shared" si="244"/>
        <v>0</v>
      </c>
      <c r="N765" s="434">
        <f t="shared" si="244"/>
        <v>0</v>
      </c>
      <c r="O765" s="434">
        <f t="shared" si="244"/>
        <v>0</v>
      </c>
      <c r="P765" s="434">
        <f>P753+P754+P763</f>
        <v>0</v>
      </c>
      <c r="Q765" s="434">
        <f>SUM(E765:P765)</f>
        <v>0</v>
      </c>
    </row>
    <row r="766" spans="1:17" x14ac:dyDescent="0.2">
      <c r="D766" s="290"/>
      <c r="E766" s="466"/>
      <c r="F766" s="466"/>
      <c r="G766" s="466"/>
      <c r="H766" s="466"/>
      <c r="I766" s="466"/>
      <c r="J766" s="466"/>
      <c r="K766" s="466"/>
      <c r="L766" s="466"/>
      <c r="M766" s="466"/>
      <c r="N766" s="466"/>
      <c r="O766" s="466"/>
      <c r="P766" s="466"/>
      <c r="Q766" s="466"/>
    </row>
    <row r="767" spans="1:17" x14ac:dyDescent="0.2">
      <c r="A767" s="224">
        <f>A765+1</f>
        <v>13</v>
      </c>
      <c r="C767" s="221" t="s">
        <v>208</v>
      </c>
      <c r="D767" s="793">
        <f>EGC</f>
        <v>2.2090999999999998</v>
      </c>
      <c r="E767" s="434">
        <f t="shared" ref="E767:O767" si="245">ROUND(E757*$D$767,2)</f>
        <v>0</v>
      </c>
      <c r="F767" s="434">
        <f t="shared" si="245"/>
        <v>0</v>
      </c>
      <c r="G767" s="434">
        <f t="shared" si="245"/>
        <v>0</v>
      </c>
      <c r="H767" s="434">
        <f t="shared" si="245"/>
        <v>0</v>
      </c>
      <c r="I767" s="434">
        <f t="shared" si="245"/>
        <v>0</v>
      </c>
      <c r="J767" s="434">
        <f t="shared" si="245"/>
        <v>0</v>
      </c>
      <c r="K767" s="434">
        <f t="shared" si="245"/>
        <v>0</v>
      </c>
      <c r="L767" s="434">
        <f t="shared" si="245"/>
        <v>0</v>
      </c>
      <c r="M767" s="434">
        <f t="shared" si="245"/>
        <v>0</v>
      </c>
      <c r="N767" s="434">
        <f t="shared" si="245"/>
        <v>0</v>
      </c>
      <c r="O767" s="434">
        <f t="shared" si="245"/>
        <v>0</v>
      </c>
      <c r="P767" s="434">
        <f>ROUND(P757*$D$767,2)</f>
        <v>0</v>
      </c>
      <c r="Q767" s="434">
        <f>SUM(E767:P767)</f>
        <v>0</v>
      </c>
    </row>
    <row r="768" spans="1:17" x14ac:dyDescent="0.2">
      <c r="D768" s="290"/>
      <c r="E768" s="473"/>
      <c r="F768" s="473"/>
      <c r="G768" s="473"/>
      <c r="H768" s="473"/>
      <c r="I768" s="473"/>
      <c r="J768" s="473"/>
      <c r="K768" s="473"/>
      <c r="L768" s="473"/>
      <c r="M768" s="473"/>
      <c r="N768" s="473"/>
      <c r="O768" s="473"/>
      <c r="P768" s="473"/>
      <c r="Q768" s="466"/>
    </row>
    <row r="769" spans="1:17" x14ac:dyDescent="0.2">
      <c r="A769" s="453">
        <f>A767+1</f>
        <v>14</v>
      </c>
      <c r="B769" s="454"/>
      <c r="C769" s="456" t="s">
        <v>206</v>
      </c>
      <c r="D769" s="468"/>
      <c r="E769" s="457">
        <f t="shared" ref="E769:O769" si="246">E765+E767</f>
        <v>0</v>
      </c>
      <c r="F769" s="457">
        <f t="shared" si="246"/>
        <v>0</v>
      </c>
      <c r="G769" s="457">
        <f t="shared" si="246"/>
        <v>0</v>
      </c>
      <c r="H769" s="457">
        <f t="shared" si="246"/>
        <v>0</v>
      </c>
      <c r="I769" s="457">
        <f t="shared" si="246"/>
        <v>0</v>
      </c>
      <c r="J769" s="457">
        <f t="shared" si="246"/>
        <v>0</v>
      </c>
      <c r="K769" s="457">
        <f t="shared" si="246"/>
        <v>0</v>
      </c>
      <c r="L769" s="457">
        <f t="shared" si="246"/>
        <v>0</v>
      </c>
      <c r="M769" s="457">
        <f t="shared" si="246"/>
        <v>0</v>
      </c>
      <c r="N769" s="457">
        <f t="shared" si="246"/>
        <v>0</v>
      </c>
      <c r="O769" s="457">
        <f t="shared" si="246"/>
        <v>0</v>
      </c>
      <c r="P769" s="457">
        <f>P765+P767</f>
        <v>0</v>
      </c>
      <c r="Q769" s="457">
        <f>SUM(E769:P769)</f>
        <v>0</v>
      </c>
    </row>
    <row r="770" spans="1:17" x14ac:dyDescent="0.2">
      <c r="D770" s="290"/>
      <c r="E770" s="466"/>
      <c r="F770" s="466"/>
      <c r="G770" s="466"/>
      <c r="H770" s="466"/>
      <c r="I770" s="466"/>
      <c r="J770" s="466"/>
      <c r="K770" s="466"/>
      <c r="L770" s="466"/>
      <c r="M770" s="466"/>
      <c r="N770" s="466"/>
      <c r="O770" s="466"/>
      <c r="P770" s="466"/>
      <c r="Q770" s="466"/>
    </row>
    <row r="771" spans="1:17" x14ac:dyDescent="0.2">
      <c r="A771" s="224">
        <f>A769+1</f>
        <v>15</v>
      </c>
      <c r="C771" s="242" t="s">
        <v>196</v>
      </c>
      <c r="D771" s="290"/>
      <c r="E771" s="466"/>
      <c r="F771" s="473"/>
      <c r="G771" s="473"/>
      <c r="H771" s="473"/>
      <c r="I771" s="473"/>
      <c r="J771" s="473"/>
      <c r="K771" s="473"/>
      <c r="L771" s="466"/>
      <c r="M771" s="466"/>
      <c r="N771" s="466"/>
      <c r="O771" s="466"/>
      <c r="P771" s="466"/>
      <c r="Q771" s="466"/>
    </row>
    <row r="772" spans="1:17" x14ac:dyDescent="0.2">
      <c r="A772" s="224">
        <f>A771+1</f>
        <v>16</v>
      </c>
      <c r="C772" s="242" t="s">
        <v>214</v>
      </c>
      <c r="D772" s="793">
        <f>Input!N36</f>
        <v>1.6E-2</v>
      </c>
      <c r="E772" s="434">
        <f t="shared" ref="E772:O772" si="247">ROUND(E759*$D$772,2)</f>
        <v>0</v>
      </c>
      <c r="F772" s="434">
        <f t="shared" si="247"/>
        <v>0</v>
      </c>
      <c r="G772" s="434">
        <f t="shared" si="247"/>
        <v>0</v>
      </c>
      <c r="H772" s="434">
        <f t="shared" si="247"/>
        <v>0</v>
      </c>
      <c r="I772" s="434">
        <f t="shared" si="247"/>
        <v>0</v>
      </c>
      <c r="J772" s="434">
        <f t="shared" si="247"/>
        <v>0</v>
      </c>
      <c r="K772" s="434">
        <f t="shared" si="247"/>
        <v>0</v>
      </c>
      <c r="L772" s="434">
        <f t="shared" si="247"/>
        <v>0</v>
      </c>
      <c r="M772" s="434">
        <f t="shared" si="247"/>
        <v>0</v>
      </c>
      <c r="N772" s="434">
        <f t="shared" si="247"/>
        <v>0</v>
      </c>
      <c r="O772" s="434">
        <f t="shared" si="247"/>
        <v>0</v>
      </c>
      <c r="P772" s="434">
        <f>ROUND(P759*$D$772,2)</f>
        <v>0</v>
      </c>
      <c r="Q772" s="434">
        <f>SUM(E772:P772)</f>
        <v>0</v>
      </c>
    </row>
    <row r="773" spans="1:17" x14ac:dyDescent="0.2">
      <c r="E773" s="466"/>
      <c r="F773" s="466"/>
      <c r="G773" s="466"/>
      <c r="H773" s="466"/>
      <c r="I773" s="466"/>
      <c r="J773" s="466"/>
      <c r="K773" s="466"/>
      <c r="L773" s="466"/>
      <c r="M773" s="466"/>
      <c r="N773" s="466"/>
      <c r="O773" s="466"/>
      <c r="P773" s="466"/>
      <c r="Q773" s="466"/>
    </row>
    <row r="774" spans="1:17" ht="10.8" thickBot="1" x14ac:dyDescent="0.25">
      <c r="A774" s="495">
        <f>A772+1</f>
        <v>17</v>
      </c>
      <c r="B774" s="496"/>
      <c r="C774" s="497" t="s">
        <v>205</v>
      </c>
      <c r="D774" s="497"/>
      <c r="E774" s="499">
        <f>E769+E772</f>
        <v>0</v>
      </c>
      <c r="F774" s="499">
        <f t="shared" ref="F774:P774" si="248">F769+F772</f>
        <v>0</v>
      </c>
      <c r="G774" s="499">
        <f t="shared" si="248"/>
        <v>0</v>
      </c>
      <c r="H774" s="499">
        <f t="shared" si="248"/>
        <v>0</v>
      </c>
      <c r="I774" s="499">
        <f t="shared" si="248"/>
        <v>0</v>
      </c>
      <c r="J774" s="499">
        <f t="shared" si="248"/>
        <v>0</v>
      </c>
      <c r="K774" s="499">
        <f t="shared" si="248"/>
        <v>0</v>
      </c>
      <c r="L774" s="499">
        <f t="shared" si="248"/>
        <v>0</v>
      </c>
      <c r="M774" s="499">
        <f t="shared" si="248"/>
        <v>0</v>
      </c>
      <c r="N774" s="499">
        <f t="shared" si="248"/>
        <v>0</v>
      </c>
      <c r="O774" s="499">
        <f t="shared" si="248"/>
        <v>0</v>
      </c>
      <c r="P774" s="499">
        <f t="shared" si="248"/>
        <v>0</v>
      </c>
      <c r="Q774" s="499">
        <f>SUM(E774:P774)</f>
        <v>0</v>
      </c>
    </row>
    <row r="775" spans="1:17" ht="10.8" thickTop="1" x14ac:dyDescent="0.2">
      <c r="E775" s="294"/>
      <c r="G775" s="294"/>
      <c r="I775" s="294"/>
      <c r="Q775" s="294"/>
    </row>
    <row r="777" spans="1:17" x14ac:dyDescent="0.2">
      <c r="A777" s="224">
        <f>A774+1</f>
        <v>18</v>
      </c>
      <c r="B777" s="221" t="str">
        <f>B199</f>
        <v>IUS</v>
      </c>
      <c r="C777" s="221" t="str">
        <f>C199</f>
        <v>Intrastate Utility Service - Wholesale</v>
      </c>
    </row>
    <row r="779" spans="1:17" x14ac:dyDescent="0.2">
      <c r="A779" s="224">
        <f>A777+1</f>
        <v>19</v>
      </c>
      <c r="C779" s="225" t="s">
        <v>115</v>
      </c>
    </row>
    <row r="781" spans="1:17" x14ac:dyDescent="0.2">
      <c r="A781" s="224">
        <f>A779+1</f>
        <v>20</v>
      </c>
      <c r="C781" s="221" t="s">
        <v>202</v>
      </c>
      <c r="E781" s="479">
        <f>B!D99</f>
        <v>2</v>
      </c>
      <c r="F781" s="479">
        <f>B!E99</f>
        <v>2</v>
      </c>
      <c r="G781" s="479">
        <f>B!F99</f>
        <v>2</v>
      </c>
      <c r="H781" s="479">
        <f>B!G99</f>
        <v>2</v>
      </c>
      <c r="I781" s="479">
        <f>B!H99</f>
        <v>2</v>
      </c>
      <c r="J781" s="479">
        <f>B!I99</f>
        <v>2</v>
      </c>
      <c r="K781" s="479">
        <f>B!J99</f>
        <v>2</v>
      </c>
      <c r="L781" s="479">
        <f>B!K99</f>
        <v>2</v>
      </c>
      <c r="M781" s="479">
        <f>B!L99</f>
        <v>2</v>
      </c>
      <c r="N781" s="479">
        <f>B!M99</f>
        <v>2</v>
      </c>
      <c r="O781" s="479">
        <f>B!N99</f>
        <v>2</v>
      </c>
      <c r="P781" s="479">
        <f>B!O99</f>
        <v>2</v>
      </c>
      <c r="Q781" s="480">
        <f>SUM(E781:P781)</f>
        <v>24</v>
      </c>
    </row>
    <row r="782" spans="1:17" x14ac:dyDescent="0.2">
      <c r="A782" s="224">
        <f>A781+1</f>
        <v>21</v>
      </c>
      <c r="C782" s="221" t="s">
        <v>210</v>
      </c>
      <c r="D782" s="792">
        <f>Input!H37</f>
        <v>477</v>
      </c>
      <c r="E782" s="434">
        <f t="shared" ref="E782:P782" si="249">ROUND(E781*$D$782,2)</f>
        <v>954</v>
      </c>
      <c r="F782" s="434">
        <f t="shared" si="249"/>
        <v>954</v>
      </c>
      <c r="G782" s="434">
        <f t="shared" si="249"/>
        <v>954</v>
      </c>
      <c r="H782" s="434">
        <f t="shared" si="249"/>
        <v>954</v>
      </c>
      <c r="I782" s="434">
        <f t="shared" si="249"/>
        <v>954</v>
      </c>
      <c r="J782" s="434">
        <f t="shared" si="249"/>
        <v>954</v>
      </c>
      <c r="K782" s="434">
        <f t="shared" si="249"/>
        <v>954</v>
      </c>
      <c r="L782" s="434">
        <f t="shared" si="249"/>
        <v>954</v>
      </c>
      <c r="M782" s="434">
        <f t="shared" si="249"/>
        <v>954</v>
      </c>
      <c r="N782" s="434">
        <f t="shared" si="249"/>
        <v>954</v>
      </c>
      <c r="O782" s="434">
        <f t="shared" si="249"/>
        <v>954</v>
      </c>
      <c r="P782" s="434">
        <f t="shared" si="249"/>
        <v>954</v>
      </c>
      <c r="Q782" s="434">
        <f>SUM(E782:P782)</f>
        <v>11448</v>
      </c>
    </row>
    <row r="783" spans="1:17" x14ac:dyDescent="0.2">
      <c r="A783" s="224">
        <f>A782+1</f>
        <v>22</v>
      </c>
      <c r="C783" s="221" t="s">
        <v>211</v>
      </c>
      <c r="D783" s="792">
        <f>Input!J37</f>
        <v>76.959999999999994</v>
      </c>
      <c r="E783" s="434">
        <f t="shared" ref="E783:P783" si="250">ROUND(E781*$D$783,2)</f>
        <v>153.91999999999999</v>
      </c>
      <c r="F783" s="434">
        <f t="shared" si="250"/>
        <v>153.91999999999999</v>
      </c>
      <c r="G783" s="434">
        <f t="shared" si="250"/>
        <v>153.91999999999999</v>
      </c>
      <c r="H783" s="434">
        <f t="shared" si="250"/>
        <v>153.91999999999999</v>
      </c>
      <c r="I783" s="434">
        <f t="shared" si="250"/>
        <v>153.91999999999999</v>
      </c>
      <c r="J783" s="434">
        <f t="shared" si="250"/>
        <v>153.91999999999999</v>
      </c>
      <c r="K783" s="434">
        <f t="shared" si="250"/>
        <v>153.91999999999999</v>
      </c>
      <c r="L783" s="434">
        <f t="shared" si="250"/>
        <v>153.91999999999999</v>
      </c>
      <c r="M783" s="434">
        <f t="shared" si="250"/>
        <v>153.91999999999999</v>
      </c>
      <c r="N783" s="434">
        <f t="shared" si="250"/>
        <v>153.91999999999999</v>
      </c>
      <c r="O783" s="434">
        <f t="shared" si="250"/>
        <v>153.91999999999999</v>
      </c>
      <c r="P783" s="434">
        <f t="shared" si="250"/>
        <v>153.91999999999999</v>
      </c>
      <c r="Q783" s="434">
        <f>SUM(E783:P783)</f>
        <v>1847.0400000000002</v>
      </c>
    </row>
    <row r="784" spans="1:17" x14ac:dyDescent="0.2">
      <c r="D784" s="519"/>
      <c r="E784" s="482"/>
      <c r="I784" s="297"/>
      <c r="J784" s="292"/>
    </row>
    <row r="785" spans="1:18" x14ac:dyDescent="0.2">
      <c r="A785" s="224">
        <f>A783+1</f>
        <v>23</v>
      </c>
      <c r="C785" s="242" t="s">
        <v>209</v>
      </c>
      <c r="D785" s="519"/>
      <c r="E785" s="531">
        <f>'C'!D140</f>
        <v>3136.7</v>
      </c>
      <c r="F785" s="531">
        <f>'C'!E140</f>
        <v>2307.1999999999998</v>
      </c>
      <c r="G785" s="531">
        <f>'C'!F140</f>
        <v>1098.5999999999999</v>
      </c>
      <c r="H785" s="531">
        <f>'C'!G140</f>
        <v>641.70000000000005</v>
      </c>
      <c r="I785" s="531">
        <f>'C'!H140</f>
        <v>362.9</v>
      </c>
      <c r="J785" s="531">
        <f>'C'!I140</f>
        <v>221.4</v>
      </c>
      <c r="K785" s="531">
        <f>'C'!J140</f>
        <v>245</v>
      </c>
      <c r="L785" s="531">
        <f>'C'!K140</f>
        <v>196.3</v>
      </c>
      <c r="M785" s="531">
        <f>'C'!L140</f>
        <v>196.6</v>
      </c>
      <c r="N785" s="531">
        <f>'C'!M140</f>
        <v>705.2</v>
      </c>
      <c r="O785" s="531">
        <f>'C'!N140</f>
        <v>1014.3</v>
      </c>
      <c r="P785" s="531">
        <f>'C'!O140</f>
        <v>1194.8</v>
      </c>
      <c r="Q785" s="532">
        <f>SUM(E785:P785)</f>
        <v>11320.699999999999</v>
      </c>
    </row>
    <row r="786" spans="1:18" x14ac:dyDescent="0.2">
      <c r="A786" s="224">
        <f>A785+1</f>
        <v>24</v>
      </c>
      <c r="C786" s="305" t="s">
        <v>212</v>
      </c>
      <c r="D786" s="793">
        <f>Input!C37</f>
        <v>0.81499999999999995</v>
      </c>
      <c r="E786" s="434">
        <f t="shared" ref="E786:P786" si="251">ROUND(E785*$D$786,2)</f>
        <v>2556.41</v>
      </c>
      <c r="F786" s="434">
        <f t="shared" si="251"/>
        <v>1880.37</v>
      </c>
      <c r="G786" s="434">
        <f t="shared" si="251"/>
        <v>895.36</v>
      </c>
      <c r="H786" s="434">
        <f t="shared" si="251"/>
        <v>522.99</v>
      </c>
      <c r="I786" s="434">
        <f t="shared" si="251"/>
        <v>295.76</v>
      </c>
      <c r="J786" s="434">
        <f t="shared" si="251"/>
        <v>180.44</v>
      </c>
      <c r="K786" s="434">
        <f t="shared" si="251"/>
        <v>199.68</v>
      </c>
      <c r="L786" s="434">
        <f t="shared" si="251"/>
        <v>159.97999999999999</v>
      </c>
      <c r="M786" s="434">
        <f t="shared" si="251"/>
        <v>160.22999999999999</v>
      </c>
      <c r="N786" s="434">
        <f t="shared" si="251"/>
        <v>574.74</v>
      </c>
      <c r="O786" s="434">
        <f t="shared" si="251"/>
        <v>826.65</v>
      </c>
      <c r="P786" s="434">
        <f t="shared" si="251"/>
        <v>973.76</v>
      </c>
      <c r="Q786" s="434">
        <f>SUM(E786:P786)</f>
        <v>9226.369999999999</v>
      </c>
    </row>
    <row r="787" spans="1:18" x14ac:dyDescent="0.2">
      <c r="A787" s="224">
        <f>A786+1</f>
        <v>25</v>
      </c>
      <c r="C787" s="305"/>
      <c r="D787" s="519"/>
      <c r="E787" s="487"/>
      <c r="F787" s="487"/>
      <c r="G787" s="487"/>
      <c r="H787" s="487"/>
      <c r="I787" s="487"/>
      <c r="J787" s="487"/>
      <c r="K787" s="487"/>
      <c r="L787" s="487"/>
      <c r="M787" s="487"/>
      <c r="N787" s="487"/>
      <c r="O787" s="487"/>
      <c r="P787" s="487"/>
      <c r="Q787" s="488"/>
    </row>
    <row r="788" spans="1:18" x14ac:dyDescent="0.2">
      <c r="A788" s="224">
        <f>A787+1</f>
        <v>26</v>
      </c>
      <c r="C788" s="221" t="s">
        <v>204</v>
      </c>
      <c r="D788" s="519"/>
      <c r="E788" s="434">
        <f t="shared" ref="E788:O788" si="252">E782+E783+E786</f>
        <v>3664.33</v>
      </c>
      <c r="F788" s="434">
        <f t="shared" si="252"/>
        <v>2988.29</v>
      </c>
      <c r="G788" s="434">
        <f t="shared" si="252"/>
        <v>2003.2800000000002</v>
      </c>
      <c r="H788" s="434">
        <f t="shared" si="252"/>
        <v>1630.91</v>
      </c>
      <c r="I788" s="434">
        <f t="shared" si="252"/>
        <v>1403.68</v>
      </c>
      <c r="J788" s="434">
        <f t="shared" si="252"/>
        <v>1288.3600000000001</v>
      </c>
      <c r="K788" s="434">
        <f t="shared" si="252"/>
        <v>1307.6000000000001</v>
      </c>
      <c r="L788" s="434">
        <f t="shared" si="252"/>
        <v>1267.9000000000001</v>
      </c>
      <c r="M788" s="434">
        <f t="shared" si="252"/>
        <v>1268.1500000000001</v>
      </c>
      <c r="N788" s="434">
        <f t="shared" si="252"/>
        <v>1682.66</v>
      </c>
      <c r="O788" s="434">
        <f t="shared" si="252"/>
        <v>1934.5700000000002</v>
      </c>
      <c r="P788" s="434">
        <f>P782+P783+P786</f>
        <v>2081.6800000000003</v>
      </c>
      <c r="Q788" s="434">
        <f>SUM(E788:P788)</f>
        <v>22521.41</v>
      </c>
    </row>
    <row r="789" spans="1:18" x14ac:dyDescent="0.2">
      <c r="C789" s="242"/>
      <c r="D789" s="290"/>
      <c r="E789" s="466"/>
      <c r="F789" s="466"/>
      <c r="G789" s="466"/>
      <c r="H789" s="466"/>
      <c r="I789" s="473"/>
      <c r="J789" s="473"/>
      <c r="K789" s="466"/>
      <c r="L789" s="466"/>
      <c r="M789" s="466"/>
      <c r="N789" s="466"/>
      <c r="O789" s="466"/>
      <c r="P789" s="466"/>
      <c r="Q789" s="466"/>
    </row>
    <row r="790" spans="1:18" x14ac:dyDescent="0.2">
      <c r="A790" s="224">
        <f>A788+1</f>
        <v>27</v>
      </c>
      <c r="C790" s="242" t="s">
        <v>208</v>
      </c>
      <c r="D790" s="793">
        <f>EGC</f>
        <v>2.2090999999999998</v>
      </c>
      <c r="E790" s="434">
        <f t="shared" ref="E790:O790" si="253">ROUND(E785*$D$790,2)</f>
        <v>6929.28</v>
      </c>
      <c r="F790" s="434">
        <f t="shared" si="253"/>
        <v>5096.84</v>
      </c>
      <c r="G790" s="434">
        <f t="shared" si="253"/>
        <v>2426.92</v>
      </c>
      <c r="H790" s="434">
        <f t="shared" si="253"/>
        <v>1417.58</v>
      </c>
      <c r="I790" s="434">
        <f t="shared" si="253"/>
        <v>801.68</v>
      </c>
      <c r="J790" s="434">
        <f t="shared" si="253"/>
        <v>489.09</v>
      </c>
      <c r="K790" s="434">
        <f t="shared" si="253"/>
        <v>541.23</v>
      </c>
      <c r="L790" s="434">
        <f t="shared" si="253"/>
        <v>433.65</v>
      </c>
      <c r="M790" s="434">
        <f t="shared" si="253"/>
        <v>434.31</v>
      </c>
      <c r="N790" s="434">
        <f t="shared" si="253"/>
        <v>1557.86</v>
      </c>
      <c r="O790" s="434">
        <f t="shared" si="253"/>
        <v>2240.69</v>
      </c>
      <c r="P790" s="434">
        <f>ROUND(P785*$D$790,2)</f>
        <v>2639.43</v>
      </c>
      <c r="Q790" s="434">
        <f>SUM(E790:P790)</f>
        <v>25008.560000000001</v>
      </c>
    </row>
    <row r="791" spans="1:18" x14ac:dyDescent="0.2">
      <c r="C791" s="438"/>
      <c r="D791" s="290"/>
      <c r="E791" s="491"/>
      <c r="F791" s="491"/>
      <c r="G791" s="491"/>
      <c r="H791" s="491"/>
      <c r="I791" s="491"/>
      <c r="J791" s="491"/>
      <c r="K791" s="491"/>
      <c r="L791" s="491"/>
      <c r="M791" s="491"/>
      <c r="N791" s="491"/>
      <c r="O791" s="491"/>
      <c r="P791" s="491"/>
      <c r="Q791" s="491"/>
    </row>
    <row r="792" spans="1:18" x14ac:dyDescent="0.2">
      <c r="A792" s="453">
        <f>A790+1</f>
        <v>28</v>
      </c>
      <c r="B792" s="454"/>
      <c r="C792" s="456" t="s">
        <v>206</v>
      </c>
      <c r="D792" s="468"/>
      <c r="E792" s="457">
        <f t="shared" ref="E792:O792" si="254">E788+E790</f>
        <v>10593.61</v>
      </c>
      <c r="F792" s="457">
        <f t="shared" si="254"/>
        <v>8085.13</v>
      </c>
      <c r="G792" s="457">
        <f t="shared" si="254"/>
        <v>4430.2000000000007</v>
      </c>
      <c r="H792" s="457">
        <f t="shared" si="254"/>
        <v>3048.49</v>
      </c>
      <c r="I792" s="457">
        <f t="shared" si="254"/>
        <v>2205.36</v>
      </c>
      <c r="J792" s="457">
        <f t="shared" si="254"/>
        <v>1777.45</v>
      </c>
      <c r="K792" s="457">
        <f t="shared" si="254"/>
        <v>1848.8300000000002</v>
      </c>
      <c r="L792" s="457">
        <f t="shared" si="254"/>
        <v>1701.5500000000002</v>
      </c>
      <c r="M792" s="457">
        <f t="shared" si="254"/>
        <v>1702.46</v>
      </c>
      <c r="N792" s="457">
        <f t="shared" si="254"/>
        <v>3240.52</v>
      </c>
      <c r="O792" s="457">
        <f t="shared" si="254"/>
        <v>4175.26</v>
      </c>
      <c r="P792" s="457">
        <f>P788+P790</f>
        <v>4721.1100000000006</v>
      </c>
      <c r="Q792" s="457">
        <f>SUM(E792:P792)</f>
        <v>47529.97</v>
      </c>
    </row>
    <row r="793" spans="1:18" x14ac:dyDescent="0.2">
      <c r="C793" s="242"/>
      <c r="D793" s="290"/>
      <c r="E793" s="466"/>
      <c r="F793" s="466"/>
      <c r="G793" s="466"/>
      <c r="H793" s="466"/>
      <c r="I793" s="466"/>
      <c r="J793" s="466"/>
      <c r="K793" s="466"/>
      <c r="L793" s="466"/>
      <c r="M793" s="466"/>
      <c r="N793" s="466"/>
      <c r="O793" s="466"/>
      <c r="P793" s="466"/>
      <c r="Q793" s="466"/>
      <c r="R793" s="478"/>
    </row>
    <row r="794" spans="1:18" x14ac:dyDescent="0.2">
      <c r="A794" s="224">
        <f>A792+1</f>
        <v>29</v>
      </c>
      <c r="C794" s="242" t="s">
        <v>196</v>
      </c>
      <c r="D794" s="290"/>
      <c r="E794" s="466"/>
      <c r="F794" s="473"/>
      <c r="G794" s="473"/>
      <c r="H794" s="473"/>
      <c r="I794" s="473"/>
      <c r="J794" s="473"/>
      <c r="K794" s="473"/>
      <c r="L794" s="466"/>
      <c r="M794" s="466"/>
      <c r="N794" s="466"/>
      <c r="O794" s="466"/>
      <c r="P794" s="466"/>
      <c r="Q794" s="466"/>
    </row>
    <row r="795" spans="1:18" x14ac:dyDescent="0.2">
      <c r="A795" s="224">
        <f>A794+1</f>
        <v>30</v>
      </c>
      <c r="C795" s="242" t="s">
        <v>214</v>
      </c>
      <c r="D795" s="793">
        <f>Input!N37</f>
        <v>1.6E-2</v>
      </c>
      <c r="E795" s="434">
        <f t="shared" ref="E795:O795" si="255">ROUND(E785*$D$795,2)</f>
        <v>50.19</v>
      </c>
      <c r="F795" s="434">
        <f t="shared" si="255"/>
        <v>36.92</v>
      </c>
      <c r="G795" s="434">
        <f t="shared" si="255"/>
        <v>17.579999999999998</v>
      </c>
      <c r="H795" s="434">
        <f t="shared" si="255"/>
        <v>10.27</v>
      </c>
      <c r="I795" s="434">
        <f t="shared" si="255"/>
        <v>5.81</v>
      </c>
      <c r="J795" s="434">
        <f t="shared" si="255"/>
        <v>3.54</v>
      </c>
      <c r="K795" s="434">
        <f t="shared" si="255"/>
        <v>3.92</v>
      </c>
      <c r="L795" s="434">
        <f t="shared" si="255"/>
        <v>3.14</v>
      </c>
      <c r="M795" s="434">
        <f t="shared" si="255"/>
        <v>3.15</v>
      </c>
      <c r="N795" s="434">
        <f t="shared" si="255"/>
        <v>11.28</v>
      </c>
      <c r="O795" s="434">
        <f t="shared" si="255"/>
        <v>16.23</v>
      </c>
      <c r="P795" s="434">
        <f>ROUND(P785*$D$795,2)</f>
        <v>19.12</v>
      </c>
      <c r="Q795" s="434">
        <f>SUM(E795:P795)</f>
        <v>181.14999999999998</v>
      </c>
    </row>
    <row r="796" spans="1:18" x14ac:dyDescent="0.2">
      <c r="E796" s="466"/>
      <c r="F796" s="466"/>
      <c r="G796" s="466"/>
      <c r="H796" s="466"/>
      <c r="I796" s="466"/>
      <c r="J796" s="466"/>
      <c r="K796" s="466"/>
      <c r="L796" s="466"/>
      <c r="M796" s="466"/>
      <c r="N796" s="466"/>
      <c r="O796" s="466"/>
      <c r="P796" s="466"/>
      <c r="Q796" s="466"/>
    </row>
    <row r="797" spans="1:18" ht="10.8" thickBot="1" x14ac:dyDescent="0.25">
      <c r="A797" s="495">
        <f>A795+1</f>
        <v>31</v>
      </c>
      <c r="B797" s="496"/>
      <c r="C797" s="497" t="s">
        <v>205</v>
      </c>
      <c r="D797" s="497"/>
      <c r="E797" s="499">
        <f>E792+E795</f>
        <v>10643.800000000001</v>
      </c>
      <c r="F797" s="499">
        <f t="shared" ref="F797:P797" si="256">F792+F795</f>
        <v>8122.05</v>
      </c>
      <c r="G797" s="499">
        <f t="shared" si="256"/>
        <v>4447.7800000000007</v>
      </c>
      <c r="H797" s="499">
        <f t="shared" si="256"/>
        <v>3058.7599999999998</v>
      </c>
      <c r="I797" s="499">
        <f t="shared" si="256"/>
        <v>2211.17</v>
      </c>
      <c r="J797" s="499">
        <f t="shared" si="256"/>
        <v>1780.99</v>
      </c>
      <c r="K797" s="499">
        <f t="shared" si="256"/>
        <v>1852.7500000000002</v>
      </c>
      <c r="L797" s="499">
        <f t="shared" si="256"/>
        <v>1704.6900000000003</v>
      </c>
      <c r="M797" s="499">
        <f t="shared" si="256"/>
        <v>1705.6100000000001</v>
      </c>
      <c r="N797" s="499">
        <f t="shared" si="256"/>
        <v>3251.8</v>
      </c>
      <c r="O797" s="499">
        <f t="shared" si="256"/>
        <v>4191.49</v>
      </c>
      <c r="P797" s="499">
        <f t="shared" si="256"/>
        <v>4740.2300000000005</v>
      </c>
      <c r="Q797" s="499">
        <f>SUM(E797:P797)</f>
        <v>47711.12000000001</v>
      </c>
    </row>
    <row r="798" spans="1:18" ht="10.8" thickTop="1" x14ac:dyDescent="0.2">
      <c r="E798" s="478"/>
      <c r="F798" s="478"/>
      <c r="G798" s="478"/>
      <c r="H798" s="478"/>
      <c r="I798" s="478"/>
      <c r="J798" s="478"/>
      <c r="K798" s="478"/>
      <c r="L798" s="478"/>
      <c r="M798" s="478"/>
      <c r="N798" s="478"/>
      <c r="O798" s="478"/>
      <c r="P798" s="478"/>
      <c r="Q798" s="533"/>
    </row>
    <row r="800" spans="1:18" x14ac:dyDescent="0.2">
      <c r="A800" s="224" t="str">
        <f>$A$270</f>
        <v>[1] Reflects Normalized Volumes.</v>
      </c>
    </row>
    <row r="801" spans="1:17" x14ac:dyDescent="0.2">
      <c r="A801" s="224" t="str">
        <f>"[2] Reflects Gas Cost Adjustment Rate"&amp;CONCATENATE(" as of ",EGCDATE)&amp;"."</f>
        <v>[2] Reflects Gas Cost Adjustment Rate as of March 1, 2016.</v>
      </c>
    </row>
    <row r="802" spans="1:17" x14ac:dyDescent="0.2">
      <c r="A802" s="887" t="str">
        <f>CONAME</f>
        <v>Columbia Gas of Kentucky, Inc.</v>
      </c>
      <c r="B802" s="887"/>
      <c r="C802" s="887"/>
      <c r="D802" s="887"/>
      <c r="E802" s="887"/>
      <c r="F802" s="887"/>
      <c r="G802" s="887"/>
      <c r="H802" s="887"/>
      <c r="I802" s="887"/>
      <c r="J802" s="887"/>
      <c r="K802" s="887"/>
      <c r="L802" s="887"/>
      <c r="M802" s="887"/>
      <c r="N802" s="887"/>
      <c r="O802" s="887"/>
      <c r="P802" s="887"/>
      <c r="Q802" s="887"/>
    </row>
    <row r="803" spans="1:17" x14ac:dyDescent="0.2">
      <c r="A803" s="875" t="str">
        <f>case</f>
        <v>Case No. 2016-00162</v>
      </c>
      <c r="B803" s="875"/>
      <c r="C803" s="875"/>
      <c r="D803" s="875"/>
      <c r="E803" s="875"/>
      <c r="F803" s="875"/>
      <c r="G803" s="875"/>
      <c r="H803" s="875"/>
      <c r="I803" s="875"/>
      <c r="J803" s="875"/>
      <c r="K803" s="875"/>
      <c r="L803" s="875"/>
      <c r="M803" s="875"/>
      <c r="N803" s="875"/>
      <c r="O803" s="875"/>
      <c r="P803" s="875"/>
      <c r="Q803" s="875"/>
    </row>
    <row r="804" spans="1:17" x14ac:dyDescent="0.2">
      <c r="A804" s="888" t="s">
        <v>503</v>
      </c>
      <c r="B804" s="888"/>
      <c r="C804" s="888"/>
      <c r="D804" s="888"/>
      <c r="E804" s="888"/>
      <c r="F804" s="888"/>
      <c r="G804" s="888"/>
      <c r="H804" s="888"/>
      <c r="I804" s="888"/>
      <c r="J804" s="888"/>
      <c r="K804" s="888"/>
      <c r="L804" s="888"/>
      <c r="M804" s="888"/>
      <c r="N804" s="888"/>
      <c r="O804" s="888"/>
      <c r="P804" s="888"/>
      <c r="Q804" s="888"/>
    </row>
    <row r="805" spans="1:17" x14ac:dyDescent="0.2">
      <c r="A805" s="887" t="str">
        <f>TYDESC</f>
        <v>For the 12 Months Ended December 31, 2017</v>
      </c>
      <c r="B805" s="887"/>
      <c r="C805" s="887"/>
      <c r="D805" s="887"/>
      <c r="E805" s="887"/>
      <c r="F805" s="887"/>
      <c r="G805" s="887"/>
      <c r="H805" s="887"/>
      <c r="I805" s="887"/>
      <c r="J805" s="887"/>
      <c r="K805" s="887"/>
      <c r="L805" s="887"/>
      <c r="M805" s="887"/>
      <c r="N805" s="887"/>
      <c r="O805" s="887"/>
      <c r="P805" s="887"/>
      <c r="Q805" s="887"/>
    </row>
    <row r="806" spans="1:17" x14ac:dyDescent="0.2">
      <c r="A806" s="885" t="s">
        <v>39</v>
      </c>
      <c r="B806" s="885"/>
      <c r="C806" s="885"/>
      <c r="D806" s="885"/>
      <c r="E806" s="885"/>
      <c r="F806" s="885"/>
      <c r="G806" s="885"/>
      <c r="H806" s="885"/>
      <c r="I806" s="885"/>
      <c r="J806" s="885"/>
      <c r="K806" s="885"/>
      <c r="L806" s="885"/>
      <c r="M806" s="885"/>
      <c r="N806" s="885"/>
      <c r="O806" s="885"/>
      <c r="P806" s="885"/>
      <c r="Q806" s="885"/>
    </row>
    <row r="807" spans="1:17" x14ac:dyDescent="0.2">
      <c r="A807" s="266" t="str">
        <f>$A$52</f>
        <v>Data: __ Base Period _X_ Forecasted Period</v>
      </c>
    </row>
    <row r="808" spans="1:17" x14ac:dyDescent="0.2">
      <c r="A808" s="266" t="str">
        <f>$A$53</f>
        <v>Type of Filing: X Original _ Update _ Revised</v>
      </c>
      <c r="Q808" s="420" t="str">
        <f>$Q$53</f>
        <v>Schedule M-2.2</v>
      </c>
    </row>
    <row r="809" spans="1:17" x14ac:dyDescent="0.2">
      <c r="A809" s="266" t="str">
        <f>$A$54</f>
        <v>Work Paper Reference No(s):</v>
      </c>
      <c r="Q809" s="420" t="s">
        <v>520</v>
      </c>
    </row>
    <row r="810" spans="1:17" x14ac:dyDescent="0.2">
      <c r="A810" s="421" t="str">
        <f>$A$55</f>
        <v>12 Months Forecasted</v>
      </c>
      <c r="Q810" s="420" t="str">
        <f>Witness</f>
        <v>Witness:  M. J. Bell</v>
      </c>
    </row>
    <row r="811" spans="1:17" x14ac:dyDescent="0.2">
      <c r="A811" s="886" t="s">
        <v>194</v>
      </c>
      <c r="B811" s="886"/>
      <c r="C811" s="886"/>
      <c r="D811" s="886"/>
      <c r="E811" s="886"/>
      <c r="F811" s="886"/>
      <c r="G811" s="886"/>
      <c r="H811" s="886"/>
      <c r="I811" s="886"/>
      <c r="J811" s="886"/>
      <c r="K811" s="886"/>
      <c r="L811" s="886"/>
      <c r="M811" s="886"/>
      <c r="N811" s="886"/>
      <c r="O811" s="886"/>
      <c r="P811" s="886"/>
      <c r="Q811" s="886"/>
    </row>
    <row r="812" spans="1:17" x14ac:dyDescent="0.2">
      <c r="A812" s="440"/>
      <c r="B812" s="305"/>
      <c r="C812" s="305"/>
      <c r="D812" s="304"/>
      <c r="E812" s="305"/>
      <c r="F812" s="422"/>
      <c r="G812" s="442"/>
      <c r="H812" s="422"/>
      <c r="I812" s="443"/>
      <c r="J812" s="422"/>
      <c r="K812" s="422"/>
      <c r="L812" s="422"/>
      <c r="M812" s="422"/>
      <c r="N812" s="422"/>
      <c r="O812" s="422"/>
      <c r="P812" s="422"/>
      <c r="Q812" s="305"/>
    </row>
    <row r="813" spans="1:17" x14ac:dyDescent="0.2">
      <c r="A813" s="416" t="s">
        <v>1</v>
      </c>
      <c r="B813" s="226" t="s">
        <v>0</v>
      </c>
      <c r="C813" s="226" t="s">
        <v>41</v>
      </c>
      <c r="D813" s="423" t="s">
        <v>47</v>
      </c>
      <c r="E813" s="226"/>
      <c r="F813" s="424"/>
      <c r="G813" s="425"/>
      <c r="H813" s="424"/>
      <c r="I813" s="426"/>
      <c r="J813" s="424"/>
      <c r="K813" s="424"/>
      <c r="L813" s="424"/>
      <c r="M813" s="424"/>
      <c r="N813" s="424"/>
      <c r="O813" s="424"/>
      <c r="P813" s="424"/>
      <c r="Q813" s="231"/>
    </row>
    <row r="814" spans="1:17" x14ac:dyDescent="0.2">
      <c r="A814" s="285" t="s">
        <v>3</v>
      </c>
      <c r="B814" s="228" t="s">
        <v>40</v>
      </c>
      <c r="C814" s="228" t="s">
        <v>4</v>
      </c>
      <c r="D814" s="427" t="s">
        <v>48</v>
      </c>
      <c r="E814" s="428" t="str">
        <f>B!$D$11</f>
        <v>Jan-17</v>
      </c>
      <c r="F814" s="428" t="str">
        <f>B!$E$11</f>
        <v>Feb-17</v>
      </c>
      <c r="G814" s="428" t="str">
        <f>B!$F$11</f>
        <v>Mar-17</v>
      </c>
      <c r="H814" s="428" t="str">
        <f>B!$G$11</f>
        <v>Apr-17</v>
      </c>
      <c r="I814" s="428" t="str">
        <f>B!$H$11</f>
        <v>May-17</v>
      </c>
      <c r="J814" s="428" t="str">
        <f>B!$I$11</f>
        <v>Jun-17</v>
      </c>
      <c r="K814" s="428" t="str">
        <f>B!$J$11</f>
        <v>Jul-17</v>
      </c>
      <c r="L814" s="428" t="str">
        <f>B!$K$11</f>
        <v>Aug-17</v>
      </c>
      <c r="M814" s="428" t="str">
        <f>B!$L$11</f>
        <v>Sep-17</v>
      </c>
      <c r="N814" s="428" t="str">
        <f>B!$M$11</f>
        <v>Oct-17</v>
      </c>
      <c r="O814" s="428" t="str">
        <f>B!$N$11</f>
        <v>Nov-17</v>
      </c>
      <c r="P814" s="428" t="str">
        <f>B!$O$11</f>
        <v>Dec-17</v>
      </c>
      <c r="Q814" s="429" t="s">
        <v>9</v>
      </c>
    </row>
    <row r="815" spans="1:17" x14ac:dyDescent="0.2">
      <c r="A815" s="416"/>
      <c r="B815" s="231" t="s">
        <v>42</v>
      </c>
      <c r="C815" s="231" t="s">
        <v>43</v>
      </c>
      <c r="D815" s="430" t="s">
        <v>45</v>
      </c>
      <c r="E815" s="431" t="s">
        <v>46</v>
      </c>
      <c r="F815" s="431" t="s">
        <v>49</v>
      </c>
      <c r="G815" s="431" t="s">
        <v>50</v>
      </c>
      <c r="H815" s="431" t="s">
        <v>51</v>
      </c>
      <c r="I815" s="431" t="s">
        <v>52</v>
      </c>
      <c r="J815" s="431" t="s">
        <v>53</v>
      </c>
      <c r="K815" s="432" t="s">
        <v>54</v>
      </c>
      <c r="L815" s="432" t="s">
        <v>55</v>
      </c>
      <c r="M815" s="432" t="s">
        <v>56</v>
      </c>
      <c r="N815" s="432" t="s">
        <v>57</v>
      </c>
      <c r="O815" s="432" t="s">
        <v>58</v>
      </c>
      <c r="P815" s="432" t="s">
        <v>59</v>
      </c>
      <c r="Q815" s="432" t="s">
        <v>203</v>
      </c>
    </row>
    <row r="816" spans="1:17" x14ac:dyDescent="0.2">
      <c r="E816" s="231"/>
      <c r="F816" s="432"/>
      <c r="G816" s="444"/>
      <c r="H816" s="432"/>
      <c r="I816" s="431"/>
      <c r="J816" s="432"/>
      <c r="K816" s="432"/>
      <c r="L816" s="432"/>
      <c r="M816" s="432"/>
      <c r="N816" s="432"/>
      <c r="O816" s="432"/>
      <c r="P816" s="432"/>
      <c r="Q816" s="231"/>
    </row>
    <row r="817" spans="1:17" x14ac:dyDescent="0.2">
      <c r="A817" s="224">
        <v>1</v>
      </c>
      <c r="B817" s="221" t="str">
        <f>B227</f>
        <v>GTR</v>
      </c>
      <c r="C817" s="221" t="str">
        <f>C227</f>
        <v xml:space="preserve">GTS Choice - Residential </v>
      </c>
    </row>
    <row r="819" spans="1:17" x14ac:dyDescent="0.2">
      <c r="A819" s="224">
        <f>A817+1</f>
        <v>2</v>
      </c>
      <c r="C819" s="225" t="s">
        <v>109</v>
      </c>
    </row>
    <row r="820" spans="1:17" x14ac:dyDescent="0.2">
      <c r="C820" s="225"/>
      <c r="E820" s="224"/>
      <c r="F820" s="292"/>
      <c r="G820" s="476"/>
      <c r="H820" s="292"/>
      <c r="I820" s="297"/>
      <c r="J820" s="292"/>
      <c r="K820" s="292"/>
    </row>
    <row r="821" spans="1:17" x14ac:dyDescent="0.2">
      <c r="A821" s="224">
        <f>A819+1</f>
        <v>3</v>
      </c>
      <c r="C821" s="221" t="s">
        <v>202</v>
      </c>
      <c r="E821" s="479">
        <f>B!D164</f>
        <v>23720</v>
      </c>
      <c r="F821" s="479">
        <f>B!E164</f>
        <v>23785</v>
      </c>
      <c r="G821" s="479">
        <f>B!F164</f>
        <v>23786</v>
      </c>
      <c r="H821" s="479">
        <f>B!G164</f>
        <v>23694</v>
      </c>
      <c r="I821" s="479">
        <f>B!H164</f>
        <v>23612</v>
      </c>
      <c r="J821" s="479">
        <f>B!I164</f>
        <v>23386</v>
      </c>
      <c r="K821" s="479">
        <f>B!J164</f>
        <v>23238</v>
      </c>
      <c r="L821" s="479">
        <f>B!K164</f>
        <v>23223</v>
      </c>
      <c r="M821" s="479">
        <f>B!L164</f>
        <v>23179</v>
      </c>
      <c r="N821" s="479">
        <f>B!M164</f>
        <v>23188</v>
      </c>
      <c r="O821" s="479">
        <f>B!N164</f>
        <v>23458</v>
      </c>
      <c r="P821" s="479">
        <f>B!O164</f>
        <v>23677</v>
      </c>
      <c r="Q821" s="480">
        <f>SUM(E821:P821)</f>
        <v>281946</v>
      </c>
    </row>
    <row r="822" spans="1:17" x14ac:dyDescent="0.2">
      <c r="A822" s="224">
        <f>A821+1</f>
        <v>4</v>
      </c>
      <c r="C822" s="221" t="s">
        <v>210</v>
      </c>
      <c r="D822" s="792">
        <f>Input!H41</f>
        <v>15</v>
      </c>
      <c r="E822" s="434">
        <f t="shared" ref="E822:P822" si="257">ROUND(E821*$D$822,2)</f>
        <v>355800</v>
      </c>
      <c r="F822" s="434">
        <f t="shared" si="257"/>
        <v>356775</v>
      </c>
      <c r="G822" s="434">
        <f t="shared" si="257"/>
        <v>356790</v>
      </c>
      <c r="H822" s="434">
        <f t="shared" si="257"/>
        <v>355410</v>
      </c>
      <c r="I822" s="434">
        <f t="shared" si="257"/>
        <v>354180</v>
      </c>
      <c r="J822" s="434">
        <f t="shared" si="257"/>
        <v>350790</v>
      </c>
      <c r="K822" s="434">
        <f t="shared" si="257"/>
        <v>348570</v>
      </c>
      <c r="L822" s="434">
        <f t="shared" si="257"/>
        <v>348345</v>
      </c>
      <c r="M822" s="434">
        <f t="shared" si="257"/>
        <v>347685</v>
      </c>
      <c r="N822" s="434">
        <f t="shared" si="257"/>
        <v>347820</v>
      </c>
      <c r="O822" s="434">
        <f t="shared" si="257"/>
        <v>351870</v>
      </c>
      <c r="P822" s="434">
        <f t="shared" si="257"/>
        <v>355155</v>
      </c>
      <c r="Q822" s="434">
        <f>SUM(E822:P822)</f>
        <v>4229190</v>
      </c>
    </row>
    <row r="823" spans="1:17" x14ac:dyDescent="0.2">
      <c r="A823" s="224">
        <f>A822+1</f>
        <v>5</v>
      </c>
      <c r="C823" s="221" t="s">
        <v>211</v>
      </c>
      <c r="D823" s="792">
        <f>Input!J41</f>
        <v>2.25</v>
      </c>
      <c r="E823" s="434">
        <f t="shared" ref="E823:P823" si="258">ROUND(E821*$D$823,2)</f>
        <v>53370</v>
      </c>
      <c r="F823" s="434">
        <f t="shared" si="258"/>
        <v>53516.25</v>
      </c>
      <c r="G823" s="434">
        <f t="shared" si="258"/>
        <v>53518.5</v>
      </c>
      <c r="H823" s="434">
        <f t="shared" si="258"/>
        <v>53311.5</v>
      </c>
      <c r="I823" s="434">
        <f t="shared" si="258"/>
        <v>53127</v>
      </c>
      <c r="J823" s="434">
        <f t="shared" si="258"/>
        <v>52618.5</v>
      </c>
      <c r="K823" s="434">
        <f t="shared" si="258"/>
        <v>52285.5</v>
      </c>
      <c r="L823" s="434">
        <f t="shared" si="258"/>
        <v>52251.75</v>
      </c>
      <c r="M823" s="434">
        <f t="shared" si="258"/>
        <v>52152.75</v>
      </c>
      <c r="N823" s="434">
        <f t="shared" si="258"/>
        <v>52173</v>
      </c>
      <c r="O823" s="434">
        <f t="shared" si="258"/>
        <v>52780.5</v>
      </c>
      <c r="P823" s="434">
        <f t="shared" si="258"/>
        <v>53273.25</v>
      </c>
      <c r="Q823" s="434">
        <f>SUM(E823:P823)</f>
        <v>634378.5</v>
      </c>
    </row>
    <row r="824" spans="1:17" x14ac:dyDescent="0.2">
      <c r="D824" s="519"/>
      <c r="E824" s="482"/>
      <c r="I824" s="297"/>
      <c r="J824" s="292"/>
    </row>
    <row r="825" spans="1:17" x14ac:dyDescent="0.2">
      <c r="A825" s="224">
        <f>A823+1</f>
        <v>6</v>
      </c>
      <c r="C825" s="221" t="s">
        <v>209</v>
      </c>
      <c r="D825" s="519"/>
      <c r="E825" s="483">
        <f>'C'!D186</f>
        <v>364000</v>
      </c>
      <c r="F825" s="483">
        <f>'C'!E186</f>
        <v>353000</v>
      </c>
      <c r="G825" s="483">
        <f>'C'!F186</f>
        <v>265000</v>
      </c>
      <c r="H825" s="483">
        <f>'C'!G186</f>
        <v>151000</v>
      </c>
      <c r="I825" s="483">
        <f>'C'!H186</f>
        <v>71000</v>
      </c>
      <c r="J825" s="483">
        <f>'C'!I186</f>
        <v>34000</v>
      </c>
      <c r="K825" s="483">
        <f>'C'!J186</f>
        <v>24000</v>
      </c>
      <c r="L825" s="483">
        <f>'C'!K186</f>
        <v>23000</v>
      </c>
      <c r="M825" s="483">
        <f>'C'!L186</f>
        <v>25000</v>
      </c>
      <c r="N825" s="483">
        <f>'C'!M186</f>
        <v>39000</v>
      </c>
      <c r="O825" s="483">
        <f>'C'!N186</f>
        <v>111000</v>
      </c>
      <c r="P825" s="483">
        <f>'C'!O186</f>
        <v>247000</v>
      </c>
      <c r="Q825" s="484">
        <f>SUM(E825:P825)</f>
        <v>1707000</v>
      </c>
    </row>
    <row r="826" spans="1:17" x14ac:dyDescent="0.2">
      <c r="A826" s="224">
        <f>A825+1</f>
        <v>7</v>
      </c>
      <c r="C826" s="221" t="s">
        <v>212</v>
      </c>
      <c r="D826" s="793">
        <f>Input!C41</f>
        <v>2.2665999999999999</v>
      </c>
      <c r="E826" s="434">
        <f t="shared" ref="E826:P826" si="259">ROUND(E825*$D$826,2)</f>
        <v>825042.4</v>
      </c>
      <c r="F826" s="434">
        <f t="shared" si="259"/>
        <v>800109.8</v>
      </c>
      <c r="G826" s="434">
        <f t="shared" si="259"/>
        <v>600649</v>
      </c>
      <c r="H826" s="434">
        <f t="shared" si="259"/>
        <v>342256.6</v>
      </c>
      <c r="I826" s="434">
        <f t="shared" si="259"/>
        <v>160928.6</v>
      </c>
      <c r="J826" s="434">
        <f t="shared" si="259"/>
        <v>77064.399999999994</v>
      </c>
      <c r="K826" s="434">
        <f t="shared" si="259"/>
        <v>54398.400000000001</v>
      </c>
      <c r="L826" s="434">
        <f t="shared" si="259"/>
        <v>52131.8</v>
      </c>
      <c r="M826" s="434">
        <f t="shared" si="259"/>
        <v>56665</v>
      </c>
      <c r="N826" s="434">
        <f t="shared" si="259"/>
        <v>88397.4</v>
      </c>
      <c r="O826" s="434">
        <f t="shared" si="259"/>
        <v>251592.6</v>
      </c>
      <c r="P826" s="434">
        <f t="shared" si="259"/>
        <v>559850.19999999995</v>
      </c>
      <c r="Q826" s="434">
        <f>SUM(E826:P826)</f>
        <v>3869086.2</v>
      </c>
    </row>
    <row r="827" spans="1:17" x14ac:dyDescent="0.2">
      <c r="D827" s="519"/>
      <c r="E827" s="487"/>
      <c r="F827" s="487"/>
      <c r="G827" s="487"/>
      <c r="H827" s="487"/>
      <c r="I827" s="487"/>
      <c r="J827" s="487"/>
      <c r="K827" s="487"/>
      <c r="L827" s="487"/>
      <c r="M827" s="487"/>
      <c r="N827" s="487"/>
      <c r="O827" s="487"/>
      <c r="P827" s="487"/>
      <c r="Q827" s="488"/>
    </row>
    <row r="828" spans="1:17" x14ac:dyDescent="0.2">
      <c r="A828" s="224">
        <f>A826+1</f>
        <v>8</v>
      </c>
      <c r="C828" s="221" t="s">
        <v>204</v>
      </c>
      <c r="D828" s="519"/>
      <c r="E828" s="434">
        <f t="shared" ref="E828:O828" si="260">E822+E823+E826</f>
        <v>1234212.3999999999</v>
      </c>
      <c r="F828" s="434">
        <f t="shared" si="260"/>
        <v>1210401.05</v>
      </c>
      <c r="G828" s="434">
        <f t="shared" si="260"/>
        <v>1010957.5</v>
      </c>
      <c r="H828" s="434">
        <f t="shared" si="260"/>
        <v>750978.1</v>
      </c>
      <c r="I828" s="434">
        <f t="shared" si="260"/>
        <v>568235.6</v>
      </c>
      <c r="J828" s="434">
        <f t="shared" si="260"/>
        <v>480472.9</v>
      </c>
      <c r="K828" s="434">
        <f t="shared" si="260"/>
        <v>455253.9</v>
      </c>
      <c r="L828" s="434">
        <f t="shared" si="260"/>
        <v>452728.55</v>
      </c>
      <c r="M828" s="434">
        <f t="shared" si="260"/>
        <v>456502.75</v>
      </c>
      <c r="N828" s="434">
        <f t="shared" si="260"/>
        <v>488390.40000000002</v>
      </c>
      <c r="O828" s="434">
        <f t="shared" si="260"/>
        <v>656243.1</v>
      </c>
      <c r="P828" s="434">
        <f>P822+P823+P826</f>
        <v>968278.45</v>
      </c>
      <c r="Q828" s="434">
        <f>SUM(E828:P828)</f>
        <v>8732654.6999999993</v>
      </c>
    </row>
    <row r="829" spans="1:17" x14ac:dyDescent="0.2">
      <c r="D829" s="519"/>
      <c r="E829" s="466"/>
      <c r="F829" s="466"/>
      <c r="G829" s="466"/>
      <c r="H829" s="466"/>
      <c r="I829" s="473"/>
      <c r="J829" s="473"/>
      <c r="K829" s="466"/>
      <c r="L829" s="466"/>
      <c r="M829" s="466"/>
      <c r="N829" s="466"/>
      <c r="O829" s="466"/>
      <c r="P829" s="466"/>
      <c r="Q829" s="466"/>
    </row>
    <row r="830" spans="1:17" x14ac:dyDescent="0.2">
      <c r="A830" s="224">
        <f>A828+1</f>
        <v>9</v>
      </c>
      <c r="C830" s="221" t="s">
        <v>151</v>
      </c>
      <c r="D830" s="794">
        <v>0</v>
      </c>
      <c r="E830" s="517">
        <v>0</v>
      </c>
      <c r="F830" s="517">
        <v>0</v>
      </c>
      <c r="G830" s="517">
        <v>0</v>
      </c>
      <c r="H830" s="517">
        <v>0</v>
      </c>
      <c r="I830" s="517">
        <v>0</v>
      </c>
      <c r="J830" s="517">
        <v>0</v>
      </c>
      <c r="K830" s="517">
        <v>0</v>
      </c>
      <c r="L830" s="517">
        <v>0</v>
      </c>
      <c r="M830" s="517">
        <v>0</v>
      </c>
      <c r="N830" s="517">
        <v>0</v>
      </c>
      <c r="O830" s="517">
        <v>0</v>
      </c>
      <c r="P830" s="517">
        <v>0</v>
      </c>
      <c r="Q830" s="434">
        <f>SUM(E830:P830)</f>
        <v>0</v>
      </c>
    </row>
    <row r="831" spans="1:17" x14ac:dyDescent="0.2">
      <c r="D831" s="519"/>
      <c r="E831" s="491"/>
      <c r="F831" s="491"/>
      <c r="G831" s="491"/>
      <c r="H831" s="491"/>
      <c r="I831" s="491"/>
      <c r="J831" s="491"/>
      <c r="K831" s="491"/>
      <c r="L831" s="491"/>
      <c r="M831" s="491"/>
      <c r="N831" s="491"/>
      <c r="O831" s="491"/>
      <c r="P831" s="491"/>
      <c r="Q831" s="491"/>
    </row>
    <row r="832" spans="1:17" x14ac:dyDescent="0.2">
      <c r="A832" s="453">
        <f>A830+1</f>
        <v>10</v>
      </c>
      <c r="B832" s="454"/>
      <c r="C832" s="454" t="s">
        <v>206</v>
      </c>
      <c r="D832" s="468"/>
      <c r="E832" s="457">
        <f t="shared" ref="E832:N832" si="261">E828+E830</f>
        <v>1234212.3999999999</v>
      </c>
      <c r="F832" s="457">
        <f t="shared" si="261"/>
        <v>1210401.05</v>
      </c>
      <c r="G832" s="457">
        <f t="shared" si="261"/>
        <v>1010957.5</v>
      </c>
      <c r="H832" s="457">
        <f t="shared" si="261"/>
        <v>750978.1</v>
      </c>
      <c r="I832" s="457">
        <f t="shared" si="261"/>
        <v>568235.6</v>
      </c>
      <c r="J832" s="457">
        <f t="shared" si="261"/>
        <v>480472.9</v>
      </c>
      <c r="K832" s="457">
        <f t="shared" si="261"/>
        <v>455253.9</v>
      </c>
      <c r="L832" s="457">
        <f t="shared" si="261"/>
        <v>452728.55</v>
      </c>
      <c r="M832" s="457">
        <f t="shared" si="261"/>
        <v>456502.75</v>
      </c>
      <c r="N832" s="457">
        <f t="shared" si="261"/>
        <v>488390.40000000002</v>
      </c>
      <c r="O832" s="457">
        <f>O828+O830</f>
        <v>656243.1</v>
      </c>
      <c r="P832" s="457">
        <f>P828+P830</f>
        <v>968278.45</v>
      </c>
      <c r="Q832" s="457">
        <f>SUM(E832:P832)</f>
        <v>8732654.6999999993</v>
      </c>
    </row>
    <row r="833" spans="1:23" x14ac:dyDescent="0.2">
      <c r="D833" s="519"/>
      <c r="E833" s="466"/>
      <c r="F833" s="466"/>
      <c r="G833" s="466"/>
      <c r="H833" s="466"/>
      <c r="I833" s="466"/>
      <c r="J833" s="466"/>
      <c r="K833" s="466"/>
      <c r="L833" s="466"/>
      <c r="M833" s="466"/>
      <c r="N833" s="466"/>
      <c r="O833" s="466"/>
      <c r="P833" s="466"/>
      <c r="Q833" s="466"/>
    </row>
    <row r="834" spans="1:23" x14ac:dyDescent="0.2">
      <c r="A834" s="224">
        <f>A832+1</f>
        <v>11</v>
      </c>
      <c r="C834" s="221" t="s">
        <v>196</v>
      </c>
      <c r="D834" s="519"/>
      <c r="E834" s="478"/>
      <c r="F834" s="489"/>
      <c r="G834" s="489"/>
      <c r="H834" s="489"/>
      <c r="I834" s="489"/>
      <c r="J834" s="489"/>
      <c r="K834" s="489"/>
      <c r="L834" s="478"/>
      <c r="M834" s="478"/>
      <c r="N834" s="478"/>
      <c r="O834" s="478"/>
      <c r="P834" s="478"/>
      <c r="Q834" s="478"/>
    </row>
    <row r="835" spans="1:23" x14ac:dyDescent="0.2">
      <c r="A835" s="224">
        <f>A834+1</f>
        <v>12</v>
      </c>
      <c r="C835" s="221" t="s">
        <v>213</v>
      </c>
      <c r="D835" s="793">
        <f>Input!K41</f>
        <v>0.69</v>
      </c>
      <c r="E835" s="434">
        <f t="shared" ref="E835:O835" si="262">ROUND(E821*$D$835,2)</f>
        <v>16366.8</v>
      </c>
      <c r="F835" s="434">
        <f t="shared" si="262"/>
        <v>16411.650000000001</v>
      </c>
      <c r="G835" s="434">
        <f t="shared" si="262"/>
        <v>16412.34</v>
      </c>
      <c r="H835" s="434">
        <f t="shared" si="262"/>
        <v>16348.86</v>
      </c>
      <c r="I835" s="434">
        <f t="shared" si="262"/>
        <v>16292.28</v>
      </c>
      <c r="J835" s="434">
        <f t="shared" si="262"/>
        <v>16136.34</v>
      </c>
      <c r="K835" s="434">
        <f t="shared" si="262"/>
        <v>16034.22</v>
      </c>
      <c r="L835" s="434">
        <f t="shared" si="262"/>
        <v>16023.87</v>
      </c>
      <c r="M835" s="434">
        <f t="shared" si="262"/>
        <v>15993.51</v>
      </c>
      <c r="N835" s="434">
        <f t="shared" si="262"/>
        <v>15999.72</v>
      </c>
      <c r="O835" s="434">
        <f t="shared" si="262"/>
        <v>16186.02</v>
      </c>
      <c r="P835" s="434">
        <f>ROUND(P821*$D$835,2)</f>
        <v>16337.13</v>
      </c>
      <c r="Q835" s="434">
        <f>SUM(E835:P835)</f>
        <v>194542.74</v>
      </c>
    </row>
    <row r="836" spans="1:23" x14ac:dyDescent="0.2">
      <c r="A836" s="224">
        <f>A835+1</f>
        <v>13</v>
      </c>
      <c r="C836" s="224" t="s">
        <v>215</v>
      </c>
      <c r="D836" s="793">
        <f>Input!L41</f>
        <v>5.9700000000000003E-2</v>
      </c>
      <c r="E836" s="277">
        <f t="shared" ref="E836:O836" si="263">ROUND(E825*$D$836,2)</f>
        <v>21730.799999999999</v>
      </c>
      <c r="F836" s="277">
        <f t="shared" si="263"/>
        <v>21074.1</v>
      </c>
      <c r="G836" s="277">
        <f t="shared" si="263"/>
        <v>15820.5</v>
      </c>
      <c r="H836" s="277">
        <f t="shared" si="263"/>
        <v>9014.7000000000007</v>
      </c>
      <c r="I836" s="277">
        <f t="shared" si="263"/>
        <v>4238.7</v>
      </c>
      <c r="J836" s="277">
        <f t="shared" si="263"/>
        <v>2029.8</v>
      </c>
      <c r="K836" s="277">
        <f t="shared" si="263"/>
        <v>1432.8</v>
      </c>
      <c r="L836" s="277">
        <f t="shared" si="263"/>
        <v>1373.1</v>
      </c>
      <c r="M836" s="277">
        <f t="shared" si="263"/>
        <v>1492.5</v>
      </c>
      <c r="N836" s="277">
        <f t="shared" si="263"/>
        <v>2328.3000000000002</v>
      </c>
      <c r="O836" s="277">
        <f t="shared" si="263"/>
        <v>6626.7</v>
      </c>
      <c r="P836" s="277">
        <f>ROUND(P825*$D$836,2)</f>
        <v>14745.9</v>
      </c>
      <c r="Q836" s="438">
        <f>SUM(E836:P836)</f>
        <v>101907.9</v>
      </c>
    </row>
    <row r="837" spans="1:23" x14ac:dyDescent="0.2">
      <c r="A837" s="224">
        <f>A836+1</f>
        <v>14</v>
      </c>
      <c r="C837" s="221" t="s">
        <v>216</v>
      </c>
      <c r="E837" s="434">
        <f t="shared" ref="E837:O837" si="264">SUM(E835:E836)</f>
        <v>38097.599999999999</v>
      </c>
      <c r="F837" s="434">
        <f t="shared" si="264"/>
        <v>37485.75</v>
      </c>
      <c r="G837" s="434">
        <f t="shared" si="264"/>
        <v>32232.84</v>
      </c>
      <c r="H837" s="434">
        <f t="shared" si="264"/>
        <v>25363.56</v>
      </c>
      <c r="I837" s="434">
        <f t="shared" si="264"/>
        <v>20530.98</v>
      </c>
      <c r="J837" s="434">
        <f t="shared" si="264"/>
        <v>18166.14</v>
      </c>
      <c r="K837" s="434">
        <f t="shared" si="264"/>
        <v>17467.02</v>
      </c>
      <c r="L837" s="434">
        <f t="shared" si="264"/>
        <v>17396.97</v>
      </c>
      <c r="M837" s="434">
        <f t="shared" si="264"/>
        <v>17486.010000000002</v>
      </c>
      <c r="N837" s="434">
        <f t="shared" si="264"/>
        <v>18328.02</v>
      </c>
      <c r="O837" s="434">
        <f t="shared" si="264"/>
        <v>22812.720000000001</v>
      </c>
      <c r="P837" s="434">
        <f>SUM(P835:P836)</f>
        <v>31083.03</v>
      </c>
      <c r="Q837" s="434">
        <f>SUM(E837:P837)</f>
        <v>296450.64</v>
      </c>
    </row>
    <row r="838" spans="1:23" x14ac:dyDescent="0.2">
      <c r="E838" s="224"/>
      <c r="F838" s="292"/>
      <c r="G838" s="476"/>
      <c r="H838" s="292"/>
      <c r="I838" s="297"/>
      <c r="J838" s="292"/>
      <c r="K838" s="292"/>
    </row>
    <row r="839" spans="1:23" s="305" customFormat="1" ht="10.8" thickBot="1" x14ac:dyDescent="0.25">
      <c r="A839" s="495">
        <f>A837+1</f>
        <v>15</v>
      </c>
      <c r="B839" s="496"/>
      <c r="C839" s="496" t="s">
        <v>205</v>
      </c>
      <c r="D839" s="534"/>
      <c r="E839" s="499">
        <f t="shared" ref="E839:O839" si="265">E832+E837</f>
        <v>1272310</v>
      </c>
      <c r="F839" s="499">
        <f t="shared" si="265"/>
        <v>1247886.8</v>
      </c>
      <c r="G839" s="499">
        <f t="shared" si="265"/>
        <v>1043190.34</v>
      </c>
      <c r="H839" s="499">
        <f t="shared" si="265"/>
        <v>776341.66</v>
      </c>
      <c r="I839" s="499">
        <f t="shared" si="265"/>
        <v>588766.57999999996</v>
      </c>
      <c r="J839" s="499">
        <f t="shared" si="265"/>
        <v>498639.04000000004</v>
      </c>
      <c r="K839" s="499">
        <f t="shared" si="265"/>
        <v>472720.92000000004</v>
      </c>
      <c r="L839" s="499">
        <f t="shared" si="265"/>
        <v>470125.52</v>
      </c>
      <c r="M839" s="499">
        <f t="shared" si="265"/>
        <v>473988.76</v>
      </c>
      <c r="N839" s="499">
        <f t="shared" si="265"/>
        <v>506718.42000000004</v>
      </c>
      <c r="O839" s="499">
        <f t="shared" si="265"/>
        <v>679055.82</v>
      </c>
      <c r="P839" s="499">
        <f>P832+P837</f>
        <v>999361.48</v>
      </c>
      <c r="Q839" s="499">
        <f>SUM(E839:P839)</f>
        <v>9029105.3399999999</v>
      </c>
      <c r="S839" s="221"/>
      <c r="T839" s="221"/>
      <c r="U839" s="221"/>
      <c r="V839" s="221"/>
      <c r="W839" s="221"/>
    </row>
    <row r="840" spans="1:23" ht="10.8" thickTop="1" x14ac:dyDescent="0.2">
      <c r="E840" s="224"/>
      <c r="F840" s="292"/>
      <c r="G840" s="476"/>
      <c r="H840" s="292"/>
      <c r="I840" s="297"/>
      <c r="J840" s="292"/>
      <c r="K840" s="292"/>
    </row>
    <row r="842" spans="1:23" x14ac:dyDescent="0.2">
      <c r="A842" s="224">
        <f>A839+1</f>
        <v>16</v>
      </c>
      <c r="B842" s="221" t="str">
        <f>B234</f>
        <v>GTO</v>
      </c>
      <c r="C842" s="221" t="str">
        <f>C234</f>
        <v>GTS Choice - Commercial</v>
      </c>
    </row>
    <row r="844" spans="1:23" x14ac:dyDescent="0.2">
      <c r="A844" s="224">
        <f>A842+1</f>
        <v>17</v>
      </c>
      <c r="C844" s="225" t="s">
        <v>111</v>
      </c>
    </row>
    <row r="845" spans="1:23" x14ac:dyDescent="0.2">
      <c r="C845" s="225"/>
      <c r="E845" s="224"/>
      <c r="F845" s="292"/>
      <c r="G845" s="476"/>
      <c r="H845" s="292"/>
      <c r="I845" s="297"/>
      <c r="J845" s="292"/>
      <c r="K845" s="292"/>
      <c r="L845" s="292"/>
      <c r="M845" s="292"/>
    </row>
    <row r="846" spans="1:23" x14ac:dyDescent="0.2">
      <c r="A846" s="224">
        <f>A844+1</f>
        <v>18</v>
      </c>
      <c r="C846" s="221" t="s">
        <v>202</v>
      </c>
      <c r="E846" s="479">
        <f>B!D170</f>
        <v>3837</v>
      </c>
      <c r="F846" s="479">
        <f>B!E170</f>
        <v>3809</v>
      </c>
      <c r="G846" s="479">
        <f>B!F170</f>
        <v>4093</v>
      </c>
      <c r="H846" s="479">
        <f>B!G170</f>
        <v>4081</v>
      </c>
      <c r="I846" s="479">
        <f>B!H170</f>
        <v>4058</v>
      </c>
      <c r="J846" s="479">
        <f>B!I170</f>
        <v>4042</v>
      </c>
      <c r="K846" s="479">
        <f>B!J170</f>
        <v>4016</v>
      </c>
      <c r="L846" s="479">
        <f>B!K170</f>
        <v>3956</v>
      </c>
      <c r="M846" s="479">
        <f>B!L170</f>
        <v>3924</v>
      </c>
      <c r="N846" s="479">
        <f>B!M170</f>
        <v>3899</v>
      </c>
      <c r="O846" s="479">
        <f>B!N170</f>
        <v>3877</v>
      </c>
      <c r="P846" s="479">
        <f>B!O170</f>
        <v>3853</v>
      </c>
      <c r="Q846" s="480">
        <f>SUM(E846:P846)</f>
        <v>47445</v>
      </c>
    </row>
    <row r="847" spans="1:23" x14ac:dyDescent="0.2">
      <c r="A847" s="224">
        <f>A846+1</f>
        <v>19</v>
      </c>
      <c r="C847" s="221" t="s">
        <v>210</v>
      </c>
      <c r="D847" s="792">
        <f>Input!H42</f>
        <v>37.5</v>
      </c>
      <c r="E847" s="434">
        <f t="shared" ref="E847:P847" si="266">ROUND(E846*$D$847,2)</f>
        <v>143887.5</v>
      </c>
      <c r="F847" s="434">
        <f t="shared" si="266"/>
        <v>142837.5</v>
      </c>
      <c r="G847" s="434">
        <f t="shared" si="266"/>
        <v>153487.5</v>
      </c>
      <c r="H847" s="434">
        <f t="shared" si="266"/>
        <v>153037.5</v>
      </c>
      <c r="I847" s="434">
        <f t="shared" si="266"/>
        <v>152175</v>
      </c>
      <c r="J847" s="434">
        <f t="shared" si="266"/>
        <v>151575</v>
      </c>
      <c r="K847" s="434">
        <f t="shared" si="266"/>
        <v>150600</v>
      </c>
      <c r="L847" s="434">
        <f t="shared" si="266"/>
        <v>148350</v>
      </c>
      <c r="M847" s="434">
        <f t="shared" si="266"/>
        <v>147150</v>
      </c>
      <c r="N847" s="434">
        <f t="shared" si="266"/>
        <v>146212.5</v>
      </c>
      <c r="O847" s="434">
        <f t="shared" si="266"/>
        <v>145387.5</v>
      </c>
      <c r="P847" s="434">
        <f t="shared" si="266"/>
        <v>144487.5</v>
      </c>
      <c r="Q847" s="434">
        <f>SUM(E847:P847)</f>
        <v>1779187.5</v>
      </c>
    </row>
    <row r="848" spans="1:23" x14ac:dyDescent="0.2">
      <c r="A848" s="224">
        <f>A847+1</f>
        <v>20</v>
      </c>
      <c r="C848" s="221" t="s">
        <v>211</v>
      </c>
      <c r="D848" s="792">
        <f>Input!J42</f>
        <v>8.02</v>
      </c>
      <c r="E848" s="434">
        <f t="shared" ref="E848:P848" si="267">ROUND(E846*$D$848,2)</f>
        <v>30772.74</v>
      </c>
      <c r="F848" s="434">
        <f t="shared" si="267"/>
        <v>30548.18</v>
      </c>
      <c r="G848" s="434">
        <f t="shared" si="267"/>
        <v>32825.86</v>
      </c>
      <c r="H848" s="434">
        <f t="shared" si="267"/>
        <v>32729.62</v>
      </c>
      <c r="I848" s="434">
        <f t="shared" si="267"/>
        <v>32545.16</v>
      </c>
      <c r="J848" s="434">
        <f t="shared" si="267"/>
        <v>32416.84</v>
      </c>
      <c r="K848" s="434">
        <f t="shared" si="267"/>
        <v>32208.32</v>
      </c>
      <c r="L848" s="434">
        <f t="shared" si="267"/>
        <v>31727.119999999999</v>
      </c>
      <c r="M848" s="434">
        <f t="shared" si="267"/>
        <v>31470.48</v>
      </c>
      <c r="N848" s="434">
        <f t="shared" si="267"/>
        <v>31269.98</v>
      </c>
      <c r="O848" s="434">
        <f t="shared" si="267"/>
        <v>31093.54</v>
      </c>
      <c r="P848" s="434">
        <f t="shared" si="267"/>
        <v>30901.06</v>
      </c>
      <c r="Q848" s="434">
        <f>SUM(E848:P848)</f>
        <v>380508.89999999997</v>
      </c>
    </row>
    <row r="849" spans="1:17" x14ac:dyDescent="0.2">
      <c r="D849" s="290"/>
      <c r="E849" s="224"/>
      <c r="F849" s="292"/>
      <c r="G849" s="476"/>
      <c r="H849" s="292"/>
      <c r="I849" s="297"/>
      <c r="J849" s="292"/>
      <c r="K849" s="292"/>
    </row>
    <row r="850" spans="1:17" x14ac:dyDescent="0.2">
      <c r="A850" s="224">
        <f>A848+1</f>
        <v>21</v>
      </c>
      <c r="C850" s="221" t="s">
        <v>209</v>
      </c>
      <c r="D850" s="290"/>
      <c r="E850" s="521"/>
      <c r="F850" s="292"/>
      <c r="G850" s="476"/>
      <c r="H850" s="292"/>
      <c r="I850" s="297"/>
      <c r="J850" s="292"/>
      <c r="K850" s="292"/>
    </row>
    <row r="851" spans="1:17" x14ac:dyDescent="0.2">
      <c r="A851" s="224">
        <f>A850+1</f>
        <v>22</v>
      </c>
      <c r="C851" s="221" t="str">
        <f>'C'!B190</f>
        <v xml:space="preserve">    First 50 Mcf</v>
      </c>
      <c r="D851" s="519"/>
      <c r="E851" s="483">
        <f>'C'!D202</f>
        <v>115248.5</v>
      </c>
      <c r="F851" s="483">
        <f>'C'!E202</f>
        <v>116322.6</v>
      </c>
      <c r="G851" s="483">
        <f>'C'!F202</f>
        <v>106138.4</v>
      </c>
      <c r="H851" s="483">
        <f>'C'!G202</f>
        <v>75878.899999999994</v>
      </c>
      <c r="I851" s="483">
        <f>'C'!H202</f>
        <v>48386.9</v>
      </c>
      <c r="J851" s="483">
        <f>'C'!I202</f>
        <v>34090.9</v>
      </c>
      <c r="K851" s="483">
        <f>'C'!J202</f>
        <v>31140.7</v>
      </c>
      <c r="L851" s="483">
        <f>'C'!K202</f>
        <v>30451.200000000001</v>
      </c>
      <c r="M851" s="483">
        <f>'C'!L202</f>
        <v>32109</v>
      </c>
      <c r="N851" s="483">
        <f>'C'!M202</f>
        <v>40148.199999999997</v>
      </c>
      <c r="O851" s="483">
        <f>'C'!N202</f>
        <v>62458.3</v>
      </c>
      <c r="P851" s="483">
        <f>'C'!O202</f>
        <v>94003.8</v>
      </c>
      <c r="Q851" s="484">
        <f>SUM(E851:P851)</f>
        <v>786377.4</v>
      </c>
    </row>
    <row r="852" spans="1:17" x14ac:dyDescent="0.2">
      <c r="A852" s="224">
        <f>A851+1</f>
        <v>23</v>
      </c>
      <c r="C852" s="221" t="str">
        <f>'C'!B191</f>
        <v xml:space="preserve">    Next 350 Mcf</v>
      </c>
      <c r="D852" s="519"/>
      <c r="E852" s="483">
        <f>'C'!D203</f>
        <v>147158.6</v>
      </c>
      <c r="F852" s="483">
        <f>'C'!E203</f>
        <v>143758.29999999999</v>
      </c>
      <c r="G852" s="483">
        <f>'C'!F203</f>
        <v>103281.1</v>
      </c>
      <c r="H852" s="483">
        <f>'C'!G203</f>
        <v>63376.9</v>
      </c>
      <c r="I852" s="483">
        <f>'C'!H203</f>
        <v>39602.300000000003</v>
      </c>
      <c r="J852" s="483">
        <f>'C'!I203</f>
        <v>30878.400000000001</v>
      </c>
      <c r="K852" s="483">
        <f>'C'!J203</f>
        <v>27567.7</v>
      </c>
      <c r="L852" s="483">
        <f>'C'!K203</f>
        <v>26232.9</v>
      </c>
      <c r="M852" s="483">
        <f>'C'!L203</f>
        <v>28470.1</v>
      </c>
      <c r="N852" s="483">
        <f>'C'!M203</f>
        <v>38563.300000000003</v>
      </c>
      <c r="O852" s="483">
        <f>'C'!N203</f>
        <v>57697.599999999999</v>
      </c>
      <c r="P852" s="483">
        <f>'C'!O203</f>
        <v>100340.5</v>
      </c>
      <c r="Q852" s="484">
        <f>SUM(E852:P852)</f>
        <v>806927.7</v>
      </c>
    </row>
    <row r="853" spans="1:17" x14ac:dyDescent="0.2">
      <c r="A853" s="224">
        <f>A852+1</f>
        <v>24</v>
      </c>
      <c r="C853" s="221" t="str">
        <f>'C'!B192</f>
        <v xml:space="preserve">    Next 600 Mcf</v>
      </c>
      <c r="D853" s="519"/>
      <c r="E853" s="483">
        <f>'C'!D204</f>
        <v>37085</v>
      </c>
      <c r="F853" s="483">
        <f>'C'!E204</f>
        <v>34041.199999999997</v>
      </c>
      <c r="G853" s="483">
        <f>'C'!F204</f>
        <v>18666.5</v>
      </c>
      <c r="H853" s="483">
        <f>'C'!G204</f>
        <v>11741.5</v>
      </c>
      <c r="I853" s="483">
        <f>'C'!H204</f>
        <v>6797.7</v>
      </c>
      <c r="J853" s="483">
        <f>'C'!I204</f>
        <v>6188.9</v>
      </c>
      <c r="K853" s="483">
        <f>'C'!J204</f>
        <v>5312.4</v>
      </c>
      <c r="L853" s="483">
        <f>'C'!K204</f>
        <v>5525.8</v>
      </c>
      <c r="M853" s="483">
        <f>'C'!L204</f>
        <v>6310.6</v>
      </c>
      <c r="N853" s="483">
        <f>'C'!M204</f>
        <v>8979.6</v>
      </c>
      <c r="O853" s="483">
        <f>'C'!N204</f>
        <v>14083</v>
      </c>
      <c r="P853" s="483">
        <f>'C'!O204</f>
        <v>24521.200000000001</v>
      </c>
      <c r="Q853" s="484">
        <f>SUM(E853:P853)</f>
        <v>179253.4</v>
      </c>
    </row>
    <row r="854" spans="1:17" x14ac:dyDescent="0.2">
      <c r="A854" s="224">
        <f>A853+1</f>
        <v>25</v>
      </c>
      <c r="C854" s="221" t="str">
        <f>'C'!B193</f>
        <v xml:space="preserve">    Over 1,000 Mcf</v>
      </c>
      <c r="D854" s="536"/>
      <c r="E854" s="522">
        <f>'C'!D205</f>
        <v>22508.7</v>
      </c>
      <c r="F854" s="522">
        <f>'C'!E205</f>
        <v>17880.3</v>
      </c>
      <c r="G854" s="522">
        <f>'C'!F205</f>
        <v>7915.1</v>
      </c>
      <c r="H854" s="522">
        <f>'C'!G205</f>
        <v>4006.6</v>
      </c>
      <c r="I854" s="522">
        <f>'C'!H205</f>
        <v>2211.6999999999998</v>
      </c>
      <c r="J854" s="522">
        <f>'C'!I205</f>
        <v>2841.9</v>
      </c>
      <c r="K854" s="522">
        <f>'C'!J205</f>
        <v>1978.2</v>
      </c>
      <c r="L854" s="522">
        <f>'C'!K205</f>
        <v>1791.2</v>
      </c>
      <c r="M854" s="522">
        <f>'C'!L205</f>
        <v>2108.3000000000002</v>
      </c>
      <c r="N854" s="522">
        <f>'C'!M205</f>
        <v>3303.5</v>
      </c>
      <c r="O854" s="522">
        <f>'C'!N205</f>
        <v>5755.8</v>
      </c>
      <c r="P854" s="522">
        <f>'C'!O205</f>
        <v>15131</v>
      </c>
      <c r="Q854" s="522">
        <f>SUM(E854:P854)</f>
        <v>87432.3</v>
      </c>
    </row>
    <row r="855" spans="1:17" x14ac:dyDescent="0.2">
      <c r="D855" s="536"/>
      <c r="E855" s="483">
        <f t="shared" ref="E855:O855" si="268">SUM(E851:E854)</f>
        <v>322000.8</v>
      </c>
      <c r="F855" s="483">
        <f t="shared" si="268"/>
        <v>312002.39999999997</v>
      </c>
      <c r="G855" s="483">
        <f t="shared" si="268"/>
        <v>236001.1</v>
      </c>
      <c r="H855" s="483">
        <f t="shared" si="268"/>
        <v>155003.9</v>
      </c>
      <c r="I855" s="483">
        <f t="shared" si="268"/>
        <v>96998.6</v>
      </c>
      <c r="J855" s="483">
        <f t="shared" si="268"/>
        <v>74000.099999999991</v>
      </c>
      <c r="K855" s="483">
        <f t="shared" si="268"/>
        <v>65999</v>
      </c>
      <c r="L855" s="483">
        <f t="shared" si="268"/>
        <v>64001.100000000006</v>
      </c>
      <c r="M855" s="483">
        <f t="shared" si="268"/>
        <v>68998</v>
      </c>
      <c r="N855" s="483">
        <f t="shared" si="268"/>
        <v>90994.6</v>
      </c>
      <c r="O855" s="483">
        <f t="shared" si="268"/>
        <v>139994.69999999998</v>
      </c>
      <c r="P855" s="483">
        <f>SUM(P851:P854)</f>
        <v>233996.5</v>
      </c>
      <c r="Q855" s="483">
        <f>SUM(E855:P855)</f>
        <v>1859990.8000000003</v>
      </c>
    </row>
    <row r="856" spans="1:17" x14ac:dyDescent="0.2">
      <c r="A856" s="224">
        <f>A854+1</f>
        <v>26</v>
      </c>
      <c r="C856" s="221" t="s">
        <v>207</v>
      </c>
      <c r="D856" s="536"/>
      <c r="E856" s="224"/>
      <c r="F856" s="292"/>
      <c r="G856" s="476"/>
      <c r="H856" s="292"/>
      <c r="I856" s="297"/>
      <c r="J856" s="292"/>
      <c r="K856" s="292"/>
      <c r="Q856" s="524"/>
    </row>
    <row r="857" spans="1:17" x14ac:dyDescent="0.2">
      <c r="A857" s="224">
        <f>A856+1</f>
        <v>27</v>
      </c>
      <c r="C857" s="221" t="str">
        <f>C851</f>
        <v xml:space="preserve">    First 50 Mcf</v>
      </c>
      <c r="D857" s="793">
        <f>Input!C42</f>
        <v>2.2665999999999999</v>
      </c>
      <c r="E857" s="434">
        <f t="shared" ref="E857:P857" si="269">ROUND(E851*$D$857,2)</f>
        <v>261222.25</v>
      </c>
      <c r="F857" s="434">
        <f t="shared" si="269"/>
        <v>263656.81</v>
      </c>
      <c r="G857" s="434">
        <f t="shared" si="269"/>
        <v>240573.3</v>
      </c>
      <c r="H857" s="434">
        <f t="shared" si="269"/>
        <v>171987.11</v>
      </c>
      <c r="I857" s="434">
        <f t="shared" si="269"/>
        <v>109673.75</v>
      </c>
      <c r="J857" s="434">
        <f t="shared" si="269"/>
        <v>77270.429999999993</v>
      </c>
      <c r="K857" s="434">
        <f t="shared" si="269"/>
        <v>70583.509999999995</v>
      </c>
      <c r="L857" s="434">
        <f t="shared" si="269"/>
        <v>69020.69</v>
      </c>
      <c r="M857" s="434">
        <f t="shared" si="269"/>
        <v>72778.259999999995</v>
      </c>
      <c r="N857" s="434">
        <f t="shared" si="269"/>
        <v>90999.91</v>
      </c>
      <c r="O857" s="434">
        <f t="shared" si="269"/>
        <v>141567.98000000001</v>
      </c>
      <c r="P857" s="434">
        <f t="shared" si="269"/>
        <v>213069.01</v>
      </c>
      <c r="Q857" s="434">
        <f>SUM(E857:P857)</f>
        <v>1782403.01</v>
      </c>
    </row>
    <row r="858" spans="1:17" x14ac:dyDescent="0.2">
      <c r="A858" s="224">
        <f>A857+1</f>
        <v>28</v>
      </c>
      <c r="C858" s="221" t="str">
        <f>C852</f>
        <v xml:space="preserve">    Next 350 Mcf</v>
      </c>
      <c r="D858" s="793">
        <f>Input!D42</f>
        <v>1.752</v>
      </c>
      <c r="E858" s="479">
        <f t="shared" ref="E858:P858" si="270">ROUND(E852*$D$858,2)</f>
        <v>257821.87</v>
      </c>
      <c r="F858" s="479">
        <f t="shared" si="270"/>
        <v>251864.54</v>
      </c>
      <c r="G858" s="479">
        <f t="shared" si="270"/>
        <v>180948.49</v>
      </c>
      <c r="H858" s="479">
        <f t="shared" si="270"/>
        <v>111036.33</v>
      </c>
      <c r="I858" s="479">
        <f t="shared" si="270"/>
        <v>69383.23</v>
      </c>
      <c r="J858" s="479">
        <f t="shared" si="270"/>
        <v>54098.96</v>
      </c>
      <c r="K858" s="479">
        <f t="shared" si="270"/>
        <v>48298.61</v>
      </c>
      <c r="L858" s="479">
        <f t="shared" si="270"/>
        <v>45960.04</v>
      </c>
      <c r="M858" s="479">
        <f t="shared" si="270"/>
        <v>49879.62</v>
      </c>
      <c r="N858" s="479">
        <f t="shared" si="270"/>
        <v>67562.899999999994</v>
      </c>
      <c r="O858" s="479">
        <f t="shared" si="270"/>
        <v>101086.2</v>
      </c>
      <c r="P858" s="479">
        <f t="shared" si="270"/>
        <v>175796.56</v>
      </c>
      <c r="Q858" s="480">
        <f>SUM(E858:P858)</f>
        <v>1413737.3499999999</v>
      </c>
    </row>
    <row r="859" spans="1:17" x14ac:dyDescent="0.2">
      <c r="A859" s="224">
        <f>A858+1</f>
        <v>29</v>
      </c>
      <c r="C859" s="221" t="str">
        <f>C853</f>
        <v xml:space="preserve">    Next 600 Mcf</v>
      </c>
      <c r="D859" s="793">
        <f>Input!E42</f>
        <v>1.6658999999999999</v>
      </c>
      <c r="E859" s="479">
        <f t="shared" ref="E859:P859" si="271">ROUND(E853*$D$859,2)</f>
        <v>61779.9</v>
      </c>
      <c r="F859" s="479">
        <f t="shared" si="271"/>
        <v>56709.24</v>
      </c>
      <c r="G859" s="479">
        <f t="shared" si="271"/>
        <v>31096.52</v>
      </c>
      <c r="H859" s="479">
        <f t="shared" si="271"/>
        <v>19560.16</v>
      </c>
      <c r="I859" s="479">
        <f t="shared" si="271"/>
        <v>11324.29</v>
      </c>
      <c r="J859" s="479">
        <f t="shared" si="271"/>
        <v>10310.09</v>
      </c>
      <c r="K859" s="479">
        <f t="shared" si="271"/>
        <v>8849.93</v>
      </c>
      <c r="L859" s="479">
        <f t="shared" si="271"/>
        <v>9205.43</v>
      </c>
      <c r="M859" s="479">
        <f t="shared" si="271"/>
        <v>10512.83</v>
      </c>
      <c r="N859" s="479">
        <f t="shared" si="271"/>
        <v>14959.12</v>
      </c>
      <c r="O859" s="479">
        <f t="shared" si="271"/>
        <v>23460.87</v>
      </c>
      <c r="P859" s="479">
        <f t="shared" si="271"/>
        <v>40849.870000000003</v>
      </c>
      <c r="Q859" s="480">
        <f>SUM(E859:P859)</f>
        <v>298618.25</v>
      </c>
    </row>
    <row r="860" spans="1:17" x14ac:dyDescent="0.2">
      <c r="A860" s="224">
        <f>A859+1</f>
        <v>30</v>
      </c>
      <c r="C860" s="221" t="str">
        <f>C854</f>
        <v xml:space="preserve">    Over 1,000 Mcf</v>
      </c>
      <c r="D860" s="793">
        <f>Input!F42</f>
        <v>1.5164</v>
      </c>
      <c r="E860" s="528">
        <f t="shared" ref="E860:P860" si="272">ROUND(E854*$D$860,2)</f>
        <v>34132.19</v>
      </c>
      <c r="F860" s="528">
        <f t="shared" si="272"/>
        <v>27113.69</v>
      </c>
      <c r="G860" s="528">
        <f t="shared" si="272"/>
        <v>12002.46</v>
      </c>
      <c r="H860" s="528">
        <f t="shared" si="272"/>
        <v>6075.61</v>
      </c>
      <c r="I860" s="528">
        <f t="shared" si="272"/>
        <v>3353.82</v>
      </c>
      <c r="J860" s="528">
        <f t="shared" si="272"/>
        <v>4309.46</v>
      </c>
      <c r="K860" s="528">
        <f t="shared" si="272"/>
        <v>2999.74</v>
      </c>
      <c r="L860" s="528">
        <f t="shared" si="272"/>
        <v>2716.18</v>
      </c>
      <c r="M860" s="528">
        <f t="shared" si="272"/>
        <v>3197.03</v>
      </c>
      <c r="N860" s="528">
        <f t="shared" si="272"/>
        <v>5009.43</v>
      </c>
      <c r="O860" s="528">
        <f t="shared" si="272"/>
        <v>8728.1</v>
      </c>
      <c r="P860" s="528">
        <f t="shared" si="272"/>
        <v>22944.65</v>
      </c>
      <c r="Q860" s="528">
        <f>SUM(E860:P860)</f>
        <v>132582.36000000002</v>
      </c>
    </row>
    <row r="861" spans="1:17" x14ac:dyDescent="0.2">
      <c r="D861" s="290"/>
      <c r="E861" s="434">
        <f t="shared" ref="E861:O861" si="273">SUM(E857:E860)</f>
        <v>614956.21</v>
      </c>
      <c r="F861" s="434">
        <f t="shared" si="273"/>
        <v>599344.27999999991</v>
      </c>
      <c r="G861" s="434">
        <f t="shared" si="273"/>
        <v>464620.77</v>
      </c>
      <c r="H861" s="434">
        <f t="shared" si="273"/>
        <v>308659.20999999996</v>
      </c>
      <c r="I861" s="434">
        <f t="shared" si="273"/>
        <v>193735.09</v>
      </c>
      <c r="J861" s="434">
        <f t="shared" si="273"/>
        <v>145988.93999999997</v>
      </c>
      <c r="K861" s="434">
        <f t="shared" si="273"/>
        <v>130731.79</v>
      </c>
      <c r="L861" s="434">
        <f t="shared" si="273"/>
        <v>126902.34</v>
      </c>
      <c r="M861" s="434">
        <f t="shared" si="273"/>
        <v>136367.74</v>
      </c>
      <c r="N861" s="434">
        <f t="shared" si="273"/>
        <v>178531.36</v>
      </c>
      <c r="O861" s="434">
        <f t="shared" si="273"/>
        <v>274843.14999999997</v>
      </c>
      <c r="P861" s="434">
        <f>SUM(P857:P860)</f>
        <v>452660.09</v>
      </c>
      <c r="Q861" s="434">
        <f>SUM(E861:P861)</f>
        <v>3627340.9699999988</v>
      </c>
    </row>
    <row r="862" spans="1:17" x14ac:dyDescent="0.2">
      <c r="D862" s="290"/>
      <c r="E862" s="292"/>
      <c r="F862" s="292"/>
      <c r="G862" s="292"/>
      <c r="H862" s="292"/>
      <c r="I862" s="292"/>
      <c r="J862" s="292"/>
      <c r="K862" s="292"/>
      <c r="L862" s="292"/>
      <c r="M862" s="292"/>
      <c r="N862" s="292"/>
      <c r="O862" s="292"/>
      <c r="P862" s="292"/>
      <c r="Q862" s="292"/>
    </row>
    <row r="863" spans="1:17" x14ac:dyDescent="0.2">
      <c r="A863" s="224">
        <f>A860+1</f>
        <v>31</v>
      </c>
      <c r="C863" s="221" t="s">
        <v>204</v>
      </c>
      <c r="D863" s="290"/>
      <c r="E863" s="434">
        <f t="shared" ref="E863:O863" si="274">E847+E848+E861</f>
        <v>789616.45</v>
      </c>
      <c r="F863" s="434">
        <f t="shared" si="274"/>
        <v>772729.96</v>
      </c>
      <c r="G863" s="434">
        <f t="shared" si="274"/>
        <v>650934.13</v>
      </c>
      <c r="H863" s="434">
        <f t="shared" si="274"/>
        <v>494426.32999999996</v>
      </c>
      <c r="I863" s="434">
        <f t="shared" si="274"/>
        <v>378455.25</v>
      </c>
      <c r="J863" s="434">
        <f t="shared" si="274"/>
        <v>329980.77999999997</v>
      </c>
      <c r="K863" s="434">
        <f t="shared" si="274"/>
        <v>313540.11</v>
      </c>
      <c r="L863" s="434">
        <f t="shared" si="274"/>
        <v>306979.45999999996</v>
      </c>
      <c r="M863" s="434">
        <f t="shared" si="274"/>
        <v>314988.21999999997</v>
      </c>
      <c r="N863" s="434">
        <f t="shared" si="274"/>
        <v>356013.83999999997</v>
      </c>
      <c r="O863" s="434">
        <f t="shared" si="274"/>
        <v>451324.18999999994</v>
      </c>
      <c r="P863" s="434">
        <f>P847+P848+P861</f>
        <v>628048.65</v>
      </c>
      <c r="Q863" s="434">
        <f>SUM(E863:P863)</f>
        <v>5787037.3699999992</v>
      </c>
    </row>
    <row r="864" spans="1:17" x14ac:dyDescent="0.2">
      <c r="D864" s="224"/>
      <c r="E864" s="473"/>
      <c r="F864" s="473"/>
      <c r="G864" s="473"/>
      <c r="H864" s="473"/>
      <c r="I864" s="473"/>
      <c r="J864" s="473"/>
      <c r="K864" s="473"/>
      <c r="L864" s="473"/>
      <c r="M864" s="473"/>
      <c r="N864" s="473"/>
      <c r="O864" s="473"/>
      <c r="P864" s="473"/>
      <c r="Q864" s="473"/>
    </row>
    <row r="865" spans="1:17" x14ac:dyDescent="0.2">
      <c r="A865" s="224">
        <f>A863+1</f>
        <v>32</v>
      </c>
      <c r="C865" s="221" t="s">
        <v>151</v>
      </c>
      <c r="D865" s="794">
        <v>0</v>
      </c>
      <c r="E865" s="517">
        <v>0</v>
      </c>
      <c r="F865" s="517">
        <v>0</v>
      </c>
      <c r="G865" s="517">
        <v>0</v>
      </c>
      <c r="H865" s="517">
        <v>0</v>
      </c>
      <c r="I865" s="517">
        <v>0</v>
      </c>
      <c r="J865" s="517">
        <v>0</v>
      </c>
      <c r="K865" s="517">
        <v>0</v>
      </c>
      <c r="L865" s="517">
        <v>0</v>
      </c>
      <c r="M865" s="517">
        <v>0</v>
      </c>
      <c r="N865" s="517">
        <v>0</v>
      </c>
      <c r="O865" s="517">
        <v>0</v>
      </c>
      <c r="P865" s="517">
        <v>0</v>
      </c>
      <c r="Q865" s="434">
        <f>SUM(E865:P865)</f>
        <v>0</v>
      </c>
    </row>
    <row r="866" spans="1:17" x14ac:dyDescent="0.2">
      <c r="E866" s="473"/>
      <c r="F866" s="473"/>
      <c r="G866" s="473"/>
      <c r="H866" s="473"/>
      <c r="I866" s="473"/>
      <c r="J866" s="473"/>
      <c r="K866" s="473"/>
      <c r="L866" s="473"/>
      <c r="M866" s="473"/>
      <c r="N866" s="466"/>
      <c r="O866" s="466"/>
      <c r="P866" s="466"/>
      <c r="Q866" s="466"/>
    </row>
    <row r="867" spans="1:17" ht="10.8" thickBot="1" x14ac:dyDescent="0.25">
      <c r="A867" s="495">
        <f>A865+1</f>
        <v>33</v>
      </c>
      <c r="B867" s="496"/>
      <c r="C867" s="496" t="s">
        <v>205</v>
      </c>
      <c r="D867" s="497"/>
      <c r="E867" s="499">
        <f t="shared" ref="E867:O867" si="275">E863+E865</f>
        <v>789616.45</v>
      </c>
      <c r="F867" s="499">
        <f t="shared" si="275"/>
        <v>772729.96</v>
      </c>
      <c r="G867" s="499">
        <f t="shared" si="275"/>
        <v>650934.13</v>
      </c>
      <c r="H867" s="499">
        <f t="shared" si="275"/>
        <v>494426.32999999996</v>
      </c>
      <c r="I867" s="499">
        <f t="shared" si="275"/>
        <v>378455.25</v>
      </c>
      <c r="J867" s="499">
        <f t="shared" si="275"/>
        <v>329980.77999999997</v>
      </c>
      <c r="K867" s="499">
        <f t="shared" si="275"/>
        <v>313540.11</v>
      </c>
      <c r="L867" s="499">
        <f t="shared" si="275"/>
        <v>306979.45999999996</v>
      </c>
      <c r="M867" s="499">
        <f t="shared" si="275"/>
        <v>314988.21999999997</v>
      </c>
      <c r="N867" s="499">
        <f t="shared" si="275"/>
        <v>356013.83999999997</v>
      </c>
      <c r="O867" s="499">
        <f t="shared" si="275"/>
        <v>451324.18999999994</v>
      </c>
      <c r="P867" s="499">
        <f>P863+P865</f>
        <v>628048.65</v>
      </c>
      <c r="Q867" s="499">
        <f>SUM(E867:P867)</f>
        <v>5787037.3699999992</v>
      </c>
    </row>
    <row r="868" spans="1:17" ht="10.8" thickTop="1" x14ac:dyDescent="0.2">
      <c r="E868" s="224"/>
      <c r="F868" s="292"/>
      <c r="G868" s="476"/>
      <c r="H868" s="292"/>
      <c r="I868" s="297"/>
      <c r="J868" s="292"/>
      <c r="K868" s="292"/>
      <c r="L868" s="292"/>
      <c r="M868" s="292"/>
      <c r="Q868" s="419"/>
    </row>
    <row r="869" spans="1:17" x14ac:dyDescent="0.2">
      <c r="E869" s="224"/>
      <c r="F869" s="292"/>
      <c r="G869" s="476"/>
      <c r="H869" s="292"/>
      <c r="I869" s="297"/>
      <c r="J869" s="292"/>
      <c r="K869" s="292"/>
      <c r="L869" s="292"/>
      <c r="M869" s="292"/>
      <c r="Q869" s="419"/>
    </row>
    <row r="870" spans="1:17" x14ac:dyDescent="0.2">
      <c r="A870" s="224" t="str">
        <f>$A$270</f>
        <v>[1] Reflects Normalized Volumes.</v>
      </c>
      <c r="E870" s="224"/>
      <c r="F870" s="292"/>
      <c r="G870" s="476"/>
      <c r="H870" s="292"/>
      <c r="I870" s="297"/>
      <c r="J870" s="292"/>
      <c r="K870" s="292"/>
      <c r="L870" s="292"/>
      <c r="M870" s="292"/>
      <c r="Q870" s="419"/>
    </row>
    <row r="871" spans="1:17" x14ac:dyDescent="0.2">
      <c r="E871" s="224"/>
      <c r="F871" s="292"/>
      <c r="G871" s="476"/>
      <c r="H871" s="292"/>
      <c r="I871" s="297"/>
      <c r="J871" s="292"/>
      <c r="K871" s="292"/>
      <c r="L871" s="292"/>
      <c r="M871" s="292"/>
    </row>
    <row r="872" spans="1:17" x14ac:dyDescent="0.2">
      <c r="A872" s="887" t="str">
        <f>CONAME</f>
        <v>Columbia Gas of Kentucky, Inc.</v>
      </c>
      <c r="B872" s="887"/>
      <c r="C872" s="887"/>
      <c r="D872" s="887"/>
      <c r="E872" s="887"/>
      <c r="F872" s="887"/>
      <c r="G872" s="887"/>
      <c r="H872" s="887"/>
      <c r="I872" s="887"/>
      <c r="J872" s="887"/>
      <c r="K872" s="887"/>
      <c r="L872" s="887"/>
      <c r="M872" s="887"/>
      <c r="N872" s="887"/>
      <c r="O872" s="887"/>
      <c r="P872" s="887"/>
      <c r="Q872" s="887"/>
    </row>
    <row r="873" spans="1:17" x14ac:dyDescent="0.2">
      <c r="A873" s="875" t="str">
        <f>case</f>
        <v>Case No. 2016-00162</v>
      </c>
      <c r="B873" s="875"/>
      <c r="C873" s="875"/>
      <c r="D873" s="875"/>
      <c r="E873" s="875"/>
      <c r="F873" s="875"/>
      <c r="G873" s="875"/>
      <c r="H873" s="875"/>
      <c r="I873" s="875"/>
      <c r="J873" s="875"/>
      <c r="K873" s="875"/>
      <c r="L873" s="875"/>
      <c r="M873" s="875"/>
      <c r="N873" s="875"/>
      <c r="O873" s="875"/>
      <c r="P873" s="875"/>
      <c r="Q873" s="875"/>
    </row>
    <row r="874" spans="1:17" x14ac:dyDescent="0.2">
      <c r="A874" s="888" t="s">
        <v>503</v>
      </c>
      <c r="B874" s="888"/>
      <c r="C874" s="888"/>
      <c r="D874" s="888"/>
      <c r="E874" s="888"/>
      <c r="F874" s="888"/>
      <c r="G874" s="888"/>
      <c r="H874" s="888"/>
      <c r="I874" s="888"/>
      <c r="J874" s="888"/>
      <c r="K874" s="888"/>
      <c r="L874" s="888"/>
      <c r="M874" s="888"/>
      <c r="N874" s="888"/>
      <c r="O874" s="888"/>
      <c r="P874" s="888"/>
      <c r="Q874" s="888"/>
    </row>
    <row r="875" spans="1:17" x14ac:dyDescent="0.2">
      <c r="A875" s="887" t="str">
        <f>TYDESC</f>
        <v>For the 12 Months Ended December 31, 2017</v>
      </c>
      <c r="B875" s="887"/>
      <c r="C875" s="887"/>
      <c r="D875" s="887"/>
      <c r="E875" s="887"/>
      <c r="F875" s="887"/>
      <c r="G875" s="887"/>
      <c r="H875" s="887"/>
      <c r="I875" s="887"/>
      <c r="J875" s="887"/>
      <c r="K875" s="887"/>
      <c r="L875" s="887"/>
      <c r="M875" s="887"/>
      <c r="N875" s="887"/>
      <c r="O875" s="887"/>
      <c r="P875" s="887"/>
      <c r="Q875" s="887"/>
    </row>
    <row r="876" spans="1:17" x14ac:dyDescent="0.2">
      <c r="A876" s="885" t="s">
        <v>39</v>
      </c>
      <c r="B876" s="885"/>
      <c r="C876" s="885"/>
      <c r="D876" s="885"/>
      <c r="E876" s="885"/>
      <c r="F876" s="885"/>
      <c r="G876" s="885"/>
      <c r="H876" s="885"/>
      <c r="I876" s="885"/>
      <c r="J876" s="885"/>
      <c r="K876" s="885"/>
      <c r="L876" s="885"/>
      <c r="M876" s="885"/>
      <c r="N876" s="885"/>
      <c r="O876" s="885"/>
      <c r="P876" s="885"/>
      <c r="Q876" s="885"/>
    </row>
    <row r="877" spans="1:17" x14ac:dyDescent="0.2">
      <c r="A877" s="266" t="str">
        <f>$A$52</f>
        <v>Data: __ Base Period _X_ Forecasted Period</v>
      </c>
    </row>
    <row r="878" spans="1:17" x14ac:dyDescent="0.2">
      <c r="A878" s="266" t="str">
        <f>$A$53</f>
        <v>Type of Filing: X Original _ Update _ Revised</v>
      </c>
      <c r="Q878" s="420" t="str">
        <f>$Q$53</f>
        <v>Schedule M-2.2</v>
      </c>
    </row>
    <row r="879" spans="1:17" x14ac:dyDescent="0.2">
      <c r="A879" s="266" t="str">
        <f>$A$54</f>
        <v>Work Paper Reference No(s):</v>
      </c>
      <c r="Q879" s="420" t="s">
        <v>514</v>
      </c>
    </row>
    <row r="880" spans="1:17" x14ac:dyDescent="0.2">
      <c r="A880" s="421" t="str">
        <f>$A$55</f>
        <v>12 Months Forecasted</v>
      </c>
      <c r="Q880" s="420" t="str">
        <f>Witness</f>
        <v>Witness:  M. J. Bell</v>
      </c>
    </row>
    <row r="881" spans="1:17" x14ac:dyDescent="0.2">
      <c r="A881" s="886" t="s">
        <v>194</v>
      </c>
      <c r="B881" s="886"/>
      <c r="C881" s="886"/>
      <c r="D881" s="886"/>
      <c r="E881" s="886"/>
      <c r="F881" s="886"/>
      <c r="G881" s="886"/>
      <c r="H881" s="886"/>
      <c r="I881" s="886"/>
      <c r="J881" s="886"/>
      <c r="K881" s="886"/>
      <c r="L881" s="886"/>
      <c r="M881" s="886"/>
      <c r="N881" s="886"/>
      <c r="O881" s="886"/>
      <c r="P881" s="886"/>
      <c r="Q881" s="886"/>
    </row>
    <row r="882" spans="1:17" x14ac:dyDescent="0.2">
      <c r="A882" s="440"/>
      <c r="B882" s="305"/>
      <c r="C882" s="305"/>
      <c r="D882" s="304"/>
      <c r="E882" s="305"/>
      <c r="F882" s="422"/>
      <c r="G882" s="442"/>
      <c r="H882" s="422"/>
      <c r="I882" s="443"/>
      <c r="J882" s="422"/>
      <c r="K882" s="422"/>
      <c r="L882" s="422"/>
      <c r="M882" s="422"/>
      <c r="N882" s="422"/>
      <c r="O882" s="422"/>
      <c r="P882" s="422"/>
      <c r="Q882" s="305"/>
    </row>
    <row r="883" spans="1:17" x14ac:dyDescent="0.2">
      <c r="A883" s="798" t="s">
        <v>1</v>
      </c>
      <c r="B883" s="800" t="s">
        <v>0</v>
      </c>
      <c r="C883" s="800" t="s">
        <v>41</v>
      </c>
      <c r="D883" s="803" t="s">
        <v>47</v>
      </c>
      <c r="E883" s="800"/>
      <c r="F883" s="424"/>
      <c r="G883" s="425"/>
      <c r="H883" s="424"/>
      <c r="I883" s="802"/>
      <c r="J883" s="424"/>
      <c r="K883" s="424"/>
      <c r="L883" s="424"/>
      <c r="M883" s="424"/>
      <c r="N883" s="424"/>
      <c r="O883" s="424"/>
      <c r="P883" s="424"/>
      <c r="Q883" s="801"/>
    </row>
    <row r="884" spans="1:17" x14ac:dyDescent="0.2">
      <c r="A884" s="285" t="s">
        <v>3</v>
      </c>
      <c r="B884" s="228" t="s">
        <v>40</v>
      </c>
      <c r="C884" s="228" t="s">
        <v>4</v>
      </c>
      <c r="D884" s="427" t="s">
        <v>48</v>
      </c>
      <c r="E884" s="428" t="str">
        <f>B!$D$11</f>
        <v>Jan-17</v>
      </c>
      <c r="F884" s="428" t="str">
        <f>B!$E$11</f>
        <v>Feb-17</v>
      </c>
      <c r="G884" s="428" t="str">
        <f>B!$F$11</f>
        <v>Mar-17</v>
      </c>
      <c r="H884" s="428" t="str">
        <f>B!$G$11</f>
        <v>Apr-17</v>
      </c>
      <c r="I884" s="428" t="str">
        <f>B!$H$11</f>
        <v>May-17</v>
      </c>
      <c r="J884" s="428" t="str">
        <f>B!$I$11</f>
        <v>Jun-17</v>
      </c>
      <c r="K884" s="428" t="str">
        <f>B!$J$11</f>
        <v>Jul-17</v>
      </c>
      <c r="L884" s="428" t="str">
        <f>B!$K$11</f>
        <v>Aug-17</v>
      </c>
      <c r="M884" s="428" t="str">
        <f>B!$L$11</f>
        <v>Sep-17</v>
      </c>
      <c r="N884" s="428" t="str">
        <f>B!$M$11</f>
        <v>Oct-17</v>
      </c>
      <c r="O884" s="428" t="str">
        <f>B!$N$11</f>
        <v>Nov-17</v>
      </c>
      <c r="P884" s="428" t="str">
        <f>B!$O$11</f>
        <v>Dec-17</v>
      </c>
      <c r="Q884" s="429" t="s">
        <v>9</v>
      </c>
    </row>
    <row r="885" spans="1:17" x14ac:dyDescent="0.2">
      <c r="A885" s="798"/>
      <c r="B885" s="801" t="s">
        <v>42</v>
      </c>
      <c r="C885" s="801" t="s">
        <v>43</v>
      </c>
      <c r="D885" s="430" t="s">
        <v>45</v>
      </c>
      <c r="E885" s="431" t="s">
        <v>46</v>
      </c>
      <c r="F885" s="431" t="s">
        <v>49</v>
      </c>
      <c r="G885" s="431" t="s">
        <v>50</v>
      </c>
      <c r="H885" s="431" t="s">
        <v>51</v>
      </c>
      <c r="I885" s="431" t="s">
        <v>52</v>
      </c>
      <c r="J885" s="431" t="s">
        <v>53</v>
      </c>
      <c r="K885" s="432" t="s">
        <v>54</v>
      </c>
      <c r="L885" s="432" t="s">
        <v>55</v>
      </c>
      <c r="M885" s="432" t="s">
        <v>56</v>
      </c>
      <c r="N885" s="432" t="s">
        <v>57</v>
      </c>
      <c r="O885" s="432" t="s">
        <v>58</v>
      </c>
      <c r="P885" s="432" t="s">
        <v>59</v>
      </c>
      <c r="Q885" s="432" t="s">
        <v>203</v>
      </c>
    </row>
    <row r="886" spans="1:17" x14ac:dyDescent="0.2">
      <c r="E886" s="224"/>
      <c r="F886" s="292"/>
      <c r="G886" s="476"/>
      <c r="H886" s="292"/>
      <c r="I886" s="297"/>
      <c r="J886" s="292"/>
      <c r="K886" s="292"/>
      <c r="L886" s="292"/>
      <c r="M886" s="292"/>
    </row>
    <row r="887" spans="1:17" x14ac:dyDescent="0.2">
      <c r="A887" s="224">
        <v>1</v>
      </c>
      <c r="B887" s="221" t="str">
        <f>B241</f>
        <v>GTO</v>
      </c>
      <c r="C887" s="221" t="str">
        <f>C241</f>
        <v>GTS Choice - Industrial</v>
      </c>
    </row>
    <row r="889" spans="1:17" x14ac:dyDescent="0.2">
      <c r="A889" s="224">
        <f>A887+1</f>
        <v>2</v>
      </c>
      <c r="C889" s="225" t="s">
        <v>112</v>
      </c>
    </row>
    <row r="890" spans="1:17" x14ac:dyDescent="0.2">
      <c r="C890" s="225"/>
    </row>
    <row r="891" spans="1:17" x14ac:dyDescent="0.2">
      <c r="A891" s="224">
        <f>A889+1</f>
        <v>3</v>
      </c>
      <c r="C891" s="221" t="s">
        <v>202</v>
      </c>
      <c r="E891" s="479">
        <f>B!D176</f>
        <v>13</v>
      </c>
      <c r="F891" s="479">
        <f>B!E176</f>
        <v>13</v>
      </c>
      <c r="G891" s="479">
        <f>B!F176</f>
        <v>12</v>
      </c>
      <c r="H891" s="479">
        <f>B!G176</f>
        <v>13</v>
      </c>
      <c r="I891" s="479">
        <f>B!H176</f>
        <v>12</v>
      </c>
      <c r="J891" s="479">
        <f>B!I176</f>
        <v>12</v>
      </c>
      <c r="K891" s="479">
        <f>B!J176</f>
        <v>12</v>
      </c>
      <c r="L891" s="479">
        <f>B!K176</f>
        <v>12</v>
      </c>
      <c r="M891" s="479">
        <f>B!L176</f>
        <v>12</v>
      </c>
      <c r="N891" s="479">
        <f>B!M176</f>
        <v>12</v>
      </c>
      <c r="O891" s="479">
        <f>B!N176</f>
        <v>13</v>
      </c>
      <c r="P891" s="479">
        <f>B!O176</f>
        <v>13</v>
      </c>
      <c r="Q891" s="480">
        <f>SUM(E891:P891)</f>
        <v>149</v>
      </c>
    </row>
    <row r="892" spans="1:17" x14ac:dyDescent="0.2">
      <c r="A892" s="224">
        <f>A891+1</f>
        <v>4</v>
      </c>
      <c r="C892" s="221" t="s">
        <v>210</v>
      </c>
      <c r="D892" s="792">
        <f>Input!H43</f>
        <v>37.5</v>
      </c>
      <c r="E892" s="434">
        <f t="shared" ref="E892:P892" si="276">ROUND(E891*$D$892,2)</f>
        <v>487.5</v>
      </c>
      <c r="F892" s="434">
        <f t="shared" si="276"/>
        <v>487.5</v>
      </c>
      <c r="G892" s="434">
        <f t="shared" si="276"/>
        <v>450</v>
      </c>
      <c r="H892" s="434">
        <f t="shared" si="276"/>
        <v>487.5</v>
      </c>
      <c r="I892" s="434">
        <f t="shared" si="276"/>
        <v>450</v>
      </c>
      <c r="J892" s="434">
        <f t="shared" si="276"/>
        <v>450</v>
      </c>
      <c r="K892" s="434">
        <f t="shared" si="276"/>
        <v>450</v>
      </c>
      <c r="L892" s="434">
        <f t="shared" si="276"/>
        <v>450</v>
      </c>
      <c r="M892" s="434">
        <f t="shared" si="276"/>
        <v>450</v>
      </c>
      <c r="N892" s="434">
        <f t="shared" si="276"/>
        <v>450</v>
      </c>
      <c r="O892" s="434">
        <f t="shared" si="276"/>
        <v>487.5</v>
      </c>
      <c r="P892" s="434">
        <f t="shared" si="276"/>
        <v>487.5</v>
      </c>
      <c r="Q892" s="434">
        <f>SUM(E892:P892)</f>
        <v>5587.5</v>
      </c>
    </row>
    <row r="893" spans="1:17" x14ac:dyDescent="0.2">
      <c r="A893" s="224">
        <f>A892+1</f>
        <v>5</v>
      </c>
      <c r="C893" s="221" t="s">
        <v>211</v>
      </c>
      <c r="D893" s="792">
        <f>Input!J43</f>
        <v>8.02</v>
      </c>
      <c r="E893" s="434">
        <f t="shared" ref="E893:P893" si="277">ROUND(E891*$D$893,2)</f>
        <v>104.26</v>
      </c>
      <c r="F893" s="434">
        <f t="shared" si="277"/>
        <v>104.26</v>
      </c>
      <c r="G893" s="434">
        <f t="shared" si="277"/>
        <v>96.24</v>
      </c>
      <c r="H893" s="434">
        <f t="shared" si="277"/>
        <v>104.26</v>
      </c>
      <c r="I893" s="434">
        <f t="shared" si="277"/>
        <v>96.24</v>
      </c>
      <c r="J893" s="434">
        <f t="shared" si="277"/>
        <v>96.24</v>
      </c>
      <c r="K893" s="434">
        <f t="shared" si="277"/>
        <v>96.24</v>
      </c>
      <c r="L893" s="434">
        <f t="shared" si="277"/>
        <v>96.24</v>
      </c>
      <c r="M893" s="434">
        <f t="shared" si="277"/>
        <v>96.24</v>
      </c>
      <c r="N893" s="434">
        <f t="shared" si="277"/>
        <v>96.24</v>
      </c>
      <c r="O893" s="434">
        <f t="shared" si="277"/>
        <v>104.26</v>
      </c>
      <c r="P893" s="434">
        <f t="shared" si="277"/>
        <v>104.26</v>
      </c>
      <c r="Q893" s="434">
        <f>SUM(E893:P893)</f>
        <v>1194.98</v>
      </c>
    </row>
    <row r="894" spans="1:17" x14ac:dyDescent="0.2">
      <c r="D894" s="290"/>
      <c r="E894" s="224"/>
      <c r="F894" s="292"/>
      <c r="G894" s="476"/>
      <c r="H894" s="292"/>
      <c r="I894" s="297"/>
      <c r="J894" s="292"/>
      <c r="K894" s="292"/>
    </row>
    <row r="895" spans="1:17" x14ac:dyDescent="0.2">
      <c r="A895" s="224">
        <f>A893+1</f>
        <v>6</v>
      </c>
      <c r="C895" s="221" t="s">
        <v>209</v>
      </c>
      <c r="D895" s="290"/>
      <c r="E895" s="521"/>
      <c r="F895" s="292"/>
      <c r="G895" s="476"/>
      <c r="H895" s="292"/>
      <c r="I895" s="297"/>
      <c r="J895" s="292"/>
      <c r="K895" s="292"/>
    </row>
    <row r="896" spans="1:17" x14ac:dyDescent="0.2">
      <c r="A896" s="224">
        <f>A895+1</f>
        <v>7</v>
      </c>
      <c r="C896" s="221" t="str">
        <f>'C'!B223</f>
        <v xml:space="preserve">    First 50 Mcf</v>
      </c>
      <c r="D896" s="519"/>
      <c r="E896" s="483">
        <f>'C'!D235</f>
        <v>472.7</v>
      </c>
      <c r="F896" s="483">
        <f>'C'!E235</f>
        <v>517.79999999999995</v>
      </c>
      <c r="G896" s="483">
        <f>'C'!F235</f>
        <v>508.5</v>
      </c>
      <c r="H896" s="483">
        <f>'C'!G235</f>
        <v>429.7</v>
      </c>
      <c r="I896" s="483">
        <f>'C'!H235</f>
        <v>346.2</v>
      </c>
      <c r="J896" s="483">
        <f>'C'!I235</f>
        <v>313.10000000000002</v>
      </c>
      <c r="K896" s="483">
        <f>'C'!J235</f>
        <v>310.60000000000002</v>
      </c>
      <c r="L896" s="483">
        <f>'C'!K235</f>
        <v>295.60000000000002</v>
      </c>
      <c r="M896" s="483">
        <f>'C'!L235</f>
        <v>279.2</v>
      </c>
      <c r="N896" s="483">
        <f>'C'!M235</f>
        <v>420.4</v>
      </c>
      <c r="O896" s="483">
        <f>'C'!N235</f>
        <v>426.1</v>
      </c>
      <c r="P896" s="483">
        <f>'C'!O235</f>
        <v>467.9</v>
      </c>
      <c r="Q896" s="484">
        <f>SUM(E896:P896)</f>
        <v>4787.7999999999993</v>
      </c>
    </row>
    <row r="897" spans="1:17" x14ac:dyDescent="0.2">
      <c r="A897" s="224">
        <f>A896+1</f>
        <v>8</v>
      </c>
      <c r="C897" s="221" t="str">
        <f>'C'!B224</f>
        <v xml:space="preserve">    Next 350 Mcf</v>
      </c>
      <c r="D897" s="519"/>
      <c r="E897" s="483">
        <f>'C'!D236</f>
        <v>2210.1999999999998</v>
      </c>
      <c r="F897" s="483">
        <f>'C'!E236</f>
        <v>2239.1</v>
      </c>
      <c r="G897" s="483">
        <f>'C'!F236</f>
        <v>2090.1999999999998</v>
      </c>
      <c r="H897" s="483">
        <f>'C'!G236</f>
        <v>1600.8</v>
      </c>
      <c r="I897" s="483">
        <f>'C'!H236</f>
        <v>1646.5</v>
      </c>
      <c r="J897" s="483">
        <f>'C'!I236</f>
        <v>1359.8</v>
      </c>
      <c r="K897" s="483">
        <f>'C'!J236</f>
        <v>1359.2</v>
      </c>
      <c r="L897" s="483">
        <f>'C'!K236</f>
        <v>1380.5</v>
      </c>
      <c r="M897" s="483">
        <f>'C'!L236</f>
        <v>1335.8</v>
      </c>
      <c r="N897" s="483">
        <f>'C'!M236</f>
        <v>1812.9</v>
      </c>
      <c r="O897" s="483">
        <f>'C'!N236</f>
        <v>2003.7</v>
      </c>
      <c r="P897" s="483">
        <f>'C'!O236</f>
        <v>2070.3000000000002</v>
      </c>
      <c r="Q897" s="484">
        <f>SUM(E897:P897)</f>
        <v>21109</v>
      </c>
    </row>
    <row r="898" spans="1:17" x14ac:dyDescent="0.2">
      <c r="A898" s="224">
        <f>A897+1</f>
        <v>9</v>
      </c>
      <c r="C898" s="221" t="str">
        <f>'C'!B225</f>
        <v xml:space="preserve">    Next 600 Mcf</v>
      </c>
      <c r="D898" s="519"/>
      <c r="E898" s="483">
        <f>'C'!D237</f>
        <v>2400</v>
      </c>
      <c r="F898" s="483">
        <f>'C'!E237</f>
        <v>2344.6999999999998</v>
      </c>
      <c r="G898" s="483">
        <f>'C'!F237</f>
        <v>2065.1</v>
      </c>
      <c r="H898" s="483">
        <f>'C'!G237</f>
        <v>1901.5</v>
      </c>
      <c r="I898" s="297">
        <f>'C'!H237</f>
        <v>1446.5</v>
      </c>
      <c r="J898" s="297">
        <f>'C'!I237</f>
        <v>1488.2</v>
      </c>
      <c r="K898" s="297">
        <f>'C'!J237</f>
        <v>1395.6</v>
      </c>
      <c r="L898" s="297">
        <f>'C'!K237</f>
        <v>1201</v>
      </c>
      <c r="M898" s="297">
        <f>'C'!L237</f>
        <v>1365.8</v>
      </c>
      <c r="N898" s="483">
        <f>'C'!M237</f>
        <v>1413.9</v>
      </c>
      <c r="O898" s="483">
        <f>'C'!N237</f>
        <v>1953.8</v>
      </c>
      <c r="P898" s="483">
        <f>'C'!O237</f>
        <v>1933.6</v>
      </c>
      <c r="Q898" s="484">
        <f>SUM(E898:P898)</f>
        <v>20909.699999999997</v>
      </c>
    </row>
    <row r="899" spans="1:17" x14ac:dyDescent="0.2">
      <c r="A899" s="224">
        <f>A898+1</f>
        <v>10</v>
      </c>
      <c r="C899" s="221" t="str">
        <f>'C'!B226</f>
        <v xml:space="preserve">    Over 1,000 Mcf</v>
      </c>
      <c r="D899" s="536"/>
      <c r="E899" s="522">
        <f>'C'!D238</f>
        <v>917.2</v>
      </c>
      <c r="F899" s="522">
        <f>'C'!E238</f>
        <v>898.3</v>
      </c>
      <c r="G899" s="522">
        <f>'C'!F238</f>
        <v>1336.1</v>
      </c>
      <c r="H899" s="522">
        <f>'C'!G238</f>
        <v>2067.9</v>
      </c>
      <c r="I899" s="522">
        <f>'C'!H238</f>
        <v>2560.8000000000002</v>
      </c>
      <c r="J899" s="522">
        <f>'C'!I238</f>
        <v>2839</v>
      </c>
      <c r="K899" s="522">
        <f>'C'!J238</f>
        <v>2934.5</v>
      </c>
      <c r="L899" s="522">
        <f>'C'!K238</f>
        <v>3122.9</v>
      </c>
      <c r="M899" s="522">
        <f>'C'!L238</f>
        <v>3019.2</v>
      </c>
      <c r="N899" s="522">
        <f>'C'!M238</f>
        <v>2352.9</v>
      </c>
      <c r="O899" s="522">
        <f>'C'!N238</f>
        <v>1616.4</v>
      </c>
      <c r="P899" s="522">
        <f>'C'!O238</f>
        <v>1528.2</v>
      </c>
      <c r="Q899" s="522">
        <f>SUM(E899:P899)</f>
        <v>25193.400000000005</v>
      </c>
    </row>
    <row r="900" spans="1:17" x14ac:dyDescent="0.2">
      <c r="D900" s="536"/>
      <c r="E900" s="483">
        <f t="shared" ref="E900:O900" si="278">SUM(E896:E899)</f>
        <v>6000.0999999999995</v>
      </c>
      <c r="F900" s="483">
        <f t="shared" si="278"/>
        <v>5999.9</v>
      </c>
      <c r="G900" s="483">
        <f t="shared" si="278"/>
        <v>5999.9</v>
      </c>
      <c r="H900" s="483">
        <f t="shared" si="278"/>
        <v>5999.9</v>
      </c>
      <c r="I900" s="483">
        <f t="shared" si="278"/>
        <v>6000</v>
      </c>
      <c r="J900" s="483">
        <f t="shared" si="278"/>
        <v>6000.1</v>
      </c>
      <c r="K900" s="483">
        <f t="shared" si="278"/>
        <v>5999.9</v>
      </c>
      <c r="L900" s="483">
        <f t="shared" si="278"/>
        <v>6000</v>
      </c>
      <c r="M900" s="483">
        <f t="shared" si="278"/>
        <v>6000</v>
      </c>
      <c r="N900" s="483">
        <f t="shared" si="278"/>
        <v>6000.1</v>
      </c>
      <c r="O900" s="483">
        <f t="shared" si="278"/>
        <v>6000</v>
      </c>
      <c r="P900" s="483">
        <f>SUM(P896:P899)</f>
        <v>6000</v>
      </c>
      <c r="Q900" s="483">
        <f>SUM(E900:P900)</f>
        <v>71999.899999999994</v>
      </c>
    </row>
    <row r="901" spans="1:17" x14ac:dyDescent="0.2">
      <c r="A901" s="224">
        <f>A899+1</f>
        <v>11</v>
      </c>
      <c r="C901" s="221" t="s">
        <v>207</v>
      </c>
      <c r="D901" s="536"/>
      <c r="E901" s="224"/>
      <c r="F901" s="292"/>
      <c r="G901" s="476"/>
      <c r="H901" s="292"/>
      <c r="I901" s="297"/>
      <c r="J901" s="292"/>
      <c r="K901" s="292"/>
      <c r="Q901" s="524"/>
    </row>
    <row r="902" spans="1:17" x14ac:dyDescent="0.2">
      <c r="A902" s="224">
        <f>A901+1</f>
        <v>12</v>
      </c>
      <c r="C902" s="221" t="str">
        <f>C896</f>
        <v xml:space="preserve">    First 50 Mcf</v>
      </c>
      <c r="D902" s="793">
        <f>Input!C43</f>
        <v>2.2665999999999999</v>
      </c>
      <c r="E902" s="434">
        <f t="shared" ref="E902:P902" si="279">ROUND(E896*$D$902,2)</f>
        <v>1071.42</v>
      </c>
      <c r="F902" s="434">
        <f t="shared" si="279"/>
        <v>1173.6500000000001</v>
      </c>
      <c r="G902" s="434">
        <f t="shared" si="279"/>
        <v>1152.57</v>
      </c>
      <c r="H902" s="434">
        <f t="shared" si="279"/>
        <v>973.96</v>
      </c>
      <c r="I902" s="434">
        <f t="shared" si="279"/>
        <v>784.7</v>
      </c>
      <c r="J902" s="434">
        <f t="shared" si="279"/>
        <v>709.67</v>
      </c>
      <c r="K902" s="434">
        <f t="shared" si="279"/>
        <v>704.01</v>
      </c>
      <c r="L902" s="434">
        <f t="shared" si="279"/>
        <v>670.01</v>
      </c>
      <c r="M902" s="434">
        <f t="shared" si="279"/>
        <v>632.83000000000004</v>
      </c>
      <c r="N902" s="434">
        <f t="shared" si="279"/>
        <v>952.88</v>
      </c>
      <c r="O902" s="434">
        <f t="shared" si="279"/>
        <v>965.8</v>
      </c>
      <c r="P902" s="434">
        <f t="shared" si="279"/>
        <v>1060.54</v>
      </c>
      <c r="Q902" s="434">
        <f>SUM(E902:P902)</f>
        <v>10852.04</v>
      </c>
    </row>
    <row r="903" spans="1:17" x14ac:dyDescent="0.2">
      <c r="A903" s="224">
        <f>A902+1</f>
        <v>13</v>
      </c>
      <c r="C903" s="221" t="str">
        <f>C897</f>
        <v xml:space="preserve">    Next 350 Mcf</v>
      </c>
      <c r="D903" s="793">
        <f>Input!D43</f>
        <v>1.752</v>
      </c>
      <c r="E903" s="479">
        <f t="shared" ref="E903:P903" si="280">ROUND(E897*$D$903,2)</f>
        <v>3872.27</v>
      </c>
      <c r="F903" s="479">
        <f t="shared" si="280"/>
        <v>3922.9</v>
      </c>
      <c r="G903" s="479">
        <f t="shared" si="280"/>
        <v>3662.03</v>
      </c>
      <c r="H903" s="479">
        <f t="shared" si="280"/>
        <v>2804.6</v>
      </c>
      <c r="I903" s="479">
        <f t="shared" si="280"/>
        <v>2884.67</v>
      </c>
      <c r="J903" s="479">
        <f t="shared" si="280"/>
        <v>2382.37</v>
      </c>
      <c r="K903" s="479">
        <f t="shared" si="280"/>
        <v>2381.3200000000002</v>
      </c>
      <c r="L903" s="479">
        <f t="shared" si="280"/>
        <v>2418.64</v>
      </c>
      <c r="M903" s="479">
        <f t="shared" si="280"/>
        <v>2340.3200000000002</v>
      </c>
      <c r="N903" s="479">
        <f t="shared" si="280"/>
        <v>3176.2</v>
      </c>
      <c r="O903" s="479">
        <f t="shared" si="280"/>
        <v>3510.48</v>
      </c>
      <c r="P903" s="479">
        <f t="shared" si="280"/>
        <v>3627.17</v>
      </c>
      <c r="Q903" s="480">
        <f>SUM(E903:P903)</f>
        <v>36982.97</v>
      </c>
    </row>
    <row r="904" spans="1:17" x14ac:dyDescent="0.2">
      <c r="A904" s="224">
        <f>A903+1</f>
        <v>14</v>
      </c>
      <c r="C904" s="221" t="str">
        <f>C898</f>
        <v xml:space="preserve">    Next 600 Mcf</v>
      </c>
      <c r="D904" s="793">
        <f>Input!E43</f>
        <v>1.6658999999999999</v>
      </c>
      <c r="E904" s="479">
        <f t="shared" ref="E904:P904" si="281">ROUND(E898*$D$904,2)</f>
        <v>3998.16</v>
      </c>
      <c r="F904" s="479">
        <f t="shared" si="281"/>
        <v>3906.04</v>
      </c>
      <c r="G904" s="479">
        <f t="shared" si="281"/>
        <v>3440.25</v>
      </c>
      <c r="H904" s="479">
        <f t="shared" si="281"/>
        <v>3167.71</v>
      </c>
      <c r="I904" s="535">
        <f t="shared" si="281"/>
        <v>2409.7199999999998</v>
      </c>
      <c r="J904" s="535">
        <f t="shared" si="281"/>
        <v>2479.19</v>
      </c>
      <c r="K904" s="535">
        <f t="shared" si="281"/>
        <v>2324.9299999999998</v>
      </c>
      <c r="L904" s="535">
        <f t="shared" si="281"/>
        <v>2000.75</v>
      </c>
      <c r="M904" s="535">
        <f t="shared" si="281"/>
        <v>2275.29</v>
      </c>
      <c r="N904" s="479">
        <f t="shared" si="281"/>
        <v>2355.42</v>
      </c>
      <c r="O904" s="479">
        <f t="shared" si="281"/>
        <v>3254.84</v>
      </c>
      <c r="P904" s="479">
        <f t="shared" si="281"/>
        <v>3221.18</v>
      </c>
      <c r="Q904" s="480">
        <f>SUM(E904:P904)</f>
        <v>34833.479999999996</v>
      </c>
    </row>
    <row r="905" spans="1:17" x14ac:dyDescent="0.2">
      <c r="A905" s="224">
        <f>A904+1</f>
        <v>15</v>
      </c>
      <c r="C905" s="221" t="str">
        <f>C899</f>
        <v xml:space="preserve">    Over 1,000 Mcf</v>
      </c>
      <c r="D905" s="793">
        <f>Input!F43</f>
        <v>1.5164</v>
      </c>
      <c r="E905" s="528">
        <f t="shared" ref="E905:P905" si="282">ROUND(E899*$D$905,2)</f>
        <v>1390.84</v>
      </c>
      <c r="F905" s="528">
        <f t="shared" si="282"/>
        <v>1362.18</v>
      </c>
      <c r="G905" s="528">
        <f t="shared" si="282"/>
        <v>2026.06</v>
      </c>
      <c r="H905" s="528">
        <f t="shared" si="282"/>
        <v>3135.76</v>
      </c>
      <c r="I905" s="528">
        <f t="shared" si="282"/>
        <v>3883.2</v>
      </c>
      <c r="J905" s="528">
        <f t="shared" si="282"/>
        <v>4305.0600000000004</v>
      </c>
      <c r="K905" s="528">
        <f t="shared" si="282"/>
        <v>4449.88</v>
      </c>
      <c r="L905" s="528">
        <f t="shared" si="282"/>
        <v>4735.57</v>
      </c>
      <c r="M905" s="528">
        <f t="shared" si="282"/>
        <v>4578.3100000000004</v>
      </c>
      <c r="N905" s="528">
        <f t="shared" si="282"/>
        <v>3567.94</v>
      </c>
      <c r="O905" s="528">
        <f t="shared" si="282"/>
        <v>2451.11</v>
      </c>
      <c r="P905" s="528">
        <f t="shared" si="282"/>
        <v>2317.36</v>
      </c>
      <c r="Q905" s="528">
        <f>SUM(E905:P905)</f>
        <v>38203.270000000004</v>
      </c>
    </row>
    <row r="906" spans="1:17" x14ac:dyDescent="0.2">
      <c r="D906" s="290"/>
      <c r="E906" s="434">
        <f t="shared" ref="E906:O906" si="283">SUM(E902:E905)</f>
        <v>10332.69</v>
      </c>
      <c r="F906" s="434">
        <f t="shared" si="283"/>
        <v>10364.77</v>
      </c>
      <c r="G906" s="434">
        <f t="shared" si="283"/>
        <v>10280.91</v>
      </c>
      <c r="H906" s="434">
        <f t="shared" si="283"/>
        <v>10082.030000000001</v>
      </c>
      <c r="I906" s="434">
        <f t="shared" si="283"/>
        <v>9962.2900000000009</v>
      </c>
      <c r="J906" s="434">
        <f t="shared" si="283"/>
        <v>9876.2900000000009</v>
      </c>
      <c r="K906" s="434">
        <f t="shared" si="283"/>
        <v>9860.14</v>
      </c>
      <c r="L906" s="434">
        <f t="shared" si="283"/>
        <v>9824.9699999999993</v>
      </c>
      <c r="M906" s="434">
        <f t="shared" si="283"/>
        <v>9826.75</v>
      </c>
      <c r="N906" s="434">
        <f t="shared" si="283"/>
        <v>10052.44</v>
      </c>
      <c r="O906" s="434">
        <f t="shared" si="283"/>
        <v>10182.23</v>
      </c>
      <c r="P906" s="434">
        <f>SUM(P902:P905)</f>
        <v>10226.25</v>
      </c>
      <c r="Q906" s="434">
        <f>SUM(E906:P906)</f>
        <v>120871.76</v>
      </c>
    </row>
    <row r="907" spans="1:17" x14ac:dyDescent="0.2">
      <c r="D907" s="290"/>
      <c r="E907" s="292"/>
      <c r="F907" s="292"/>
      <c r="G907" s="292"/>
      <c r="H907" s="292"/>
      <c r="I907" s="292"/>
      <c r="J907" s="292"/>
      <c r="K907" s="292"/>
      <c r="L907" s="292"/>
      <c r="M907" s="292"/>
      <c r="N907" s="292"/>
      <c r="O907" s="292"/>
      <c r="P907" s="292"/>
      <c r="Q907" s="292"/>
    </row>
    <row r="908" spans="1:17" x14ac:dyDescent="0.2">
      <c r="A908" s="224">
        <f>A905+1</f>
        <v>16</v>
      </c>
      <c r="C908" s="221" t="s">
        <v>204</v>
      </c>
      <c r="D908" s="290"/>
      <c r="E908" s="434">
        <f t="shared" ref="E908:O908" si="284">E892+E893+E906</f>
        <v>10924.45</v>
      </c>
      <c r="F908" s="434">
        <f t="shared" si="284"/>
        <v>10956.53</v>
      </c>
      <c r="G908" s="434">
        <f t="shared" si="284"/>
        <v>10827.15</v>
      </c>
      <c r="H908" s="434">
        <f t="shared" si="284"/>
        <v>10673.79</v>
      </c>
      <c r="I908" s="434">
        <f t="shared" si="284"/>
        <v>10508.53</v>
      </c>
      <c r="J908" s="434">
        <f t="shared" si="284"/>
        <v>10422.530000000001</v>
      </c>
      <c r="K908" s="434">
        <f t="shared" si="284"/>
        <v>10406.379999999999</v>
      </c>
      <c r="L908" s="434">
        <f t="shared" si="284"/>
        <v>10371.209999999999</v>
      </c>
      <c r="M908" s="434">
        <f t="shared" si="284"/>
        <v>10372.99</v>
      </c>
      <c r="N908" s="434">
        <f t="shared" si="284"/>
        <v>10598.68</v>
      </c>
      <c r="O908" s="434">
        <f t="shared" si="284"/>
        <v>10773.99</v>
      </c>
      <c r="P908" s="434">
        <f>P892+P893+P906</f>
        <v>10818.01</v>
      </c>
      <c r="Q908" s="434">
        <f>SUM(E908:P908)</f>
        <v>127654.24000000002</v>
      </c>
    </row>
    <row r="909" spans="1:17" x14ac:dyDescent="0.2">
      <c r="D909" s="224"/>
      <c r="E909" s="473"/>
      <c r="F909" s="473"/>
      <c r="G909" s="473"/>
      <c r="H909" s="473"/>
      <c r="I909" s="473"/>
      <c r="J909" s="473"/>
      <c r="K909" s="473"/>
      <c r="L909" s="473"/>
      <c r="M909" s="473"/>
      <c r="N909" s="473"/>
      <c r="O909" s="473"/>
      <c r="P909" s="473"/>
      <c r="Q909" s="473"/>
    </row>
    <row r="910" spans="1:17" x14ac:dyDescent="0.2">
      <c r="A910" s="224">
        <f>A908+1</f>
        <v>17</v>
      </c>
      <c r="C910" s="221" t="s">
        <v>151</v>
      </c>
      <c r="D910" s="794">
        <v>0</v>
      </c>
      <c r="E910" s="517">
        <v>0</v>
      </c>
      <c r="F910" s="517">
        <v>0</v>
      </c>
      <c r="G910" s="517">
        <v>0</v>
      </c>
      <c r="H910" s="517">
        <v>0</v>
      </c>
      <c r="I910" s="517">
        <v>0</v>
      </c>
      <c r="J910" s="517">
        <v>0</v>
      </c>
      <c r="K910" s="517">
        <v>0</v>
      </c>
      <c r="L910" s="517">
        <v>0</v>
      </c>
      <c r="M910" s="517">
        <v>0</v>
      </c>
      <c r="N910" s="517">
        <v>0</v>
      </c>
      <c r="O910" s="517">
        <v>0</v>
      </c>
      <c r="P910" s="517">
        <v>0</v>
      </c>
      <c r="Q910" s="434">
        <f>SUM(E910:P910)</f>
        <v>0</v>
      </c>
    </row>
    <row r="911" spans="1:17" x14ac:dyDescent="0.2">
      <c r="E911" s="517"/>
      <c r="F911" s="517"/>
      <c r="G911" s="517"/>
      <c r="H911" s="517"/>
      <c r="I911" s="517"/>
      <c r="J911" s="517"/>
      <c r="K911" s="517"/>
      <c r="L911" s="517"/>
      <c r="M911" s="517"/>
      <c r="N911" s="517"/>
      <c r="O911" s="517"/>
      <c r="P911" s="517"/>
      <c r="Q911" s="434"/>
    </row>
    <row r="912" spans="1:17" ht="10.8" thickBot="1" x14ac:dyDescent="0.25">
      <c r="A912" s="495">
        <f>A910+1</f>
        <v>18</v>
      </c>
      <c r="B912" s="496"/>
      <c r="C912" s="496" t="s">
        <v>205</v>
      </c>
      <c r="D912" s="497"/>
      <c r="E912" s="499">
        <f t="shared" ref="E912:O912" si="285">E908+E910</f>
        <v>10924.45</v>
      </c>
      <c r="F912" s="499">
        <f t="shared" si="285"/>
        <v>10956.53</v>
      </c>
      <c r="G912" s="499">
        <f t="shared" si="285"/>
        <v>10827.15</v>
      </c>
      <c r="H912" s="499">
        <f t="shared" si="285"/>
        <v>10673.79</v>
      </c>
      <c r="I912" s="499">
        <f t="shared" si="285"/>
        <v>10508.53</v>
      </c>
      <c r="J912" s="499">
        <f t="shared" si="285"/>
        <v>10422.530000000001</v>
      </c>
      <c r="K912" s="499">
        <f t="shared" si="285"/>
        <v>10406.379999999999</v>
      </c>
      <c r="L912" s="499">
        <f t="shared" si="285"/>
        <v>10371.209999999999</v>
      </c>
      <c r="M912" s="499">
        <f t="shared" si="285"/>
        <v>10372.99</v>
      </c>
      <c r="N912" s="499">
        <f t="shared" si="285"/>
        <v>10598.68</v>
      </c>
      <c r="O912" s="499">
        <f t="shared" si="285"/>
        <v>10773.99</v>
      </c>
      <c r="P912" s="499">
        <f>P908+P910</f>
        <v>10818.01</v>
      </c>
      <c r="Q912" s="499">
        <f>SUM(E912:P912)</f>
        <v>127654.24000000002</v>
      </c>
    </row>
    <row r="913" spans="1:17" ht="10.8" thickTop="1" x14ac:dyDescent="0.2">
      <c r="Q913" s="419"/>
    </row>
    <row r="915" spans="1:17" x14ac:dyDescent="0.2">
      <c r="A915" s="224" t="str">
        <f>$A$270</f>
        <v>[1] Reflects Normalized Volumes.</v>
      </c>
    </row>
    <row r="917" spans="1:17" x14ac:dyDescent="0.2">
      <c r="A917" s="887" t="str">
        <f>CONAME</f>
        <v>Columbia Gas of Kentucky, Inc.</v>
      </c>
      <c r="B917" s="887"/>
      <c r="C917" s="887"/>
      <c r="D917" s="887"/>
      <c r="E917" s="887"/>
      <c r="F917" s="887"/>
      <c r="G917" s="887"/>
      <c r="H917" s="887"/>
      <c r="I917" s="887"/>
      <c r="J917" s="887"/>
      <c r="K917" s="887"/>
      <c r="L917" s="887"/>
      <c r="M917" s="887"/>
      <c r="N917" s="887"/>
      <c r="O917" s="887"/>
      <c r="P917" s="887"/>
      <c r="Q917" s="887"/>
    </row>
    <row r="918" spans="1:17" x14ac:dyDescent="0.2">
      <c r="A918" s="875" t="str">
        <f>case</f>
        <v>Case No. 2016-00162</v>
      </c>
      <c r="B918" s="875"/>
      <c r="C918" s="875"/>
      <c r="D918" s="875"/>
      <c r="E918" s="875"/>
      <c r="F918" s="875"/>
      <c r="G918" s="875"/>
      <c r="H918" s="875"/>
      <c r="I918" s="875"/>
      <c r="J918" s="875"/>
      <c r="K918" s="875"/>
      <c r="L918" s="875"/>
      <c r="M918" s="875"/>
      <c r="N918" s="875"/>
      <c r="O918" s="875"/>
      <c r="P918" s="875"/>
      <c r="Q918" s="875"/>
    </row>
    <row r="919" spans="1:17" x14ac:dyDescent="0.2">
      <c r="A919" s="888" t="s">
        <v>503</v>
      </c>
      <c r="B919" s="888"/>
      <c r="C919" s="888"/>
      <c r="D919" s="888"/>
      <c r="E919" s="888"/>
      <c r="F919" s="888"/>
      <c r="G919" s="888"/>
      <c r="H919" s="888"/>
      <c r="I919" s="888"/>
      <c r="J919" s="888"/>
      <c r="K919" s="888"/>
      <c r="L919" s="888"/>
      <c r="M919" s="888"/>
      <c r="N919" s="888"/>
      <c r="O919" s="888"/>
      <c r="P919" s="888"/>
      <c r="Q919" s="888"/>
    </row>
    <row r="920" spans="1:17" x14ac:dyDescent="0.2">
      <c r="A920" s="887" t="str">
        <f>TYDESC</f>
        <v>For the 12 Months Ended December 31, 2017</v>
      </c>
      <c r="B920" s="887"/>
      <c r="C920" s="887"/>
      <c r="D920" s="887"/>
      <c r="E920" s="887"/>
      <c r="F920" s="887"/>
      <c r="G920" s="887"/>
      <c r="H920" s="887"/>
      <c r="I920" s="887"/>
      <c r="J920" s="887"/>
      <c r="K920" s="887"/>
      <c r="L920" s="887"/>
      <c r="M920" s="887"/>
      <c r="N920" s="887"/>
      <c r="O920" s="887"/>
      <c r="P920" s="887"/>
      <c r="Q920" s="887"/>
    </row>
    <row r="921" spans="1:17" x14ac:dyDescent="0.2">
      <c r="A921" s="885" t="s">
        <v>39</v>
      </c>
      <c r="B921" s="885"/>
      <c r="C921" s="885"/>
      <c r="D921" s="885"/>
      <c r="E921" s="885"/>
      <c r="F921" s="885"/>
      <c r="G921" s="885"/>
      <c r="H921" s="885"/>
      <c r="I921" s="885"/>
      <c r="J921" s="885"/>
      <c r="K921" s="885"/>
      <c r="L921" s="885"/>
      <c r="M921" s="885"/>
      <c r="N921" s="885"/>
      <c r="O921" s="885"/>
      <c r="P921" s="885"/>
      <c r="Q921" s="885"/>
    </row>
    <row r="922" spans="1:17" x14ac:dyDescent="0.2">
      <c r="A922" s="266" t="str">
        <f>$A$52</f>
        <v>Data: __ Base Period _X_ Forecasted Period</v>
      </c>
    </row>
    <row r="923" spans="1:17" x14ac:dyDescent="0.2">
      <c r="A923" s="266" t="str">
        <f>$A$53</f>
        <v>Type of Filing: X Original _ Update _ Revised</v>
      </c>
      <c r="Q923" s="420" t="str">
        <f>$Q$53</f>
        <v>Schedule M-2.2</v>
      </c>
    </row>
    <row r="924" spans="1:17" x14ac:dyDescent="0.2">
      <c r="A924" s="266" t="str">
        <f>$A$54</f>
        <v>Work Paper Reference No(s):</v>
      </c>
      <c r="Q924" s="420" t="s">
        <v>519</v>
      </c>
    </row>
    <row r="925" spans="1:17" x14ac:dyDescent="0.2">
      <c r="A925" s="421" t="str">
        <f>$A$55</f>
        <v>12 Months Forecasted</v>
      </c>
      <c r="Q925" s="420" t="str">
        <f>Witness</f>
        <v>Witness:  M. J. Bell</v>
      </c>
    </row>
    <row r="926" spans="1:17" x14ac:dyDescent="0.2">
      <c r="A926" s="886" t="s">
        <v>194</v>
      </c>
      <c r="B926" s="886"/>
      <c r="C926" s="886"/>
      <c r="D926" s="886"/>
      <c r="E926" s="886"/>
      <c r="F926" s="886"/>
      <c r="G926" s="886"/>
      <c r="H926" s="886"/>
      <c r="I926" s="886"/>
      <c r="J926" s="886"/>
      <c r="K926" s="886"/>
      <c r="L926" s="886"/>
      <c r="M926" s="886"/>
      <c r="N926" s="886"/>
      <c r="O926" s="886"/>
      <c r="P926" s="886"/>
      <c r="Q926" s="886"/>
    </row>
    <row r="927" spans="1:17" x14ac:dyDescent="0.2">
      <c r="A927" s="440"/>
      <c r="B927" s="305"/>
      <c r="C927" s="305"/>
      <c r="D927" s="304"/>
      <c r="E927" s="305"/>
      <c r="F927" s="422"/>
      <c r="G927" s="442"/>
      <c r="H927" s="422"/>
      <c r="I927" s="443"/>
      <c r="J927" s="422"/>
      <c r="K927" s="422"/>
      <c r="L927" s="422"/>
      <c r="M927" s="422"/>
      <c r="N927" s="422"/>
      <c r="O927" s="422"/>
      <c r="P927" s="422"/>
      <c r="Q927" s="305"/>
    </row>
    <row r="928" spans="1:17" x14ac:dyDescent="0.2">
      <c r="A928" s="416" t="s">
        <v>1</v>
      </c>
      <c r="B928" s="226" t="s">
        <v>0</v>
      </c>
      <c r="C928" s="226" t="s">
        <v>41</v>
      </c>
      <c r="D928" s="423" t="s">
        <v>47</v>
      </c>
      <c r="E928" s="226"/>
      <c r="F928" s="424"/>
      <c r="G928" s="425"/>
      <c r="H928" s="424"/>
      <c r="I928" s="426"/>
      <c r="J928" s="424"/>
      <c r="K928" s="424"/>
      <c r="L928" s="424"/>
      <c r="M928" s="424"/>
      <c r="N928" s="424"/>
      <c r="O928" s="424"/>
      <c r="P928" s="424"/>
      <c r="Q928" s="231"/>
    </row>
    <row r="929" spans="1:17" x14ac:dyDescent="0.2">
      <c r="A929" s="285" t="s">
        <v>3</v>
      </c>
      <c r="B929" s="228" t="s">
        <v>40</v>
      </c>
      <c r="C929" s="228" t="s">
        <v>4</v>
      </c>
      <c r="D929" s="427" t="s">
        <v>48</v>
      </c>
      <c r="E929" s="428" t="str">
        <f>B!$D$11</f>
        <v>Jan-17</v>
      </c>
      <c r="F929" s="428" t="str">
        <f>B!$E$11</f>
        <v>Feb-17</v>
      </c>
      <c r="G929" s="428" t="str">
        <f>B!$F$11</f>
        <v>Mar-17</v>
      </c>
      <c r="H929" s="428" t="str">
        <f>B!$G$11</f>
        <v>Apr-17</v>
      </c>
      <c r="I929" s="428" t="str">
        <f>B!$H$11</f>
        <v>May-17</v>
      </c>
      <c r="J929" s="428" t="str">
        <f>B!$I$11</f>
        <v>Jun-17</v>
      </c>
      <c r="K929" s="428" t="str">
        <f>B!$J$11</f>
        <v>Jul-17</v>
      </c>
      <c r="L929" s="428" t="str">
        <f>B!$K$11</f>
        <v>Aug-17</v>
      </c>
      <c r="M929" s="428" t="str">
        <f>B!$L$11</f>
        <v>Sep-17</v>
      </c>
      <c r="N929" s="428" t="str">
        <f>B!$M$11</f>
        <v>Oct-17</v>
      </c>
      <c r="O929" s="428" t="str">
        <f>B!$N$11</f>
        <v>Nov-17</v>
      </c>
      <c r="P929" s="428" t="str">
        <f>B!$O$11</f>
        <v>Dec-17</v>
      </c>
      <c r="Q929" s="429" t="s">
        <v>9</v>
      </c>
    </row>
    <row r="930" spans="1:17" x14ac:dyDescent="0.2">
      <c r="A930" s="416"/>
      <c r="B930" s="231" t="s">
        <v>42</v>
      </c>
      <c r="C930" s="231" t="s">
        <v>43</v>
      </c>
      <c r="D930" s="430" t="s">
        <v>45</v>
      </c>
      <c r="E930" s="431" t="s">
        <v>46</v>
      </c>
      <c r="F930" s="431" t="s">
        <v>49</v>
      </c>
      <c r="G930" s="431" t="s">
        <v>50</v>
      </c>
      <c r="H930" s="431" t="s">
        <v>51</v>
      </c>
      <c r="I930" s="431" t="s">
        <v>52</v>
      </c>
      <c r="J930" s="431" t="s">
        <v>53</v>
      </c>
      <c r="K930" s="432" t="s">
        <v>54</v>
      </c>
      <c r="L930" s="432" t="s">
        <v>55</v>
      </c>
      <c r="M930" s="432" t="s">
        <v>56</v>
      </c>
      <c r="N930" s="432" t="s">
        <v>57</v>
      </c>
      <c r="O930" s="432" t="s">
        <v>58</v>
      </c>
      <c r="P930" s="432" t="s">
        <v>59</v>
      </c>
      <c r="Q930" s="432" t="s">
        <v>203</v>
      </c>
    </row>
    <row r="931" spans="1:17" x14ac:dyDescent="0.2">
      <c r="E931" s="231"/>
      <c r="F931" s="432"/>
      <c r="G931" s="444"/>
      <c r="H931" s="432"/>
      <c r="I931" s="431"/>
      <c r="J931" s="432"/>
      <c r="K931" s="432"/>
      <c r="L931" s="432"/>
      <c r="M931" s="432"/>
      <c r="N931" s="432"/>
      <c r="O931" s="432"/>
      <c r="P931" s="432"/>
      <c r="Q931" s="231"/>
    </row>
    <row r="932" spans="1:17" x14ac:dyDescent="0.2">
      <c r="A932" s="224">
        <v>1</v>
      </c>
      <c r="B932" s="221" t="str">
        <f>B248</f>
        <v>DS</v>
      </c>
      <c r="C932" s="221" t="str">
        <f>C248</f>
        <v>GTS Delivery Service - Commercial</v>
      </c>
    </row>
    <row r="934" spans="1:17" x14ac:dyDescent="0.2">
      <c r="A934" s="224">
        <f>A932+1</f>
        <v>2</v>
      </c>
      <c r="C934" s="225" t="s">
        <v>111</v>
      </c>
    </row>
    <row r="935" spans="1:17" x14ac:dyDescent="0.2">
      <c r="C935" s="225"/>
    </row>
    <row r="936" spans="1:17" x14ac:dyDescent="0.2">
      <c r="A936" s="224">
        <f>A934+1</f>
        <v>3</v>
      </c>
      <c r="C936" s="221" t="s">
        <v>202</v>
      </c>
      <c r="E936" s="479">
        <f>B!D182</f>
        <v>41</v>
      </c>
      <c r="F936" s="479">
        <f>B!E182</f>
        <v>32</v>
      </c>
      <c r="G936" s="479">
        <f>B!F182</f>
        <v>32</v>
      </c>
      <c r="H936" s="479">
        <f>B!G182</f>
        <v>32</v>
      </c>
      <c r="I936" s="479">
        <f>B!H182</f>
        <v>32</v>
      </c>
      <c r="J936" s="479">
        <f>B!I182</f>
        <v>32</v>
      </c>
      <c r="K936" s="479">
        <f>B!J182</f>
        <v>34</v>
      </c>
      <c r="L936" s="479">
        <f>B!K182</f>
        <v>33</v>
      </c>
      <c r="M936" s="479">
        <f>B!L182</f>
        <v>33</v>
      </c>
      <c r="N936" s="479">
        <f>B!M182</f>
        <v>33</v>
      </c>
      <c r="O936" s="479">
        <f>B!N182</f>
        <v>34</v>
      </c>
      <c r="P936" s="479">
        <f>B!O182</f>
        <v>60</v>
      </c>
      <c r="Q936" s="480">
        <f>SUM(E936:P936)</f>
        <v>428</v>
      </c>
    </row>
    <row r="937" spans="1:17" x14ac:dyDescent="0.2">
      <c r="A937" s="224">
        <f>A936+1</f>
        <v>4</v>
      </c>
      <c r="C937" s="221" t="s">
        <v>210</v>
      </c>
      <c r="D937" s="792">
        <f>Input!H44</f>
        <v>1007.05</v>
      </c>
      <c r="E937" s="434">
        <f t="shared" ref="E937:P937" si="286">ROUND(E936*$D$937,2)</f>
        <v>41289.050000000003</v>
      </c>
      <c r="F937" s="434">
        <f t="shared" si="286"/>
        <v>32225.599999999999</v>
      </c>
      <c r="G937" s="434">
        <f t="shared" si="286"/>
        <v>32225.599999999999</v>
      </c>
      <c r="H937" s="434">
        <f t="shared" si="286"/>
        <v>32225.599999999999</v>
      </c>
      <c r="I937" s="434">
        <f t="shared" si="286"/>
        <v>32225.599999999999</v>
      </c>
      <c r="J937" s="434">
        <f t="shared" si="286"/>
        <v>32225.599999999999</v>
      </c>
      <c r="K937" s="434">
        <f t="shared" si="286"/>
        <v>34239.699999999997</v>
      </c>
      <c r="L937" s="434">
        <f t="shared" si="286"/>
        <v>33232.65</v>
      </c>
      <c r="M937" s="434">
        <f t="shared" si="286"/>
        <v>33232.65</v>
      </c>
      <c r="N937" s="434">
        <f t="shared" si="286"/>
        <v>33232.65</v>
      </c>
      <c r="O937" s="434">
        <f t="shared" si="286"/>
        <v>34239.699999999997</v>
      </c>
      <c r="P937" s="434">
        <f t="shared" si="286"/>
        <v>60423</v>
      </c>
      <c r="Q937" s="434">
        <f>SUM(E937:P937)</f>
        <v>431017.40000000008</v>
      </c>
    </row>
    <row r="938" spans="1:17" x14ac:dyDescent="0.2">
      <c r="A938" s="224">
        <f>A937+1</f>
        <v>5</v>
      </c>
      <c r="C938" s="221" t="s">
        <v>217</v>
      </c>
      <c r="D938" s="792">
        <f>Input!I44</f>
        <v>55.9</v>
      </c>
      <c r="E938" s="434">
        <f t="shared" ref="E938:P938" si="287">ROUND(E936*$D$938,2)</f>
        <v>2291.9</v>
      </c>
      <c r="F938" s="434">
        <f t="shared" si="287"/>
        <v>1788.8</v>
      </c>
      <c r="G938" s="434">
        <f t="shared" si="287"/>
        <v>1788.8</v>
      </c>
      <c r="H938" s="434">
        <f t="shared" si="287"/>
        <v>1788.8</v>
      </c>
      <c r="I938" s="434">
        <f t="shared" si="287"/>
        <v>1788.8</v>
      </c>
      <c r="J938" s="434">
        <f t="shared" si="287"/>
        <v>1788.8</v>
      </c>
      <c r="K938" s="434">
        <f t="shared" si="287"/>
        <v>1900.6</v>
      </c>
      <c r="L938" s="434">
        <f t="shared" si="287"/>
        <v>1844.7</v>
      </c>
      <c r="M938" s="434">
        <f t="shared" si="287"/>
        <v>1844.7</v>
      </c>
      <c r="N938" s="434">
        <f t="shared" si="287"/>
        <v>1844.7</v>
      </c>
      <c r="O938" s="434">
        <f t="shared" si="287"/>
        <v>1900.6</v>
      </c>
      <c r="P938" s="434">
        <f t="shared" si="287"/>
        <v>3354</v>
      </c>
      <c r="Q938" s="434">
        <f>SUM(E938:P938)</f>
        <v>23925.200000000001</v>
      </c>
    </row>
    <row r="939" spans="1:17" x14ac:dyDescent="0.2">
      <c r="A939" s="224">
        <f>A938+1</f>
        <v>6</v>
      </c>
      <c r="C939" s="221" t="s">
        <v>211</v>
      </c>
      <c r="D939" s="792">
        <f>Input!J44</f>
        <v>449.59</v>
      </c>
      <c r="E939" s="434">
        <f t="shared" ref="E939:P939" si="288">ROUND(E936*$D$939,2)</f>
        <v>18433.189999999999</v>
      </c>
      <c r="F939" s="434">
        <f t="shared" si="288"/>
        <v>14386.88</v>
      </c>
      <c r="G939" s="434">
        <f t="shared" si="288"/>
        <v>14386.88</v>
      </c>
      <c r="H939" s="434">
        <f t="shared" si="288"/>
        <v>14386.88</v>
      </c>
      <c r="I939" s="434">
        <f t="shared" si="288"/>
        <v>14386.88</v>
      </c>
      <c r="J939" s="434">
        <f t="shared" si="288"/>
        <v>14386.88</v>
      </c>
      <c r="K939" s="434">
        <f t="shared" si="288"/>
        <v>15286.06</v>
      </c>
      <c r="L939" s="434">
        <f t="shared" si="288"/>
        <v>14836.47</v>
      </c>
      <c r="M939" s="434">
        <f t="shared" si="288"/>
        <v>14836.47</v>
      </c>
      <c r="N939" s="434">
        <f t="shared" si="288"/>
        <v>14836.47</v>
      </c>
      <c r="O939" s="434">
        <f t="shared" si="288"/>
        <v>15286.06</v>
      </c>
      <c r="P939" s="434">
        <f t="shared" si="288"/>
        <v>26975.4</v>
      </c>
      <c r="Q939" s="434">
        <f>SUM(E939:P939)</f>
        <v>192424.52</v>
      </c>
    </row>
    <row r="940" spans="1:17" x14ac:dyDescent="0.2">
      <c r="D940" s="290"/>
      <c r="E940" s="224"/>
      <c r="F940" s="292"/>
      <c r="G940" s="476"/>
      <c r="H940" s="292"/>
      <c r="I940" s="297"/>
      <c r="J940" s="292"/>
      <c r="K940" s="292"/>
      <c r="L940" s="292"/>
    </row>
    <row r="941" spans="1:17" x14ac:dyDescent="0.2">
      <c r="A941" s="224">
        <f>A939+1</f>
        <v>7</v>
      </c>
      <c r="C941" s="221" t="s">
        <v>209</v>
      </c>
      <c r="D941" s="290"/>
      <c r="E941" s="521"/>
      <c r="F941" s="292"/>
      <c r="G941" s="476"/>
      <c r="H941" s="292"/>
      <c r="I941" s="297"/>
      <c r="J941" s="292"/>
      <c r="K941" s="292"/>
      <c r="L941" s="292"/>
    </row>
    <row r="942" spans="1:17" x14ac:dyDescent="0.2">
      <c r="A942" s="224">
        <f>A941+1</f>
        <v>8</v>
      </c>
      <c r="C942" s="221" t="str">
        <f>'C'!B243</f>
        <v xml:space="preserve">    First 30,000 Mcf</v>
      </c>
      <c r="D942" s="290"/>
      <c r="E942" s="483">
        <f>'C'!D251</f>
        <v>188859</v>
      </c>
      <c r="F942" s="483">
        <f>'C'!E251</f>
        <v>169110.1</v>
      </c>
      <c r="G942" s="483">
        <f>'C'!F251</f>
        <v>147265.60000000001</v>
      </c>
      <c r="H942" s="483">
        <f>'C'!G251</f>
        <v>103565.2</v>
      </c>
      <c r="I942" s="483">
        <f>'C'!H251</f>
        <v>83423.100000000006</v>
      </c>
      <c r="J942" s="483">
        <f>'C'!I251</f>
        <v>69626.2</v>
      </c>
      <c r="K942" s="483">
        <f>'C'!J251</f>
        <v>68394.7</v>
      </c>
      <c r="L942" s="483">
        <f>'C'!K251</f>
        <v>69858.100000000006</v>
      </c>
      <c r="M942" s="483">
        <f>'C'!L251</f>
        <v>76451.3</v>
      </c>
      <c r="N942" s="483">
        <f>'C'!M251</f>
        <v>101603.3</v>
      </c>
      <c r="O942" s="483">
        <f>'C'!N251</f>
        <v>139898.5</v>
      </c>
      <c r="P942" s="483">
        <f>'C'!O251</f>
        <v>162514.9</v>
      </c>
      <c r="Q942" s="484">
        <f>SUM(E942:P942)</f>
        <v>1380569.9999999998</v>
      </c>
    </row>
    <row r="943" spans="1:17" x14ac:dyDescent="0.2">
      <c r="A943" s="224">
        <f>A942+1</f>
        <v>9</v>
      </c>
      <c r="C943" s="221" t="str">
        <f>'C'!B244</f>
        <v xml:space="preserve">    Over 30,000 Mcf</v>
      </c>
      <c r="D943" s="519"/>
      <c r="E943" s="522">
        <f>'C'!D252</f>
        <v>0</v>
      </c>
      <c r="F943" s="522">
        <f>'C'!E252</f>
        <v>0</v>
      </c>
      <c r="G943" s="522">
        <f>'C'!F252</f>
        <v>0</v>
      </c>
      <c r="H943" s="522">
        <f>'C'!G252</f>
        <v>0</v>
      </c>
      <c r="I943" s="522">
        <f>'C'!H252</f>
        <v>0</v>
      </c>
      <c r="J943" s="522">
        <f>'C'!I252</f>
        <v>0</v>
      </c>
      <c r="K943" s="522">
        <f>'C'!J252</f>
        <v>0</v>
      </c>
      <c r="L943" s="522">
        <f>'C'!K252</f>
        <v>0</v>
      </c>
      <c r="M943" s="522">
        <f>'C'!L252</f>
        <v>0</v>
      </c>
      <c r="N943" s="522">
        <f>'C'!M252</f>
        <v>0</v>
      </c>
      <c r="O943" s="522">
        <f>'C'!N252</f>
        <v>0</v>
      </c>
      <c r="P943" s="522">
        <f>'C'!O252</f>
        <v>0</v>
      </c>
      <c r="Q943" s="471">
        <f>SUM(E943:P943)</f>
        <v>0</v>
      </c>
    </row>
    <row r="944" spans="1:17" x14ac:dyDescent="0.2">
      <c r="D944" s="519"/>
      <c r="E944" s="483">
        <f t="shared" ref="E944:O944" si="289">SUM(E940:E943)</f>
        <v>188859</v>
      </c>
      <c r="F944" s="483">
        <f t="shared" si="289"/>
        <v>169110.1</v>
      </c>
      <c r="G944" s="483">
        <f t="shared" si="289"/>
        <v>147265.60000000001</v>
      </c>
      <c r="H944" s="483">
        <f t="shared" si="289"/>
        <v>103565.2</v>
      </c>
      <c r="I944" s="483">
        <f t="shared" si="289"/>
        <v>83423.100000000006</v>
      </c>
      <c r="J944" s="483">
        <f t="shared" si="289"/>
        <v>69626.2</v>
      </c>
      <c r="K944" s="483">
        <f t="shared" si="289"/>
        <v>68394.7</v>
      </c>
      <c r="L944" s="483">
        <f t="shared" si="289"/>
        <v>69858.100000000006</v>
      </c>
      <c r="M944" s="483">
        <f t="shared" si="289"/>
        <v>76451.3</v>
      </c>
      <c r="N944" s="483">
        <f t="shared" si="289"/>
        <v>101603.3</v>
      </c>
      <c r="O944" s="483">
        <f t="shared" si="289"/>
        <v>139898.5</v>
      </c>
      <c r="P944" s="483">
        <f>SUM(P940:P943)</f>
        <v>162514.9</v>
      </c>
      <c r="Q944" s="483">
        <f>SUM(E944:P944)</f>
        <v>1380569.9999999998</v>
      </c>
    </row>
    <row r="945" spans="1:17" x14ac:dyDescent="0.2">
      <c r="A945" s="224">
        <f>A943+1</f>
        <v>10</v>
      </c>
      <c r="C945" s="221" t="s">
        <v>207</v>
      </c>
      <c r="D945" s="519"/>
      <c r="E945" s="224"/>
      <c r="F945" s="502"/>
      <c r="G945" s="476"/>
      <c r="H945" s="502"/>
      <c r="I945" s="504"/>
      <c r="J945" s="537"/>
      <c r="K945" s="502"/>
      <c r="L945" s="502"/>
      <c r="M945" s="422"/>
      <c r="N945" s="422"/>
      <c r="O945" s="422"/>
      <c r="P945" s="422"/>
      <c r="Q945" s="419"/>
    </row>
    <row r="946" spans="1:17" x14ac:dyDescent="0.2">
      <c r="A946" s="224">
        <f>A945+1</f>
        <v>11</v>
      </c>
      <c r="C946" s="221" t="str">
        <f>C942</f>
        <v xml:space="preserve">    First 30,000 Mcf</v>
      </c>
      <c r="D946" s="793">
        <f>Input!C44</f>
        <v>0.54430000000000001</v>
      </c>
      <c r="E946" s="434">
        <f t="shared" ref="E946:P946" si="290">ROUND(E942*$D$946,2)</f>
        <v>102795.95</v>
      </c>
      <c r="F946" s="434">
        <f t="shared" si="290"/>
        <v>92046.63</v>
      </c>
      <c r="G946" s="434">
        <f t="shared" si="290"/>
        <v>80156.67</v>
      </c>
      <c r="H946" s="434">
        <f t="shared" si="290"/>
        <v>56370.54</v>
      </c>
      <c r="I946" s="434">
        <f t="shared" si="290"/>
        <v>45407.19</v>
      </c>
      <c r="J946" s="434">
        <f t="shared" si="290"/>
        <v>37897.54</v>
      </c>
      <c r="K946" s="434">
        <f t="shared" si="290"/>
        <v>37227.24</v>
      </c>
      <c r="L946" s="434">
        <f t="shared" si="290"/>
        <v>38023.760000000002</v>
      </c>
      <c r="M946" s="434">
        <f t="shared" si="290"/>
        <v>41612.44</v>
      </c>
      <c r="N946" s="434">
        <f t="shared" si="290"/>
        <v>55302.68</v>
      </c>
      <c r="O946" s="434">
        <f t="shared" si="290"/>
        <v>76146.75</v>
      </c>
      <c r="P946" s="434">
        <f t="shared" si="290"/>
        <v>88456.86</v>
      </c>
      <c r="Q946" s="434">
        <f>SUM(E946:P946)</f>
        <v>751444.25</v>
      </c>
    </row>
    <row r="947" spans="1:17" x14ac:dyDescent="0.2">
      <c r="A947" s="224">
        <f>A946+1</f>
        <v>12</v>
      </c>
      <c r="C947" s="221" t="str">
        <f>C943</f>
        <v xml:space="preserve">    Over 30,000 Mcf</v>
      </c>
      <c r="D947" s="793">
        <f>Input!D44</f>
        <v>0.28899999999999998</v>
      </c>
      <c r="E947" s="277">
        <f t="shared" ref="E947:P947" si="291">ROUND(E943*$D$947,2)</f>
        <v>0</v>
      </c>
      <c r="F947" s="277">
        <f t="shared" si="291"/>
        <v>0</v>
      </c>
      <c r="G947" s="277">
        <f t="shared" si="291"/>
        <v>0</v>
      </c>
      <c r="H947" s="277">
        <f t="shared" si="291"/>
        <v>0</v>
      </c>
      <c r="I947" s="277">
        <f t="shared" si="291"/>
        <v>0</v>
      </c>
      <c r="J947" s="277">
        <f t="shared" si="291"/>
        <v>0</v>
      </c>
      <c r="K947" s="277">
        <f t="shared" si="291"/>
        <v>0</v>
      </c>
      <c r="L947" s="277">
        <f t="shared" si="291"/>
        <v>0</v>
      </c>
      <c r="M947" s="277">
        <f t="shared" si="291"/>
        <v>0</v>
      </c>
      <c r="N947" s="277">
        <f t="shared" si="291"/>
        <v>0</v>
      </c>
      <c r="O947" s="277">
        <f t="shared" si="291"/>
        <v>0</v>
      </c>
      <c r="P947" s="277">
        <f t="shared" si="291"/>
        <v>0</v>
      </c>
      <c r="Q947" s="277">
        <f>SUM(E947:P947)</f>
        <v>0</v>
      </c>
    </row>
    <row r="948" spans="1:17" x14ac:dyDescent="0.2">
      <c r="D948" s="519"/>
      <c r="E948" s="434">
        <f t="shared" ref="E948:O948" si="292">SUM(E946:E947)</f>
        <v>102795.95</v>
      </c>
      <c r="F948" s="434">
        <f t="shared" si="292"/>
        <v>92046.63</v>
      </c>
      <c r="G948" s="434">
        <f t="shared" si="292"/>
        <v>80156.67</v>
      </c>
      <c r="H948" s="434">
        <f t="shared" si="292"/>
        <v>56370.54</v>
      </c>
      <c r="I948" s="434">
        <f t="shared" si="292"/>
        <v>45407.19</v>
      </c>
      <c r="J948" s="434">
        <f t="shared" si="292"/>
        <v>37897.54</v>
      </c>
      <c r="K948" s="434">
        <f t="shared" si="292"/>
        <v>37227.24</v>
      </c>
      <c r="L948" s="434">
        <f t="shared" si="292"/>
        <v>38023.760000000002</v>
      </c>
      <c r="M948" s="434">
        <f t="shared" si="292"/>
        <v>41612.44</v>
      </c>
      <c r="N948" s="434">
        <f t="shared" si="292"/>
        <v>55302.68</v>
      </c>
      <c r="O948" s="434">
        <f t="shared" si="292"/>
        <v>76146.75</v>
      </c>
      <c r="P948" s="434">
        <f>SUM(P946:P947)</f>
        <v>88456.86</v>
      </c>
      <c r="Q948" s="434">
        <f>SUM(E948:P948)</f>
        <v>751444.25</v>
      </c>
    </row>
    <row r="949" spans="1:17" x14ac:dyDescent="0.2">
      <c r="D949" s="519"/>
      <c r="E949" s="473"/>
      <c r="F949" s="538"/>
      <c r="G949" s="473"/>
      <c r="H949" s="538"/>
      <c r="I949" s="538"/>
      <c r="J949" s="539"/>
      <c r="K949" s="538"/>
      <c r="L949" s="538"/>
      <c r="M949" s="510"/>
      <c r="N949" s="510"/>
      <c r="O949" s="510"/>
      <c r="P949" s="510"/>
      <c r="Q949" s="466"/>
    </row>
    <row r="950" spans="1:17" x14ac:dyDescent="0.2">
      <c r="A950" s="224">
        <f>A947+1</f>
        <v>13</v>
      </c>
      <c r="C950" s="221" t="s">
        <v>204</v>
      </c>
      <c r="D950" s="519"/>
      <c r="E950" s="434">
        <f t="shared" ref="E950:O950" si="293">E937+E938+E939+E948</f>
        <v>164810.09</v>
      </c>
      <c r="F950" s="434">
        <f t="shared" si="293"/>
        <v>140447.91</v>
      </c>
      <c r="G950" s="434">
        <f t="shared" si="293"/>
        <v>128557.95</v>
      </c>
      <c r="H950" s="434">
        <f t="shared" si="293"/>
        <v>104771.82</v>
      </c>
      <c r="I950" s="434">
        <f t="shared" si="293"/>
        <v>93808.47</v>
      </c>
      <c r="J950" s="434">
        <f t="shared" si="293"/>
        <v>86298.82</v>
      </c>
      <c r="K950" s="434">
        <f t="shared" si="293"/>
        <v>88653.599999999991</v>
      </c>
      <c r="L950" s="434">
        <f t="shared" si="293"/>
        <v>87937.58</v>
      </c>
      <c r="M950" s="434">
        <f t="shared" si="293"/>
        <v>91526.260000000009</v>
      </c>
      <c r="N950" s="434">
        <f t="shared" si="293"/>
        <v>105216.5</v>
      </c>
      <c r="O950" s="434">
        <f t="shared" si="293"/>
        <v>127573.10999999999</v>
      </c>
      <c r="P950" s="434">
        <f>P937+P938+P939+P948</f>
        <v>179209.26</v>
      </c>
      <c r="Q950" s="434">
        <f>SUM(E950:P950)</f>
        <v>1398811.3699999999</v>
      </c>
    </row>
    <row r="951" spans="1:17" x14ac:dyDescent="0.2">
      <c r="D951" s="519"/>
      <c r="E951" s="517"/>
      <c r="F951" s="517"/>
      <c r="G951" s="517"/>
      <c r="H951" s="517"/>
      <c r="I951" s="517"/>
      <c r="J951" s="517"/>
      <c r="K951" s="517"/>
      <c r="L951" s="517"/>
      <c r="M951" s="517"/>
      <c r="N951" s="517"/>
      <c r="O951" s="517"/>
      <c r="P951" s="517"/>
      <c r="Q951" s="434"/>
    </row>
    <row r="952" spans="1:17" x14ac:dyDescent="0.2">
      <c r="A952" s="224">
        <f>A950+1</f>
        <v>14</v>
      </c>
      <c r="C952" s="221" t="s">
        <v>151</v>
      </c>
      <c r="D952" s="794">
        <v>0</v>
      </c>
      <c r="E952" s="517">
        <v>0</v>
      </c>
      <c r="F952" s="517">
        <v>0</v>
      </c>
      <c r="G952" s="517">
        <v>0</v>
      </c>
      <c r="H952" s="517">
        <v>0</v>
      </c>
      <c r="I952" s="517">
        <v>0</v>
      </c>
      <c r="J952" s="517">
        <v>0</v>
      </c>
      <c r="K952" s="517">
        <v>0</v>
      </c>
      <c r="L952" s="517">
        <v>0</v>
      </c>
      <c r="M952" s="517">
        <v>0</v>
      </c>
      <c r="N952" s="517">
        <v>0</v>
      </c>
      <c r="O952" s="517">
        <v>0</v>
      </c>
      <c r="P952" s="517">
        <v>0</v>
      </c>
      <c r="Q952" s="434">
        <f>SUM(E952:P952)</f>
        <v>0</v>
      </c>
    </row>
    <row r="953" spans="1:17" x14ac:dyDescent="0.2">
      <c r="D953" s="518"/>
      <c r="E953" s="466"/>
      <c r="F953" s="491"/>
      <c r="G953" s="491"/>
      <c r="H953" s="491"/>
      <c r="I953" s="491"/>
      <c r="J953" s="540"/>
      <c r="K953" s="491"/>
      <c r="L953" s="491"/>
      <c r="M953" s="491"/>
      <c r="N953" s="491"/>
      <c r="O953" s="491"/>
      <c r="P953" s="491"/>
      <c r="Q953" s="466"/>
    </row>
    <row r="954" spans="1:17" ht="10.8" thickBot="1" x14ac:dyDescent="0.25">
      <c r="A954" s="495">
        <f>A952+1</f>
        <v>15</v>
      </c>
      <c r="B954" s="496"/>
      <c r="C954" s="496" t="s">
        <v>205</v>
      </c>
      <c r="D954" s="497"/>
      <c r="E954" s="499">
        <f t="shared" ref="E954:O954" si="294">E950+E952</f>
        <v>164810.09</v>
      </c>
      <c r="F954" s="499">
        <f t="shared" si="294"/>
        <v>140447.91</v>
      </c>
      <c r="G954" s="499">
        <f t="shared" si="294"/>
        <v>128557.95</v>
      </c>
      <c r="H954" s="499">
        <f t="shared" si="294"/>
        <v>104771.82</v>
      </c>
      <c r="I954" s="499">
        <f t="shared" si="294"/>
        <v>93808.47</v>
      </c>
      <c r="J954" s="499">
        <f t="shared" si="294"/>
        <v>86298.82</v>
      </c>
      <c r="K954" s="499">
        <f t="shared" si="294"/>
        <v>88653.599999999991</v>
      </c>
      <c r="L954" s="499">
        <f t="shared" si="294"/>
        <v>87937.58</v>
      </c>
      <c r="M954" s="499">
        <f t="shared" si="294"/>
        <v>91526.260000000009</v>
      </c>
      <c r="N954" s="499">
        <f t="shared" si="294"/>
        <v>105216.5</v>
      </c>
      <c r="O954" s="499">
        <f t="shared" si="294"/>
        <v>127573.10999999999</v>
      </c>
      <c r="P954" s="499">
        <f>P950+P952</f>
        <v>179209.26</v>
      </c>
      <c r="Q954" s="499">
        <f>SUM(E954:P954)</f>
        <v>1398811.3699999999</v>
      </c>
    </row>
    <row r="955" spans="1:17" ht="10.8" thickTop="1" x14ac:dyDescent="0.2"/>
    <row r="956" spans="1:17" x14ac:dyDescent="0.2">
      <c r="Q956" s="419"/>
    </row>
    <row r="957" spans="1:17" x14ac:dyDescent="0.2">
      <c r="A957" s="224">
        <f>A954+1</f>
        <v>16</v>
      </c>
      <c r="B957" s="221" t="str">
        <f>B255</f>
        <v>DS</v>
      </c>
      <c r="C957" s="221" t="str">
        <f>C255</f>
        <v>GTS Delivery Service - Industrial</v>
      </c>
    </row>
    <row r="959" spans="1:17" x14ac:dyDescent="0.2">
      <c r="A959" s="224">
        <f>A957+1</f>
        <v>17</v>
      </c>
      <c r="C959" s="225" t="s">
        <v>112</v>
      </c>
      <c r="E959" s="224"/>
      <c r="F959" s="292"/>
      <c r="G959" s="476"/>
      <c r="H959" s="292"/>
      <c r="I959" s="297"/>
      <c r="J959" s="292"/>
      <c r="K959" s="292"/>
      <c r="L959" s="292"/>
    </row>
    <row r="960" spans="1:17" x14ac:dyDescent="0.2">
      <c r="C960" s="225"/>
      <c r="E960" s="224"/>
      <c r="F960" s="292"/>
      <c r="G960" s="476"/>
      <c r="H960" s="292"/>
      <c r="I960" s="297"/>
      <c r="J960" s="292"/>
      <c r="K960" s="292"/>
      <c r="L960" s="292"/>
    </row>
    <row r="961" spans="1:17" x14ac:dyDescent="0.2">
      <c r="A961" s="224">
        <f>A959+1</f>
        <v>18</v>
      </c>
      <c r="C961" s="221" t="s">
        <v>202</v>
      </c>
      <c r="E961" s="479">
        <f>B!D188</f>
        <v>39</v>
      </c>
      <c r="F961" s="479">
        <f>B!E188</f>
        <v>39</v>
      </c>
      <c r="G961" s="479">
        <f>B!F188</f>
        <v>39</v>
      </c>
      <c r="H961" s="479">
        <f>B!G188</f>
        <v>39</v>
      </c>
      <c r="I961" s="479">
        <f>B!H188</f>
        <v>39</v>
      </c>
      <c r="J961" s="479">
        <f>B!I188</f>
        <v>39</v>
      </c>
      <c r="K961" s="479">
        <f>B!J188</f>
        <v>39</v>
      </c>
      <c r="L961" s="479">
        <f>B!K188</f>
        <v>39</v>
      </c>
      <c r="M961" s="479">
        <f>B!L188</f>
        <v>39</v>
      </c>
      <c r="N961" s="479">
        <f>B!M188</f>
        <v>39</v>
      </c>
      <c r="O961" s="479">
        <f>B!N188</f>
        <v>39</v>
      </c>
      <c r="P961" s="479">
        <f>B!O188</f>
        <v>39</v>
      </c>
      <c r="Q961" s="480">
        <f>SUM(E961:P961)</f>
        <v>468</v>
      </c>
    </row>
    <row r="962" spans="1:17" x14ac:dyDescent="0.2">
      <c r="A962" s="224">
        <f>A961+1</f>
        <v>19</v>
      </c>
      <c r="C962" s="221" t="s">
        <v>210</v>
      </c>
      <c r="D962" s="792">
        <f>Input!H45</f>
        <v>1007.05</v>
      </c>
      <c r="E962" s="434">
        <f t="shared" ref="E962:P962" si="295">ROUND(E961*$D$962,2)</f>
        <v>39274.949999999997</v>
      </c>
      <c r="F962" s="434">
        <f t="shared" si="295"/>
        <v>39274.949999999997</v>
      </c>
      <c r="G962" s="434">
        <f t="shared" si="295"/>
        <v>39274.949999999997</v>
      </c>
      <c r="H962" s="434">
        <f t="shared" si="295"/>
        <v>39274.949999999997</v>
      </c>
      <c r="I962" s="434">
        <f t="shared" si="295"/>
        <v>39274.949999999997</v>
      </c>
      <c r="J962" s="434">
        <f t="shared" si="295"/>
        <v>39274.949999999997</v>
      </c>
      <c r="K962" s="434">
        <f t="shared" si="295"/>
        <v>39274.949999999997</v>
      </c>
      <c r="L962" s="434">
        <f t="shared" si="295"/>
        <v>39274.949999999997</v>
      </c>
      <c r="M962" s="434">
        <f t="shared" si="295"/>
        <v>39274.949999999997</v>
      </c>
      <c r="N962" s="434">
        <f t="shared" si="295"/>
        <v>39274.949999999997</v>
      </c>
      <c r="O962" s="434">
        <f t="shared" si="295"/>
        <v>39274.949999999997</v>
      </c>
      <c r="P962" s="434">
        <f t="shared" si="295"/>
        <v>39274.949999999997</v>
      </c>
      <c r="Q962" s="434">
        <f>SUM(E962:P962)</f>
        <v>471299.40000000008</v>
      </c>
    </row>
    <row r="963" spans="1:17" x14ac:dyDescent="0.2">
      <c r="A963" s="224">
        <f>A962+1</f>
        <v>20</v>
      </c>
      <c r="C963" s="221" t="s">
        <v>217</v>
      </c>
      <c r="D963" s="792">
        <f>Input!I45</f>
        <v>55.9</v>
      </c>
      <c r="E963" s="434">
        <f t="shared" ref="E963:P963" si="296">ROUND(E961*$D$963,2)</f>
        <v>2180.1</v>
      </c>
      <c r="F963" s="434">
        <f t="shared" si="296"/>
        <v>2180.1</v>
      </c>
      <c r="G963" s="434">
        <f t="shared" si="296"/>
        <v>2180.1</v>
      </c>
      <c r="H963" s="434">
        <f t="shared" si="296"/>
        <v>2180.1</v>
      </c>
      <c r="I963" s="434">
        <f t="shared" si="296"/>
        <v>2180.1</v>
      </c>
      <c r="J963" s="434">
        <f t="shared" si="296"/>
        <v>2180.1</v>
      </c>
      <c r="K963" s="434">
        <f t="shared" si="296"/>
        <v>2180.1</v>
      </c>
      <c r="L963" s="434">
        <f t="shared" si="296"/>
        <v>2180.1</v>
      </c>
      <c r="M963" s="434">
        <f t="shared" si="296"/>
        <v>2180.1</v>
      </c>
      <c r="N963" s="434">
        <f t="shared" si="296"/>
        <v>2180.1</v>
      </c>
      <c r="O963" s="434">
        <f t="shared" si="296"/>
        <v>2180.1</v>
      </c>
      <c r="P963" s="434">
        <f t="shared" si="296"/>
        <v>2180.1</v>
      </c>
      <c r="Q963" s="434">
        <f>SUM(E963:P963)</f>
        <v>26161.199999999993</v>
      </c>
    </row>
    <row r="964" spans="1:17" x14ac:dyDescent="0.2">
      <c r="A964" s="224">
        <f>A963+1</f>
        <v>21</v>
      </c>
      <c r="C964" s="221" t="s">
        <v>211</v>
      </c>
      <c r="D964" s="792">
        <f>Input!J45</f>
        <v>449.59</v>
      </c>
      <c r="E964" s="434">
        <f t="shared" ref="E964:P964" si="297">ROUND(E961*$D$964,2)</f>
        <v>17534.009999999998</v>
      </c>
      <c r="F964" s="434">
        <f t="shared" si="297"/>
        <v>17534.009999999998</v>
      </c>
      <c r="G964" s="434">
        <f t="shared" si="297"/>
        <v>17534.009999999998</v>
      </c>
      <c r="H964" s="434">
        <f t="shared" si="297"/>
        <v>17534.009999999998</v>
      </c>
      <c r="I964" s="434">
        <f t="shared" si="297"/>
        <v>17534.009999999998</v>
      </c>
      <c r="J964" s="434">
        <f t="shared" si="297"/>
        <v>17534.009999999998</v>
      </c>
      <c r="K964" s="434">
        <f t="shared" si="297"/>
        <v>17534.009999999998</v>
      </c>
      <c r="L964" s="434">
        <f t="shared" si="297"/>
        <v>17534.009999999998</v>
      </c>
      <c r="M964" s="434">
        <f t="shared" si="297"/>
        <v>17534.009999999998</v>
      </c>
      <c r="N964" s="434">
        <f t="shared" si="297"/>
        <v>17534.009999999998</v>
      </c>
      <c r="O964" s="434">
        <f t="shared" si="297"/>
        <v>17534.009999999998</v>
      </c>
      <c r="P964" s="434">
        <f t="shared" si="297"/>
        <v>17534.009999999998</v>
      </c>
      <c r="Q964" s="434">
        <f>SUM(E964:P964)</f>
        <v>210408.12000000002</v>
      </c>
    </row>
    <row r="965" spans="1:17" x14ac:dyDescent="0.2">
      <c r="D965" s="290"/>
      <c r="E965" s="224"/>
      <c r="F965" s="292"/>
      <c r="G965" s="476"/>
      <c r="H965" s="292"/>
      <c r="I965" s="297"/>
      <c r="J965" s="292"/>
      <c r="K965" s="292"/>
      <c r="L965" s="292"/>
    </row>
    <row r="966" spans="1:17" x14ac:dyDescent="0.2">
      <c r="A966" s="224">
        <f>A964+1</f>
        <v>22</v>
      </c>
      <c r="C966" s="221" t="s">
        <v>209</v>
      </c>
      <c r="D966" s="290"/>
      <c r="E966" s="521"/>
      <c r="F966" s="292"/>
      <c r="G966" s="476"/>
      <c r="H966" s="292"/>
      <c r="I966" s="297"/>
      <c r="J966" s="292"/>
      <c r="K966" s="292"/>
      <c r="L966" s="292"/>
    </row>
    <row r="967" spans="1:17" x14ac:dyDescent="0.2">
      <c r="A967" s="224">
        <f>A966+1</f>
        <v>23</v>
      </c>
      <c r="C967" s="221" t="str">
        <f>'C'!B257</f>
        <v xml:space="preserve">    First 30,000 Mcf</v>
      </c>
      <c r="D967" s="290"/>
      <c r="E967" s="483">
        <f>'C'!D265</f>
        <v>362633.5</v>
      </c>
      <c r="F967" s="483">
        <f>'C'!E265</f>
        <v>336268.5</v>
      </c>
      <c r="G967" s="483">
        <f>'C'!F265</f>
        <v>309008.7</v>
      </c>
      <c r="H967" s="483">
        <f>'C'!G265</f>
        <v>289709.59999999998</v>
      </c>
      <c r="I967" s="483">
        <f>'C'!H265</f>
        <v>275128.8</v>
      </c>
      <c r="J967" s="483">
        <f>'C'!I265</f>
        <v>268134.09999999998</v>
      </c>
      <c r="K967" s="483">
        <f>'C'!J265</f>
        <v>242645.5</v>
      </c>
      <c r="L967" s="483">
        <f>'C'!K265</f>
        <v>267869.2</v>
      </c>
      <c r="M967" s="483">
        <f>'C'!L265</f>
        <v>280511.7</v>
      </c>
      <c r="N967" s="483">
        <f>'C'!M265</f>
        <v>309636.40000000002</v>
      </c>
      <c r="O967" s="483">
        <f>'C'!N265</f>
        <v>327494</v>
      </c>
      <c r="P967" s="483">
        <f>'C'!O265</f>
        <v>334941.40000000002</v>
      </c>
      <c r="Q967" s="484">
        <f>SUM(E967:P967)</f>
        <v>3603981.4</v>
      </c>
    </row>
    <row r="968" spans="1:17" x14ac:dyDescent="0.2">
      <c r="A968" s="224">
        <f>A967+1</f>
        <v>24</v>
      </c>
      <c r="C968" s="221" t="str">
        <f>'C'!B258</f>
        <v xml:space="preserve">    Over 30,000 Mcf</v>
      </c>
      <c r="D968" s="519"/>
      <c r="E968" s="522">
        <f>'C'!D266</f>
        <v>312276</v>
      </c>
      <c r="F968" s="522">
        <f>'C'!E266</f>
        <v>266310</v>
      </c>
      <c r="G968" s="522">
        <f>'C'!F266</f>
        <v>216432</v>
      </c>
      <c r="H968" s="522">
        <f>'C'!G266</f>
        <v>137874</v>
      </c>
      <c r="I968" s="522">
        <f>'C'!H266</f>
        <v>93864</v>
      </c>
      <c r="J968" s="522">
        <f>'C'!I266</f>
        <v>71370</v>
      </c>
      <c r="K968" s="522">
        <f>'C'!J266</f>
        <v>52470</v>
      </c>
      <c r="L968" s="522">
        <f>'C'!K266</f>
        <v>74304</v>
      </c>
      <c r="M968" s="522">
        <f>'C'!L266</f>
        <v>81150</v>
      </c>
      <c r="N968" s="522">
        <f>'C'!M266</f>
        <v>144720</v>
      </c>
      <c r="O968" s="522">
        <f>'C'!N266</f>
        <v>223938</v>
      </c>
      <c r="P968" s="522">
        <f>'C'!O266</f>
        <v>238608</v>
      </c>
      <c r="Q968" s="471">
        <f>SUM(E968:P968)</f>
        <v>1913316</v>
      </c>
    </row>
    <row r="969" spans="1:17" x14ac:dyDescent="0.2">
      <c r="D969" s="519"/>
      <c r="E969" s="483">
        <f t="shared" ref="E969:O969" si="298">SUM(E965:E968)</f>
        <v>674909.5</v>
      </c>
      <c r="F969" s="483">
        <f t="shared" si="298"/>
        <v>602578.5</v>
      </c>
      <c r="G969" s="483">
        <f t="shared" si="298"/>
        <v>525440.69999999995</v>
      </c>
      <c r="H969" s="483">
        <f t="shared" si="298"/>
        <v>427583.6</v>
      </c>
      <c r="I969" s="483">
        <f t="shared" si="298"/>
        <v>368992.8</v>
      </c>
      <c r="J969" s="483">
        <f t="shared" si="298"/>
        <v>339504.1</v>
      </c>
      <c r="K969" s="483">
        <f t="shared" si="298"/>
        <v>295115.5</v>
      </c>
      <c r="L969" s="483">
        <f t="shared" si="298"/>
        <v>342173.2</v>
      </c>
      <c r="M969" s="483">
        <f t="shared" si="298"/>
        <v>361661.7</v>
      </c>
      <c r="N969" s="483">
        <f t="shared" si="298"/>
        <v>454356.4</v>
      </c>
      <c r="O969" s="483">
        <f t="shared" si="298"/>
        <v>551432</v>
      </c>
      <c r="P969" s="483">
        <f>SUM(P965:P968)</f>
        <v>573549.4</v>
      </c>
      <c r="Q969" s="483">
        <f>SUM(E969:P969)</f>
        <v>5517297.4000000004</v>
      </c>
    </row>
    <row r="970" spans="1:17" x14ac:dyDescent="0.2">
      <c r="A970" s="224">
        <f>A968+1</f>
        <v>25</v>
      </c>
      <c r="C970" s="221" t="s">
        <v>207</v>
      </c>
      <c r="D970" s="519"/>
      <c r="E970" s="224"/>
      <c r="F970" s="502"/>
      <c r="G970" s="476"/>
      <c r="H970" s="502"/>
      <c r="I970" s="504"/>
      <c r="J970" s="537"/>
      <c r="K970" s="502"/>
      <c r="L970" s="502"/>
      <c r="M970" s="422"/>
      <c r="N970" s="422"/>
      <c r="O970" s="422"/>
      <c r="P970" s="422"/>
      <c r="Q970" s="419"/>
    </row>
    <row r="971" spans="1:17" x14ac:dyDescent="0.2">
      <c r="A971" s="224">
        <f>A970+1</f>
        <v>26</v>
      </c>
      <c r="C971" s="221" t="str">
        <f>C967</f>
        <v xml:space="preserve">    First 30,000 Mcf</v>
      </c>
      <c r="D971" s="793">
        <f>Input!C45</f>
        <v>0.54430000000000001</v>
      </c>
      <c r="E971" s="434">
        <f t="shared" ref="E971:P971" si="299">ROUND(E967*$D$971,2)</f>
        <v>197381.41</v>
      </c>
      <c r="F971" s="434">
        <f t="shared" si="299"/>
        <v>183030.94</v>
      </c>
      <c r="G971" s="434">
        <f t="shared" si="299"/>
        <v>168193.44</v>
      </c>
      <c r="H971" s="434">
        <f t="shared" si="299"/>
        <v>157688.94</v>
      </c>
      <c r="I971" s="434">
        <f t="shared" si="299"/>
        <v>149752.60999999999</v>
      </c>
      <c r="J971" s="434">
        <f t="shared" si="299"/>
        <v>145945.39000000001</v>
      </c>
      <c r="K971" s="434">
        <f t="shared" si="299"/>
        <v>132071.95000000001</v>
      </c>
      <c r="L971" s="434">
        <f t="shared" si="299"/>
        <v>145801.21</v>
      </c>
      <c r="M971" s="434">
        <f t="shared" si="299"/>
        <v>152682.51999999999</v>
      </c>
      <c r="N971" s="434">
        <f t="shared" si="299"/>
        <v>168535.09</v>
      </c>
      <c r="O971" s="434">
        <f t="shared" si="299"/>
        <v>178254.98</v>
      </c>
      <c r="P971" s="434">
        <f t="shared" si="299"/>
        <v>182308.6</v>
      </c>
      <c r="Q971" s="434">
        <f>SUM(E971:P971)</f>
        <v>1961647.08</v>
      </c>
    </row>
    <row r="972" spans="1:17" x14ac:dyDescent="0.2">
      <c r="A972" s="224">
        <f>A971+1</f>
        <v>27</v>
      </c>
      <c r="C972" s="221" t="str">
        <f>C968</f>
        <v xml:space="preserve">    Over 30,000 Mcf</v>
      </c>
      <c r="D972" s="793">
        <f>Input!D45</f>
        <v>0.28899999999999998</v>
      </c>
      <c r="E972" s="277">
        <f t="shared" ref="E972:P972" si="300">ROUND(E968*$D$972,2)</f>
        <v>90247.76</v>
      </c>
      <c r="F972" s="277">
        <f t="shared" si="300"/>
        <v>76963.59</v>
      </c>
      <c r="G972" s="277">
        <f t="shared" si="300"/>
        <v>62548.85</v>
      </c>
      <c r="H972" s="277">
        <f t="shared" si="300"/>
        <v>39845.589999999997</v>
      </c>
      <c r="I972" s="277">
        <f t="shared" si="300"/>
        <v>27126.7</v>
      </c>
      <c r="J972" s="277">
        <f t="shared" si="300"/>
        <v>20625.93</v>
      </c>
      <c r="K972" s="277">
        <f t="shared" si="300"/>
        <v>15163.83</v>
      </c>
      <c r="L972" s="277">
        <f t="shared" si="300"/>
        <v>21473.86</v>
      </c>
      <c r="M972" s="277">
        <f t="shared" si="300"/>
        <v>23452.35</v>
      </c>
      <c r="N972" s="277">
        <f t="shared" si="300"/>
        <v>41824.080000000002</v>
      </c>
      <c r="O972" s="277">
        <f t="shared" si="300"/>
        <v>64718.080000000002</v>
      </c>
      <c r="P972" s="277">
        <f t="shared" si="300"/>
        <v>68957.710000000006</v>
      </c>
      <c r="Q972" s="277">
        <f>SUM(E972:P972)</f>
        <v>552948.32999999996</v>
      </c>
    </row>
    <row r="973" spans="1:17" x14ac:dyDescent="0.2">
      <c r="D973" s="519"/>
      <c r="E973" s="434">
        <f t="shared" ref="E973:O973" si="301">SUM(E971:E972)</f>
        <v>287629.17</v>
      </c>
      <c r="F973" s="434">
        <f t="shared" si="301"/>
        <v>259994.53</v>
      </c>
      <c r="G973" s="434">
        <f t="shared" si="301"/>
        <v>230742.29</v>
      </c>
      <c r="H973" s="434">
        <f t="shared" si="301"/>
        <v>197534.53</v>
      </c>
      <c r="I973" s="434">
        <f t="shared" si="301"/>
        <v>176879.31</v>
      </c>
      <c r="J973" s="434">
        <f t="shared" si="301"/>
        <v>166571.32</v>
      </c>
      <c r="K973" s="434">
        <f t="shared" si="301"/>
        <v>147235.78</v>
      </c>
      <c r="L973" s="434">
        <f t="shared" si="301"/>
        <v>167275.07</v>
      </c>
      <c r="M973" s="434">
        <f t="shared" si="301"/>
        <v>176134.87</v>
      </c>
      <c r="N973" s="434">
        <f t="shared" si="301"/>
        <v>210359.16999999998</v>
      </c>
      <c r="O973" s="434">
        <f t="shared" si="301"/>
        <v>242973.06</v>
      </c>
      <c r="P973" s="434">
        <f>SUM(P971:P972)</f>
        <v>251266.31</v>
      </c>
      <c r="Q973" s="434">
        <f>SUM(E973:P973)</f>
        <v>2514595.41</v>
      </c>
    </row>
    <row r="974" spans="1:17" x14ac:dyDescent="0.2">
      <c r="D974" s="519"/>
      <c r="E974" s="473"/>
      <c r="F974" s="538"/>
      <c r="G974" s="473"/>
      <c r="H974" s="538"/>
      <c r="I974" s="538"/>
      <c r="J974" s="539"/>
      <c r="K974" s="538"/>
      <c r="L974" s="538"/>
      <c r="M974" s="510"/>
      <c r="N974" s="510"/>
      <c r="O974" s="510"/>
      <c r="P974" s="510"/>
      <c r="Q974" s="466"/>
    </row>
    <row r="975" spans="1:17" x14ac:dyDescent="0.2">
      <c r="A975" s="224">
        <f>A972+1</f>
        <v>28</v>
      </c>
      <c r="C975" s="221" t="s">
        <v>204</v>
      </c>
      <c r="D975" s="519"/>
      <c r="E975" s="434">
        <f t="shared" ref="E975:O975" si="302">E962+E963+E964+E973</f>
        <v>346618.23</v>
      </c>
      <c r="F975" s="434">
        <f t="shared" si="302"/>
        <v>318983.58999999997</v>
      </c>
      <c r="G975" s="434">
        <f t="shared" si="302"/>
        <v>289731.34999999998</v>
      </c>
      <c r="H975" s="434">
        <f t="shared" si="302"/>
        <v>256523.59</v>
      </c>
      <c r="I975" s="434">
        <f t="shared" si="302"/>
        <v>235868.37</v>
      </c>
      <c r="J975" s="434">
        <f t="shared" si="302"/>
        <v>225560.38</v>
      </c>
      <c r="K975" s="434">
        <f t="shared" si="302"/>
        <v>206224.84</v>
      </c>
      <c r="L975" s="434">
        <f t="shared" si="302"/>
        <v>226264.13</v>
      </c>
      <c r="M975" s="434">
        <f t="shared" si="302"/>
        <v>235123.93</v>
      </c>
      <c r="N975" s="434">
        <f t="shared" si="302"/>
        <v>269348.23</v>
      </c>
      <c r="O975" s="434">
        <f t="shared" si="302"/>
        <v>301962.12</v>
      </c>
      <c r="P975" s="434">
        <f>P962+P963+P964+P973</f>
        <v>310255.37</v>
      </c>
      <c r="Q975" s="434">
        <f>SUM(E975:P975)</f>
        <v>3222464.1300000004</v>
      </c>
    </row>
    <row r="976" spans="1:17" x14ac:dyDescent="0.2">
      <c r="D976" s="519"/>
      <c r="E976" s="473"/>
      <c r="F976" s="538"/>
      <c r="G976" s="473"/>
      <c r="H976" s="538"/>
      <c r="I976" s="538"/>
      <c r="J976" s="539"/>
      <c r="K976" s="538"/>
      <c r="L976" s="538"/>
      <c r="M976" s="510"/>
      <c r="N976" s="510"/>
      <c r="O976" s="510"/>
      <c r="P976" s="510"/>
      <c r="Q976" s="466"/>
    </row>
    <row r="977" spans="1:17" x14ac:dyDescent="0.2">
      <c r="A977" s="224">
        <f>A975+1</f>
        <v>29</v>
      </c>
      <c r="C977" s="221" t="s">
        <v>151</v>
      </c>
      <c r="D977" s="794">
        <v>0</v>
      </c>
      <c r="E977" s="517">
        <v>0</v>
      </c>
      <c r="F977" s="517">
        <v>0</v>
      </c>
      <c r="G977" s="517">
        <v>0</v>
      </c>
      <c r="H977" s="517">
        <v>0</v>
      </c>
      <c r="I977" s="517">
        <v>0</v>
      </c>
      <c r="J977" s="517">
        <v>0</v>
      </c>
      <c r="K977" s="517">
        <v>0</v>
      </c>
      <c r="L977" s="517">
        <v>0</v>
      </c>
      <c r="M977" s="517">
        <v>0</v>
      </c>
      <c r="N977" s="517">
        <v>0</v>
      </c>
      <c r="O977" s="517">
        <v>0</v>
      </c>
      <c r="P977" s="517">
        <v>0</v>
      </c>
      <c r="Q977" s="434">
        <f>SUM(E977:P977)</f>
        <v>0</v>
      </c>
    </row>
    <row r="978" spans="1:17" x14ac:dyDescent="0.2">
      <c r="D978" s="518"/>
      <c r="E978" s="466"/>
      <c r="F978" s="491"/>
      <c r="G978" s="491"/>
      <c r="H978" s="491"/>
      <c r="I978" s="491"/>
      <c r="J978" s="540"/>
      <c r="K978" s="491"/>
      <c r="L978" s="491"/>
      <c r="M978" s="491"/>
      <c r="N978" s="491"/>
      <c r="O978" s="491"/>
      <c r="P978" s="491"/>
      <c r="Q978" s="466"/>
    </row>
    <row r="979" spans="1:17" ht="10.8" thickBot="1" x14ac:dyDescent="0.25">
      <c r="A979" s="495">
        <f>A977+1</f>
        <v>30</v>
      </c>
      <c r="B979" s="496"/>
      <c r="C979" s="496" t="s">
        <v>205</v>
      </c>
      <c r="D979" s="534"/>
      <c r="E979" s="499">
        <f t="shared" ref="E979:O979" si="303">E975+E977</f>
        <v>346618.23</v>
      </c>
      <c r="F979" s="499">
        <f t="shared" si="303"/>
        <v>318983.58999999997</v>
      </c>
      <c r="G979" s="499">
        <f t="shared" si="303"/>
        <v>289731.34999999998</v>
      </c>
      <c r="H979" s="499">
        <f t="shared" si="303"/>
        <v>256523.59</v>
      </c>
      <c r="I979" s="499">
        <f t="shared" si="303"/>
        <v>235868.37</v>
      </c>
      <c r="J979" s="499">
        <f t="shared" si="303"/>
        <v>225560.38</v>
      </c>
      <c r="K979" s="499">
        <f t="shared" si="303"/>
        <v>206224.84</v>
      </c>
      <c r="L979" s="499">
        <f t="shared" si="303"/>
        <v>226264.13</v>
      </c>
      <c r="M979" s="499">
        <f t="shared" si="303"/>
        <v>235123.93</v>
      </c>
      <c r="N979" s="499">
        <f t="shared" si="303"/>
        <v>269348.23</v>
      </c>
      <c r="O979" s="499">
        <f t="shared" si="303"/>
        <v>301962.12</v>
      </c>
      <c r="P979" s="499">
        <f>P975+P977</f>
        <v>310255.37</v>
      </c>
      <c r="Q979" s="499">
        <f>SUM(E979:P979)</f>
        <v>3222464.1300000004</v>
      </c>
    </row>
    <row r="980" spans="1:17" ht="10.8" thickTop="1" x14ac:dyDescent="0.2">
      <c r="Q980" s="524"/>
    </row>
    <row r="982" spans="1:17" x14ac:dyDescent="0.2">
      <c r="A982" s="224" t="str">
        <f>$A$270</f>
        <v>[1] Reflects Normalized Volumes.</v>
      </c>
    </row>
    <row r="983" spans="1:17" x14ac:dyDescent="0.2">
      <c r="A983" s="887" t="str">
        <f>CONAME</f>
        <v>Columbia Gas of Kentucky, Inc.</v>
      </c>
      <c r="B983" s="887"/>
      <c r="C983" s="887"/>
      <c r="D983" s="887"/>
      <c r="E983" s="887"/>
      <c r="F983" s="887"/>
      <c r="G983" s="887"/>
      <c r="H983" s="887"/>
      <c r="I983" s="887"/>
      <c r="J983" s="887"/>
      <c r="K983" s="887"/>
      <c r="L983" s="887"/>
      <c r="M983" s="887"/>
      <c r="N983" s="887"/>
      <c r="O983" s="887"/>
      <c r="P983" s="887"/>
      <c r="Q983" s="887"/>
    </row>
    <row r="984" spans="1:17" x14ac:dyDescent="0.2">
      <c r="A984" s="875" t="str">
        <f>case</f>
        <v>Case No. 2016-00162</v>
      </c>
      <c r="B984" s="875"/>
      <c r="C984" s="875"/>
      <c r="D984" s="875"/>
      <c r="E984" s="875"/>
      <c r="F984" s="875"/>
      <c r="G984" s="875"/>
      <c r="H984" s="875"/>
      <c r="I984" s="875"/>
      <c r="J984" s="875"/>
      <c r="K984" s="875"/>
      <c r="L984" s="875"/>
      <c r="M984" s="875"/>
      <c r="N984" s="875"/>
      <c r="O984" s="875"/>
      <c r="P984" s="875"/>
      <c r="Q984" s="875"/>
    </row>
    <row r="985" spans="1:17" x14ac:dyDescent="0.2">
      <c r="A985" s="888" t="s">
        <v>503</v>
      </c>
      <c r="B985" s="888"/>
      <c r="C985" s="888"/>
      <c r="D985" s="888"/>
      <c r="E985" s="888"/>
      <c r="F985" s="888"/>
      <c r="G985" s="888"/>
      <c r="H985" s="888"/>
      <c r="I985" s="888"/>
      <c r="J985" s="888"/>
      <c r="K985" s="888"/>
      <c r="L985" s="888"/>
      <c r="M985" s="888"/>
      <c r="N985" s="888"/>
      <c r="O985" s="888"/>
      <c r="P985" s="888"/>
      <c r="Q985" s="888"/>
    </row>
    <row r="986" spans="1:17" x14ac:dyDescent="0.2">
      <c r="A986" s="887" t="str">
        <f>TYDESC</f>
        <v>For the 12 Months Ended December 31, 2017</v>
      </c>
      <c r="B986" s="887"/>
      <c r="C986" s="887"/>
      <c r="D986" s="887"/>
      <c r="E986" s="887"/>
      <c r="F986" s="887"/>
      <c r="G986" s="887"/>
      <c r="H986" s="887"/>
      <c r="I986" s="887"/>
      <c r="J986" s="887"/>
      <c r="K986" s="887"/>
      <c r="L986" s="887"/>
      <c r="M986" s="887"/>
      <c r="N986" s="887"/>
      <c r="O986" s="887"/>
      <c r="P986" s="887"/>
      <c r="Q986" s="887"/>
    </row>
    <row r="987" spans="1:17" x14ac:dyDescent="0.2">
      <c r="A987" s="885" t="s">
        <v>39</v>
      </c>
      <c r="B987" s="885"/>
      <c r="C987" s="885"/>
      <c r="D987" s="885"/>
      <c r="E987" s="885"/>
      <c r="F987" s="885"/>
      <c r="G987" s="885"/>
      <c r="H987" s="885"/>
      <c r="I987" s="885"/>
      <c r="J987" s="885"/>
      <c r="K987" s="885"/>
      <c r="L987" s="885"/>
      <c r="M987" s="885"/>
      <c r="N987" s="885"/>
      <c r="O987" s="885"/>
      <c r="P987" s="885"/>
      <c r="Q987" s="885"/>
    </row>
    <row r="988" spans="1:17" x14ac:dyDescent="0.2">
      <c r="A988" s="266" t="str">
        <f>$A$52</f>
        <v>Data: __ Base Period _X_ Forecasted Period</v>
      </c>
    </row>
    <row r="989" spans="1:17" x14ac:dyDescent="0.2">
      <c r="A989" s="266" t="str">
        <f>$A$53</f>
        <v>Type of Filing: X Original _ Update _ Revised</v>
      </c>
      <c r="Q989" s="420" t="str">
        <f>$Q$53</f>
        <v>Schedule M-2.2</v>
      </c>
    </row>
    <row r="990" spans="1:17" x14ac:dyDescent="0.2">
      <c r="A990" s="266" t="str">
        <f>$A$54</f>
        <v>Work Paper Reference No(s):</v>
      </c>
      <c r="Q990" s="420" t="s">
        <v>515</v>
      </c>
    </row>
    <row r="991" spans="1:17" x14ac:dyDescent="0.2">
      <c r="A991" s="421" t="str">
        <f>$A$55</f>
        <v>12 Months Forecasted</v>
      </c>
      <c r="Q991" s="420" t="str">
        <f>Witness</f>
        <v>Witness:  M. J. Bell</v>
      </c>
    </row>
    <row r="992" spans="1:17" x14ac:dyDescent="0.2">
      <c r="A992" s="886" t="s">
        <v>194</v>
      </c>
      <c r="B992" s="886"/>
      <c r="C992" s="886"/>
      <c r="D992" s="886"/>
      <c r="E992" s="886"/>
      <c r="F992" s="886"/>
      <c r="G992" s="886"/>
      <c r="H992" s="886"/>
      <c r="I992" s="886"/>
      <c r="J992" s="886"/>
      <c r="K992" s="886"/>
      <c r="L992" s="886"/>
      <c r="M992" s="886"/>
      <c r="N992" s="886"/>
      <c r="O992" s="886"/>
      <c r="P992" s="886"/>
      <c r="Q992" s="886"/>
    </row>
    <row r="993" spans="1:17" x14ac:dyDescent="0.2">
      <c r="A993" s="440"/>
      <c r="B993" s="305"/>
      <c r="C993" s="305"/>
      <c r="D993" s="304"/>
      <c r="E993" s="305"/>
      <c r="F993" s="422"/>
      <c r="G993" s="442"/>
      <c r="H993" s="422"/>
      <c r="I993" s="443"/>
      <c r="J993" s="422"/>
      <c r="K993" s="422"/>
      <c r="L993" s="422"/>
      <c r="M993" s="422"/>
      <c r="N993" s="422"/>
      <c r="O993" s="422"/>
      <c r="P993" s="422"/>
      <c r="Q993" s="305"/>
    </row>
    <row r="994" spans="1:17" x14ac:dyDescent="0.2">
      <c r="A994" s="416" t="s">
        <v>1</v>
      </c>
      <c r="B994" s="226" t="s">
        <v>0</v>
      </c>
      <c r="C994" s="226" t="s">
        <v>41</v>
      </c>
      <c r="D994" s="423" t="s">
        <v>47</v>
      </c>
      <c r="E994" s="226"/>
      <c r="F994" s="424"/>
      <c r="G994" s="425"/>
      <c r="H994" s="424"/>
      <c r="I994" s="426"/>
      <c r="J994" s="424"/>
      <c r="K994" s="424"/>
      <c r="L994" s="424"/>
      <c r="M994" s="424"/>
      <c r="N994" s="424"/>
      <c r="O994" s="424"/>
      <c r="P994" s="424"/>
      <c r="Q994" s="231"/>
    </row>
    <row r="995" spans="1:17" x14ac:dyDescent="0.2">
      <c r="A995" s="285" t="s">
        <v>3</v>
      </c>
      <c r="B995" s="228" t="s">
        <v>40</v>
      </c>
      <c r="C995" s="228" t="s">
        <v>4</v>
      </c>
      <c r="D995" s="427" t="s">
        <v>48</v>
      </c>
      <c r="E995" s="428" t="str">
        <f>B!$D$11</f>
        <v>Jan-17</v>
      </c>
      <c r="F995" s="428" t="str">
        <f>B!$E$11</f>
        <v>Feb-17</v>
      </c>
      <c r="G995" s="428" t="str">
        <f>B!$F$11</f>
        <v>Mar-17</v>
      </c>
      <c r="H995" s="428" t="str">
        <f>B!$G$11</f>
        <v>Apr-17</v>
      </c>
      <c r="I995" s="428" t="str">
        <f>B!$H$11</f>
        <v>May-17</v>
      </c>
      <c r="J995" s="428" t="str">
        <f>B!$I$11</f>
        <v>Jun-17</v>
      </c>
      <c r="K995" s="428" t="str">
        <f>B!$J$11</f>
        <v>Jul-17</v>
      </c>
      <c r="L995" s="428" t="str">
        <f>B!$K$11</f>
        <v>Aug-17</v>
      </c>
      <c r="M995" s="428" t="str">
        <f>B!$L$11</f>
        <v>Sep-17</v>
      </c>
      <c r="N995" s="428" t="str">
        <f>B!$M$11</f>
        <v>Oct-17</v>
      </c>
      <c r="O995" s="428" t="str">
        <f>B!$N$11</f>
        <v>Nov-17</v>
      </c>
      <c r="P995" s="428" t="str">
        <f>B!$O$11</f>
        <v>Dec-17</v>
      </c>
      <c r="Q995" s="429" t="s">
        <v>9</v>
      </c>
    </row>
    <row r="996" spans="1:17" x14ac:dyDescent="0.2">
      <c r="A996" s="416"/>
      <c r="B996" s="231" t="s">
        <v>42</v>
      </c>
      <c r="C996" s="231" t="s">
        <v>43</v>
      </c>
      <c r="D996" s="430" t="s">
        <v>45</v>
      </c>
      <c r="E996" s="431" t="s">
        <v>46</v>
      </c>
      <c r="F996" s="431" t="s">
        <v>49</v>
      </c>
      <c r="G996" s="431" t="s">
        <v>50</v>
      </c>
      <c r="H996" s="431" t="s">
        <v>51</v>
      </c>
      <c r="I996" s="431" t="s">
        <v>52</v>
      </c>
      <c r="J996" s="431" t="s">
        <v>53</v>
      </c>
      <c r="K996" s="432" t="s">
        <v>54</v>
      </c>
      <c r="L996" s="432" t="s">
        <v>55</v>
      </c>
      <c r="M996" s="432" t="s">
        <v>56</v>
      </c>
      <c r="N996" s="432" t="s">
        <v>57</v>
      </c>
      <c r="O996" s="432" t="s">
        <v>58</v>
      </c>
      <c r="P996" s="432" t="s">
        <v>59</v>
      </c>
      <c r="Q996" s="432" t="s">
        <v>203</v>
      </c>
    </row>
    <row r="998" spans="1:17" x14ac:dyDescent="0.2">
      <c r="A998" s="224">
        <v>1</v>
      </c>
      <c r="B998" s="221" t="str">
        <f>B262</f>
        <v>GDS</v>
      </c>
      <c r="C998" s="221" t="str">
        <f>C262</f>
        <v>GTS Grandfathered Delivery Service - Commercial</v>
      </c>
    </row>
    <row r="1000" spans="1:17" x14ac:dyDescent="0.2">
      <c r="A1000" s="224">
        <f>A998+1</f>
        <v>2</v>
      </c>
      <c r="C1000" s="225" t="s">
        <v>111</v>
      </c>
    </row>
    <row r="1001" spans="1:17" x14ac:dyDescent="0.2">
      <c r="C1001" s="225"/>
    </row>
    <row r="1002" spans="1:17" x14ac:dyDescent="0.2">
      <c r="A1002" s="224">
        <f>A1000+1</f>
        <v>3</v>
      </c>
      <c r="C1002" s="221" t="s">
        <v>202</v>
      </c>
      <c r="E1002" s="479">
        <f>B!D194</f>
        <v>12</v>
      </c>
      <c r="F1002" s="479">
        <f>B!E194</f>
        <v>12</v>
      </c>
      <c r="G1002" s="479">
        <f>B!F194</f>
        <v>12</v>
      </c>
      <c r="H1002" s="479">
        <f>B!G194</f>
        <v>12</v>
      </c>
      <c r="I1002" s="479">
        <f>B!H194</f>
        <v>12</v>
      </c>
      <c r="J1002" s="479">
        <f>B!I194</f>
        <v>12</v>
      </c>
      <c r="K1002" s="479">
        <f>B!J194</f>
        <v>12</v>
      </c>
      <c r="L1002" s="479">
        <f>B!K194</f>
        <v>12</v>
      </c>
      <c r="M1002" s="479">
        <f>B!L194</f>
        <v>12</v>
      </c>
      <c r="N1002" s="479">
        <f>B!M194</f>
        <v>12</v>
      </c>
      <c r="O1002" s="479">
        <f>B!N194</f>
        <v>13</v>
      </c>
      <c r="P1002" s="479">
        <f>B!O194</f>
        <v>12</v>
      </c>
      <c r="Q1002" s="480">
        <f>SUM(E1002:P1002)</f>
        <v>145</v>
      </c>
    </row>
    <row r="1003" spans="1:17" x14ac:dyDescent="0.2">
      <c r="A1003" s="224">
        <f>A1002+1</f>
        <v>4</v>
      </c>
      <c r="C1003" s="221" t="s">
        <v>210</v>
      </c>
      <c r="D1003" s="792">
        <f>Input!H46</f>
        <v>37.5</v>
      </c>
      <c r="E1003" s="434">
        <f t="shared" ref="E1003:P1003" si="304">ROUND(E1002*$D$1003,2)</f>
        <v>450</v>
      </c>
      <c r="F1003" s="434">
        <f t="shared" si="304"/>
        <v>450</v>
      </c>
      <c r="G1003" s="434">
        <f t="shared" si="304"/>
        <v>450</v>
      </c>
      <c r="H1003" s="434">
        <f t="shared" si="304"/>
        <v>450</v>
      </c>
      <c r="I1003" s="434">
        <f t="shared" si="304"/>
        <v>450</v>
      </c>
      <c r="J1003" s="434">
        <f t="shared" si="304"/>
        <v>450</v>
      </c>
      <c r="K1003" s="434">
        <f t="shared" si="304"/>
        <v>450</v>
      </c>
      <c r="L1003" s="434">
        <f t="shared" si="304"/>
        <v>450</v>
      </c>
      <c r="M1003" s="434">
        <f t="shared" si="304"/>
        <v>450</v>
      </c>
      <c r="N1003" s="434">
        <f t="shared" si="304"/>
        <v>450</v>
      </c>
      <c r="O1003" s="434">
        <f t="shared" si="304"/>
        <v>487.5</v>
      </c>
      <c r="P1003" s="434">
        <f t="shared" si="304"/>
        <v>450</v>
      </c>
      <c r="Q1003" s="434">
        <f>SUM(E1003:P1003)</f>
        <v>5437.5</v>
      </c>
    </row>
    <row r="1004" spans="1:17" x14ac:dyDescent="0.2">
      <c r="A1004" s="224">
        <f>A1003+1</f>
        <v>5</v>
      </c>
      <c r="C1004" s="221" t="s">
        <v>217</v>
      </c>
      <c r="D1004" s="792">
        <f>Input!I46</f>
        <v>55.9</v>
      </c>
      <c r="E1004" s="434">
        <f t="shared" ref="E1004:P1004" si="305">ROUND(E1002*$D$1004,2)</f>
        <v>670.8</v>
      </c>
      <c r="F1004" s="434">
        <f t="shared" si="305"/>
        <v>670.8</v>
      </c>
      <c r="G1004" s="434">
        <f t="shared" si="305"/>
        <v>670.8</v>
      </c>
      <c r="H1004" s="434">
        <f t="shared" si="305"/>
        <v>670.8</v>
      </c>
      <c r="I1004" s="434">
        <f t="shared" si="305"/>
        <v>670.8</v>
      </c>
      <c r="J1004" s="434">
        <f t="shared" si="305"/>
        <v>670.8</v>
      </c>
      <c r="K1004" s="434">
        <f t="shared" si="305"/>
        <v>670.8</v>
      </c>
      <c r="L1004" s="434">
        <f t="shared" si="305"/>
        <v>670.8</v>
      </c>
      <c r="M1004" s="434">
        <f t="shared" si="305"/>
        <v>670.8</v>
      </c>
      <c r="N1004" s="434">
        <f t="shared" si="305"/>
        <v>670.8</v>
      </c>
      <c r="O1004" s="434">
        <f t="shared" si="305"/>
        <v>726.7</v>
      </c>
      <c r="P1004" s="434">
        <f t="shared" si="305"/>
        <v>670.8</v>
      </c>
      <c r="Q1004" s="434">
        <f>SUM(E1004:P1004)</f>
        <v>8105.5000000000009</v>
      </c>
    </row>
    <row r="1005" spans="1:17" x14ac:dyDescent="0.2">
      <c r="A1005" s="224">
        <f>A1004+1</f>
        <v>6</v>
      </c>
      <c r="C1005" s="221" t="s">
        <v>211</v>
      </c>
      <c r="D1005" s="792">
        <f>Input!J46</f>
        <v>8.02</v>
      </c>
      <c r="E1005" s="434">
        <f t="shared" ref="E1005:P1005" si="306">ROUND(E1002*$D$1005,2)</f>
        <v>96.24</v>
      </c>
      <c r="F1005" s="434">
        <f t="shared" si="306"/>
        <v>96.24</v>
      </c>
      <c r="G1005" s="434">
        <f t="shared" si="306"/>
        <v>96.24</v>
      </c>
      <c r="H1005" s="434">
        <f t="shared" si="306"/>
        <v>96.24</v>
      </c>
      <c r="I1005" s="434">
        <f t="shared" si="306"/>
        <v>96.24</v>
      </c>
      <c r="J1005" s="434">
        <f t="shared" si="306"/>
        <v>96.24</v>
      </c>
      <c r="K1005" s="434">
        <f t="shared" si="306"/>
        <v>96.24</v>
      </c>
      <c r="L1005" s="434">
        <f t="shared" si="306"/>
        <v>96.24</v>
      </c>
      <c r="M1005" s="434">
        <f t="shared" si="306"/>
        <v>96.24</v>
      </c>
      <c r="N1005" s="434">
        <f t="shared" si="306"/>
        <v>96.24</v>
      </c>
      <c r="O1005" s="434">
        <f t="shared" si="306"/>
        <v>104.26</v>
      </c>
      <c r="P1005" s="434">
        <f t="shared" si="306"/>
        <v>96.24</v>
      </c>
      <c r="Q1005" s="434">
        <f>SUM(E1005:P1005)</f>
        <v>1162.9000000000001</v>
      </c>
    </row>
    <row r="1006" spans="1:17" x14ac:dyDescent="0.2">
      <c r="D1006" s="290"/>
      <c r="E1006" s="521"/>
      <c r="F1006" s="292"/>
      <c r="G1006" s="476"/>
      <c r="H1006" s="292"/>
      <c r="I1006" s="297"/>
      <c r="J1006" s="292"/>
      <c r="K1006" s="292"/>
    </row>
    <row r="1007" spans="1:17" x14ac:dyDescent="0.2">
      <c r="A1007" s="224">
        <f>A1005+1</f>
        <v>7</v>
      </c>
      <c r="C1007" s="221" t="s">
        <v>209</v>
      </c>
      <c r="D1007" s="290"/>
      <c r="F1007" s="221"/>
      <c r="G1007" s="221"/>
      <c r="H1007" s="221"/>
      <c r="I1007" s="221"/>
      <c r="J1007" s="221"/>
      <c r="K1007" s="221"/>
      <c r="L1007" s="221"/>
      <c r="M1007" s="221"/>
      <c r="N1007" s="221"/>
      <c r="O1007" s="221"/>
      <c r="P1007" s="221"/>
    </row>
    <row r="1008" spans="1:17" x14ac:dyDescent="0.2">
      <c r="A1008" s="224">
        <f>A1007+1</f>
        <v>8</v>
      </c>
      <c r="C1008" s="221" t="str">
        <f>'C'!B284</f>
        <v xml:space="preserve">    First 50 Mcf</v>
      </c>
      <c r="D1008" s="290"/>
      <c r="E1008" s="483">
        <f>'C'!D296</f>
        <v>600</v>
      </c>
      <c r="F1008" s="483">
        <f>'C'!E296</f>
        <v>600</v>
      </c>
      <c r="G1008" s="483">
        <f>'C'!F296</f>
        <v>600</v>
      </c>
      <c r="H1008" s="483">
        <f>'C'!G296</f>
        <v>600</v>
      </c>
      <c r="I1008" s="483">
        <f>'C'!H296</f>
        <v>600</v>
      </c>
      <c r="J1008" s="483">
        <f>'C'!I296</f>
        <v>600</v>
      </c>
      <c r="K1008" s="483">
        <f>'C'!J296</f>
        <v>600</v>
      </c>
      <c r="L1008" s="483">
        <f>'C'!K296</f>
        <v>600</v>
      </c>
      <c r="M1008" s="483">
        <f>'C'!L296</f>
        <v>600</v>
      </c>
      <c r="N1008" s="483">
        <f>'C'!M296</f>
        <v>600</v>
      </c>
      <c r="O1008" s="483">
        <f>'C'!N296</f>
        <v>550</v>
      </c>
      <c r="P1008" s="483">
        <f>'C'!O296</f>
        <v>600</v>
      </c>
      <c r="Q1008" s="484">
        <f>SUM(E1008:P1008)</f>
        <v>7150</v>
      </c>
    </row>
    <row r="1009" spans="1:17" x14ac:dyDescent="0.2">
      <c r="A1009" s="224">
        <f>A1008+1</f>
        <v>9</v>
      </c>
      <c r="C1009" s="221" t="str">
        <f>'C'!B285</f>
        <v xml:space="preserve">    Next 350 Mcf</v>
      </c>
      <c r="D1009" s="519"/>
      <c r="E1009" s="483">
        <f>'C'!D297</f>
        <v>4200</v>
      </c>
      <c r="F1009" s="483">
        <f>'C'!E297</f>
        <v>4200</v>
      </c>
      <c r="G1009" s="483">
        <f>'C'!F297</f>
        <v>4200</v>
      </c>
      <c r="H1009" s="483">
        <f>'C'!G297</f>
        <v>4182.5</v>
      </c>
      <c r="I1009" s="483">
        <f>'C'!H297</f>
        <v>4127</v>
      </c>
      <c r="J1009" s="483">
        <f>'C'!I297</f>
        <v>4044.2</v>
      </c>
      <c r="K1009" s="483">
        <f>'C'!J297</f>
        <v>3998.9</v>
      </c>
      <c r="L1009" s="483">
        <f>'C'!K297</f>
        <v>3891.4</v>
      </c>
      <c r="M1009" s="483">
        <f>'C'!L297</f>
        <v>4069.2</v>
      </c>
      <c r="N1009" s="483">
        <f>'C'!M297</f>
        <v>4045</v>
      </c>
      <c r="O1009" s="483">
        <f>'C'!N297</f>
        <v>3850</v>
      </c>
      <c r="P1009" s="483">
        <f>'C'!O297</f>
        <v>4200</v>
      </c>
      <c r="Q1009" s="484">
        <f>SUM(E1009:P1009)</f>
        <v>49008.2</v>
      </c>
    </row>
    <row r="1010" spans="1:17" x14ac:dyDescent="0.2">
      <c r="A1010" s="224">
        <f>A1009+1</f>
        <v>10</v>
      </c>
      <c r="C1010" s="221" t="str">
        <f>'C'!B286</f>
        <v xml:space="preserve">    Next 600 Mcf</v>
      </c>
      <c r="D1010" s="519"/>
      <c r="E1010" s="483">
        <f>'C'!D298</f>
        <v>7070</v>
      </c>
      <c r="F1010" s="483">
        <f>'C'!E298</f>
        <v>6882.7</v>
      </c>
      <c r="G1010" s="483">
        <f>'C'!F298</f>
        <v>6964.3</v>
      </c>
      <c r="H1010" s="483">
        <f>'C'!G298</f>
        <v>6167.1</v>
      </c>
      <c r="I1010" s="483">
        <f>'C'!H298</f>
        <v>6270.1</v>
      </c>
      <c r="J1010" s="483">
        <f>'C'!I298</f>
        <v>4699.5</v>
      </c>
      <c r="K1010" s="483">
        <f>'C'!J298</f>
        <v>5144.3</v>
      </c>
      <c r="L1010" s="483">
        <f>'C'!K298</f>
        <v>4257.5</v>
      </c>
      <c r="M1010" s="483">
        <f>'C'!L298</f>
        <v>4801.3</v>
      </c>
      <c r="N1010" s="483">
        <f>'C'!M298</f>
        <v>6031.9</v>
      </c>
      <c r="O1010" s="483">
        <f>'C'!N298</f>
        <v>6494.6</v>
      </c>
      <c r="P1010" s="483">
        <f>'C'!O298</f>
        <v>6960.4</v>
      </c>
      <c r="Q1010" s="484">
        <f>SUM(E1010:P1010)</f>
        <v>71743.7</v>
      </c>
    </row>
    <row r="1011" spans="1:17" x14ac:dyDescent="0.2">
      <c r="A1011" s="224">
        <f>A1010+1</f>
        <v>11</v>
      </c>
      <c r="C1011" s="221" t="str">
        <f>'C'!B287</f>
        <v xml:space="preserve">    Over 1,000 Mcf</v>
      </c>
      <c r="D1011" s="519"/>
      <c r="E1011" s="522">
        <f>'C'!D299</f>
        <v>13932.9</v>
      </c>
      <c r="F1011" s="522">
        <f>'C'!E299</f>
        <v>13803.3</v>
      </c>
      <c r="G1011" s="522">
        <f>'C'!F299</f>
        <v>10302.299999999999</v>
      </c>
      <c r="H1011" s="522">
        <f>'C'!G299</f>
        <v>5333.3</v>
      </c>
      <c r="I1011" s="522">
        <f>'C'!H299</f>
        <v>4075.8</v>
      </c>
      <c r="J1011" s="522">
        <f>'C'!I299</f>
        <v>1525.9</v>
      </c>
      <c r="K1011" s="522">
        <f>'C'!J299</f>
        <v>2402.3000000000002</v>
      </c>
      <c r="L1011" s="522">
        <f>'C'!K299</f>
        <v>1889</v>
      </c>
      <c r="M1011" s="522">
        <f>'C'!L299</f>
        <v>1772.2</v>
      </c>
      <c r="N1011" s="522">
        <f>'C'!M299</f>
        <v>3743.8</v>
      </c>
      <c r="O1011" s="522">
        <f>'C'!N299</f>
        <v>7560.9</v>
      </c>
      <c r="P1011" s="522">
        <f>'C'!O299</f>
        <v>9386.9</v>
      </c>
      <c r="Q1011" s="522">
        <f>SUM(E1011:P1011)</f>
        <v>75728.600000000006</v>
      </c>
    </row>
    <row r="1012" spans="1:17" x14ac:dyDescent="0.2">
      <c r="D1012" s="793"/>
      <c r="E1012" s="483">
        <f t="shared" ref="E1012:O1012" si="307">SUM(E1008:E1011)</f>
        <v>25802.9</v>
      </c>
      <c r="F1012" s="483">
        <f t="shared" si="307"/>
        <v>25486</v>
      </c>
      <c r="G1012" s="483">
        <f t="shared" si="307"/>
        <v>22066.6</v>
      </c>
      <c r="H1012" s="483">
        <f t="shared" si="307"/>
        <v>16282.900000000001</v>
      </c>
      <c r="I1012" s="483">
        <f t="shared" si="307"/>
        <v>15072.900000000001</v>
      </c>
      <c r="J1012" s="483">
        <f t="shared" si="307"/>
        <v>10869.6</v>
      </c>
      <c r="K1012" s="483">
        <f t="shared" si="307"/>
        <v>12145.5</v>
      </c>
      <c r="L1012" s="483">
        <f t="shared" si="307"/>
        <v>10637.9</v>
      </c>
      <c r="M1012" s="483">
        <f t="shared" si="307"/>
        <v>11242.7</v>
      </c>
      <c r="N1012" s="483">
        <f t="shared" si="307"/>
        <v>14420.7</v>
      </c>
      <c r="O1012" s="483">
        <f t="shared" si="307"/>
        <v>18455.5</v>
      </c>
      <c r="P1012" s="483">
        <f>SUM(P1008:P1011)</f>
        <v>21147.3</v>
      </c>
      <c r="Q1012" s="483">
        <f>SUM(E1012:P1012)</f>
        <v>203630.5</v>
      </c>
    </row>
    <row r="1013" spans="1:17" x14ac:dyDescent="0.2">
      <c r="A1013" s="224">
        <f>A1011+1</f>
        <v>12</v>
      </c>
      <c r="C1013" s="221" t="s">
        <v>207</v>
      </c>
      <c r="D1013" s="519"/>
      <c r="E1013" s="224"/>
      <c r="F1013" s="292"/>
      <c r="G1013" s="476"/>
      <c r="H1013" s="292"/>
      <c r="I1013" s="297"/>
      <c r="J1013" s="292"/>
      <c r="K1013" s="292"/>
      <c r="Q1013" s="524"/>
    </row>
    <row r="1014" spans="1:17" x14ac:dyDescent="0.2">
      <c r="A1014" s="224">
        <f>A1013+1</f>
        <v>13</v>
      </c>
      <c r="C1014" s="221" t="str">
        <f>C1008</f>
        <v xml:space="preserve">    First 50 Mcf</v>
      </c>
      <c r="D1014" s="793">
        <f>Input!C46</f>
        <v>2.2665999999999999</v>
      </c>
      <c r="E1014" s="434">
        <f t="shared" ref="E1014:P1014" si="308">ROUND(E1008*$D$1014,2)</f>
        <v>1359.96</v>
      </c>
      <c r="F1014" s="434">
        <f t="shared" si="308"/>
        <v>1359.96</v>
      </c>
      <c r="G1014" s="434">
        <f t="shared" si="308"/>
        <v>1359.96</v>
      </c>
      <c r="H1014" s="434">
        <f t="shared" si="308"/>
        <v>1359.96</v>
      </c>
      <c r="I1014" s="434">
        <f t="shared" si="308"/>
        <v>1359.96</v>
      </c>
      <c r="J1014" s="434">
        <f t="shared" si="308"/>
        <v>1359.96</v>
      </c>
      <c r="K1014" s="434">
        <f t="shared" si="308"/>
        <v>1359.96</v>
      </c>
      <c r="L1014" s="434">
        <f t="shared" si="308"/>
        <v>1359.96</v>
      </c>
      <c r="M1014" s="434">
        <f t="shared" si="308"/>
        <v>1359.96</v>
      </c>
      <c r="N1014" s="434">
        <f t="shared" si="308"/>
        <v>1359.96</v>
      </c>
      <c r="O1014" s="434">
        <f t="shared" si="308"/>
        <v>1246.6300000000001</v>
      </c>
      <c r="P1014" s="434">
        <f t="shared" si="308"/>
        <v>1359.96</v>
      </c>
      <c r="Q1014" s="434">
        <f>SUM(E1014:P1014)</f>
        <v>16206.189999999999</v>
      </c>
    </row>
    <row r="1015" spans="1:17" x14ac:dyDescent="0.2">
      <c r="A1015" s="224">
        <f>A1014+1</f>
        <v>14</v>
      </c>
      <c r="C1015" s="221" t="str">
        <f>C1009</f>
        <v xml:space="preserve">    Next 350 Mcf</v>
      </c>
      <c r="D1015" s="793">
        <f>Input!D46</f>
        <v>1.752</v>
      </c>
      <c r="E1015" s="479">
        <f t="shared" ref="E1015:P1015" si="309">ROUND(E1009*$D$1015,2)</f>
        <v>7358.4</v>
      </c>
      <c r="F1015" s="479">
        <f t="shared" si="309"/>
        <v>7358.4</v>
      </c>
      <c r="G1015" s="479">
        <f t="shared" si="309"/>
        <v>7358.4</v>
      </c>
      <c r="H1015" s="479">
        <f t="shared" si="309"/>
        <v>7327.74</v>
      </c>
      <c r="I1015" s="479">
        <f t="shared" si="309"/>
        <v>7230.5</v>
      </c>
      <c r="J1015" s="479">
        <f t="shared" si="309"/>
        <v>7085.44</v>
      </c>
      <c r="K1015" s="479">
        <f t="shared" si="309"/>
        <v>7006.07</v>
      </c>
      <c r="L1015" s="479">
        <f t="shared" si="309"/>
        <v>6817.73</v>
      </c>
      <c r="M1015" s="479">
        <f t="shared" si="309"/>
        <v>7129.24</v>
      </c>
      <c r="N1015" s="479">
        <f t="shared" si="309"/>
        <v>7086.84</v>
      </c>
      <c r="O1015" s="479">
        <f t="shared" si="309"/>
        <v>6745.2</v>
      </c>
      <c r="P1015" s="479">
        <f t="shared" si="309"/>
        <v>7358.4</v>
      </c>
      <c r="Q1015" s="480">
        <f>SUM(E1015:P1015)</f>
        <v>85862.359999999986</v>
      </c>
    </row>
    <row r="1016" spans="1:17" x14ac:dyDescent="0.2">
      <c r="A1016" s="224">
        <f>A1015+1</f>
        <v>15</v>
      </c>
      <c r="C1016" s="221" t="str">
        <f>C1010</f>
        <v xml:space="preserve">    Next 600 Mcf</v>
      </c>
      <c r="D1016" s="793">
        <f>Input!E46</f>
        <v>1.6658999999999999</v>
      </c>
      <c r="E1016" s="479">
        <f t="shared" ref="E1016:P1016" si="310">ROUND(E1010*$D$1016,2)</f>
        <v>11777.91</v>
      </c>
      <c r="F1016" s="479">
        <f t="shared" si="310"/>
        <v>11465.89</v>
      </c>
      <c r="G1016" s="479">
        <f t="shared" si="310"/>
        <v>11601.83</v>
      </c>
      <c r="H1016" s="479">
        <f t="shared" si="310"/>
        <v>10273.77</v>
      </c>
      <c r="I1016" s="479">
        <f t="shared" si="310"/>
        <v>10445.36</v>
      </c>
      <c r="J1016" s="479">
        <f t="shared" si="310"/>
        <v>7828.9</v>
      </c>
      <c r="K1016" s="479">
        <f t="shared" si="310"/>
        <v>8569.89</v>
      </c>
      <c r="L1016" s="479">
        <f t="shared" si="310"/>
        <v>7092.57</v>
      </c>
      <c r="M1016" s="479">
        <f t="shared" si="310"/>
        <v>7998.49</v>
      </c>
      <c r="N1016" s="479">
        <f t="shared" si="310"/>
        <v>10048.540000000001</v>
      </c>
      <c r="O1016" s="479">
        <f t="shared" si="310"/>
        <v>10819.35</v>
      </c>
      <c r="P1016" s="479">
        <f t="shared" si="310"/>
        <v>11595.33</v>
      </c>
      <c r="Q1016" s="480">
        <f>SUM(E1016:P1016)</f>
        <v>119517.83</v>
      </c>
    </row>
    <row r="1017" spans="1:17" ht="12" x14ac:dyDescent="0.35">
      <c r="A1017" s="224">
        <f>A1016+1</f>
        <v>16</v>
      </c>
      <c r="C1017" s="221" t="str">
        <f>C1011</f>
        <v xml:space="preserve">    Over 1,000 Mcf</v>
      </c>
      <c r="D1017" s="793">
        <f>Input!F46</f>
        <v>1.5164</v>
      </c>
      <c r="E1017" s="528">
        <f t="shared" ref="E1017:P1017" si="311">ROUND(E1011*$D$1017,2)</f>
        <v>21127.85</v>
      </c>
      <c r="F1017" s="528">
        <f t="shared" si="311"/>
        <v>20931.32</v>
      </c>
      <c r="G1017" s="528">
        <f t="shared" si="311"/>
        <v>15622.41</v>
      </c>
      <c r="H1017" s="528">
        <f t="shared" si="311"/>
        <v>8087.42</v>
      </c>
      <c r="I1017" s="528">
        <f t="shared" si="311"/>
        <v>6180.54</v>
      </c>
      <c r="J1017" s="528">
        <f t="shared" si="311"/>
        <v>2313.87</v>
      </c>
      <c r="K1017" s="528">
        <f t="shared" si="311"/>
        <v>3642.85</v>
      </c>
      <c r="L1017" s="528">
        <f t="shared" si="311"/>
        <v>2864.48</v>
      </c>
      <c r="M1017" s="528">
        <f t="shared" si="311"/>
        <v>2687.36</v>
      </c>
      <c r="N1017" s="528">
        <f t="shared" si="311"/>
        <v>5677.1</v>
      </c>
      <c r="O1017" s="528">
        <f t="shared" si="311"/>
        <v>11465.35</v>
      </c>
      <c r="P1017" s="528">
        <f t="shared" si="311"/>
        <v>14234.3</v>
      </c>
      <c r="Q1017" s="541">
        <f>SUM(E1017:P1017)</f>
        <v>114834.85</v>
      </c>
    </row>
    <row r="1018" spans="1:17" x14ac:dyDescent="0.2">
      <c r="D1018" s="519"/>
      <c r="E1018" s="434">
        <f t="shared" ref="E1018:O1018" si="312">SUM(E1014:E1017)</f>
        <v>41624.119999999995</v>
      </c>
      <c r="F1018" s="434">
        <f t="shared" si="312"/>
        <v>41115.57</v>
      </c>
      <c r="G1018" s="434">
        <f t="shared" si="312"/>
        <v>35942.600000000006</v>
      </c>
      <c r="H1018" s="434">
        <f t="shared" si="312"/>
        <v>27048.89</v>
      </c>
      <c r="I1018" s="434">
        <f t="shared" si="312"/>
        <v>25216.36</v>
      </c>
      <c r="J1018" s="434">
        <f t="shared" si="312"/>
        <v>18588.169999999998</v>
      </c>
      <c r="K1018" s="434">
        <f t="shared" si="312"/>
        <v>20578.769999999997</v>
      </c>
      <c r="L1018" s="434">
        <f t="shared" si="312"/>
        <v>18134.739999999998</v>
      </c>
      <c r="M1018" s="434">
        <f t="shared" si="312"/>
        <v>19175.050000000003</v>
      </c>
      <c r="N1018" s="434">
        <f t="shared" si="312"/>
        <v>24172.440000000002</v>
      </c>
      <c r="O1018" s="434">
        <f t="shared" si="312"/>
        <v>30276.53</v>
      </c>
      <c r="P1018" s="434">
        <f>SUM(P1014:P1017)</f>
        <v>34547.990000000005</v>
      </c>
      <c r="Q1018" s="434">
        <f>SUM(E1018:P1018)</f>
        <v>336421.23</v>
      </c>
    </row>
    <row r="1019" spans="1:17" x14ac:dyDescent="0.2">
      <c r="D1019" s="519"/>
      <c r="E1019" s="473"/>
      <c r="F1019" s="473"/>
      <c r="G1019" s="473"/>
      <c r="H1019" s="473"/>
      <c r="I1019" s="473"/>
      <c r="J1019" s="473"/>
      <c r="K1019" s="473"/>
      <c r="L1019" s="473"/>
      <c r="M1019" s="473"/>
      <c r="N1019" s="473"/>
      <c r="O1019" s="473"/>
      <c r="P1019" s="473"/>
      <c r="Q1019" s="473"/>
    </row>
    <row r="1020" spans="1:17" x14ac:dyDescent="0.2">
      <c r="A1020" s="224">
        <f>A1017+1</f>
        <v>17</v>
      </c>
      <c r="C1020" s="221" t="s">
        <v>204</v>
      </c>
      <c r="D1020" s="519"/>
      <c r="E1020" s="434">
        <f t="shared" ref="E1020:O1020" si="313">E1003+E1004+E1005+E1018</f>
        <v>42841.159999999996</v>
      </c>
      <c r="F1020" s="434">
        <f t="shared" si="313"/>
        <v>42332.61</v>
      </c>
      <c r="G1020" s="434">
        <f t="shared" si="313"/>
        <v>37159.640000000007</v>
      </c>
      <c r="H1020" s="434">
        <f t="shared" si="313"/>
        <v>28265.93</v>
      </c>
      <c r="I1020" s="434">
        <f t="shared" si="313"/>
        <v>26433.4</v>
      </c>
      <c r="J1020" s="434">
        <f t="shared" si="313"/>
        <v>19805.21</v>
      </c>
      <c r="K1020" s="434">
        <f t="shared" si="313"/>
        <v>21795.809999999998</v>
      </c>
      <c r="L1020" s="434">
        <f t="shared" si="313"/>
        <v>19351.78</v>
      </c>
      <c r="M1020" s="434">
        <f t="shared" si="313"/>
        <v>20392.090000000004</v>
      </c>
      <c r="N1020" s="434">
        <f t="shared" si="313"/>
        <v>25389.480000000003</v>
      </c>
      <c r="O1020" s="434">
        <f t="shared" si="313"/>
        <v>31594.989999999998</v>
      </c>
      <c r="P1020" s="434">
        <f>P1003+P1004+P1005+P1018</f>
        <v>35765.030000000006</v>
      </c>
      <c r="Q1020" s="434">
        <f>SUM(E1020:P1020)</f>
        <v>351127.13</v>
      </c>
    </row>
    <row r="1021" spans="1:17" x14ac:dyDescent="0.2">
      <c r="D1021" s="519"/>
      <c r="E1021" s="473"/>
      <c r="F1021" s="473"/>
      <c r="G1021" s="473"/>
      <c r="H1021" s="473"/>
      <c r="I1021" s="473"/>
      <c r="J1021" s="473"/>
      <c r="K1021" s="473"/>
      <c r="L1021" s="473"/>
      <c r="M1021" s="473"/>
      <c r="N1021" s="473"/>
      <c r="O1021" s="473"/>
      <c r="P1021" s="473"/>
      <c r="Q1021" s="473"/>
    </row>
    <row r="1022" spans="1:17" x14ac:dyDescent="0.2">
      <c r="A1022" s="224">
        <f>A1020+1</f>
        <v>18</v>
      </c>
      <c r="C1022" s="224" t="s">
        <v>151</v>
      </c>
      <c r="D1022" s="794">
        <v>0</v>
      </c>
      <c r="E1022" s="517">
        <v>0</v>
      </c>
      <c r="F1022" s="517">
        <v>0</v>
      </c>
      <c r="G1022" s="517">
        <v>0</v>
      </c>
      <c r="H1022" s="517">
        <v>0</v>
      </c>
      <c r="I1022" s="517">
        <v>0</v>
      </c>
      <c r="J1022" s="517">
        <v>0</v>
      </c>
      <c r="K1022" s="517">
        <v>0</v>
      </c>
      <c r="L1022" s="517">
        <v>0</v>
      </c>
      <c r="M1022" s="517">
        <v>0</v>
      </c>
      <c r="N1022" s="517">
        <v>0</v>
      </c>
      <c r="O1022" s="517">
        <v>0</v>
      </c>
      <c r="P1022" s="517">
        <v>0</v>
      </c>
      <c r="Q1022" s="434">
        <f>SUM(E1022:P1022)</f>
        <v>0</v>
      </c>
    </row>
    <row r="1023" spans="1:17" x14ac:dyDescent="0.2">
      <c r="E1023" s="473"/>
      <c r="F1023" s="473"/>
      <c r="G1023" s="473"/>
      <c r="H1023" s="473"/>
      <c r="I1023" s="473"/>
      <c r="J1023" s="473"/>
      <c r="K1023" s="473"/>
      <c r="L1023" s="473"/>
      <c r="M1023" s="473"/>
      <c r="N1023" s="466"/>
      <c r="O1023" s="466"/>
      <c r="P1023" s="466"/>
      <c r="Q1023" s="466"/>
    </row>
    <row r="1024" spans="1:17" ht="10.8" thickBot="1" x14ac:dyDescent="0.25">
      <c r="A1024" s="495">
        <f>A1022+1</f>
        <v>19</v>
      </c>
      <c r="B1024" s="496"/>
      <c r="C1024" s="496" t="s">
        <v>205</v>
      </c>
      <c r="D1024" s="497"/>
      <c r="E1024" s="499">
        <f t="shared" ref="E1024:O1024" si="314">E1020+E1022</f>
        <v>42841.159999999996</v>
      </c>
      <c r="F1024" s="499">
        <f t="shared" si="314"/>
        <v>42332.61</v>
      </c>
      <c r="G1024" s="499">
        <f t="shared" si="314"/>
        <v>37159.640000000007</v>
      </c>
      <c r="H1024" s="499">
        <f t="shared" si="314"/>
        <v>28265.93</v>
      </c>
      <c r="I1024" s="499">
        <f t="shared" si="314"/>
        <v>26433.4</v>
      </c>
      <c r="J1024" s="499">
        <f t="shared" si="314"/>
        <v>19805.21</v>
      </c>
      <c r="K1024" s="499">
        <f t="shared" si="314"/>
        <v>21795.809999999998</v>
      </c>
      <c r="L1024" s="499">
        <f t="shared" si="314"/>
        <v>19351.78</v>
      </c>
      <c r="M1024" s="499">
        <f t="shared" si="314"/>
        <v>20392.090000000004</v>
      </c>
      <c r="N1024" s="499">
        <f t="shared" si="314"/>
        <v>25389.480000000003</v>
      </c>
      <c r="O1024" s="499">
        <f t="shared" si="314"/>
        <v>31594.989999999998</v>
      </c>
      <c r="P1024" s="499">
        <f>P1020+P1022</f>
        <v>35765.030000000006</v>
      </c>
      <c r="Q1024" s="499">
        <f>SUM(E1024:P1024)</f>
        <v>351127.13</v>
      </c>
    </row>
    <row r="1025" spans="1:17" ht="10.8" thickTop="1" x14ac:dyDescent="0.2">
      <c r="E1025" s="224"/>
      <c r="F1025" s="292"/>
      <c r="G1025" s="476"/>
      <c r="H1025" s="292"/>
      <c r="I1025" s="297"/>
      <c r="J1025" s="292"/>
      <c r="K1025" s="292"/>
      <c r="L1025" s="292"/>
      <c r="M1025" s="292"/>
      <c r="N1025" s="292"/>
      <c r="Q1025" s="419"/>
    </row>
    <row r="1026" spans="1:17" x14ac:dyDescent="0.2">
      <c r="A1026" s="224">
        <f>A1024+1</f>
        <v>20</v>
      </c>
      <c r="B1026" s="221" t="str">
        <f>B289</f>
        <v>GDS</v>
      </c>
      <c r="C1026" s="221" t="str">
        <f>C289</f>
        <v>GTS Grandfathered Delivery Service - Industrial</v>
      </c>
    </row>
    <row r="1028" spans="1:17" x14ac:dyDescent="0.2">
      <c r="A1028" s="224">
        <f>A1026+1</f>
        <v>21</v>
      </c>
      <c r="C1028" s="225" t="s">
        <v>112</v>
      </c>
    </row>
    <row r="1029" spans="1:17" x14ac:dyDescent="0.2">
      <c r="C1029" s="225"/>
      <c r="F1029" s="292"/>
      <c r="G1029" s="476"/>
      <c r="H1029" s="292"/>
      <c r="I1029" s="297"/>
      <c r="J1029" s="292"/>
      <c r="K1029" s="292"/>
      <c r="L1029" s="292"/>
    </row>
    <row r="1030" spans="1:17" x14ac:dyDescent="0.2">
      <c r="A1030" s="224">
        <f>A1028+1</f>
        <v>22</v>
      </c>
      <c r="C1030" s="221" t="s">
        <v>202</v>
      </c>
      <c r="E1030" s="479">
        <f>B!D200</f>
        <v>15</v>
      </c>
      <c r="F1030" s="479">
        <f>B!E200</f>
        <v>15</v>
      </c>
      <c r="G1030" s="479">
        <f>B!F200</f>
        <v>15</v>
      </c>
      <c r="H1030" s="479">
        <f>B!G200</f>
        <v>15</v>
      </c>
      <c r="I1030" s="479">
        <f>B!H200</f>
        <v>15</v>
      </c>
      <c r="J1030" s="479">
        <f>B!I200</f>
        <v>15</v>
      </c>
      <c r="K1030" s="479">
        <f>B!J200</f>
        <v>15</v>
      </c>
      <c r="L1030" s="479">
        <f>B!K200</f>
        <v>15</v>
      </c>
      <c r="M1030" s="479">
        <f>B!L200</f>
        <v>15</v>
      </c>
      <c r="N1030" s="479">
        <f>B!M200</f>
        <v>15</v>
      </c>
      <c r="O1030" s="479">
        <f>B!N200</f>
        <v>15</v>
      </c>
      <c r="P1030" s="479">
        <f>B!O200</f>
        <v>15</v>
      </c>
      <c r="Q1030" s="480">
        <f>SUM(E1030:P1030)</f>
        <v>180</v>
      </c>
    </row>
    <row r="1031" spans="1:17" x14ac:dyDescent="0.2">
      <c r="A1031" s="224">
        <f>A1030+1</f>
        <v>23</v>
      </c>
      <c r="C1031" s="221" t="s">
        <v>210</v>
      </c>
      <c r="D1031" s="792">
        <f>Input!H47</f>
        <v>37.5</v>
      </c>
      <c r="E1031" s="434">
        <f t="shared" ref="E1031:P1031" si="315">ROUND(E1030*$D$1031,2)</f>
        <v>562.5</v>
      </c>
      <c r="F1031" s="434">
        <f t="shared" si="315"/>
        <v>562.5</v>
      </c>
      <c r="G1031" s="434">
        <f t="shared" si="315"/>
        <v>562.5</v>
      </c>
      <c r="H1031" s="434">
        <f t="shared" si="315"/>
        <v>562.5</v>
      </c>
      <c r="I1031" s="434">
        <f t="shared" si="315"/>
        <v>562.5</v>
      </c>
      <c r="J1031" s="434">
        <f t="shared" si="315"/>
        <v>562.5</v>
      </c>
      <c r="K1031" s="434">
        <f t="shared" si="315"/>
        <v>562.5</v>
      </c>
      <c r="L1031" s="434">
        <f t="shared" si="315"/>
        <v>562.5</v>
      </c>
      <c r="M1031" s="434">
        <f t="shared" si="315"/>
        <v>562.5</v>
      </c>
      <c r="N1031" s="434">
        <f t="shared" si="315"/>
        <v>562.5</v>
      </c>
      <c r="O1031" s="434">
        <f t="shared" si="315"/>
        <v>562.5</v>
      </c>
      <c r="P1031" s="434">
        <f t="shared" si="315"/>
        <v>562.5</v>
      </c>
      <c r="Q1031" s="434">
        <f>SUM(E1031:P1031)</f>
        <v>6750</v>
      </c>
    </row>
    <row r="1032" spans="1:17" x14ac:dyDescent="0.2">
      <c r="A1032" s="224">
        <f>A1031+1</f>
        <v>24</v>
      </c>
      <c r="C1032" s="221" t="s">
        <v>217</v>
      </c>
      <c r="D1032" s="792">
        <f>Input!I47</f>
        <v>55.9</v>
      </c>
      <c r="E1032" s="434">
        <f t="shared" ref="E1032:P1032" si="316">ROUND(E1030*$D$1032,2)</f>
        <v>838.5</v>
      </c>
      <c r="F1032" s="434">
        <f t="shared" si="316"/>
        <v>838.5</v>
      </c>
      <c r="G1032" s="434">
        <f t="shared" si="316"/>
        <v>838.5</v>
      </c>
      <c r="H1032" s="434">
        <f t="shared" si="316"/>
        <v>838.5</v>
      </c>
      <c r="I1032" s="434">
        <f t="shared" si="316"/>
        <v>838.5</v>
      </c>
      <c r="J1032" s="434">
        <f t="shared" si="316"/>
        <v>838.5</v>
      </c>
      <c r="K1032" s="434">
        <f t="shared" si="316"/>
        <v>838.5</v>
      </c>
      <c r="L1032" s="434">
        <f t="shared" si="316"/>
        <v>838.5</v>
      </c>
      <c r="M1032" s="434">
        <f t="shared" si="316"/>
        <v>838.5</v>
      </c>
      <c r="N1032" s="434">
        <f t="shared" si="316"/>
        <v>838.5</v>
      </c>
      <c r="O1032" s="434">
        <f t="shared" si="316"/>
        <v>838.5</v>
      </c>
      <c r="P1032" s="434">
        <f t="shared" si="316"/>
        <v>838.5</v>
      </c>
      <c r="Q1032" s="434">
        <f>SUM(E1032:P1032)</f>
        <v>10062</v>
      </c>
    </row>
    <row r="1033" spans="1:17" x14ac:dyDescent="0.2">
      <c r="A1033" s="224">
        <f>A1032+1</f>
        <v>25</v>
      </c>
      <c r="C1033" s="221" t="s">
        <v>211</v>
      </c>
      <c r="D1033" s="792">
        <f>Input!J47</f>
        <v>8.02</v>
      </c>
      <c r="E1033" s="434">
        <f t="shared" ref="E1033:P1033" si="317">ROUND(E1030*$D$1033,2)</f>
        <v>120.3</v>
      </c>
      <c r="F1033" s="434">
        <f t="shared" si="317"/>
        <v>120.3</v>
      </c>
      <c r="G1033" s="434">
        <f t="shared" si="317"/>
        <v>120.3</v>
      </c>
      <c r="H1033" s="434">
        <f t="shared" si="317"/>
        <v>120.3</v>
      </c>
      <c r="I1033" s="434">
        <f t="shared" si="317"/>
        <v>120.3</v>
      </c>
      <c r="J1033" s="434">
        <f t="shared" si="317"/>
        <v>120.3</v>
      </c>
      <c r="K1033" s="434">
        <f t="shared" si="317"/>
        <v>120.3</v>
      </c>
      <c r="L1033" s="434">
        <f t="shared" si="317"/>
        <v>120.3</v>
      </c>
      <c r="M1033" s="434">
        <f t="shared" si="317"/>
        <v>120.3</v>
      </c>
      <c r="N1033" s="434">
        <f t="shared" si="317"/>
        <v>120.3</v>
      </c>
      <c r="O1033" s="434">
        <f t="shared" si="317"/>
        <v>120.3</v>
      </c>
      <c r="P1033" s="434">
        <f t="shared" si="317"/>
        <v>120.3</v>
      </c>
      <c r="Q1033" s="434">
        <f>SUM(E1033:P1033)</f>
        <v>1443.5999999999997</v>
      </c>
    </row>
    <row r="1034" spans="1:17" x14ac:dyDescent="0.2">
      <c r="D1034" s="290"/>
      <c r="E1034" s="521"/>
      <c r="F1034" s="292"/>
      <c r="G1034" s="476"/>
      <c r="H1034" s="292"/>
      <c r="I1034" s="297"/>
      <c r="J1034" s="292"/>
      <c r="K1034" s="292"/>
    </row>
    <row r="1035" spans="1:17" x14ac:dyDescent="0.2">
      <c r="A1035" s="224">
        <f>A1033+1</f>
        <v>26</v>
      </c>
      <c r="C1035" s="221" t="s">
        <v>209</v>
      </c>
      <c r="D1035" s="290"/>
      <c r="F1035" s="221"/>
      <c r="G1035" s="221"/>
      <c r="H1035" s="221"/>
      <c r="I1035" s="221"/>
      <c r="J1035" s="221"/>
      <c r="K1035" s="221"/>
      <c r="L1035" s="221"/>
      <c r="M1035" s="221"/>
      <c r="N1035" s="221"/>
      <c r="O1035" s="221"/>
      <c r="P1035" s="221"/>
    </row>
    <row r="1036" spans="1:17" x14ac:dyDescent="0.2">
      <c r="A1036" s="224">
        <f>A1035+1</f>
        <v>27</v>
      </c>
      <c r="C1036" s="221" t="str">
        <f>'C'!B304</f>
        <v xml:space="preserve">    First 50 Mcf</v>
      </c>
      <c r="D1036" s="290"/>
      <c r="E1036" s="483">
        <f>'C'!D316</f>
        <v>609.9</v>
      </c>
      <c r="F1036" s="483">
        <f>'C'!E316</f>
        <v>622.4</v>
      </c>
      <c r="G1036" s="483">
        <f>'C'!F316</f>
        <v>750</v>
      </c>
      <c r="H1036" s="483">
        <f>'C'!G316</f>
        <v>735.6</v>
      </c>
      <c r="I1036" s="483">
        <f>'C'!H316</f>
        <v>694.2</v>
      </c>
      <c r="J1036" s="483">
        <f>'C'!I316</f>
        <v>473.6</v>
      </c>
      <c r="K1036" s="483">
        <f>'C'!J316</f>
        <v>460</v>
      </c>
      <c r="L1036" s="483">
        <f>'C'!K316</f>
        <v>510.6</v>
      </c>
      <c r="M1036" s="483">
        <f>'C'!L316</f>
        <v>530.29999999999995</v>
      </c>
      <c r="N1036" s="483">
        <f>'C'!M316</f>
        <v>604.5</v>
      </c>
      <c r="O1036" s="483">
        <f>'C'!N316</f>
        <v>606.1</v>
      </c>
      <c r="P1036" s="483">
        <f>'C'!O316</f>
        <v>666.9</v>
      </c>
      <c r="Q1036" s="484">
        <f>SUM(E1036:P1036)</f>
        <v>7264.1000000000013</v>
      </c>
    </row>
    <row r="1037" spans="1:17" x14ac:dyDescent="0.2">
      <c r="A1037" s="224">
        <f>A1036+1</f>
        <v>28</v>
      </c>
      <c r="C1037" s="221" t="str">
        <f>'C'!B305</f>
        <v xml:space="preserve">    Next 350 Mcf</v>
      </c>
      <c r="D1037" s="519"/>
      <c r="E1037" s="483">
        <f>'C'!D317</f>
        <v>3896.3</v>
      </c>
      <c r="F1037" s="483">
        <f>'C'!E317</f>
        <v>3965.4</v>
      </c>
      <c r="G1037" s="483">
        <f>'C'!F317</f>
        <v>4483.7</v>
      </c>
      <c r="H1037" s="483">
        <f>'C'!G317</f>
        <v>4484.3999999999996</v>
      </c>
      <c r="I1037" s="483">
        <f>'C'!H317</f>
        <v>3857.7</v>
      </c>
      <c r="J1037" s="483">
        <f>'C'!I317</f>
        <v>2799.5</v>
      </c>
      <c r="K1037" s="483">
        <f>'C'!J317</f>
        <v>2736.4</v>
      </c>
      <c r="L1037" s="483">
        <f>'C'!K317</f>
        <v>3003.2</v>
      </c>
      <c r="M1037" s="483">
        <f>'C'!L317</f>
        <v>2907</v>
      </c>
      <c r="N1037" s="483">
        <f>'C'!M317</f>
        <v>3132.7</v>
      </c>
      <c r="O1037" s="483">
        <f>'C'!N317</f>
        <v>3912.5</v>
      </c>
      <c r="P1037" s="483">
        <f>'C'!O317</f>
        <v>4183.5</v>
      </c>
      <c r="Q1037" s="484">
        <f>SUM(E1037:P1037)</f>
        <v>43362.3</v>
      </c>
    </row>
    <row r="1038" spans="1:17" x14ac:dyDescent="0.2">
      <c r="A1038" s="224">
        <f>A1037+1</f>
        <v>29</v>
      </c>
      <c r="C1038" s="221" t="str">
        <f>'C'!B306</f>
        <v xml:space="preserve">    Next 600 Mcf</v>
      </c>
      <c r="D1038" s="519"/>
      <c r="E1038" s="483">
        <f>'C'!D318</f>
        <v>5621.7</v>
      </c>
      <c r="F1038" s="483">
        <f>'C'!E318</f>
        <v>5802.3</v>
      </c>
      <c r="G1038" s="483">
        <f>'C'!F318</f>
        <v>6622.1</v>
      </c>
      <c r="H1038" s="483">
        <f>'C'!G318</f>
        <v>5166.3999999999996</v>
      </c>
      <c r="I1038" s="483">
        <f>'C'!H318</f>
        <v>4115.7</v>
      </c>
      <c r="J1038" s="483">
        <f>'C'!I318</f>
        <v>2754.1</v>
      </c>
      <c r="K1038" s="483">
        <f>'C'!J318</f>
        <v>2958.6</v>
      </c>
      <c r="L1038" s="483">
        <f>'C'!K318</f>
        <v>3457.3</v>
      </c>
      <c r="M1038" s="483">
        <f>'C'!L318</f>
        <v>3411.2</v>
      </c>
      <c r="N1038" s="483">
        <f>'C'!M318</f>
        <v>3405.2</v>
      </c>
      <c r="O1038" s="483">
        <f>'C'!N318</f>
        <v>4279.3999999999996</v>
      </c>
      <c r="P1038" s="483">
        <f>'C'!O318</f>
        <v>5280.7</v>
      </c>
      <c r="Q1038" s="484">
        <f>SUM(E1038:P1038)</f>
        <v>52874.7</v>
      </c>
    </row>
    <row r="1039" spans="1:17" x14ac:dyDescent="0.2">
      <c r="A1039" s="224">
        <f>A1038+1</f>
        <v>30</v>
      </c>
      <c r="C1039" s="221" t="str">
        <f>'C'!B307</f>
        <v xml:space="preserve">    Over 1,000 Mcf</v>
      </c>
      <c r="D1039" s="519"/>
      <c r="E1039" s="522">
        <f>'C'!D319</f>
        <v>7716.4</v>
      </c>
      <c r="F1039" s="522">
        <f>'C'!E319</f>
        <v>6439.2</v>
      </c>
      <c r="G1039" s="522">
        <f>'C'!F319</f>
        <v>7195.5</v>
      </c>
      <c r="H1039" s="522">
        <f>'C'!G319</f>
        <v>3680.8</v>
      </c>
      <c r="I1039" s="522">
        <f>'C'!H319</f>
        <v>4450.7</v>
      </c>
      <c r="J1039" s="522">
        <f>'C'!I319</f>
        <v>2848.5</v>
      </c>
      <c r="K1039" s="522">
        <f>'C'!J319</f>
        <v>1893.4</v>
      </c>
      <c r="L1039" s="522">
        <f>'C'!K319</f>
        <v>2095.6999999999998</v>
      </c>
      <c r="M1039" s="522">
        <f>'C'!L319</f>
        <v>2937.8</v>
      </c>
      <c r="N1039" s="522">
        <f>'C'!M319</f>
        <v>2954.3</v>
      </c>
      <c r="O1039" s="522">
        <f>'C'!N319</f>
        <v>3905</v>
      </c>
      <c r="P1039" s="522">
        <f>'C'!O319</f>
        <v>4849.5</v>
      </c>
      <c r="Q1039" s="522">
        <f>SUM(E1039:P1039)</f>
        <v>50966.8</v>
      </c>
    </row>
    <row r="1040" spans="1:17" x14ac:dyDescent="0.2">
      <c r="D1040" s="793"/>
      <c r="E1040" s="483">
        <f t="shared" ref="E1040:O1040" si="318">SUM(E1036:E1039)</f>
        <v>17844.3</v>
      </c>
      <c r="F1040" s="483">
        <f t="shared" si="318"/>
        <v>16829.3</v>
      </c>
      <c r="G1040" s="483">
        <f t="shared" si="318"/>
        <v>19051.3</v>
      </c>
      <c r="H1040" s="483">
        <f t="shared" si="318"/>
        <v>14067.2</v>
      </c>
      <c r="I1040" s="483">
        <f t="shared" si="318"/>
        <v>13118.3</v>
      </c>
      <c r="J1040" s="483">
        <f t="shared" si="318"/>
        <v>8875.7000000000007</v>
      </c>
      <c r="K1040" s="483">
        <f t="shared" si="318"/>
        <v>8048.4</v>
      </c>
      <c r="L1040" s="483">
        <f t="shared" si="318"/>
        <v>9066.7999999999993</v>
      </c>
      <c r="M1040" s="483">
        <f t="shared" si="318"/>
        <v>9786.2999999999993</v>
      </c>
      <c r="N1040" s="483">
        <f t="shared" si="318"/>
        <v>10096.700000000001</v>
      </c>
      <c r="O1040" s="483">
        <f t="shared" si="318"/>
        <v>12703</v>
      </c>
      <c r="P1040" s="483">
        <f>SUM(P1036:P1039)</f>
        <v>14980.599999999999</v>
      </c>
      <c r="Q1040" s="483">
        <f>SUM(E1040:P1040)</f>
        <v>154467.9</v>
      </c>
    </row>
    <row r="1041" spans="1:17" x14ac:dyDescent="0.2">
      <c r="A1041" s="224">
        <f>A1039+1</f>
        <v>31</v>
      </c>
      <c r="C1041" s="221" t="s">
        <v>207</v>
      </c>
      <c r="D1041" s="519"/>
      <c r="E1041" s="224"/>
      <c r="F1041" s="292"/>
      <c r="G1041" s="476"/>
      <c r="H1041" s="292"/>
      <c r="I1041" s="297"/>
      <c r="J1041" s="292"/>
      <c r="K1041" s="292"/>
      <c r="Q1041" s="524"/>
    </row>
    <row r="1042" spans="1:17" x14ac:dyDescent="0.2">
      <c r="A1042" s="224">
        <f>A1041+1</f>
        <v>32</v>
      </c>
      <c r="C1042" s="221" t="str">
        <f>C1036</f>
        <v xml:space="preserve">    First 50 Mcf</v>
      </c>
      <c r="D1042" s="793">
        <f>Input!C47</f>
        <v>2.2665999999999999</v>
      </c>
      <c r="E1042" s="434">
        <f t="shared" ref="E1042:P1042" si="319">ROUND(E1036*$D$1042,2)</f>
        <v>1382.4</v>
      </c>
      <c r="F1042" s="434">
        <f t="shared" si="319"/>
        <v>1410.73</v>
      </c>
      <c r="G1042" s="434">
        <f t="shared" si="319"/>
        <v>1699.95</v>
      </c>
      <c r="H1042" s="434">
        <f t="shared" si="319"/>
        <v>1667.31</v>
      </c>
      <c r="I1042" s="434">
        <f t="shared" si="319"/>
        <v>1573.47</v>
      </c>
      <c r="J1042" s="434">
        <f t="shared" si="319"/>
        <v>1073.46</v>
      </c>
      <c r="K1042" s="434">
        <f t="shared" si="319"/>
        <v>1042.6400000000001</v>
      </c>
      <c r="L1042" s="434">
        <f t="shared" si="319"/>
        <v>1157.33</v>
      </c>
      <c r="M1042" s="434">
        <f t="shared" si="319"/>
        <v>1201.98</v>
      </c>
      <c r="N1042" s="434">
        <f t="shared" si="319"/>
        <v>1370.16</v>
      </c>
      <c r="O1042" s="434">
        <f t="shared" si="319"/>
        <v>1373.79</v>
      </c>
      <c r="P1042" s="434">
        <f t="shared" si="319"/>
        <v>1511.6</v>
      </c>
      <c r="Q1042" s="434">
        <f>SUM(E1042:P1042)</f>
        <v>16464.819999999996</v>
      </c>
    </row>
    <row r="1043" spans="1:17" x14ac:dyDescent="0.2">
      <c r="A1043" s="224">
        <f>A1042+1</f>
        <v>33</v>
      </c>
      <c r="C1043" s="221" t="str">
        <f>C1037</f>
        <v xml:space="preserve">    Next 350 Mcf</v>
      </c>
      <c r="D1043" s="793">
        <f>Input!D47</f>
        <v>1.752</v>
      </c>
      <c r="E1043" s="479">
        <f t="shared" ref="E1043:P1043" si="320">ROUND(E1037*$D$1043,2)</f>
        <v>6826.32</v>
      </c>
      <c r="F1043" s="479">
        <f t="shared" si="320"/>
        <v>6947.38</v>
      </c>
      <c r="G1043" s="479">
        <f t="shared" si="320"/>
        <v>7855.44</v>
      </c>
      <c r="H1043" s="479">
        <f t="shared" si="320"/>
        <v>7856.67</v>
      </c>
      <c r="I1043" s="479">
        <f t="shared" si="320"/>
        <v>6758.69</v>
      </c>
      <c r="J1043" s="479">
        <f t="shared" si="320"/>
        <v>4904.72</v>
      </c>
      <c r="K1043" s="479">
        <f t="shared" si="320"/>
        <v>4794.17</v>
      </c>
      <c r="L1043" s="479">
        <f t="shared" si="320"/>
        <v>5261.61</v>
      </c>
      <c r="M1043" s="479">
        <f t="shared" si="320"/>
        <v>5093.0600000000004</v>
      </c>
      <c r="N1043" s="479">
        <f t="shared" si="320"/>
        <v>5488.49</v>
      </c>
      <c r="O1043" s="479">
        <f t="shared" si="320"/>
        <v>6854.7</v>
      </c>
      <c r="P1043" s="479">
        <f t="shared" si="320"/>
        <v>7329.49</v>
      </c>
      <c r="Q1043" s="480">
        <f>SUM(E1043:P1043)</f>
        <v>75970.740000000005</v>
      </c>
    </row>
    <row r="1044" spans="1:17" x14ac:dyDescent="0.2">
      <c r="A1044" s="224">
        <f>A1043+1</f>
        <v>34</v>
      </c>
      <c r="C1044" s="221" t="str">
        <f>C1038</f>
        <v xml:space="preserve">    Next 600 Mcf</v>
      </c>
      <c r="D1044" s="793">
        <f>Input!E47</f>
        <v>1.6658999999999999</v>
      </c>
      <c r="E1044" s="479">
        <f t="shared" ref="E1044:P1044" si="321">ROUND(E1038*$D$1044,2)</f>
        <v>9365.19</v>
      </c>
      <c r="F1044" s="479">
        <f t="shared" si="321"/>
        <v>9666.0499999999993</v>
      </c>
      <c r="G1044" s="479">
        <f t="shared" si="321"/>
        <v>11031.76</v>
      </c>
      <c r="H1044" s="479">
        <f t="shared" si="321"/>
        <v>8606.7099999999991</v>
      </c>
      <c r="I1044" s="479">
        <f t="shared" si="321"/>
        <v>6856.34</v>
      </c>
      <c r="J1044" s="479">
        <f t="shared" si="321"/>
        <v>4588.0600000000004</v>
      </c>
      <c r="K1044" s="479">
        <f t="shared" si="321"/>
        <v>4928.7299999999996</v>
      </c>
      <c r="L1044" s="479">
        <f t="shared" si="321"/>
        <v>5759.52</v>
      </c>
      <c r="M1044" s="479">
        <f t="shared" si="321"/>
        <v>5682.72</v>
      </c>
      <c r="N1044" s="479">
        <f t="shared" si="321"/>
        <v>5672.72</v>
      </c>
      <c r="O1044" s="479">
        <f t="shared" si="321"/>
        <v>7129.05</v>
      </c>
      <c r="P1044" s="479">
        <f t="shared" si="321"/>
        <v>8797.1200000000008</v>
      </c>
      <c r="Q1044" s="480">
        <f>SUM(E1044:P1044)</f>
        <v>88083.97</v>
      </c>
    </row>
    <row r="1045" spans="1:17" ht="12" x14ac:dyDescent="0.35">
      <c r="A1045" s="224">
        <f>A1044+1</f>
        <v>35</v>
      </c>
      <c r="C1045" s="221" t="str">
        <f>C1039</f>
        <v xml:space="preserve">    Over 1,000 Mcf</v>
      </c>
      <c r="D1045" s="793">
        <f>Input!F47</f>
        <v>1.5164</v>
      </c>
      <c r="E1045" s="528">
        <f t="shared" ref="E1045:P1045" si="322">ROUND(E1039*$D$1045,2)</f>
        <v>11701.15</v>
      </c>
      <c r="F1045" s="528">
        <f t="shared" si="322"/>
        <v>9764.4</v>
      </c>
      <c r="G1045" s="528">
        <f t="shared" si="322"/>
        <v>10911.26</v>
      </c>
      <c r="H1045" s="528">
        <f t="shared" si="322"/>
        <v>5581.57</v>
      </c>
      <c r="I1045" s="528">
        <f t="shared" si="322"/>
        <v>6749.04</v>
      </c>
      <c r="J1045" s="528">
        <f t="shared" si="322"/>
        <v>4319.47</v>
      </c>
      <c r="K1045" s="528">
        <f t="shared" si="322"/>
        <v>2871.15</v>
      </c>
      <c r="L1045" s="528">
        <f t="shared" si="322"/>
        <v>3177.92</v>
      </c>
      <c r="M1045" s="528">
        <f t="shared" si="322"/>
        <v>4454.88</v>
      </c>
      <c r="N1045" s="528">
        <f t="shared" si="322"/>
        <v>4479.8999999999996</v>
      </c>
      <c r="O1045" s="528">
        <f t="shared" si="322"/>
        <v>5921.54</v>
      </c>
      <c r="P1045" s="528">
        <f t="shared" si="322"/>
        <v>7353.78</v>
      </c>
      <c r="Q1045" s="541">
        <f>SUM(E1045:P1045)</f>
        <v>77286.06</v>
      </c>
    </row>
    <row r="1046" spans="1:17" x14ac:dyDescent="0.2">
      <c r="D1046" s="519"/>
      <c r="E1046" s="434">
        <f t="shared" ref="E1046:O1046" si="323">SUM(E1042:E1045)</f>
        <v>29275.059999999998</v>
      </c>
      <c r="F1046" s="434">
        <f t="shared" si="323"/>
        <v>27788.559999999998</v>
      </c>
      <c r="G1046" s="434">
        <f t="shared" si="323"/>
        <v>31498.410000000003</v>
      </c>
      <c r="H1046" s="434">
        <f t="shared" si="323"/>
        <v>23712.26</v>
      </c>
      <c r="I1046" s="434">
        <f t="shared" si="323"/>
        <v>21937.54</v>
      </c>
      <c r="J1046" s="434">
        <f t="shared" si="323"/>
        <v>14885.710000000003</v>
      </c>
      <c r="K1046" s="434">
        <f t="shared" si="323"/>
        <v>13636.69</v>
      </c>
      <c r="L1046" s="434">
        <f t="shared" si="323"/>
        <v>15356.38</v>
      </c>
      <c r="M1046" s="434">
        <f t="shared" si="323"/>
        <v>16432.640000000003</v>
      </c>
      <c r="N1046" s="434">
        <f t="shared" si="323"/>
        <v>17011.269999999997</v>
      </c>
      <c r="O1046" s="434">
        <f t="shared" si="323"/>
        <v>21279.08</v>
      </c>
      <c r="P1046" s="434">
        <f>SUM(P1042:P1045)</f>
        <v>24991.989999999998</v>
      </c>
      <c r="Q1046" s="434">
        <f>SUM(E1046:P1046)</f>
        <v>257805.58999999997</v>
      </c>
    </row>
    <row r="1047" spans="1:17" x14ac:dyDescent="0.2">
      <c r="D1047" s="519"/>
      <c r="E1047" s="473"/>
      <c r="F1047" s="473"/>
      <c r="G1047" s="473"/>
      <c r="H1047" s="473"/>
      <c r="I1047" s="473"/>
      <c r="J1047" s="473"/>
      <c r="K1047" s="473"/>
      <c r="L1047" s="473"/>
      <c r="M1047" s="473"/>
      <c r="N1047" s="473"/>
      <c r="O1047" s="473"/>
      <c r="P1047" s="473"/>
      <c r="Q1047" s="473"/>
    </row>
    <row r="1048" spans="1:17" x14ac:dyDescent="0.2">
      <c r="A1048" s="224">
        <f>A1045+1</f>
        <v>36</v>
      </c>
      <c r="C1048" s="221" t="s">
        <v>204</v>
      </c>
      <c r="D1048" s="519"/>
      <c r="E1048" s="434">
        <f t="shared" ref="E1048:O1048" si="324">E1031+E1032+E1033+E1046</f>
        <v>30796.359999999997</v>
      </c>
      <c r="F1048" s="434">
        <f t="shared" si="324"/>
        <v>29309.859999999997</v>
      </c>
      <c r="G1048" s="434">
        <f t="shared" si="324"/>
        <v>33019.710000000006</v>
      </c>
      <c r="H1048" s="434">
        <f t="shared" si="324"/>
        <v>25233.559999999998</v>
      </c>
      <c r="I1048" s="434">
        <f t="shared" si="324"/>
        <v>23458.84</v>
      </c>
      <c r="J1048" s="434">
        <f t="shared" si="324"/>
        <v>16407.010000000002</v>
      </c>
      <c r="K1048" s="434">
        <f t="shared" si="324"/>
        <v>15157.99</v>
      </c>
      <c r="L1048" s="434">
        <f t="shared" si="324"/>
        <v>16877.68</v>
      </c>
      <c r="M1048" s="434">
        <f t="shared" si="324"/>
        <v>17953.940000000002</v>
      </c>
      <c r="N1048" s="434">
        <f t="shared" si="324"/>
        <v>18532.569999999996</v>
      </c>
      <c r="O1048" s="434">
        <f t="shared" si="324"/>
        <v>22800.38</v>
      </c>
      <c r="P1048" s="434">
        <f>P1031+P1032+P1033+P1046</f>
        <v>26513.289999999997</v>
      </c>
      <c r="Q1048" s="434">
        <f>SUM(E1048:P1048)</f>
        <v>276061.19</v>
      </c>
    </row>
    <row r="1049" spans="1:17" x14ac:dyDescent="0.2">
      <c r="D1049" s="519"/>
      <c r="E1049" s="466"/>
      <c r="F1049" s="491"/>
      <c r="G1049" s="491"/>
      <c r="H1049" s="491"/>
      <c r="I1049" s="491"/>
      <c r="J1049" s="540"/>
      <c r="K1049" s="491"/>
      <c r="L1049" s="491"/>
      <c r="M1049" s="491"/>
      <c r="N1049" s="491"/>
      <c r="O1049" s="491"/>
      <c r="P1049" s="491"/>
      <c r="Q1049" s="473"/>
    </row>
    <row r="1050" spans="1:17" x14ac:dyDescent="0.2">
      <c r="A1050" s="224">
        <f>A1048+1</f>
        <v>37</v>
      </c>
      <c r="C1050" s="221" t="s">
        <v>151</v>
      </c>
      <c r="D1050" s="794">
        <v>0</v>
      </c>
      <c r="E1050" s="517">
        <v>0</v>
      </c>
      <c r="F1050" s="517">
        <v>0</v>
      </c>
      <c r="G1050" s="517">
        <v>0</v>
      </c>
      <c r="H1050" s="517">
        <v>0</v>
      </c>
      <c r="I1050" s="517">
        <v>0</v>
      </c>
      <c r="J1050" s="517">
        <v>0</v>
      </c>
      <c r="K1050" s="517">
        <v>0</v>
      </c>
      <c r="L1050" s="517">
        <v>0</v>
      </c>
      <c r="M1050" s="517">
        <v>0</v>
      </c>
      <c r="N1050" s="517">
        <v>0</v>
      </c>
      <c r="O1050" s="517">
        <v>0</v>
      </c>
      <c r="P1050" s="517">
        <v>0</v>
      </c>
      <c r="Q1050" s="434">
        <f>SUM(E1050:P1050)</f>
        <v>0</v>
      </c>
    </row>
    <row r="1051" spans="1:17" x14ac:dyDescent="0.2">
      <c r="E1051" s="473"/>
      <c r="F1051" s="473"/>
      <c r="G1051" s="473"/>
      <c r="H1051" s="473"/>
      <c r="I1051" s="473"/>
      <c r="J1051" s="473"/>
      <c r="K1051" s="473"/>
      <c r="L1051" s="473"/>
      <c r="M1051" s="473"/>
      <c r="N1051" s="466"/>
      <c r="O1051" s="466"/>
      <c r="P1051" s="466"/>
      <c r="Q1051" s="466"/>
    </row>
    <row r="1052" spans="1:17" ht="10.8" thickBot="1" x14ac:dyDescent="0.25">
      <c r="A1052" s="495">
        <f>A1050+1</f>
        <v>38</v>
      </c>
      <c r="B1052" s="496"/>
      <c r="C1052" s="496" t="s">
        <v>205</v>
      </c>
      <c r="D1052" s="497"/>
      <c r="E1052" s="499">
        <f t="shared" ref="E1052:O1052" si="325">E1048+E1050</f>
        <v>30796.359999999997</v>
      </c>
      <c r="F1052" s="499">
        <f t="shared" si="325"/>
        <v>29309.859999999997</v>
      </c>
      <c r="G1052" s="499">
        <f t="shared" si="325"/>
        <v>33019.710000000006</v>
      </c>
      <c r="H1052" s="499">
        <f t="shared" si="325"/>
        <v>25233.559999999998</v>
      </c>
      <c r="I1052" s="499">
        <f t="shared" si="325"/>
        <v>23458.84</v>
      </c>
      <c r="J1052" s="499">
        <f t="shared" si="325"/>
        <v>16407.010000000002</v>
      </c>
      <c r="K1052" s="499">
        <f t="shared" si="325"/>
        <v>15157.99</v>
      </c>
      <c r="L1052" s="499">
        <f t="shared" si="325"/>
        <v>16877.68</v>
      </c>
      <c r="M1052" s="499">
        <f t="shared" si="325"/>
        <v>17953.940000000002</v>
      </c>
      <c r="N1052" s="499">
        <f t="shared" si="325"/>
        <v>18532.569999999996</v>
      </c>
      <c r="O1052" s="499">
        <f t="shared" si="325"/>
        <v>22800.38</v>
      </c>
      <c r="P1052" s="499">
        <f>P1048+P1050</f>
        <v>26513.289999999997</v>
      </c>
      <c r="Q1052" s="499">
        <f>SUM(E1052:P1052)</f>
        <v>276061.19</v>
      </c>
    </row>
    <row r="1053" spans="1:17" ht="10.8" thickTop="1" x14ac:dyDescent="0.2"/>
    <row r="1055" spans="1:17" x14ac:dyDescent="0.2">
      <c r="A1055" s="224" t="str">
        <f>$A$270</f>
        <v>[1] Reflects Normalized Volumes.</v>
      </c>
    </row>
    <row r="1057" spans="1:17" x14ac:dyDescent="0.2">
      <c r="A1057" s="887" t="str">
        <f>CONAME</f>
        <v>Columbia Gas of Kentucky, Inc.</v>
      </c>
      <c r="B1057" s="887"/>
      <c r="C1057" s="887"/>
      <c r="D1057" s="887"/>
      <c r="E1057" s="887"/>
      <c r="F1057" s="887"/>
      <c r="G1057" s="887"/>
      <c r="H1057" s="887"/>
      <c r="I1057" s="887"/>
      <c r="J1057" s="887"/>
      <c r="K1057" s="887"/>
      <c r="L1057" s="887"/>
      <c r="M1057" s="887"/>
      <c r="N1057" s="887"/>
      <c r="O1057" s="887"/>
      <c r="P1057" s="887"/>
      <c r="Q1057" s="887"/>
    </row>
    <row r="1058" spans="1:17" x14ac:dyDescent="0.2">
      <c r="A1058" s="875" t="str">
        <f>case</f>
        <v>Case No. 2016-00162</v>
      </c>
      <c r="B1058" s="875"/>
      <c r="C1058" s="875"/>
      <c r="D1058" s="875"/>
      <c r="E1058" s="875"/>
      <c r="F1058" s="875"/>
      <c r="G1058" s="875"/>
      <c r="H1058" s="875"/>
      <c r="I1058" s="875"/>
      <c r="J1058" s="875"/>
      <c r="K1058" s="875"/>
      <c r="L1058" s="875"/>
      <c r="M1058" s="875"/>
      <c r="N1058" s="875"/>
      <c r="O1058" s="875"/>
      <c r="P1058" s="875"/>
      <c r="Q1058" s="875"/>
    </row>
    <row r="1059" spans="1:17" x14ac:dyDescent="0.2">
      <c r="A1059" s="888" t="s">
        <v>503</v>
      </c>
      <c r="B1059" s="888"/>
      <c r="C1059" s="888"/>
      <c r="D1059" s="888"/>
      <c r="E1059" s="888"/>
      <c r="F1059" s="888"/>
      <c r="G1059" s="888"/>
      <c r="H1059" s="888"/>
      <c r="I1059" s="888"/>
      <c r="J1059" s="888"/>
      <c r="K1059" s="888"/>
      <c r="L1059" s="888"/>
      <c r="M1059" s="888"/>
      <c r="N1059" s="888"/>
      <c r="O1059" s="888"/>
      <c r="P1059" s="888"/>
      <c r="Q1059" s="888"/>
    </row>
    <row r="1060" spans="1:17" x14ac:dyDescent="0.2">
      <c r="A1060" s="887" t="str">
        <f>TYDESC</f>
        <v>For the 12 Months Ended December 31, 2017</v>
      </c>
      <c r="B1060" s="887"/>
      <c r="C1060" s="887"/>
      <c r="D1060" s="887"/>
      <c r="E1060" s="887"/>
      <c r="F1060" s="887"/>
      <c r="G1060" s="887"/>
      <c r="H1060" s="887"/>
      <c r="I1060" s="887"/>
      <c r="J1060" s="887"/>
      <c r="K1060" s="887"/>
      <c r="L1060" s="887"/>
      <c r="M1060" s="887"/>
      <c r="N1060" s="887"/>
      <c r="O1060" s="887"/>
      <c r="P1060" s="887"/>
      <c r="Q1060" s="887"/>
    </row>
    <row r="1061" spans="1:17" x14ac:dyDescent="0.2">
      <c r="A1061" s="885" t="s">
        <v>39</v>
      </c>
      <c r="B1061" s="885"/>
      <c r="C1061" s="885"/>
      <c r="D1061" s="885"/>
      <c r="E1061" s="885"/>
      <c r="F1061" s="885"/>
      <c r="G1061" s="885"/>
      <c r="H1061" s="885"/>
      <c r="I1061" s="885"/>
      <c r="J1061" s="885"/>
      <c r="K1061" s="885"/>
      <c r="L1061" s="885"/>
      <c r="M1061" s="885"/>
      <c r="N1061" s="885"/>
      <c r="O1061" s="885"/>
      <c r="P1061" s="885"/>
      <c r="Q1061" s="885"/>
    </row>
    <row r="1062" spans="1:17" x14ac:dyDescent="0.2">
      <c r="A1062" s="266" t="str">
        <f>$A$52</f>
        <v>Data: __ Base Period _X_ Forecasted Period</v>
      </c>
    </row>
    <row r="1063" spans="1:17" x14ac:dyDescent="0.2">
      <c r="A1063" s="266" t="str">
        <f>$A$53</f>
        <v>Type of Filing: X Original _ Update _ Revised</v>
      </c>
      <c r="Q1063" s="420" t="str">
        <f>$Q$53</f>
        <v>Schedule M-2.2</v>
      </c>
    </row>
    <row r="1064" spans="1:17" x14ac:dyDescent="0.2">
      <c r="A1064" s="266" t="str">
        <f>$A$54</f>
        <v>Work Paper Reference No(s):</v>
      </c>
      <c r="Q1064" s="420" t="s">
        <v>518</v>
      </c>
    </row>
    <row r="1065" spans="1:17" x14ac:dyDescent="0.2">
      <c r="A1065" s="421" t="str">
        <f>$A$55</f>
        <v>12 Months Forecasted</v>
      </c>
      <c r="Q1065" s="420" t="str">
        <f>Witness</f>
        <v>Witness:  M. J. Bell</v>
      </c>
    </row>
    <row r="1066" spans="1:17" x14ac:dyDescent="0.2">
      <c r="A1066" s="886" t="s">
        <v>194</v>
      </c>
      <c r="B1066" s="886"/>
      <c r="C1066" s="886"/>
      <c r="D1066" s="886"/>
      <c r="E1066" s="886"/>
      <c r="F1066" s="886"/>
      <c r="G1066" s="886"/>
      <c r="H1066" s="886"/>
      <c r="I1066" s="886"/>
      <c r="J1066" s="886"/>
      <c r="K1066" s="886"/>
      <c r="L1066" s="886"/>
      <c r="M1066" s="886"/>
      <c r="N1066" s="886"/>
      <c r="O1066" s="886"/>
      <c r="P1066" s="886"/>
      <c r="Q1066" s="886"/>
    </row>
    <row r="1067" spans="1:17" x14ac:dyDescent="0.2">
      <c r="A1067" s="440"/>
      <c r="B1067" s="305"/>
      <c r="C1067" s="305"/>
      <c r="D1067" s="304"/>
      <c r="E1067" s="305"/>
      <c r="F1067" s="422"/>
      <c r="G1067" s="442"/>
      <c r="H1067" s="422"/>
      <c r="I1067" s="443"/>
      <c r="J1067" s="422"/>
      <c r="K1067" s="422"/>
      <c r="L1067" s="422"/>
      <c r="M1067" s="422"/>
      <c r="N1067" s="422"/>
      <c r="O1067" s="422"/>
      <c r="P1067" s="422"/>
      <c r="Q1067" s="305"/>
    </row>
    <row r="1068" spans="1:17" x14ac:dyDescent="0.2">
      <c r="A1068" s="416" t="s">
        <v>1</v>
      </c>
      <c r="B1068" s="226" t="s">
        <v>0</v>
      </c>
      <c r="C1068" s="226" t="s">
        <v>41</v>
      </c>
      <c r="D1068" s="423" t="s">
        <v>47</v>
      </c>
      <c r="E1068" s="226"/>
      <c r="F1068" s="424"/>
      <c r="G1068" s="425"/>
      <c r="H1068" s="424"/>
      <c r="I1068" s="426"/>
      <c r="J1068" s="424"/>
      <c r="K1068" s="424"/>
      <c r="L1068" s="424"/>
      <c r="M1068" s="424"/>
      <c r="N1068" s="424"/>
      <c r="O1068" s="424"/>
      <c r="P1068" s="424"/>
      <c r="Q1068" s="231"/>
    </row>
    <row r="1069" spans="1:17" x14ac:dyDescent="0.2">
      <c r="A1069" s="285" t="s">
        <v>3</v>
      </c>
      <c r="B1069" s="228" t="s">
        <v>40</v>
      </c>
      <c r="C1069" s="228" t="s">
        <v>4</v>
      </c>
      <c r="D1069" s="427" t="s">
        <v>48</v>
      </c>
      <c r="E1069" s="428" t="str">
        <f>B!$D$11</f>
        <v>Jan-17</v>
      </c>
      <c r="F1069" s="428" t="str">
        <f>B!$E$11</f>
        <v>Feb-17</v>
      </c>
      <c r="G1069" s="428" t="str">
        <f>B!$F$11</f>
        <v>Mar-17</v>
      </c>
      <c r="H1069" s="428" t="str">
        <f>B!$G$11</f>
        <v>Apr-17</v>
      </c>
      <c r="I1069" s="428" t="str">
        <f>B!$H$11</f>
        <v>May-17</v>
      </c>
      <c r="J1069" s="428" t="str">
        <f>B!$I$11</f>
        <v>Jun-17</v>
      </c>
      <c r="K1069" s="428" t="str">
        <f>B!$J$11</f>
        <v>Jul-17</v>
      </c>
      <c r="L1069" s="428" t="str">
        <f>B!$K$11</f>
        <v>Aug-17</v>
      </c>
      <c r="M1069" s="428" t="str">
        <f>B!$L$11</f>
        <v>Sep-17</v>
      </c>
      <c r="N1069" s="428" t="str">
        <f>B!$M$11</f>
        <v>Oct-17</v>
      </c>
      <c r="O1069" s="428" t="str">
        <f>B!$N$11</f>
        <v>Nov-17</v>
      </c>
      <c r="P1069" s="428" t="str">
        <f>B!$O$11</f>
        <v>Dec-17</v>
      </c>
      <c r="Q1069" s="429" t="s">
        <v>9</v>
      </c>
    </row>
    <row r="1070" spans="1:17" x14ac:dyDescent="0.2">
      <c r="A1070" s="416"/>
      <c r="B1070" s="231" t="s">
        <v>42</v>
      </c>
      <c r="C1070" s="231" t="s">
        <v>43</v>
      </c>
      <c r="D1070" s="430" t="s">
        <v>45</v>
      </c>
      <c r="E1070" s="431" t="s">
        <v>46</v>
      </c>
      <c r="F1070" s="431" t="s">
        <v>49</v>
      </c>
      <c r="G1070" s="431" t="s">
        <v>50</v>
      </c>
      <c r="H1070" s="431" t="s">
        <v>51</v>
      </c>
      <c r="I1070" s="431" t="s">
        <v>52</v>
      </c>
      <c r="J1070" s="431" t="s">
        <v>53</v>
      </c>
      <c r="K1070" s="432" t="s">
        <v>54</v>
      </c>
      <c r="L1070" s="432" t="s">
        <v>55</v>
      </c>
      <c r="M1070" s="432" t="s">
        <v>56</v>
      </c>
      <c r="N1070" s="432" t="s">
        <v>57</v>
      </c>
      <c r="O1070" s="432" t="s">
        <v>58</v>
      </c>
      <c r="P1070" s="432" t="s">
        <v>59</v>
      </c>
      <c r="Q1070" s="432" t="s">
        <v>203</v>
      </c>
    </row>
    <row r="1071" spans="1:17" x14ac:dyDescent="0.2">
      <c r="E1071" s="231"/>
      <c r="F1071" s="432"/>
      <c r="G1071" s="444"/>
      <c r="H1071" s="432"/>
      <c r="I1071" s="431"/>
      <c r="J1071" s="432"/>
      <c r="K1071" s="432"/>
      <c r="L1071" s="432"/>
      <c r="M1071" s="432"/>
      <c r="N1071" s="432"/>
      <c r="O1071" s="432"/>
      <c r="P1071" s="432"/>
      <c r="Q1071" s="231"/>
    </row>
    <row r="1072" spans="1:17" x14ac:dyDescent="0.2">
      <c r="A1072" s="224">
        <v>1</v>
      </c>
      <c r="B1072" s="221" t="str">
        <f>B296</f>
        <v>DS3</v>
      </c>
      <c r="C1072" s="221" t="str">
        <f>C296</f>
        <v>GTS Main Line Service - Industrial</v>
      </c>
    </row>
    <row r="1074" spans="1:17" x14ac:dyDescent="0.2">
      <c r="A1074" s="224">
        <f>A1072+1</f>
        <v>2</v>
      </c>
      <c r="C1074" s="225" t="s">
        <v>112</v>
      </c>
      <c r="E1074" s="224"/>
      <c r="F1074" s="292"/>
      <c r="G1074" s="476"/>
      <c r="H1074" s="292"/>
      <c r="I1074" s="297"/>
      <c r="J1074" s="292"/>
      <c r="K1074" s="292"/>
    </row>
    <row r="1075" spans="1:17" x14ac:dyDescent="0.2">
      <c r="C1075" s="225"/>
      <c r="E1075" s="224"/>
      <c r="F1075" s="292"/>
      <c r="G1075" s="476"/>
      <c r="H1075" s="292"/>
      <c r="I1075" s="297"/>
      <c r="J1075" s="292"/>
      <c r="K1075" s="292"/>
    </row>
    <row r="1076" spans="1:17" x14ac:dyDescent="0.2">
      <c r="A1076" s="224">
        <f>A1074+1</f>
        <v>3</v>
      </c>
      <c r="C1076" s="221" t="s">
        <v>202</v>
      </c>
      <c r="E1076" s="479">
        <f>B!D222</f>
        <v>3</v>
      </c>
      <c r="F1076" s="479">
        <f>B!E222</f>
        <v>3</v>
      </c>
      <c r="G1076" s="479">
        <f>B!F222</f>
        <v>3</v>
      </c>
      <c r="H1076" s="479">
        <f>B!G222</f>
        <v>3</v>
      </c>
      <c r="I1076" s="479">
        <f>B!H222</f>
        <v>3</v>
      </c>
      <c r="J1076" s="479">
        <f>B!I222</f>
        <v>3</v>
      </c>
      <c r="K1076" s="479">
        <f>B!J222</f>
        <v>3</v>
      </c>
      <c r="L1076" s="479">
        <f>B!K222</f>
        <v>3</v>
      </c>
      <c r="M1076" s="479">
        <f>B!L222</f>
        <v>3</v>
      </c>
      <c r="N1076" s="479">
        <f>B!M222</f>
        <v>3</v>
      </c>
      <c r="O1076" s="479">
        <f>B!N222</f>
        <v>3</v>
      </c>
      <c r="P1076" s="479">
        <f>B!O222</f>
        <v>3</v>
      </c>
      <c r="Q1076" s="480">
        <f>SUM(E1076:P1076)</f>
        <v>36</v>
      </c>
    </row>
    <row r="1077" spans="1:17" x14ac:dyDescent="0.2">
      <c r="A1077" s="224">
        <f>A1076+1</f>
        <v>4</v>
      </c>
      <c r="C1077" s="221" t="s">
        <v>210</v>
      </c>
      <c r="D1077" s="792">
        <f>Input!H48</f>
        <v>200</v>
      </c>
      <c r="E1077" s="434">
        <f t="shared" ref="E1077:P1077" si="326">ROUND(E1076*$D$1077,2)</f>
        <v>600</v>
      </c>
      <c r="F1077" s="434">
        <f t="shared" si="326"/>
        <v>600</v>
      </c>
      <c r="G1077" s="434">
        <f t="shared" si="326"/>
        <v>600</v>
      </c>
      <c r="H1077" s="434">
        <f t="shared" si="326"/>
        <v>600</v>
      </c>
      <c r="I1077" s="434">
        <f t="shared" si="326"/>
        <v>600</v>
      </c>
      <c r="J1077" s="434">
        <f t="shared" si="326"/>
        <v>600</v>
      </c>
      <c r="K1077" s="434">
        <f t="shared" si="326"/>
        <v>600</v>
      </c>
      <c r="L1077" s="434">
        <f t="shared" si="326"/>
        <v>600</v>
      </c>
      <c r="M1077" s="434">
        <f t="shared" si="326"/>
        <v>600</v>
      </c>
      <c r="N1077" s="434">
        <f t="shared" si="326"/>
        <v>600</v>
      </c>
      <c r="O1077" s="434">
        <f t="shared" si="326"/>
        <v>600</v>
      </c>
      <c r="P1077" s="434">
        <f t="shared" si="326"/>
        <v>600</v>
      </c>
      <c r="Q1077" s="434">
        <f>SUM(E1077:P1077)</f>
        <v>7200</v>
      </c>
    </row>
    <row r="1078" spans="1:17" x14ac:dyDescent="0.2">
      <c r="A1078" s="224">
        <f>A1077+1</f>
        <v>5</v>
      </c>
      <c r="C1078" s="221" t="s">
        <v>217</v>
      </c>
      <c r="D1078" s="792">
        <f>Input!I48</f>
        <v>55.9</v>
      </c>
      <c r="E1078" s="434">
        <f t="shared" ref="E1078:P1078" si="327">ROUND(E1076*$D$1078,2)</f>
        <v>167.7</v>
      </c>
      <c r="F1078" s="434">
        <f t="shared" si="327"/>
        <v>167.7</v>
      </c>
      <c r="G1078" s="434">
        <f t="shared" si="327"/>
        <v>167.7</v>
      </c>
      <c r="H1078" s="434">
        <f t="shared" si="327"/>
        <v>167.7</v>
      </c>
      <c r="I1078" s="434">
        <f t="shared" si="327"/>
        <v>167.7</v>
      </c>
      <c r="J1078" s="434">
        <f t="shared" si="327"/>
        <v>167.7</v>
      </c>
      <c r="K1078" s="434">
        <f t="shared" si="327"/>
        <v>167.7</v>
      </c>
      <c r="L1078" s="434">
        <f t="shared" si="327"/>
        <v>167.7</v>
      </c>
      <c r="M1078" s="434">
        <f t="shared" si="327"/>
        <v>167.7</v>
      </c>
      <c r="N1078" s="434">
        <f t="shared" si="327"/>
        <v>167.7</v>
      </c>
      <c r="O1078" s="434">
        <f t="shared" si="327"/>
        <v>167.7</v>
      </c>
      <c r="P1078" s="434">
        <f t="shared" si="327"/>
        <v>167.7</v>
      </c>
      <c r="Q1078" s="434">
        <f>SUM(E1078:P1078)</f>
        <v>2012.4000000000003</v>
      </c>
    </row>
    <row r="1079" spans="1:17" x14ac:dyDescent="0.2">
      <c r="D1079" s="290"/>
      <c r="E1079" s="224"/>
      <c r="F1079" s="292"/>
      <c r="G1079" s="476"/>
      <c r="H1079" s="292"/>
      <c r="I1079" s="297"/>
      <c r="J1079" s="292"/>
      <c r="K1079" s="292"/>
    </row>
    <row r="1080" spans="1:17" x14ac:dyDescent="0.2">
      <c r="A1080" s="224">
        <f>A1078+1</f>
        <v>6</v>
      </c>
      <c r="C1080" s="221" t="s">
        <v>218</v>
      </c>
      <c r="D1080" s="290"/>
      <c r="E1080" s="297">
        <f>'C'!D325</f>
        <v>58289</v>
      </c>
      <c r="F1080" s="297">
        <f>'C'!E325</f>
        <v>56724</v>
      </c>
      <c r="G1080" s="297">
        <f>'C'!F325</f>
        <v>56724</v>
      </c>
      <c r="H1080" s="297">
        <f>'C'!G325</f>
        <v>57213</v>
      </c>
      <c r="I1080" s="297">
        <f>'C'!H325</f>
        <v>57995</v>
      </c>
      <c r="J1080" s="297">
        <f>'C'!I325</f>
        <v>58484</v>
      </c>
      <c r="K1080" s="297">
        <f>'C'!J325</f>
        <v>55942</v>
      </c>
      <c r="L1080" s="297">
        <f>'C'!K325</f>
        <v>54866</v>
      </c>
      <c r="M1080" s="297">
        <f>'C'!L325</f>
        <v>55746</v>
      </c>
      <c r="N1080" s="297">
        <f>'C'!M325</f>
        <v>58093</v>
      </c>
      <c r="O1080" s="297">
        <f>'C'!N325</f>
        <v>57604</v>
      </c>
      <c r="P1080" s="297">
        <f>'C'!O325</f>
        <v>53301</v>
      </c>
      <c r="Q1080" s="247">
        <f>SUM(E1080:P1080)</f>
        <v>680981</v>
      </c>
    </row>
    <row r="1081" spans="1:17" x14ac:dyDescent="0.2">
      <c r="A1081" s="224">
        <f>A1080+1</f>
        <v>7</v>
      </c>
      <c r="C1081" s="242" t="s">
        <v>207</v>
      </c>
      <c r="D1081" s="793">
        <f>Input!C48</f>
        <v>8.5800000000000001E-2</v>
      </c>
      <c r="E1081" s="434">
        <f t="shared" ref="E1081:P1081" si="328">ROUND(E1080*$D$1081,2)</f>
        <v>5001.2</v>
      </c>
      <c r="F1081" s="434">
        <f t="shared" si="328"/>
        <v>4866.92</v>
      </c>
      <c r="G1081" s="434">
        <f t="shared" si="328"/>
        <v>4866.92</v>
      </c>
      <c r="H1081" s="434">
        <f t="shared" si="328"/>
        <v>4908.88</v>
      </c>
      <c r="I1081" s="434">
        <f t="shared" si="328"/>
        <v>4975.97</v>
      </c>
      <c r="J1081" s="434">
        <f t="shared" si="328"/>
        <v>5017.93</v>
      </c>
      <c r="K1081" s="434">
        <f t="shared" si="328"/>
        <v>4799.82</v>
      </c>
      <c r="L1081" s="434">
        <f t="shared" si="328"/>
        <v>4707.5</v>
      </c>
      <c r="M1081" s="434">
        <f t="shared" si="328"/>
        <v>4783.01</v>
      </c>
      <c r="N1081" s="434">
        <f t="shared" si="328"/>
        <v>4984.38</v>
      </c>
      <c r="O1081" s="434">
        <f t="shared" si="328"/>
        <v>4942.42</v>
      </c>
      <c r="P1081" s="434">
        <f t="shared" si="328"/>
        <v>4573.2299999999996</v>
      </c>
      <c r="Q1081" s="434">
        <f>SUM(E1081:P1081)</f>
        <v>58428.179999999993</v>
      </c>
    </row>
    <row r="1082" spans="1:17" x14ac:dyDescent="0.2">
      <c r="D1082" s="290"/>
      <c r="E1082" s="473"/>
      <c r="F1082" s="473"/>
      <c r="G1082" s="473"/>
      <c r="H1082" s="473"/>
      <c r="I1082" s="473"/>
      <c r="J1082" s="473"/>
      <c r="K1082" s="473"/>
      <c r="L1082" s="466"/>
      <c r="M1082" s="466"/>
      <c r="N1082" s="466"/>
      <c r="O1082" s="466"/>
      <c r="P1082" s="466"/>
      <c r="Q1082" s="491"/>
    </row>
    <row r="1083" spans="1:17" x14ac:dyDescent="0.2">
      <c r="A1083" s="224">
        <f>A1081+1</f>
        <v>8</v>
      </c>
      <c r="C1083" s="221" t="s">
        <v>204</v>
      </c>
      <c r="D1083" s="290"/>
      <c r="E1083" s="434">
        <f t="shared" ref="E1083:O1083" si="329">E1077+E1078+E1081</f>
        <v>5768.9</v>
      </c>
      <c r="F1083" s="434">
        <f t="shared" si="329"/>
        <v>5634.62</v>
      </c>
      <c r="G1083" s="434">
        <f t="shared" si="329"/>
        <v>5634.62</v>
      </c>
      <c r="H1083" s="434">
        <f t="shared" si="329"/>
        <v>5676.58</v>
      </c>
      <c r="I1083" s="434">
        <f t="shared" si="329"/>
        <v>5743.67</v>
      </c>
      <c r="J1083" s="434">
        <f t="shared" si="329"/>
        <v>5785.63</v>
      </c>
      <c r="K1083" s="434">
        <f t="shared" si="329"/>
        <v>5567.5199999999995</v>
      </c>
      <c r="L1083" s="434">
        <f t="shared" si="329"/>
        <v>5475.2</v>
      </c>
      <c r="M1083" s="434">
        <f t="shared" si="329"/>
        <v>5550.71</v>
      </c>
      <c r="N1083" s="434">
        <f t="shared" si="329"/>
        <v>5752.08</v>
      </c>
      <c r="O1083" s="434">
        <f t="shared" si="329"/>
        <v>5710.12</v>
      </c>
      <c r="P1083" s="434">
        <f>P1077+P1078+P1081</f>
        <v>5340.9299999999994</v>
      </c>
      <c r="Q1083" s="434">
        <f>SUM(E1083:P1083)</f>
        <v>67640.579999999987</v>
      </c>
    </row>
    <row r="1084" spans="1:17" x14ac:dyDescent="0.2">
      <c r="D1084" s="290"/>
      <c r="E1084" s="473"/>
      <c r="F1084" s="473"/>
      <c r="G1084" s="473"/>
      <c r="H1084" s="473"/>
      <c r="I1084" s="473"/>
      <c r="J1084" s="473"/>
      <c r="K1084" s="473"/>
      <c r="L1084" s="473"/>
      <c r="M1084" s="473"/>
      <c r="N1084" s="473"/>
      <c r="O1084" s="473"/>
      <c r="P1084" s="473"/>
      <c r="Q1084" s="491"/>
    </row>
    <row r="1085" spans="1:17" x14ac:dyDescent="0.2">
      <c r="A1085" s="224">
        <f>A1083+1</f>
        <v>9</v>
      </c>
      <c r="C1085" s="221" t="s">
        <v>151</v>
      </c>
      <c r="D1085" s="794">
        <v>0</v>
      </c>
      <c r="E1085" s="517">
        <v>0</v>
      </c>
      <c r="F1085" s="517">
        <v>0</v>
      </c>
      <c r="G1085" s="517">
        <v>0</v>
      </c>
      <c r="H1085" s="517">
        <v>0</v>
      </c>
      <c r="I1085" s="517">
        <v>0</v>
      </c>
      <c r="J1085" s="517">
        <v>0</v>
      </c>
      <c r="K1085" s="517">
        <v>0</v>
      </c>
      <c r="L1085" s="517">
        <v>0</v>
      </c>
      <c r="M1085" s="517">
        <v>0</v>
      </c>
      <c r="N1085" s="517">
        <v>0</v>
      </c>
      <c r="O1085" s="517">
        <v>0</v>
      </c>
      <c r="P1085" s="517">
        <v>0</v>
      </c>
      <c r="Q1085" s="434">
        <f>SUM(E1085:P1085)</f>
        <v>0</v>
      </c>
    </row>
    <row r="1086" spans="1:17" x14ac:dyDescent="0.2">
      <c r="D1086" s="290"/>
      <c r="E1086" s="473"/>
      <c r="F1086" s="473"/>
      <c r="G1086" s="473"/>
      <c r="H1086" s="473"/>
      <c r="I1086" s="473"/>
      <c r="J1086" s="473"/>
      <c r="K1086" s="473"/>
      <c r="L1086" s="473"/>
      <c r="M1086" s="473"/>
      <c r="N1086" s="473"/>
      <c r="O1086" s="473"/>
      <c r="P1086" s="473"/>
      <c r="Q1086" s="466"/>
    </row>
    <row r="1087" spans="1:17" ht="10.8" thickBot="1" x14ac:dyDescent="0.25">
      <c r="A1087" s="495">
        <f>A1085+1</f>
        <v>10</v>
      </c>
      <c r="B1087" s="496"/>
      <c r="C1087" s="496" t="s">
        <v>205</v>
      </c>
      <c r="D1087" s="497"/>
      <c r="E1087" s="499">
        <f t="shared" ref="E1087:O1087" si="330">E1083+E1085</f>
        <v>5768.9</v>
      </c>
      <c r="F1087" s="499">
        <f t="shared" si="330"/>
        <v>5634.62</v>
      </c>
      <c r="G1087" s="499">
        <f t="shared" si="330"/>
        <v>5634.62</v>
      </c>
      <c r="H1087" s="499">
        <f t="shared" si="330"/>
        <v>5676.58</v>
      </c>
      <c r="I1087" s="499">
        <f t="shared" si="330"/>
        <v>5743.67</v>
      </c>
      <c r="J1087" s="499">
        <f t="shared" si="330"/>
        <v>5785.63</v>
      </c>
      <c r="K1087" s="499">
        <f t="shared" si="330"/>
        <v>5567.5199999999995</v>
      </c>
      <c r="L1087" s="499">
        <f t="shared" si="330"/>
        <v>5475.2</v>
      </c>
      <c r="M1087" s="499">
        <f t="shared" si="330"/>
        <v>5550.71</v>
      </c>
      <c r="N1087" s="499">
        <f t="shared" si="330"/>
        <v>5752.08</v>
      </c>
      <c r="O1087" s="499">
        <f t="shared" si="330"/>
        <v>5710.12</v>
      </c>
      <c r="P1087" s="499">
        <f>P1083+P1085</f>
        <v>5340.9299999999994</v>
      </c>
      <c r="Q1087" s="499">
        <f>SUM(E1087:P1087)</f>
        <v>67640.579999999987</v>
      </c>
    </row>
    <row r="1088" spans="1:17" ht="10.8" thickTop="1" x14ac:dyDescent="0.2"/>
    <row r="1090" spans="1:17" x14ac:dyDescent="0.2">
      <c r="A1090" s="224">
        <f>A1087+1</f>
        <v>11</v>
      </c>
      <c r="B1090" s="221" t="str">
        <f>B303</f>
        <v>FX1</v>
      </c>
      <c r="C1090" s="221" t="str">
        <f>C303</f>
        <v>GTS Flex Rate - Commercial</v>
      </c>
    </row>
    <row r="1092" spans="1:17" x14ac:dyDescent="0.2">
      <c r="A1092" s="224">
        <f>A1090+1</f>
        <v>12</v>
      </c>
      <c r="C1092" s="225" t="s">
        <v>111</v>
      </c>
    </row>
    <row r="1093" spans="1:17" x14ac:dyDescent="0.2">
      <c r="C1093" s="225"/>
    </row>
    <row r="1094" spans="1:17" x14ac:dyDescent="0.2">
      <c r="A1094" s="224">
        <f>A1092+1</f>
        <v>13</v>
      </c>
      <c r="C1094" s="221" t="s">
        <v>202</v>
      </c>
      <c r="E1094" s="479">
        <f>B!D228</f>
        <v>1</v>
      </c>
      <c r="F1094" s="479">
        <f>B!E228</f>
        <v>1</v>
      </c>
      <c r="G1094" s="479">
        <f>B!F228</f>
        <v>1</v>
      </c>
      <c r="H1094" s="479">
        <f>B!G228</f>
        <v>1</v>
      </c>
      <c r="I1094" s="479">
        <f>B!H228</f>
        <v>1</v>
      </c>
      <c r="J1094" s="479">
        <f>B!I228</f>
        <v>1</v>
      </c>
      <c r="K1094" s="479">
        <f>B!J228</f>
        <v>1</v>
      </c>
      <c r="L1094" s="479">
        <f>B!K228</f>
        <v>1</v>
      </c>
      <c r="M1094" s="479">
        <f>B!L228</f>
        <v>1</v>
      </c>
      <c r="N1094" s="479">
        <f>B!M228</f>
        <v>1</v>
      </c>
      <c r="O1094" s="479">
        <f>B!N228</f>
        <v>1</v>
      </c>
      <c r="P1094" s="479">
        <f>B!O228</f>
        <v>1</v>
      </c>
      <c r="Q1094" s="480">
        <f>SUM(E1094:P1094)</f>
        <v>12</v>
      </c>
    </row>
    <row r="1095" spans="1:17" x14ac:dyDescent="0.2">
      <c r="A1095" s="224">
        <f>A1094+1</f>
        <v>14</v>
      </c>
      <c r="C1095" s="221" t="s">
        <v>210</v>
      </c>
      <c r="D1095" s="792">
        <f>Input!H49</f>
        <v>1007.05</v>
      </c>
      <c r="E1095" s="434">
        <f t="shared" ref="E1095:P1095" si="331">ROUND(E1094*$D$1095,2)</f>
        <v>1007.05</v>
      </c>
      <c r="F1095" s="434">
        <f t="shared" si="331"/>
        <v>1007.05</v>
      </c>
      <c r="G1095" s="434">
        <f t="shared" si="331"/>
        <v>1007.05</v>
      </c>
      <c r="H1095" s="434">
        <f t="shared" si="331"/>
        <v>1007.05</v>
      </c>
      <c r="I1095" s="434">
        <f t="shared" si="331"/>
        <v>1007.05</v>
      </c>
      <c r="J1095" s="434">
        <f t="shared" si="331"/>
        <v>1007.05</v>
      </c>
      <c r="K1095" s="434">
        <f t="shared" si="331"/>
        <v>1007.05</v>
      </c>
      <c r="L1095" s="434">
        <f t="shared" si="331"/>
        <v>1007.05</v>
      </c>
      <c r="M1095" s="434">
        <f t="shared" si="331"/>
        <v>1007.05</v>
      </c>
      <c r="N1095" s="434">
        <f t="shared" si="331"/>
        <v>1007.05</v>
      </c>
      <c r="O1095" s="434">
        <f t="shared" si="331"/>
        <v>1007.05</v>
      </c>
      <c r="P1095" s="434">
        <f t="shared" si="331"/>
        <v>1007.05</v>
      </c>
      <c r="Q1095" s="434">
        <f>SUM(E1095:P1095)</f>
        <v>12084.599999999999</v>
      </c>
    </row>
    <row r="1096" spans="1:17" x14ac:dyDescent="0.2">
      <c r="A1096" s="224">
        <f>A1095+1</f>
        <v>15</v>
      </c>
      <c r="C1096" s="221" t="s">
        <v>217</v>
      </c>
      <c r="D1096" s="792">
        <f>Input!I49</f>
        <v>55.9</v>
      </c>
      <c r="E1096" s="434">
        <f t="shared" ref="E1096:P1096" si="332">ROUND(E1094*$D$1096,2)</f>
        <v>55.9</v>
      </c>
      <c r="F1096" s="434">
        <f t="shared" si="332"/>
        <v>55.9</v>
      </c>
      <c r="G1096" s="434">
        <f t="shared" si="332"/>
        <v>55.9</v>
      </c>
      <c r="H1096" s="434">
        <f t="shared" si="332"/>
        <v>55.9</v>
      </c>
      <c r="I1096" s="434">
        <f t="shared" si="332"/>
        <v>55.9</v>
      </c>
      <c r="J1096" s="434">
        <f t="shared" si="332"/>
        <v>55.9</v>
      </c>
      <c r="K1096" s="434">
        <f t="shared" si="332"/>
        <v>55.9</v>
      </c>
      <c r="L1096" s="434">
        <f t="shared" si="332"/>
        <v>55.9</v>
      </c>
      <c r="M1096" s="434">
        <f t="shared" si="332"/>
        <v>55.9</v>
      </c>
      <c r="N1096" s="434">
        <f t="shared" si="332"/>
        <v>55.9</v>
      </c>
      <c r="O1096" s="434">
        <f t="shared" si="332"/>
        <v>55.9</v>
      </c>
      <c r="P1096" s="434">
        <f t="shared" si="332"/>
        <v>55.9</v>
      </c>
      <c r="Q1096" s="434">
        <f>SUM(E1096:P1096)</f>
        <v>670.79999999999984</v>
      </c>
    </row>
    <row r="1097" spans="1:17" x14ac:dyDescent="0.2">
      <c r="D1097" s="290"/>
      <c r="E1097" s="224"/>
      <c r="F1097" s="292"/>
      <c r="G1097" s="476"/>
      <c r="H1097" s="292"/>
      <c r="I1097" s="297"/>
      <c r="J1097" s="292"/>
      <c r="K1097" s="292"/>
    </row>
    <row r="1098" spans="1:17" x14ac:dyDescent="0.2">
      <c r="A1098" s="224">
        <f>A1096+1</f>
        <v>16</v>
      </c>
      <c r="C1098" s="221" t="s">
        <v>209</v>
      </c>
      <c r="D1098" s="290"/>
      <c r="E1098" s="297">
        <f>'C'!D330</f>
        <v>74328</v>
      </c>
      <c r="F1098" s="297">
        <f>'C'!E330</f>
        <v>58680</v>
      </c>
      <c r="G1098" s="297">
        <f>'C'!F330</f>
        <v>70416</v>
      </c>
      <c r="H1098" s="297">
        <f>'C'!G330</f>
        <v>34230</v>
      </c>
      <c r="I1098" s="297">
        <f>'C'!H330</f>
        <v>29340</v>
      </c>
      <c r="J1098" s="297">
        <f>'C'!I330</f>
        <v>29340</v>
      </c>
      <c r="K1098" s="297">
        <f>'C'!J330</f>
        <v>29340</v>
      </c>
      <c r="L1098" s="297">
        <f>'C'!K330</f>
        <v>29340</v>
      </c>
      <c r="M1098" s="297">
        <f>'C'!L330</f>
        <v>34230</v>
      </c>
      <c r="N1098" s="297">
        <f>'C'!M330</f>
        <v>39120</v>
      </c>
      <c r="O1098" s="297">
        <f>'C'!N330</f>
        <v>49878</v>
      </c>
      <c r="P1098" s="297">
        <f>'C'!O330</f>
        <v>63570</v>
      </c>
      <c r="Q1098" s="247">
        <f>SUM(E1098:P1098)</f>
        <v>541812</v>
      </c>
    </row>
    <row r="1099" spans="1:17" x14ac:dyDescent="0.2">
      <c r="A1099" s="224">
        <f>A1098+1</f>
        <v>17</v>
      </c>
      <c r="C1099" s="221" t="s">
        <v>207</v>
      </c>
      <c r="D1099" s="793">
        <f>Input!C49</f>
        <v>0.39</v>
      </c>
      <c r="E1099" s="434">
        <f t="shared" ref="E1099:P1099" si="333">ROUND(E1098*$D$1099,2)</f>
        <v>28987.919999999998</v>
      </c>
      <c r="F1099" s="434">
        <f t="shared" si="333"/>
        <v>22885.200000000001</v>
      </c>
      <c r="G1099" s="434">
        <f t="shared" si="333"/>
        <v>27462.240000000002</v>
      </c>
      <c r="H1099" s="434">
        <f t="shared" si="333"/>
        <v>13349.7</v>
      </c>
      <c r="I1099" s="434">
        <f t="shared" si="333"/>
        <v>11442.6</v>
      </c>
      <c r="J1099" s="434">
        <f t="shared" si="333"/>
        <v>11442.6</v>
      </c>
      <c r="K1099" s="434">
        <f t="shared" si="333"/>
        <v>11442.6</v>
      </c>
      <c r="L1099" s="434">
        <f t="shared" si="333"/>
        <v>11442.6</v>
      </c>
      <c r="M1099" s="434">
        <f t="shared" si="333"/>
        <v>13349.7</v>
      </c>
      <c r="N1099" s="434">
        <f t="shared" si="333"/>
        <v>15256.8</v>
      </c>
      <c r="O1099" s="434">
        <f t="shared" si="333"/>
        <v>19452.419999999998</v>
      </c>
      <c r="P1099" s="434">
        <f t="shared" si="333"/>
        <v>24792.3</v>
      </c>
      <c r="Q1099" s="434">
        <f>SUM(E1099:P1099)</f>
        <v>211306.68</v>
      </c>
    </row>
    <row r="1100" spans="1:17" x14ac:dyDescent="0.2">
      <c r="D1100" s="290"/>
      <c r="E1100" s="224"/>
      <c r="F1100" s="292"/>
      <c r="G1100" s="476"/>
      <c r="H1100" s="292"/>
      <c r="I1100" s="297"/>
      <c r="J1100" s="292"/>
      <c r="K1100" s="292"/>
      <c r="Q1100" s="524"/>
    </row>
    <row r="1101" spans="1:17" x14ac:dyDescent="0.2">
      <c r="A1101" s="224">
        <f>A1099+1</f>
        <v>18</v>
      </c>
      <c r="C1101" s="221" t="s">
        <v>204</v>
      </c>
      <c r="D1101" s="290"/>
      <c r="E1101" s="434">
        <f t="shared" ref="E1101:O1101" si="334">E1095+E1096+E1099</f>
        <v>30050.87</v>
      </c>
      <c r="F1101" s="434">
        <f t="shared" si="334"/>
        <v>23948.15</v>
      </c>
      <c r="G1101" s="434">
        <f t="shared" si="334"/>
        <v>28525.190000000002</v>
      </c>
      <c r="H1101" s="434">
        <f t="shared" si="334"/>
        <v>14412.650000000001</v>
      </c>
      <c r="I1101" s="434">
        <f t="shared" si="334"/>
        <v>12505.550000000001</v>
      </c>
      <c r="J1101" s="434">
        <f t="shared" si="334"/>
        <v>12505.550000000001</v>
      </c>
      <c r="K1101" s="434">
        <f t="shared" si="334"/>
        <v>12505.550000000001</v>
      </c>
      <c r="L1101" s="434">
        <f t="shared" si="334"/>
        <v>12505.550000000001</v>
      </c>
      <c r="M1101" s="434">
        <f t="shared" si="334"/>
        <v>14412.650000000001</v>
      </c>
      <c r="N1101" s="434">
        <f t="shared" si="334"/>
        <v>16319.75</v>
      </c>
      <c r="O1101" s="434">
        <f t="shared" si="334"/>
        <v>20515.37</v>
      </c>
      <c r="P1101" s="434">
        <f>P1095+P1096+P1099</f>
        <v>25855.25</v>
      </c>
      <c r="Q1101" s="434">
        <f>SUM(E1101:P1101)</f>
        <v>224062.07999999999</v>
      </c>
    </row>
    <row r="1102" spans="1:17" x14ac:dyDescent="0.2">
      <c r="D1102" s="290"/>
      <c r="E1102" s="473"/>
      <c r="F1102" s="473"/>
      <c r="G1102" s="473"/>
      <c r="H1102" s="473"/>
      <c r="I1102" s="473"/>
      <c r="J1102" s="473"/>
      <c r="K1102" s="473"/>
      <c r="L1102" s="466"/>
      <c r="M1102" s="466"/>
      <c r="N1102" s="466"/>
      <c r="O1102" s="466"/>
      <c r="P1102" s="466"/>
      <c r="Q1102" s="491"/>
    </row>
    <row r="1103" spans="1:17" x14ac:dyDescent="0.2">
      <c r="A1103" s="224">
        <f>A1101+1</f>
        <v>19</v>
      </c>
      <c r="C1103" s="221" t="s">
        <v>151</v>
      </c>
      <c r="D1103" s="794">
        <v>0</v>
      </c>
      <c r="E1103" s="517">
        <v>0</v>
      </c>
      <c r="F1103" s="517">
        <v>0</v>
      </c>
      <c r="G1103" s="517">
        <v>0</v>
      </c>
      <c r="H1103" s="517">
        <v>0</v>
      </c>
      <c r="I1103" s="517">
        <v>0</v>
      </c>
      <c r="J1103" s="517">
        <v>0</v>
      </c>
      <c r="K1103" s="517">
        <v>0</v>
      </c>
      <c r="L1103" s="517">
        <v>0</v>
      </c>
      <c r="M1103" s="517">
        <v>0</v>
      </c>
      <c r="N1103" s="517">
        <v>0</v>
      </c>
      <c r="O1103" s="517">
        <v>0</v>
      </c>
      <c r="P1103" s="517">
        <v>0</v>
      </c>
      <c r="Q1103" s="434">
        <f>SUM(E1103:P1103)</f>
        <v>0</v>
      </c>
    </row>
    <row r="1104" spans="1:17" x14ac:dyDescent="0.2">
      <c r="E1104" s="466"/>
      <c r="F1104" s="466"/>
      <c r="G1104" s="466"/>
      <c r="H1104" s="466"/>
      <c r="I1104" s="466"/>
      <c r="J1104" s="466"/>
      <c r="K1104" s="466"/>
      <c r="L1104" s="466"/>
      <c r="M1104" s="466"/>
      <c r="N1104" s="466"/>
      <c r="O1104" s="466"/>
      <c r="P1104" s="466"/>
      <c r="Q1104" s="466"/>
    </row>
    <row r="1105" spans="1:17" ht="10.8" thickBot="1" x14ac:dyDescent="0.25">
      <c r="A1105" s="495">
        <f>A1103+1</f>
        <v>20</v>
      </c>
      <c r="B1105" s="496"/>
      <c r="C1105" s="496" t="s">
        <v>205</v>
      </c>
      <c r="D1105" s="497"/>
      <c r="E1105" s="499">
        <f t="shared" ref="E1105:O1105" si="335">E1101+E1103</f>
        <v>30050.87</v>
      </c>
      <c r="F1105" s="499">
        <f t="shared" si="335"/>
        <v>23948.15</v>
      </c>
      <c r="G1105" s="499">
        <f t="shared" si="335"/>
        <v>28525.190000000002</v>
      </c>
      <c r="H1105" s="499">
        <f t="shared" si="335"/>
        <v>14412.650000000001</v>
      </c>
      <c r="I1105" s="499">
        <f t="shared" si="335"/>
        <v>12505.550000000001</v>
      </c>
      <c r="J1105" s="499">
        <f t="shared" si="335"/>
        <v>12505.550000000001</v>
      </c>
      <c r="K1105" s="499">
        <f t="shared" si="335"/>
        <v>12505.550000000001</v>
      </c>
      <c r="L1105" s="499">
        <f t="shared" si="335"/>
        <v>12505.550000000001</v>
      </c>
      <c r="M1105" s="499">
        <f t="shared" si="335"/>
        <v>14412.650000000001</v>
      </c>
      <c r="N1105" s="499">
        <f t="shared" si="335"/>
        <v>16319.75</v>
      </c>
      <c r="O1105" s="499">
        <f t="shared" si="335"/>
        <v>20515.37</v>
      </c>
      <c r="P1105" s="499">
        <f>P1101+P1103</f>
        <v>25855.25</v>
      </c>
      <c r="Q1105" s="499">
        <f>SUM(E1105:P1105)</f>
        <v>224062.07999999999</v>
      </c>
    </row>
    <row r="1106" spans="1:17" ht="10.8" thickTop="1" x14ac:dyDescent="0.2"/>
    <row r="1108" spans="1:17" x14ac:dyDescent="0.2">
      <c r="A1108" s="224">
        <f>A1105+1</f>
        <v>21</v>
      </c>
      <c r="B1108" s="221" t="str">
        <f>B310</f>
        <v>FX2</v>
      </c>
      <c r="C1108" s="221" t="str">
        <f>C310</f>
        <v>GTS Flex Rate - Commercial</v>
      </c>
    </row>
    <row r="1110" spans="1:17" x14ac:dyDescent="0.2">
      <c r="A1110" s="224">
        <f>A1108+1</f>
        <v>22</v>
      </c>
      <c r="C1110" s="225" t="s">
        <v>111</v>
      </c>
    </row>
    <row r="1111" spans="1:17" x14ac:dyDescent="0.2">
      <c r="C1111" s="225"/>
      <c r="E1111" s="224"/>
      <c r="F1111" s="292"/>
      <c r="G1111" s="476"/>
      <c r="H1111" s="292"/>
      <c r="I1111" s="297"/>
      <c r="J1111" s="292"/>
      <c r="K1111" s="292"/>
      <c r="L1111" s="292"/>
    </row>
    <row r="1112" spans="1:17" x14ac:dyDescent="0.2">
      <c r="A1112" s="224">
        <f>A1110+1</f>
        <v>23</v>
      </c>
      <c r="C1112" s="221" t="s">
        <v>202</v>
      </c>
      <c r="E1112" s="479">
        <f>B!D234</f>
        <v>1</v>
      </c>
      <c r="F1112" s="479">
        <f>B!E234</f>
        <v>1</v>
      </c>
      <c r="G1112" s="479">
        <f>B!F234</f>
        <v>1</v>
      </c>
      <c r="H1112" s="479">
        <f>B!G234</f>
        <v>1</v>
      </c>
      <c r="I1112" s="479">
        <f>B!H234</f>
        <v>1</v>
      </c>
      <c r="J1112" s="479">
        <f>B!I234</f>
        <v>1</v>
      </c>
      <c r="K1112" s="479">
        <f>B!J234</f>
        <v>1</v>
      </c>
      <c r="L1112" s="479">
        <f>B!K234</f>
        <v>1</v>
      </c>
      <c r="M1112" s="479">
        <f>B!L234</f>
        <v>1</v>
      </c>
      <c r="N1112" s="479">
        <f>B!M234</f>
        <v>1</v>
      </c>
      <c r="O1112" s="479">
        <f>B!N234</f>
        <v>1</v>
      </c>
      <c r="P1112" s="479">
        <f>B!O234</f>
        <v>1</v>
      </c>
      <c r="Q1112" s="480">
        <f>SUM(E1112:P1112)</f>
        <v>12</v>
      </c>
    </row>
    <row r="1113" spans="1:17" x14ac:dyDescent="0.2">
      <c r="A1113" s="224">
        <f>A1112+1</f>
        <v>24</v>
      </c>
      <c r="C1113" s="221" t="s">
        <v>210</v>
      </c>
      <c r="D1113" s="792">
        <f>Input!H50</f>
        <v>1007.05</v>
      </c>
      <c r="E1113" s="434">
        <f t="shared" ref="E1113:P1113" si="336">ROUND(E1112*$D$1113,2)</f>
        <v>1007.05</v>
      </c>
      <c r="F1113" s="434">
        <f t="shared" si="336"/>
        <v>1007.05</v>
      </c>
      <c r="G1113" s="434">
        <f t="shared" si="336"/>
        <v>1007.05</v>
      </c>
      <c r="H1113" s="434">
        <f t="shared" si="336"/>
        <v>1007.05</v>
      </c>
      <c r="I1113" s="434">
        <f t="shared" si="336"/>
        <v>1007.05</v>
      </c>
      <c r="J1113" s="434">
        <f t="shared" si="336"/>
        <v>1007.05</v>
      </c>
      <c r="K1113" s="434">
        <f t="shared" si="336"/>
        <v>1007.05</v>
      </c>
      <c r="L1113" s="434">
        <f t="shared" si="336"/>
        <v>1007.05</v>
      </c>
      <c r="M1113" s="434">
        <f t="shared" si="336"/>
        <v>1007.05</v>
      </c>
      <c r="N1113" s="434">
        <f t="shared" si="336"/>
        <v>1007.05</v>
      </c>
      <c r="O1113" s="434">
        <f t="shared" si="336"/>
        <v>1007.05</v>
      </c>
      <c r="P1113" s="434">
        <f t="shared" si="336"/>
        <v>1007.05</v>
      </c>
      <c r="Q1113" s="434">
        <f>SUM(E1113:P1113)</f>
        <v>12084.599999999999</v>
      </c>
    </row>
    <row r="1114" spans="1:17" x14ac:dyDescent="0.2">
      <c r="A1114" s="224">
        <f>A1113+1</f>
        <v>25</v>
      </c>
      <c r="C1114" s="221" t="s">
        <v>217</v>
      </c>
      <c r="D1114" s="792">
        <f>Input!I50</f>
        <v>55.9</v>
      </c>
      <c r="E1114" s="434">
        <f t="shared" ref="E1114:P1114" si="337">ROUND(E1112*$D$1114,2)</f>
        <v>55.9</v>
      </c>
      <c r="F1114" s="434">
        <f t="shared" si="337"/>
        <v>55.9</v>
      </c>
      <c r="G1114" s="434">
        <f t="shared" si="337"/>
        <v>55.9</v>
      </c>
      <c r="H1114" s="434">
        <f t="shared" si="337"/>
        <v>55.9</v>
      </c>
      <c r="I1114" s="434">
        <f t="shared" si="337"/>
        <v>55.9</v>
      </c>
      <c r="J1114" s="434">
        <f t="shared" si="337"/>
        <v>55.9</v>
      </c>
      <c r="K1114" s="434">
        <f t="shared" si="337"/>
        <v>55.9</v>
      </c>
      <c r="L1114" s="434">
        <f t="shared" si="337"/>
        <v>55.9</v>
      </c>
      <c r="M1114" s="434">
        <f t="shared" si="337"/>
        <v>55.9</v>
      </c>
      <c r="N1114" s="434">
        <f t="shared" si="337"/>
        <v>55.9</v>
      </c>
      <c r="O1114" s="434">
        <f t="shared" si="337"/>
        <v>55.9</v>
      </c>
      <c r="P1114" s="434">
        <f t="shared" si="337"/>
        <v>55.9</v>
      </c>
      <c r="Q1114" s="434">
        <f>SUM(E1114:P1114)</f>
        <v>670.79999999999984</v>
      </c>
    </row>
    <row r="1115" spans="1:17" x14ac:dyDescent="0.2">
      <c r="D1115" s="290"/>
      <c r="E1115" s="224"/>
      <c r="F1115" s="292"/>
      <c r="G1115" s="476"/>
      <c r="H1115" s="292"/>
      <c r="I1115" s="297"/>
      <c r="J1115" s="292"/>
      <c r="K1115" s="292"/>
    </row>
    <row r="1116" spans="1:17" x14ac:dyDescent="0.2">
      <c r="A1116" s="224">
        <f>A1114+1</f>
        <v>26</v>
      </c>
      <c r="C1116" s="221" t="s">
        <v>209</v>
      </c>
      <c r="D1116" s="290"/>
      <c r="E1116" s="297">
        <f>'C'!D348</f>
        <v>44010</v>
      </c>
      <c r="F1116" s="297">
        <f>'C'!E348</f>
        <v>56724</v>
      </c>
      <c r="G1116" s="297">
        <f>'C'!F348</f>
        <v>33252</v>
      </c>
      <c r="H1116" s="297">
        <f>'C'!G348</f>
        <v>47922</v>
      </c>
      <c r="I1116" s="297">
        <f>'C'!H348</f>
        <v>37164</v>
      </c>
      <c r="J1116" s="297">
        <f>'C'!I348</f>
        <v>37164</v>
      </c>
      <c r="K1116" s="297">
        <f>'C'!J348</f>
        <v>39120</v>
      </c>
      <c r="L1116" s="297">
        <f>'C'!K348</f>
        <v>37164</v>
      </c>
      <c r="M1116" s="297">
        <f>'C'!L348</f>
        <v>41076</v>
      </c>
      <c r="N1116" s="297">
        <f>'C'!M348</f>
        <v>50856</v>
      </c>
      <c r="O1116" s="297">
        <f>'C'!N348</f>
        <v>54768</v>
      </c>
      <c r="P1116" s="297">
        <f>'C'!O348</f>
        <v>54768</v>
      </c>
      <c r="Q1116" s="247">
        <f>SUM(E1116:P1116)</f>
        <v>533988</v>
      </c>
    </row>
    <row r="1117" spans="1:17" x14ac:dyDescent="0.2">
      <c r="A1117" s="224">
        <f>A1116+1</f>
        <v>27</v>
      </c>
      <c r="C1117" s="242" t="s">
        <v>207</v>
      </c>
      <c r="D1117" s="793">
        <f>Input!C50</f>
        <v>0.39</v>
      </c>
      <c r="E1117" s="434">
        <f t="shared" ref="E1117:P1117" si="338">ROUND(E1116*$D$1117,2)</f>
        <v>17163.900000000001</v>
      </c>
      <c r="F1117" s="434">
        <f t="shared" si="338"/>
        <v>22122.36</v>
      </c>
      <c r="G1117" s="434">
        <f t="shared" si="338"/>
        <v>12968.28</v>
      </c>
      <c r="H1117" s="434">
        <f t="shared" si="338"/>
        <v>18689.580000000002</v>
      </c>
      <c r="I1117" s="434">
        <f t="shared" si="338"/>
        <v>14493.96</v>
      </c>
      <c r="J1117" s="434">
        <f t="shared" si="338"/>
        <v>14493.96</v>
      </c>
      <c r="K1117" s="434">
        <f t="shared" si="338"/>
        <v>15256.8</v>
      </c>
      <c r="L1117" s="434">
        <f t="shared" si="338"/>
        <v>14493.96</v>
      </c>
      <c r="M1117" s="434">
        <f t="shared" si="338"/>
        <v>16019.64</v>
      </c>
      <c r="N1117" s="434">
        <f t="shared" si="338"/>
        <v>19833.84</v>
      </c>
      <c r="O1117" s="434">
        <f t="shared" si="338"/>
        <v>21359.52</v>
      </c>
      <c r="P1117" s="434">
        <f t="shared" si="338"/>
        <v>21359.52</v>
      </c>
      <c r="Q1117" s="434">
        <f>SUM(E1117:P1117)</f>
        <v>208255.31999999998</v>
      </c>
    </row>
    <row r="1118" spans="1:17" x14ac:dyDescent="0.2">
      <c r="C1118" s="242"/>
      <c r="D1118" s="290"/>
      <c r="E1118" s="473"/>
      <c r="F1118" s="473"/>
      <c r="G1118" s="473"/>
      <c r="H1118" s="473"/>
      <c r="I1118" s="473"/>
      <c r="J1118" s="473"/>
      <c r="K1118" s="473"/>
      <c r="L1118" s="466"/>
      <c r="M1118" s="466"/>
      <c r="N1118" s="466"/>
      <c r="O1118" s="466"/>
      <c r="P1118" s="466"/>
      <c r="Q1118" s="491"/>
    </row>
    <row r="1119" spans="1:17" x14ac:dyDescent="0.2">
      <c r="A1119" s="224">
        <f>A1117+1</f>
        <v>28</v>
      </c>
      <c r="C1119" s="242" t="s">
        <v>204</v>
      </c>
      <c r="D1119" s="290"/>
      <c r="E1119" s="434">
        <f t="shared" ref="E1119:O1119" si="339">E1113+E1114+E1117</f>
        <v>18226.850000000002</v>
      </c>
      <c r="F1119" s="434">
        <f t="shared" si="339"/>
        <v>23185.31</v>
      </c>
      <c r="G1119" s="434">
        <f t="shared" si="339"/>
        <v>14031.230000000001</v>
      </c>
      <c r="H1119" s="434">
        <f t="shared" si="339"/>
        <v>19752.530000000002</v>
      </c>
      <c r="I1119" s="434">
        <f t="shared" si="339"/>
        <v>15556.91</v>
      </c>
      <c r="J1119" s="434">
        <f t="shared" si="339"/>
        <v>15556.91</v>
      </c>
      <c r="K1119" s="434">
        <f t="shared" si="339"/>
        <v>16319.75</v>
      </c>
      <c r="L1119" s="434">
        <f t="shared" si="339"/>
        <v>15556.91</v>
      </c>
      <c r="M1119" s="434">
        <f t="shared" si="339"/>
        <v>17082.59</v>
      </c>
      <c r="N1119" s="434">
        <f t="shared" si="339"/>
        <v>20896.79</v>
      </c>
      <c r="O1119" s="434">
        <f t="shared" si="339"/>
        <v>22422.47</v>
      </c>
      <c r="P1119" s="434">
        <f>P1113+P1114+P1117</f>
        <v>22422.47</v>
      </c>
      <c r="Q1119" s="434">
        <f>SUM(E1119:P1119)</f>
        <v>221010.72000000003</v>
      </c>
    </row>
    <row r="1120" spans="1:17" x14ac:dyDescent="0.2">
      <c r="C1120" s="242"/>
      <c r="D1120" s="290"/>
      <c r="E1120" s="473"/>
      <c r="F1120" s="473"/>
      <c r="G1120" s="473"/>
      <c r="H1120" s="473"/>
      <c r="I1120" s="473"/>
      <c r="J1120" s="473"/>
      <c r="K1120" s="473"/>
      <c r="L1120" s="473"/>
      <c r="M1120" s="473"/>
      <c r="N1120" s="473"/>
      <c r="O1120" s="473"/>
      <c r="P1120" s="473"/>
      <c r="Q1120" s="491"/>
    </row>
    <row r="1121" spans="1:17" x14ac:dyDescent="0.2">
      <c r="A1121" s="224">
        <f>A1119+1</f>
        <v>29</v>
      </c>
      <c r="C1121" s="221" t="s">
        <v>151</v>
      </c>
      <c r="D1121" s="794">
        <v>0</v>
      </c>
      <c r="E1121" s="517">
        <v>0</v>
      </c>
      <c r="F1121" s="517">
        <v>0</v>
      </c>
      <c r="G1121" s="517">
        <v>0</v>
      </c>
      <c r="H1121" s="517">
        <v>0</v>
      </c>
      <c r="I1121" s="517">
        <v>0</v>
      </c>
      <c r="J1121" s="517">
        <v>0</v>
      </c>
      <c r="K1121" s="517">
        <v>0</v>
      </c>
      <c r="L1121" s="517">
        <v>0</v>
      </c>
      <c r="M1121" s="517">
        <v>0</v>
      </c>
      <c r="N1121" s="517">
        <v>0</v>
      </c>
      <c r="O1121" s="517">
        <v>0</v>
      </c>
      <c r="P1121" s="517">
        <v>0</v>
      </c>
      <c r="Q1121" s="434">
        <f>SUM(E1121:P1121)</f>
        <v>0</v>
      </c>
    </row>
    <row r="1122" spans="1:17" x14ac:dyDescent="0.2">
      <c r="E1122" s="466"/>
      <c r="F1122" s="466"/>
      <c r="G1122" s="466"/>
      <c r="H1122" s="466"/>
      <c r="I1122" s="466"/>
      <c r="J1122" s="466"/>
      <c r="K1122" s="466"/>
      <c r="L1122" s="466"/>
      <c r="M1122" s="466"/>
      <c r="N1122" s="466"/>
      <c r="O1122" s="466"/>
      <c r="P1122" s="466"/>
      <c r="Q1122" s="466"/>
    </row>
    <row r="1123" spans="1:17" ht="10.8" thickBot="1" x14ac:dyDescent="0.25">
      <c r="A1123" s="495">
        <f>A1121+1</f>
        <v>30</v>
      </c>
      <c r="B1123" s="496"/>
      <c r="C1123" s="496" t="s">
        <v>205</v>
      </c>
      <c r="D1123" s="497"/>
      <c r="E1123" s="499">
        <f t="shared" ref="E1123:O1123" si="340">E1119+E1121</f>
        <v>18226.850000000002</v>
      </c>
      <c r="F1123" s="499">
        <f t="shared" si="340"/>
        <v>23185.31</v>
      </c>
      <c r="G1123" s="499">
        <f t="shared" si="340"/>
        <v>14031.230000000001</v>
      </c>
      <c r="H1123" s="499">
        <f t="shared" si="340"/>
        <v>19752.530000000002</v>
      </c>
      <c r="I1123" s="499">
        <f t="shared" si="340"/>
        <v>15556.91</v>
      </c>
      <c r="J1123" s="499">
        <f t="shared" si="340"/>
        <v>15556.91</v>
      </c>
      <c r="K1123" s="499">
        <f t="shared" si="340"/>
        <v>16319.75</v>
      </c>
      <c r="L1123" s="499">
        <f t="shared" si="340"/>
        <v>15556.91</v>
      </c>
      <c r="M1123" s="499">
        <f t="shared" si="340"/>
        <v>17082.59</v>
      </c>
      <c r="N1123" s="499">
        <f t="shared" si="340"/>
        <v>20896.79</v>
      </c>
      <c r="O1123" s="499">
        <f t="shared" si="340"/>
        <v>22422.47</v>
      </c>
      <c r="P1123" s="499">
        <f>P1119+P1121</f>
        <v>22422.47</v>
      </c>
      <c r="Q1123" s="499">
        <f>SUM(E1123:P1123)</f>
        <v>221010.72000000003</v>
      </c>
    </row>
    <row r="1124" spans="1:17" ht="10.8" thickTop="1" x14ac:dyDescent="0.2">
      <c r="E1124" s="466"/>
      <c r="F1124" s="466"/>
      <c r="G1124" s="466"/>
      <c r="H1124" s="466"/>
      <c r="I1124" s="466"/>
      <c r="J1124" s="466"/>
      <c r="K1124" s="466"/>
      <c r="L1124" s="466"/>
      <c r="M1124" s="466"/>
      <c r="N1124" s="466"/>
      <c r="O1124" s="466"/>
      <c r="P1124" s="466"/>
      <c r="Q1124" s="466"/>
    </row>
    <row r="1126" spans="1:17" x14ac:dyDescent="0.2">
      <c r="A1126" s="224" t="str">
        <f>$A$270</f>
        <v>[1] Reflects Normalized Volumes.</v>
      </c>
    </row>
    <row r="1127" spans="1:17" x14ac:dyDescent="0.2">
      <c r="A1127" s="887" t="str">
        <f>CONAME</f>
        <v>Columbia Gas of Kentucky, Inc.</v>
      </c>
      <c r="B1127" s="887"/>
      <c r="C1127" s="887"/>
      <c r="D1127" s="887"/>
      <c r="E1127" s="887"/>
      <c r="F1127" s="887"/>
      <c r="G1127" s="887"/>
      <c r="H1127" s="887"/>
      <c r="I1127" s="887"/>
      <c r="J1127" s="887"/>
      <c r="K1127" s="887"/>
      <c r="L1127" s="887"/>
      <c r="M1127" s="887"/>
      <c r="N1127" s="887"/>
      <c r="O1127" s="887"/>
      <c r="P1127" s="887"/>
      <c r="Q1127" s="887"/>
    </row>
    <row r="1128" spans="1:17" x14ac:dyDescent="0.2">
      <c r="A1128" s="875" t="str">
        <f>case</f>
        <v>Case No. 2016-00162</v>
      </c>
      <c r="B1128" s="875"/>
      <c r="C1128" s="875"/>
      <c r="D1128" s="875"/>
      <c r="E1128" s="875"/>
      <c r="F1128" s="875"/>
      <c r="G1128" s="875"/>
      <c r="H1128" s="875"/>
      <c r="I1128" s="875"/>
      <c r="J1128" s="875"/>
      <c r="K1128" s="875"/>
      <c r="L1128" s="875"/>
      <c r="M1128" s="875"/>
      <c r="N1128" s="875"/>
      <c r="O1128" s="875"/>
      <c r="P1128" s="875"/>
      <c r="Q1128" s="875"/>
    </row>
    <row r="1129" spans="1:17" x14ac:dyDescent="0.2">
      <c r="A1129" s="888" t="s">
        <v>503</v>
      </c>
      <c r="B1129" s="888"/>
      <c r="C1129" s="888"/>
      <c r="D1129" s="888"/>
      <c r="E1129" s="888"/>
      <c r="F1129" s="888"/>
      <c r="G1129" s="888"/>
      <c r="H1129" s="888"/>
      <c r="I1129" s="888"/>
      <c r="J1129" s="888"/>
      <c r="K1129" s="888"/>
      <c r="L1129" s="888"/>
      <c r="M1129" s="888"/>
      <c r="N1129" s="888"/>
      <c r="O1129" s="888"/>
      <c r="P1129" s="888"/>
      <c r="Q1129" s="888"/>
    </row>
    <row r="1130" spans="1:17" x14ac:dyDescent="0.2">
      <c r="A1130" s="887" t="str">
        <f>TYDESC</f>
        <v>For the 12 Months Ended December 31, 2017</v>
      </c>
      <c r="B1130" s="887"/>
      <c r="C1130" s="887"/>
      <c r="D1130" s="887"/>
      <c r="E1130" s="887"/>
      <c r="F1130" s="887"/>
      <c r="G1130" s="887"/>
      <c r="H1130" s="887"/>
      <c r="I1130" s="887"/>
      <c r="J1130" s="887"/>
      <c r="K1130" s="887"/>
      <c r="L1130" s="887"/>
      <c r="M1130" s="887"/>
      <c r="N1130" s="887"/>
      <c r="O1130" s="887"/>
      <c r="P1130" s="887"/>
      <c r="Q1130" s="887"/>
    </row>
    <row r="1131" spans="1:17" x14ac:dyDescent="0.2">
      <c r="A1131" s="885" t="s">
        <v>39</v>
      </c>
      <c r="B1131" s="885"/>
      <c r="C1131" s="885"/>
      <c r="D1131" s="885"/>
      <c r="E1131" s="885"/>
      <c r="F1131" s="885"/>
      <c r="G1131" s="885"/>
      <c r="H1131" s="885"/>
      <c r="I1131" s="885"/>
      <c r="J1131" s="885"/>
      <c r="K1131" s="885"/>
      <c r="L1131" s="885"/>
      <c r="M1131" s="885"/>
      <c r="N1131" s="885"/>
      <c r="O1131" s="885"/>
      <c r="P1131" s="885"/>
      <c r="Q1131" s="885"/>
    </row>
    <row r="1132" spans="1:17" x14ac:dyDescent="0.2">
      <c r="A1132" s="266" t="str">
        <f>$A$52</f>
        <v>Data: __ Base Period _X_ Forecasted Period</v>
      </c>
    </row>
    <row r="1133" spans="1:17" x14ac:dyDescent="0.2">
      <c r="A1133" s="266" t="str">
        <f>$A$53</f>
        <v>Type of Filing: X Original _ Update _ Revised</v>
      </c>
      <c r="Q1133" s="420" t="str">
        <f>$Q$53</f>
        <v>Schedule M-2.2</v>
      </c>
    </row>
    <row r="1134" spans="1:17" x14ac:dyDescent="0.2">
      <c r="A1134" s="266" t="str">
        <f>$A$54</f>
        <v>Work Paper Reference No(s):</v>
      </c>
      <c r="Q1134" s="420" t="s">
        <v>516</v>
      </c>
    </row>
    <row r="1135" spans="1:17" x14ac:dyDescent="0.2">
      <c r="A1135" s="421" t="str">
        <f>$A$55</f>
        <v>12 Months Forecasted</v>
      </c>
      <c r="Q1135" s="420" t="str">
        <f>Witness</f>
        <v>Witness:  M. J. Bell</v>
      </c>
    </row>
    <row r="1136" spans="1:17" x14ac:dyDescent="0.2">
      <c r="A1136" s="886" t="s">
        <v>194</v>
      </c>
      <c r="B1136" s="886"/>
      <c r="C1136" s="886"/>
      <c r="D1136" s="886"/>
      <c r="E1136" s="886"/>
      <c r="F1136" s="886"/>
      <c r="G1136" s="886"/>
      <c r="H1136" s="886"/>
      <c r="I1136" s="886"/>
      <c r="J1136" s="886"/>
      <c r="K1136" s="886"/>
      <c r="L1136" s="886"/>
      <c r="M1136" s="886"/>
      <c r="N1136" s="886"/>
      <c r="O1136" s="886"/>
      <c r="P1136" s="886"/>
      <c r="Q1136" s="886"/>
    </row>
    <row r="1137" spans="1:17" x14ac:dyDescent="0.2">
      <c r="A1137" s="440"/>
      <c r="B1137" s="305"/>
      <c r="C1137" s="305"/>
      <c r="D1137" s="304"/>
      <c r="E1137" s="305"/>
      <c r="F1137" s="422"/>
      <c r="G1137" s="442"/>
      <c r="H1137" s="422"/>
      <c r="I1137" s="443"/>
      <c r="J1137" s="422"/>
      <c r="K1137" s="422"/>
      <c r="L1137" s="422"/>
      <c r="M1137" s="422"/>
      <c r="N1137" s="422"/>
      <c r="O1137" s="422"/>
      <c r="P1137" s="422"/>
      <c r="Q1137" s="305"/>
    </row>
    <row r="1138" spans="1:17" x14ac:dyDescent="0.2">
      <c r="A1138" s="416" t="s">
        <v>1</v>
      </c>
      <c r="B1138" s="226" t="s">
        <v>0</v>
      </c>
      <c r="C1138" s="226" t="s">
        <v>41</v>
      </c>
      <c r="D1138" s="423" t="s">
        <v>47</v>
      </c>
      <c r="E1138" s="226"/>
      <c r="F1138" s="424"/>
      <c r="G1138" s="425"/>
      <c r="H1138" s="424"/>
      <c r="I1138" s="426"/>
      <c r="J1138" s="424"/>
      <c r="K1138" s="424"/>
      <c r="L1138" s="424"/>
      <c r="M1138" s="424"/>
      <c r="N1138" s="424"/>
      <c r="O1138" s="424"/>
      <c r="P1138" s="424"/>
      <c r="Q1138" s="231"/>
    </row>
    <row r="1139" spans="1:17" x14ac:dyDescent="0.2">
      <c r="A1139" s="285" t="s">
        <v>3</v>
      </c>
      <c r="B1139" s="228" t="s">
        <v>40</v>
      </c>
      <c r="C1139" s="228" t="s">
        <v>4</v>
      </c>
      <c r="D1139" s="427" t="s">
        <v>48</v>
      </c>
      <c r="E1139" s="428" t="str">
        <f>B!$D$11</f>
        <v>Jan-17</v>
      </c>
      <c r="F1139" s="428" t="str">
        <f>B!$E$11</f>
        <v>Feb-17</v>
      </c>
      <c r="G1139" s="428" t="str">
        <f>B!$F$11</f>
        <v>Mar-17</v>
      </c>
      <c r="H1139" s="428" t="str">
        <f>B!$G$11</f>
        <v>Apr-17</v>
      </c>
      <c r="I1139" s="428" t="str">
        <f>B!$H$11</f>
        <v>May-17</v>
      </c>
      <c r="J1139" s="428" t="str">
        <f>B!$I$11</f>
        <v>Jun-17</v>
      </c>
      <c r="K1139" s="428" t="str">
        <f>B!$J$11</f>
        <v>Jul-17</v>
      </c>
      <c r="L1139" s="428" t="str">
        <f>B!$K$11</f>
        <v>Aug-17</v>
      </c>
      <c r="M1139" s="428" t="str">
        <f>B!$L$11</f>
        <v>Sep-17</v>
      </c>
      <c r="N1139" s="428" t="str">
        <f>B!$M$11</f>
        <v>Oct-17</v>
      </c>
      <c r="O1139" s="428" t="str">
        <f>B!$N$11</f>
        <v>Nov-17</v>
      </c>
      <c r="P1139" s="428" t="str">
        <f>B!$O$11</f>
        <v>Dec-17</v>
      </c>
      <c r="Q1139" s="429" t="s">
        <v>9</v>
      </c>
    </row>
    <row r="1140" spans="1:17" x14ac:dyDescent="0.2">
      <c r="A1140" s="416"/>
      <c r="B1140" s="231" t="s">
        <v>42</v>
      </c>
      <c r="C1140" s="231" t="s">
        <v>43</v>
      </c>
      <c r="D1140" s="430" t="s">
        <v>45</v>
      </c>
      <c r="E1140" s="431" t="s">
        <v>46</v>
      </c>
      <c r="F1140" s="431" t="s">
        <v>49</v>
      </c>
      <c r="G1140" s="431" t="s">
        <v>50</v>
      </c>
      <c r="H1140" s="431" t="s">
        <v>51</v>
      </c>
      <c r="I1140" s="431" t="s">
        <v>52</v>
      </c>
      <c r="J1140" s="431" t="s">
        <v>53</v>
      </c>
      <c r="K1140" s="432" t="s">
        <v>54</v>
      </c>
      <c r="L1140" s="432" t="s">
        <v>55</v>
      </c>
      <c r="M1140" s="432" t="s">
        <v>56</v>
      </c>
      <c r="N1140" s="432" t="s">
        <v>57</v>
      </c>
      <c r="O1140" s="432" t="s">
        <v>58</v>
      </c>
      <c r="P1140" s="432" t="s">
        <v>59</v>
      </c>
      <c r="Q1140" s="432" t="s">
        <v>203</v>
      </c>
    </row>
    <row r="1141" spans="1:17" x14ac:dyDescent="0.2">
      <c r="E1141" s="231"/>
      <c r="F1141" s="432"/>
      <c r="G1141" s="444"/>
      <c r="H1141" s="432"/>
      <c r="I1141" s="431"/>
      <c r="J1141" s="432"/>
      <c r="K1141" s="432"/>
      <c r="L1141" s="432"/>
      <c r="M1141" s="432"/>
      <c r="N1141" s="432"/>
      <c r="O1141" s="432"/>
      <c r="P1141" s="432"/>
      <c r="Q1141" s="231"/>
    </row>
    <row r="1142" spans="1:17" x14ac:dyDescent="0.2">
      <c r="A1142" s="224">
        <v>1</v>
      </c>
      <c r="B1142" s="221" t="str">
        <f>B317</f>
        <v>FX5</v>
      </c>
      <c r="C1142" s="221" t="str">
        <f>C317</f>
        <v>GTS Flex Rate - Industrial</v>
      </c>
    </row>
    <row r="1144" spans="1:17" x14ac:dyDescent="0.2">
      <c r="A1144" s="224">
        <f>A1142+1</f>
        <v>2</v>
      </c>
      <c r="C1144" s="225" t="s">
        <v>112</v>
      </c>
    </row>
    <row r="1145" spans="1:17" x14ac:dyDescent="0.2">
      <c r="C1145" s="225"/>
      <c r="I1145" s="297"/>
      <c r="J1145" s="292"/>
      <c r="K1145" s="292"/>
    </row>
    <row r="1146" spans="1:17" x14ac:dyDescent="0.2">
      <c r="A1146" s="224">
        <f>A1144+1</f>
        <v>3</v>
      </c>
      <c r="C1146" s="221" t="s">
        <v>202</v>
      </c>
      <c r="E1146" s="479">
        <f>B!D240</f>
        <v>3</v>
      </c>
      <c r="F1146" s="479">
        <f>B!E240</f>
        <v>3</v>
      </c>
      <c r="G1146" s="479">
        <f>B!F240</f>
        <v>3</v>
      </c>
      <c r="H1146" s="479">
        <f>B!G240</f>
        <v>3</v>
      </c>
      <c r="I1146" s="479">
        <f>B!H240</f>
        <v>3</v>
      </c>
      <c r="J1146" s="479">
        <f>B!I240</f>
        <v>3</v>
      </c>
      <c r="K1146" s="479">
        <f>B!J240</f>
        <v>3</v>
      </c>
      <c r="L1146" s="479">
        <f>B!K240</f>
        <v>3</v>
      </c>
      <c r="M1146" s="479">
        <f>B!L240</f>
        <v>3</v>
      </c>
      <c r="N1146" s="479">
        <f>B!M240</f>
        <v>3</v>
      </c>
      <c r="O1146" s="479">
        <f>B!N240</f>
        <v>3</v>
      </c>
      <c r="P1146" s="479">
        <f>B!O240</f>
        <v>3</v>
      </c>
      <c r="Q1146" s="480">
        <f>SUM(E1146:P1146)</f>
        <v>36</v>
      </c>
    </row>
    <row r="1147" spans="1:17" x14ac:dyDescent="0.2">
      <c r="A1147" s="224">
        <f>A1146+1</f>
        <v>4</v>
      </c>
      <c r="C1147" s="221" t="s">
        <v>210</v>
      </c>
      <c r="D1147" s="792">
        <f>Input!H51</f>
        <v>200</v>
      </c>
      <c r="E1147" s="434">
        <f t="shared" ref="E1147:P1147" si="341">ROUND(E1146*$D$1147,2)</f>
        <v>600</v>
      </c>
      <c r="F1147" s="434">
        <f t="shared" si="341"/>
        <v>600</v>
      </c>
      <c r="G1147" s="434">
        <f t="shared" si="341"/>
        <v>600</v>
      </c>
      <c r="H1147" s="434">
        <f t="shared" si="341"/>
        <v>600</v>
      </c>
      <c r="I1147" s="434">
        <f t="shared" si="341"/>
        <v>600</v>
      </c>
      <c r="J1147" s="434">
        <f t="shared" si="341"/>
        <v>600</v>
      </c>
      <c r="K1147" s="434">
        <f t="shared" si="341"/>
        <v>600</v>
      </c>
      <c r="L1147" s="434">
        <f t="shared" si="341"/>
        <v>600</v>
      </c>
      <c r="M1147" s="434">
        <f t="shared" si="341"/>
        <v>600</v>
      </c>
      <c r="N1147" s="434">
        <f t="shared" si="341"/>
        <v>600</v>
      </c>
      <c r="O1147" s="434">
        <f t="shared" si="341"/>
        <v>600</v>
      </c>
      <c r="P1147" s="434">
        <f t="shared" si="341"/>
        <v>600</v>
      </c>
      <c r="Q1147" s="434">
        <f>SUM(E1147:P1147)</f>
        <v>7200</v>
      </c>
    </row>
    <row r="1148" spans="1:17" x14ac:dyDescent="0.2">
      <c r="A1148" s="224">
        <f>A1147+1</f>
        <v>5</v>
      </c>
      <c r="C1148" s="221" t="s">
        <v>217</v>
      </c>
      <c r="D1148" s="792">
        <f>Input!I51</f>
        <v>55.9</v>
      </c>
      <c r="E1148" s="434">
        <f t="shared" ref="E1148:P1148" si="342">ROUND(E1146*$D$1148,2)</f>
        <v>167.7</v>
      </c>
      <c r="F1148" s="434">
        <f t="shared" si="342"/>
        <v>167.7</v>
      </c>
      <c r="G1148" s="434">
        <f t="shared" si="342"/>
        <v>167.7</v>
      </c>
      <c r="H1148" s="434">
        <f t="shared" si="342"/>
        <v>167.7</v>
      </c>
      <c r="I1148" s="434">
        <f t="shared" si="342"/>
        <v>167.7</v>
      </c>
      <c r="J1148" s="434">
        <f t="shared" si="342"/>
        <v>167.7</v>
      </c>
      <c r="K1148" s="434">
        <f t="shared" si="342"/>
        <v>167.7</v>
      </c>
      <c r="L1148" s="434">
        <f t="shared" si="342"/>
        <v>167.7</v>
      </c>
      <c r="M1148" s="434">
        <f t="shared" si="342"/>
        <v>167.7</v>
      </c>
      <c r="N1148" s="434">
        <f t="shared" si="342"/>
        <v>167.7</v>
      </c>
      <c r="O1148" s="434">
        <f t="shared" si="342"/>
        <v>167.7</v>
      </c>
      <c r="P1148" s="434">
        <f t="shared" si="342"/>
        <v>167.7</v>
      </c>
      <c r="Q1148" s="434">
        <f>SUM(E1148:P1148)</f>
        <v>2012.4000000000003</v>
      </c>
    </row>
    <row r="1149" spans="1:17" x14ac:dyDescent="0.2">
      <c r="D1149" s="290"/>
      <c r="E1149" s="224"/>
      <c r="F1149" s="292"/>
      <c r="G1149" s="476"/>
      <c r="H1149" s="292"/>
      <c r="I1149" s="297"/>
      <c r="J1149" s="292"/>
      <c r="K1149" s="292"/>
    </row>
    <row r="1150" spans="1:17" x14ac:dyDescent="0.2">
      <c r="A1150" s="224">
        <f>A1148+1</f>
        <v>6</v>
      </c>
      <c r="C1150" s="221" t="s">
        <v>209</v>
      </c>
      <c r="D1150" s="290"/>
      <c r="E1150" s="297">
        <f>'C'!D351</f>
        <v>411738</v>
      </c>
      <c r="F1150" s="297">
        <f>'C'!E351</f>
        <v>369684</v>
      </c>
      <c r="G1150" s="297">
        <f>'C'!F351</f>
        <v>397068</v>
      </c>
      <c r="H1150" s="297">
        <f>'C'!G351</f>
        <v>381420</v>
      </c>
      <c r="I1150" s="297">
        <f>'C'!H351</f>
        <v>392178</v>
      </c>
      <c r="J1150" s="297">
        <f>'C'!I351</f>
        <v>381420</v>
      </c>
      <c r="K1150" s="297">
        <f>'C'!J351</f>
        <v>392178</v>
      </c>
      <c r="L1150" s="297">
        <f>'C'!K351</f>
        <v>392178</v>
      </c>
      <c r="M1150" s="297">
        <f>'C'!L351</f>
        <v>381420</v>
      </c>
      <c r="N1150" s="297">
        <f>'C'!M351</f>
        <v>397068</v>
      </c>
      <c r="O1150" s="297">
        <f>'C'!N351</f>
        <v>391200</v>
      </c>
      <c r="P1150" s="297">
        <f>'C'!O351</f>
        <v>401958</v>
      </c>
      <c r="Q1150" s="247">
        <f>SUM(E1150:P1150)</f>
        <v>4689510</v>
      </c>
    </row>
    <row r="1151" spans="1:17" x14ac:dyDescent="0.2">
      <c r="A1151" s="224">
        <f>A1150+1</f>
        <v>7</v>
      </c>
      <c r="C1151" s="242" t="s">
        <v>207</v>
      </c>
      <c r="D1151" s="793">
        <f>Input!C51</f>
        <v>8.5800000000000001E-2</v>
      </c>
      <c r="E1151" s="434">
        <f t="shared" ref="E1151:P1151" si="343">ROUND(E1150*$D$1151,2)</f>
        <v>35327.120000000003</v>
      </c>
      <c r="F1151" s="434">
        <f t="shared" si="343"/>
        <v>31718.89</v>
      </c>
      <c r="G1151" s="434">
        <f t="shared" si="343"/>
        <v>34068.43</v>
      </c>
      <c r="H1151" s="434">
        <f t="shared" si="343"/>
        <v>32725.84</v>
      </c>
      <c r="I1151" s="434">
        <f t="shared" si="343"/>
        <v>33648.870000000003</v>
      </c>
      <c r="J1151" s="434">
        <f t="shared" si="343"/>
        <v>32725.84</v>
      </c>
      <c r="K1151" s="434">
        <f t="shared" si="343"/>
        <v>33648.870000000003</v>
      </c>
      <c r="L1151" s="434">
        <f t="shared" si="343"/>
        <v>33648.870000000003</v>
      </c>
      <c r="M1151" s="434">
        <f t="shared" si="343"/>
        <v>32725.84</v>
      </c>
      <c r="N1151" s="434">
        <f t="shared" si="343"/>
        <v>34068.43</v>
      </c>
      <c r="O1151" s="434">
        <f t="shared" si="343"/>
        <v>33564.959999999999</v>
      </c>
      <c r="P1151" s="434">
        <f t="shared" si="343"/>
        <v>34488</v>
      </c>
      <c r="Q1151" s="434">
        <f>SUM(E1151:P1151)</f>
        <v>402359.96</v>
      </c>
    </row>
    <row r="1152" spans="1:17" x14ac:dyDescent="0.2">
      <c r="C1152" s="242"/>
      <c r="D1152" s="290"/>
      <c r="E1152" s="473"/>
      <c r="F1152" s="473"/>
      <c r="G1152" s="473"/>
      <c r="H1152" s="473"/>
      <c r="I1152" s="473"/>
      <c r="J1152" s="473"/>
      <c r="K1152" s="473"/>
      <c r="L1152" s="466"/>
      <c r="M1152" s="466"/>
      <c r="N1152" s="466"/>
      <c r="O1152" s="466"/>
      <c r="P1152" s="466"/>
      <c r="Q1152" s="491"/>
    </row>
    <row r="1153" spans="1:17" x14ac:dyDescent="0.2">
      <c r="A1153" s="224">
        <f>A1151+1</f>
        <v>8</v>
      </c>
      <c r="C1153" s="242" t="s">
        <v>204</v>
      </c>
      <c r="D1153" s="290"/>
      <c r="E1153" s="434">
        <f t="shared" ref="E1153:O1153" si="344">E1147+E1148+E1151</f>
        <v>36094.82</v>
      </c>
      <c r="F1153" s="434">
        <f t="shared" si="344"/>
        <v>32486.59</v>
      </c>
      <c r="G1153" s="434">
        <f t="shared" si="344"/>
        <v>34836.129999999997</v>
      </c>
      <c r="H1153" s="434">
        <f t="shared" si="344"/>
        <v>33493.54</v>
      </c>
      <c r="I1153" s="434">
        <f t="shared" si="344"/>
        <v>34416.57</v>
      </c>
      <c r="J1153" s="434">
        <f t="shared" si="344"/>
        <v>33493.54</v>
      </c>
      <c r="K1153" s="434">
        <f t="shared" si="344"/>
        <v>34416.57</v>
      </c>
      <c r="L1153" s="434">
        <f t="shared" si="344"/>
        <v>34416.57</v>
      </c>
      <c r="M1153" s="434">
        <f t="shared" si="344"/>
        <v>33493.54</v>
      </c>
      <c r="N1153" s="434">
        <f t="shared" si="344"/>
        <v>34836.129999999997</v>
      </c>
      <c r="O1153" s="434">
        <f t="shared" si="344"/>
        <v>34332.659999999996</v>
      </c>
      <c r="P1153" s="434">
        <f>P1147+P1148+P1151</f>
        <v>35255.699999999997</v>
      </c>
      <c r="Q1153" s="434">
        <f>SUM(E1153:P1153)</f>
        <v>411572.36</v>
      </c>
    </row>
    <row r="1154" spans="1:17" x14ac:dyDescent="0.2">
      <c r="C1154" s="242"/>
      <c r="D1154" s="290"/>
      <c r="E1154" s="473"/>
      <c r="F1154" s="473"/>
      <c r="G1154" s="473"/>
      <c r="H1154" s="473"/>
      <c r="I1154" s="473"/>
      <c r="J1154" s="473"/>
      <c r="K1154" s="473"/>
      <c r="L1154" s="466"/>
      <c r="M1154" s="466"/>
      <c r="N1154" s="466"/>
      <c r="O1154" s="466"/>
      <c r="P1154" s="466"/>
      <c r="Q1154" s="491"/>
    </row>
    <row r="1155" spans="1:17" x14ac:dyDescent="0.2">
      <c r="A1155" s="224">
        <f>A1153+1</f>
        <v>9</v>
      </c>
      <c r="C1155" s="221" t="s">
        <v>151</v>
      </c>
      <c r="D1155" s="794">
        <v>0</v>
      </c>
      <c r="E1155" s="517">
        <v>0</v>
      </c>
      <c r="F1155" s="517">
        <v>0</v>
      </c>
      <c r="G1155" s="517">
        <v>0</v>
      </c>
      <c r="H1155" s="517">
        <v>0</v>
      </c>
      <c r="I1155" s="517">
        <v>0</v>
      </c>
      <c r="J1155" s="517">
        <v>0</v>
      </c>
      <c r="K1155" s="517">
        <v>0</v>
      </c>
      <c r="L1155" s="517">
        <v>0</v>
      </c>
      <c r="M1155" s="517">
        <v>0</v>
      </c>
      <c r="N1155" s="517">
        <v>0</v>
      </c>
      <c r="O1155" s="517">
        <v>0</v>
      </c>
      <c r="P1155" s="517">
        <v>0</v>
      </c>
      <c r="Q1155" s="434">
        <f>SUM(E1155:P1155)</f>
        <v>0</v>
      </c>
    </row>
    <row r="1156" spans="1:17" x14ac:dyDescent="0.2">
      <c r="D1156" s="290"/>
      <c r="E1156" s="473"/>
      <c r="F1156" s="473"/>
      <c r="G1156" s="473"/>
      <c r="H1156" s="473"/>
      <c r="I1156" s="473"/>
      <c r="J1156" s="473"/>
      <c r="K1156" s="473"/>
      <c r="L1156" s="473"/>
      <c r="M1156" s="473"/>
      <c r="N1156" s="473"/>
      <c r="O1156" s="473"/>
      <c r="P1156" s="473"/>
      <c r="Q1156" s="466"/>
    </row>
    <row r="1157" spans="1:17" ht="10.8" thickBot="1" x14ac:dyDescent="0.25">
      <c r="A1157" s="495">
        <f>A1155+1</f>
        <v>10</v>
      </c>
      <c r="B1157" s="496"/>
      <c r="C1157" s="496" t="s">
        <v>205</v>
      </c>
      <c r="D1157" s="497"/>
      <c r="E1157" s="499">
        <f t="shared" ref="E1157:O1157" si="345">E1153+E1155</f>
        <v>36094.82</v>
      </c>
      <c r="F1157" s="499">
        <f t="shared" si="345"/>
        <v>32486.59</v>
      </c>
      <c r="G1157" s="499">
        <f t="shared" si="345"/>
        <v>34836.129999999997</v>
      </c>
      <c r="H1157" s="499">
        <f t="shared" si="345"/>
        <v>33493.54</v>
      </c>
      <c r="I1157" s="499">
        <f t="shared" si="345"/>
        <v>34416.57</v>
      </c>
      <c r="J1157" s="499">
        <f t="shared" si="345"/>
        <v>33493.54</v>
      </c>
      <c r="K1157" s="499">
        <f t="shared" si="345"/>
        <v>34416.57</v>
      </c>
      <c r="L1157" s="499">
        <f t="shared" si="345"/>
        <v>34416.57</v>
      </c>
      <c r="M1157" s="499">
        <f t="shared" si="345"/>
        <v>33493.54</v>
      </c>
      <c r="N1157" s="499">
        <f t="shared" si="345"/>
        <v>34836.129999999997</v>
      </c>
      <c r="O1157" s="499">
        <f t="shared" si="345"/>
        <v>34332.659999999996</v>
      </c>
      <c r="P1157" s="499">
        <f>P1153+P1155</f>
        <v>35255.699999999997</v>
      </c>
      <c r="Q1157" s="499">
        <f>SUM(E1157:P1157)</f>
        <v>411572.36</v>
      </c>
    </row>
    <row r="1158" spans="1:17" ht="10.8" thickTop="1" x14ac:dyDescent="0.2">
      <c r="Q1158" s="419"/>
    </row>
    <row r="1159" spans="1:17" x14ac:dyDescent="0.2">
      <c r="Q1159" s="419"/>
    </row>
    <row r="1160" spans="1:17" x14ac:dyDescent="0.2">
      <c r="A1160" s="224">
        <f>A1157+1</f>
        <v>11</v>
      </c>
      <c r="B1160" s="221" t="str">
        <f>B324</f>
        <v>FX7</v>
      </c>
      <c r="C1160" s="221" t="str">
        <f>C324</f>
        <v>GTS Flex Rate - Industrial</v>
      </c>
    </row>
    <row r="1162" spans="1:17" x14ac:dyDescent="0.2">
      <c r="A1162" s="224">
        <f>A1160+1</f>
        <v>12</v>
      </c>
      <c r="C1162" s="225" t="s">
        <v>112</v>
      </c>
    </row>
    <row r="1163" spans="1:17" x14ac:dyDescent="0.2">
      <c r="C1163" s="225"/>
    </row>
    <row r="1164" spans="1:17" x14ac:dyDescent="0.2">
      <c r="A1164" s="224">
        <f>A1162+1</f>
        <v>13</v>
      </c>
      <c r="C1164" s="221" t="s">
        <v>202</v>
      </c>
      <c r="E1164" s="479">
        <f>B!D246</f>
        <v>1</v>
      </c>
      <c r="F1164" s="479">
        <f>B!E246</f>
        <v>1</v>
      </c>
      <c r="G1164" s="479">
        <f>B!F246</f>
        <v>1</v>
      </c>
      <c r="H1164" s="479">
        <f>B!G246</f>
        <v>1</v>
      </c>
      <c r="I1164" s="479">
        <f>B!H246</f>
        <v>1</v>
      </c>
      <c r="J1164" s="479">
        <f>B!I246</f>
        <v>1</v>
      </c>
      <c r="K1164" s="479">
        <f>B!J246</f>
        <v>1</v>
      </c>
      <c r="L1164" s="479">
        <f>B!K246</f>
        <v>1</v>
      </c>
      <c r="M1164" s="479">
        <f>B!L246</f>
        <v>1</v>
      </c>
      <c r="N1164" s="479">
        <f>B!M246</f>
        <v>1</v>
      </c>
      <c r="O1164" s="479">
        <f>B!N246</f>
        <v>1</v>
      </c>
      <c r="P1164" s="479">
        <f>B!O246</f>
        <v>1</v>
      </c>
      <c r="Q1164" s="480">
        <f>SUM(E1164:P1164)</f>
        <v>12</v>
      </c>
    </row>
    <row r="1165" spans="1:17" x14ac:dyDescent="0.2">
      <c r="A1165" s="224">
        <f>A1164+1</f>
        <v>14</v>
      </c>
      <c r="C1165" s="221" t="s">
        <v>210</v>
      </c>
      <c r="D1165" s="792">
        <f>Input!H52</f>
        <v>1007.05</v>
      </c>
      <c r="E1165" s="434">
        <f t="shared" ref="E1165:P1165" si="346">ROUND(E1164*$D$1165,2)</f>
        <v>1007.05</v>
      </c>
      <c r="F1165" s="434">
        <f t="shared" si="346"/>
        <v>1007.05</v>
      </c>
      <c r="G1165" s="434">
        <f t="shared" si="346"/>
        <v>1007.05</v>
      </c>
      <c r="H1165" s="434">
        <f t="shared" si="346"/>
        <v>1007.05</v>
      </c>
      <c r="I1165" s="434">
        <f t="shared" si="346"/>
        <v>1007.05</v>
      </c>
      <c r="J1165" s="434">
        <f t="shared" si="346"/>
        <v>1007.05</v>
      </c>
      <c r="K1165" s="434">
        <f t="shared" si="346"/>
        <v>1007.05</v>
      </c>
      <c r="L1165" s="434">
        <f t="shared" si="346"/>
        <v>1007.05</v>
      </c>
      <c r="M1165" s="434">
        <f t="shared" si="346"/>
        <v>1007.05</v>
      </c>
      <c r="N1165" s="434">
        <f t="shared" si="346"/>
        <v>1007.05</v>
      </c>
      <c r="O1165" s="434">
        <f t="shared" si="346"/>
        <v>1007.05</v>
      </c>
      <c r="P1165" s="434">
        <f t="shared" si="346"/>
        <v>1007.05</v>
      </c>
      <c r="Q1165" s="434">
        <f>SUM(E1165:P1165)</f>
        <v>12084.599999999999</v>
      </c>
    </row>
    <row r="1166" spans="1:17" x14ac:dyDescent="0.2">
      <c r="A1166" s="224">
        <f>A1165+1</f>
        <v>15</v>
      </c>
      <c r="C1166" s="221" t="s">
        <v>217</v>
      </c>
      <c r="D1166" s="792">
        <f>Input!I52</f>
        <v>55.9</v>
      </c>
      <c r="E1166" s="434">
        <f t="shared" ref="E1166:P1166" si="347">ROUND(E1164*$D$1166,2)</f>
        <v>55.9</v>
      </c>
      <c r="F1166" s="434">
        <f t="shared" si="347"/>
        <v>55.9</v>
      </c>
      <c r="G1166" s="434">
        <f t="shared" si="347"/>
        <v>55.9</v>
      </c>
      <c r="H1166" s="434">
        <f t="shared" si="347"/>
        <v>55.9</v>
      </c>
      <c r="I1166" s="434">
        <f t="shared" si="347"/>
        <v>55.9</v>
      </c>
      <c r="J1166" s="434">
        <f t="shared" si="347"/>
        <v>55.9</v>
      </c>
      <c r="K1166" s="434">
        <f t="shared" si="347"/>
        <v>55.9</v>
      </c>
      <c r="L1166" s="434">
        <f t="shared" si="347"/>
        <v>55.9</v>
      </c>
      <c r="M1166" s="434">
        <f t="shared" si="347"/>
        <v>55.9</v>
      </c>
      <c r="N1166" s="434">
        <f t="shared" si="347"/>
        <v>55.9</v>
      </c>
      <c r="O1166" s="434">
        <f t="shared" si="347"/>
        <v>55.9</v>
      </c>
      <c r="P1166" s="434">
        <f t="shared" si="347"/>
        <v>55.9</v>
      </c>
      <c r="Q1166" s="434">
        <f>SUM(E1166:P1166)</f>
        <v>670.79999999999984</v>
      </c>
    </row>
    <row r="1167" spans="1:17" x14ac:dyDescent="0.2">
      <c r="D1167" s="290"/>
      <c r="E1167" s="224"/>
      <c r="F1167" s="292"/>
      <c r="G1167" s="476"/>
      <c r="H1167" s="292"/>
      <c r="I1167" s="297"/>
      <c r="J1167" s="514"/>
      <c r="K1167" s="292"/>
      <c r="L1167" s="292"/>
      <c r="M1167" s="292"/>
    </row>
    <row r="1168" spans="1:17" x14ac:dyDescent="0.2">
      <c r="A1168" s="224">
        <f>A1166+1</f>
        <v>16</v>
      </c>
      <c r="C1168" s="221" t="s">
        <v>209</v>
      </c>
      <c r="D1168" s="290"/>
      <c r="E1168" s="521"/>
      <c r="F1168" s="292"/>
      <c r="G1168" s="476"/>
      <c r="H1168" s="292"/>
      <c r="I1168" s="297"/>
      <c r="J1168" s="514"/>
      <c r="K1168" s="292"/>
      <c r="L1168" s="292"/>
      <c r="M1168" s="292"/>
    </row>
    <row r="1169" spans="1:17" x14ac:dyDescent="0.2">
      <c r="A1169" s="224">
        <f>A1168+1</f>
        <v>17</v>
      </c>
      <c r="C1169" s="242" t="str">
        <f>'C'!B357</f>
        <v xml:space="preserve">    First 25,000 Mcf</v>
      </c>
      <c r="D1169" s="793"/>
      <c r="E1169" s="297">
        <f>'C'!D365</f>
        <v>25000</v>
      </c>
      <c r="F1169" s="297">
        <f>'C'!E365</f>
        <v>25000</v>
      </c>
      <c r="G1169" s="297">
        <f>'C'!F365</f>
        <v>25000</v>
      </c>
      <c r="H1169" s="297">
        <f>'C'!G365</f>
        <v>25000</v>
      </c>
      <c r="I1169" s="297">
        <f>'C'!H365</f>
        <v>25000</v>
      </c>
      <c r="J1169" s="297">
        <f>'C'!I365</f>
        <v>25000</v>
      </c>
      <c r="K1169" s="297">
        <f>'C'!J365</f>
        <v>25000</v>
      </c>
      <c r="L1169" s="297">
        <f>'C'!K365</f>
        <v>25000</v>
      </c>
      <c r="M1169" s="297">
        <f>'C'!L365</f>
        <v>25000</v>
      </c>
      <c r="N1169" s="297">
        <f>'C'!M365</f>
        <v>25000</v>
      </c>
      <c r="O1169" s="297">
        <f>'C'!N365</f>
        <v>25000</v>
      </c>
      <c r="P1169" s="297">
        <f>'C'!O365</f>
        <v>25000</v>
      </c>
      <c r="Q1169" s="247">
        <f>SUM(E1169:P1169)</f>
        <v>300000</v>
      </c>
    </row>
    <row r="1170" spans="1:17" x14ac:dyDescent="0.2">
      <c r="A1170" s="224">
        <f>A1169+1</f>
        <v>18</v>
      </c>
      <c r="C1170" s="242" t="str">
        <f>'C'!B358</f>
        <v xml:space="preserve">    Over 25,000 Mcf</v>
      </c>
      <c r="D1170" s="224"/>
      <c r="E1170" s="522">
        <f>'C'!D366</f>
        <v>18107</v>
      </c>
      <c r="F1170" s="522">
        <f>'C'!E366</f>
        <v>808</v>
      </c>
      <c r="G1170" s="522">
        <f>'C'!F366</f>
        <v>4340</v>
      </c>
      <c r="H1170" s="522">
        <f>'C'!G366</f>
        <v>4340</v>
      </c>
      <c r="I1170" s="522">
        <f>'C'!H366</f>
        <v>4340</v>
      </c>
      <c r="J1170" s="522">
        <f>'C'!I366</f>
        <v>4340</v>
      </c>
      <c r="K1170" s="522">
        <f>'C'!J366</f>
        <v>4340</v>
      </c>
      <c r="L1170" s="522">
        <f>'C'!K366</f>
        <v>4340</v>
      </c>
      <c r="M1170" s="522">
        <f>'C'!L366</f>
        <v>19010</v>
      </c>
      <c r="N1170" s="522">
        <f>'C'!M366</f>
        <v>19010</v>
      </c>
      <c r="O1170" s="522">
        <f>'C'!N366</f>
        <v>13685</v>
      </c>
      <c r="P1170" s="522">
        <f>'C'!O366</f>
        <v>14099</v>
      </c>
      <c r="Q1170" s="471">
        <f>SUM(E1170:P1170)</f>
        <v>110759</v>
      </c>
    </row>
    <row r="1171" spans="1:17" x14ac:dyDescent="0.2">
      <c r="C1171" s="242"/>
      <c r="D1171" s="299"/>
      <c r="E1171" s="297">
        <f t="shared" ref="E1171:O1171" si="348">SUM(E1169:E1170)</f>
        <v>43107</v>
      </c>
      <c r="F1171" s="297">
        <f t="shared" si="348"/>
        <v>25808</v>
      </c>
      <c r="G1171" s="297">
        <f t="shared" si="348"/>
        <v>29340</v>
      </c>
      <c r="H1171" s="297">
        <f t="shared" si="348"/>
        <v>29340</v>
      </c>
      <c r="I1171" s="297">
        <f t="shared" si="348"/>
        <v>29340</v>
      </c>
      <c r="J1171" s="297">
        <f t="shared" si="348"/>
        <v>29340</v>
      </c>
      <c r="K1171" s="297">
        <f t="shared" si="348"/>
        <v>29340</v>
      </c>
      <c r="L1171" s="297">
        <f t="shared" si="348"/>
        <v>29340</v>
      </c>
      <c r="M1171" s="297">
        <f t="shared" si="348"/>
        <v>44010</v>
      </c>
      <c r="N1171" s="297">
        <f t="shared" si="348"/>
        <v>44010</v>
      </c>
      <c r="O1171" s="297">
        <f t="shared" si="348"/>
        <v>38685</v>
      </c>
      <c r="P1171" s="297">
        <f>SUM(P1169:P1170)</f>
        <v>39099</v>
      </c>
      <c r="Q1171" s="247">
        <f>SUM(E1171:P1171)</f>
        <v>410759</v>
      </c>
    </row>
    <row r="1172" spans="1:17" x14ac:dyDescent="0.2">
      <c r="A1172" s="224">
        <f>A1170+1</f>
        <v>19</v>
      </c>
      <c r="C1172" s="242" t="s">
        <v>207</v>
      </c>
      <c r="D1172" s="519"/>
      <c r="E1172" s="299"/>
      <c r="F1172" s="542"/>
      <c r="G1172" s="543"/>
      <c r="H1172" s="542"/>
      <c r="I1172" s="522"/>
      <c r="J1172" s="544"/>
      <c r="K1172" s="542"/>
      <c r="L1172" s="542"/>
      <c r="M1172" s="542"/>
      <c r="N1172" s="470"/>
      <c r="O1172" s="470"/>
      <c r="P1172" s="470"/>
      <c r="Q1172" s="419"/>
    </row>
    <row r="1173" spans="1:17" x14ac:dyDescent="0.2">
      <c r="A1173" s="224">
        <f>A1172+1</f>
        <v>20</v>
      </c>
      <c r="C1173" s="242" t="str">
        <f>C1169</f>
        <v xml:space="preserve">    First 25,000 Mcf</v>
      </c>
      <c r="D1173" s="793">
        <f>Input!C52</f>
        <v>0.49</v>
      </c>
      <c r="E1173" s="434">
        <f t="shared" ref="E1173:P1173" si="349">ROUND(E1169*$D$1173,2)</f>
        <v>12250</v>
      </c>
      <c r="F1173" s="434">
        <f t="shared" si="349"/>
        <v>12250</v>
      </c>
      <c r="G1173" s="434">
        <f t="shared" si="349"/>
        <v>12250</v>
      </c>
      <c r="H1173" s="434">
        <f t="shared" si="349"/>
        <v>12250</v>
      </c>
      <c r="I1173" s="434">
        <f t="shared" si="349"/>
        <v>12250</v>
      </c>
      <c r="J1173" s="434">
        <f t="shared" si="349"/>
        <v>12250</v>
      </c>
      <c r="K1173" s="434">
        <f t="shared" si="349"/>
        <v>12250</v>
      </c>
      <c r="L1173" s="434">
        <f t="shared" si="349"/>
        <v>12250</v>
      </c>
      <c r="M1173" s="434">
        <f t="shared" si="349"/>
        <v>12250</v>
      </c>
      <c r="N1173" s="434">
        <f t="shared" si="349"/>
        <v>12250</v>
      </c>
      <c r="O1173" s="434">
        <f t="shared" si="349"/>
        <v>12250</v>
      </c>
      <c r="P1173" s="434">
        <f t="shared" si="349"/>
        <v>12250</v>
      </c>
      <c r="Q1173" s="434">
        <f>SUM(E1173:P1173)</f>
        <v>147000</v>
      </c>
    </row>
    <row r="1174" spans="1:17" x14ac:dyDescent="0.2">
      <c r="A1174" s="224">
        <f>A1173+1</f>
        <v>21</v>
      </c>
      <c r="C1174" s="242" t="str">
        <f>C1170</f>
        <v xml:space="preserve">    Over 25,000 Mcf</v>
      </c>
      <c r="D1174" s="793">
        <f>Input!D52</f>
        <v>0.27</v>
      </c>
      <c r="E1174" s="277">
        <f t="shared" ref="E1174:P1174" si="350">ROUND(E1170*$D$1174,2)</f>
        <v>4888.8900000000003</v>
      </c>
      <c r="F1174" s="277">
        <f t="shared" si="350"/>
        <v>218.16</v>
      </c>
      <c r="G1174" s="277">
        <f t="shared" si="350"/>
        <v>1171.8</v>
      </c>
      <c r="H1174" s="277">
        <f t="shared" si="350"/>
        <v>1171.8</v>
      </c>
      <c r="I1174" s="277">
        <f t="shared" si="350"/>
        <v>1171.8</v>
      </c>
      <c r="J1174" s="277">
        <f t="shared" si="350"/>
        <v>1171.8</v>
      </c>
      <c r="K1174" s="277">
        <f t="shared" si="350"/>
        <v>1171.8</v>
      </c>
      <c r="L1174" s="277">
        <f t="shared" si="350"/>
        <v>1171.8</v>
      </c>
      <c r="M1174" s="277">
        <f t="shared" si="350"/>
        <v>5132.7</v>
      </c>
      <c r="N1174" s="277">
        <f t="shared" si="350"/>
        <v>5132.7</v>
      </c>
      <c r="O1174" s="277">
        <f t="shared" si="350"/>
        <v>3694.95</v>
      </c>
      <c r="P1174" s="277">
        <f t="shared" si="350"/>
        <v>3806.73</v>
      </c>
      <c r="Q1174" s="438">
        <f>SUM(E1174:P1174)</f>
        <v>29904.93</v>
      </c>
    </row>
    <row r="1175" spans="1:17" x14ac:dyDescent="0.2">
      <c r="C1175" s="242"/>
      <c r="D1175" s="519"/>
      <c r="E1175" s="434">
        <f t="shared" ref="E1175:O1175" si="351">SUM(E1173:E1174)</f>
        <v>17138.89</v>
      </c>
      <c r="F1175" s="434">
        <f t="shared" si="351"/>
        <v>12468.16</v>
      </c>
      <c r="G1175" s="434">
        <f t="shared" si="351"/>
        <v>13421.8</v>
      </c>
      <c r="H1175" s="434">
        <f t="shared" si="351"/>
        <v>13421.8</v>
      </c>
      <c r="I1175" s="434">
        <f t="shared" si="351"/>
        <v>13421.8</v>
      </c>
      <c r="J1175" s="434">
        <f t="shared" si="351"/>
        <v>13421.8</v>
      </c>
      <c r="K1175" s="434">
        <f t="shared" si="351"/>
        <v>13421.8</v>
      </c>
      <c r="L1175" s="434">
        <f t="shared" si="351"/>
        <v>13421.8</v>
      </c>
      <c r="M1175" s="434">
        <f t="shared" si="351"/>
        <v>17382.7</v>
      </c>
      <c r="N1175" s="434">
        <f t="shared" si="351"/>
        <v>17382.7</v>
      </c>
      <c r="O1175" s="434">
        <f t="shared" si="351"/>
        <v>15944.95</v>
      </c>
      <c r="P1175" s="434">
        <f>SUM(P1173:P1174)</f>
        <v>16056.73</v>
      </c>
      <c r="Q1175" s="434">
        <f>SUM(E1175:P1175)</f>
        <v>176904.93000000002</v>
      </c>
    </row>
    <row r="1176" spans="1:17" x14ac:dyDescent="0.2">
      <c r="C1176" s="242"/>
      <c r="D1176" s="519"/>
      <c r="E1176" s="473"/>
      <c r="F1176" s="545"/>
      <c r="G1176" s="545"/>
      <c r="H1176" s="545"/>
      <c r="I1176" s="545"/>
      <c r="J1176" s="540"/>
      <c r="K1176" s="545"/>
      <c r="L1176" s="545"/>
      <c r="M1176" s="545"/>
      <c r="N1176" s="491"/>
      <c r="O1176" s="491"/>
      <c r="P1176" s="491"/>
      <c r="Q1176" s="466"/>
    </row>
    <row r="1177" spans="1:17" x14ac:dyDescent="0.2">
      <c r="A1177" s="224">
        <f>A1174+1</f>
        <v>22</v>
      </c>
      <c r="C1177" s="242" t="s">
        <v>204</v>
      </c>
      <c r="D1177" s="519"/>
      <c r="E1177" s="434">
        <f t="shared" ref="E1177:O1177" si="352">E1165+E1166+E1175</f>
        <v>18201.84</v>
      </c>
      <c r="F1177" s="434">
        <f t="shared" si="352"/>
        <v>13531.11</v>
      </c>
      <c r="G1177" s="434">
        <f t="shared" si="352"/>
        <v>14484.75</v>
      </c>
      <c r="H1177" s="434">
        <f t="shared" si="352"/>
        <v>14484.75</v>
      </c>
      <c r="I1177" s="434">
        <f t="shared" si="352"/>
        <v>14484.75</v>
      </c>
      <c r="J1177" s="434">
        <f t="shared" si="352"/>
        <v>14484.75</v>
      </c>
      <c r="K1177" s="434">
        <f t="shared" si="352"/>
        <v>14484.75</v>
      </c>
      <c r="L1177" s="434">
        <f t="shared" si="352"/>
        <v>14484.75</v>
      </c>
      <c r="M1177" s="434">
        <f t="shared" si="352"/>
        <v>18445.650000000001</v>
      </c>
      <c r="N1177" s="434">
        <f t="shared" si="352"/>
        <v>18445.650000000001</v>
      </c>
      <c r="O1177" s="434">
        <f t="shared" si="352"/>
        <v>17007.900000000001</v>
      </c>
      <c r="P1177" s="434">
        <f>P1165+P1166+P1175</f>
        <v>17119.68</v>
      </c>
      <c r="Q1177" s="434">
        <f>SUM(E1177:P1177)</f>
        <v>189660.33</v>
      </c>
    </row>
    <row r="1178" spans="1:17" x14ac:dyDescent="0.2">
      <c r="C1178" s="242"/>
      <c r="D1178" s="224"/>
      <c r="E1178" s="473"/>
      <c r="F1178" s="545"/>
      <c r="G1178" s="545"/>
      <c r="H1178" s="545"/>
      <c r="I1178" s="545"/>
      <c r="J1178" s="540"/>
      <c r="K1178" s="545"/>
      <c r="L1178" s="545"/>
      <c r="M1178" s="545"/>
      <c r="N1178" s="491"/>
      <c r="O1178" s="491"/>
      <c r="P1178" s="491"/>
      <c r="Q1178" s="466"/>
    </row>
    <row r="1179" spans="1:17" x14ac:dyDescent="0.2">
      <c r="A1179" s="224">
        <f>A1177+1</f>
        <v>23</v>
      </c>
      <c r="C1179" s="221" t="s">
        <v>151</v>
      </c>
      <c r="D1179" s="794">
        <v>0</v>
      </c>
      <c r="E1179" s="517">
        <v>0</v>
      </c>
      <c r="F1179" s="517">
        <v>0</v>
      </c>
      <c r="G1179" s="517">
        <v>0</v>
      </c>
      <c r="H1179" s="517">
        <v>0</v>
      </c>
      <c r="I1179" s="517">
        <v>0</v>
      </c>
      <c r="J1179" s="517">
        <v>0</v>
      </c>
      <c r="K1179" s="517">
        <v>0</v>
      </c>
      <c r="L1179" s="517">
        <v>0</v>
      </c>
      <c r="M1179" s="517">
        <v>0</v>
      </c>
      <c r="N1179" s="517">
        <v>0</v>
      </c>
      <c r="O1179" s="517">
        <v>0</v>
      </c>
      <c r="P1179" s="517">
        <v>0</v>
      </c>
      <c r="Q1179" s="434">
        <f>SUM(E1179:P1179)</f>
        <v>0</v>
      </c>
    </row>
    <row r="1180" spans="1:17" x14ac:dyDescent="0.2">
      <c r="D1180" s="290"/>
      <c r="E1180" s="473"/>
      <c r="F1180" s="473"/>
      <c r="G1180" s="473"/>
      <c r="H1180" s="473"/>
      <c r="I1180" s="473"/>
      <c r="J1180" s="473"/>
      <c r="K1180" s="473"/>
      <c r="L1180" s="473"/>
      <c r="M1180" s="473"/>
      <c r="N1180" s="473"/>
      <c r="O1180" s="473"/>
      <c r="P1180" s="473"/>
      <c r="Q1180" s="466"/>
    </row>
    <row r="1181" spans="1:17" ht="10.8" thickBot="1" x14ac:dyDescent="0.25">
      <c r="A1181" s="495">
        <f>A1179+1</f>
        <v>24</v>
      </c>
      <c r="B1181" s="496"/>
      <c r="C1181" s="496" t="s">
        <v>205</v>
      </c>
      <c r="D1181" s="497"/>
      <c r="E1181" s="499">
        <f t="shared" ref="E1181:O1181" si="353">E1177+E1179</f>
        <v>18201.84</v>
      </c>
      <c r="F1181" s="499">
        <f t="shared" si="353"/>
        <v>13531.11</v>
      </c>
      <c r="G1181" s="499">
        <f t="shared" si="353"/>
        <v>14484.75</v>
      </c>
      <c r="H1181" s="499">
        <f t="shared" si="353"/>
        <v>14484.75</v>
      </c>
      <c r="I1181" s="499">
        <f t="shared" si="353"/>
        <v>14484.75</v>
      </c>
      <c r="J1181" s="499">
        <f t="shared" si="353"/>
        <v>14484.75</v>
      </c>
      <c r="K1181" s="499">
        <f t="shared" si="353"/>
        <v>14484.75</v>
      </c>
      <c r="L1181" s="499">
        <f t="shared" si="353"/>
        <v>14484.75</v>
      </c>
      <c r="M1181" s="499">
        <f t="shared" si="353"/>
        <v>18445.650000000001</v>
      </c>
      <c r="N1181" s="499">
        <f t="shared" si="353"/>
        <v>18445.650000000001</v>
      </c>
      <c r="O1181" s="499">
        <f t="shared" si="353"/>
        <v>17007.900000000001</v>
      </c>
      <c r="P1181" s="499">
        <f>P1177+P1179</f>
        <v>17119.68</v>
      </c>
      <c r="Q1181" s="499">
        <f>SUM(E1181:P1181)</f>
        <v>189660.33</v>
      </c>
    </row>
    <row r="1182" spans="1:17" ht="10.8" thickTop="1" x14ac:dyDescent="0.2">
      <c r="C1182" s="305"/>
      <c r="E1182" s="224"/>
      <c r="F1182" s="292"/>
      <c r="G1182" s="476"/>
      <c r="H1182" s="292"/>
      <c r="I1182" s="297"/>
      <c r="J1182" s="292"/>
      <c r="K1182" s="292"/>
      <c r="L1182" s="292"/>
      <c r="M1182" s="292"/>
      <c r="Q1182" s="419"/>
    </row>
    <row r="1184" spans="1:17" x14ac:dyDescent="0.2">
      <c r="A1184" s="224" t="str">
        <f>$A$270</f>
        <v>[1] Reflects Normalized Volumes.</v>
      </c>
    </row>
    <row r="1185" spans="1:17" x14ac:dyDescent="0.2">
      <c r="A1185" s="887" t="str">
        <f>CONAME</f>
        <v>Columbia Gas of Kentucky, Inc.</v>
      </c>
      <c r="B1185" s="887"/>
      <c r="C1185" s="887"/>
      <c r="D1185" s="887"/>
      <c r="E1185" s="887"/>
      <c r="F1185" s="887"/>
      <c r="G1185" s="887"/>
      <c r="H1185" s="887"/>
      <c r="I1185" s="887"/>
      <c r="J1185" s="887"/>
      <c r="K1185" s="887"/>
      <c r="L1185" s="887"/>
      <c r="M1185" s="887"/>
      <c r="N1185" s="887"/>
      <c r="O1185" s="887"/>
      <c r="P1185" s="887"/>
      <c r="Q1185" s="887"/>
    </row>
    <row r="1186" spans="1:17" x14ac:dyDescent="0.2">
      <c r="A1186" s="875" t="str">
        <f>case</f>
        <v>Case No. 2016-00162</v>
      </c>
      <c r="B1186" s="875"/>
      <c r="C1186" s="875"/>
      <c r="D1186" s="875"/>
      <c r="E1186" s="875"/>
      <c r="F1186" s="875"/>
      <c r="G1186" s="875"/>
      <c r="H1186" s="875"/>
      <c r="I1186" s="875"/>
      <c r="J1186" s="875"/>
      <c r="K1186" s="875"/>
      <c r="L1186" s="875"/>
      <c r="M1186" s="875"/>
      <c r="N1186" s="875"/>
      <c r="O1186" s="875"/>
      <c r="P1186" s="875"/>
      <c r="Q1186" s="875"/>
    </row>
    <row r="1187" spans="1:17" x14ac:dyDescent="0.2">
      <c r="A1187" s="888" t="s">
        <v>503</v>
      </c>
      <c r="B1187" s="888"/>
      <c r="C1187" s="888"/>
      <c r="D1187" s="888"/>
      <c r="E1187" s="888"/>
      <c r="F1187" s="888"/>
      <c r="G1187" s="888"/>
      <c r="H1187" s="888"/>
      <c r="I1187" s="888"/>
      <c r="J1187" s="888"/>
      <c r="K1187" s="888"/>
      <c r="L1187" s="888"/>
      <c r="M1187" s="888"/>
      <c r="N1187" s="888"/>
      <c r="O1187" s="888"/>
      <c r="P1187" s="888"/>
      <c r="Q1187" s="888"/>
    </row>
    <row r="1188" spans="1:17" x14ac:dyDescent="0.2">
      <c r="A1188" s="887" t="str">
        <f>TYDESC</f>
        <v>For the 12 Months Ended December 31, 2017</v>
      </c>
      <c r="B1188" s="887"/>
      <c r="C1188" s="887"/>
      <c r="D1188" s="887"/>
      <c r="E1188" s="887"/>
      <c r="F1188" s="887"/>
      <c r="G1188" s="887"/>
      <c r="H1188" s="887"/>
      <c r="I1188" s="887"/>
      <c r="J1188" s="887"/>
      <c r="K1188" s="887"/>
      <c r="L1188" s="887"/>
      <c r="M1188" s="887"/>
      <c r="N1188" s="887"/>
      <c r="O1188" s="887"/>
      <c r="P1188" s="887"/>
      <c r="Q1188" s="887"/>
    </row>
    <row r="1189" spans="1:17" x14ac:dyDescent="0.2">
      <c r="A1189" s="885" t="s">
        <v>39</v>
      </c>
      <c r="B1189" s="885"/>
      <c r="C1189" s="885"/>
      <c r="D1189" s="885"/>
      <c r="E1189" s="885"/>
      <c r="F1189" s="885"/>
      <c r="G1189" s="885"/>
      <c r="H1189" s="885"/>
      <c r="I1189" s="885"/>
      <c r="J1189" s="885"/>
      <c r="K1189" s="885"/>
      <c r="L1189" s="885"/>
      <c r="M1189" s="885"/>
      <c r="N1189" s="885"/>
      <c r="O1189" s="885"/>
      <c r="P1189" s="885"/>
      <c r="Q1189" s="885"/>
    </row>
    <row r="1190" spans="1:17" x14ac:dyDescent="0.2">
      <c r="A1190" s="266" t="str">
        <f>$A$52</f>
        <v>Data: __ Base Period _X_ Forecasted Period</v>
      </c>
    </row>
    <row r="1191" spans="1:17" x14ac:dyDescent="0.2">
      <c r="A1191" s="266" t="str">
        <f>$A$53</f>
        <v>Type of Filing: X Original _ Update _ Revised</v>
      </c>
      <c r="Q1191" s="420" t="str">
        <f>$Q$53</f>
        <v>Schedule M-2.2</v>
      </c>
    </row>
    <row r="1192" spans="1:17" x14ac:dyDescent="0.2">
      <c r="A1192" s="266" t="str">
        <f>$A$54</f>
        <v>Work Paper Reference No(s):</v>
      </c>
      <c r="Q1192" s="420" t="s">
        <v>517</v>
      </c>
    </row>
    <row r="1193" spans="1:17" x14ac:dyDescent="0.2">
      <c r="A1193" s="421" t="str">
        <f>$A$55</f>
        <v>12 Months Forecasted</v>
      </c>
      <c r="Q1193" s="420" t="str">
        <f>Witness</f>
        <v>Witness:  M. J. Bell</v>
      </c>
    </row>
    <row r="1194" spans="1:17" x14ac:dyDescent="0.2">
      <c r="A1194" s="886" t="s">
        <v>194</v>
      </c>
      <c r="B1194" s="886"/>
      <c r="C1194" s="886"/>
      <c r="D1194" s="886"/>
      <c r="E1194" s="886"/>
      <c r="F1194" s="886"/>
      <c r="G1194" s="886"/>
      <c r="H1194" s="886"/>
      <c r="I1194" s="886"/>
      <c r="J1194" s="886"/>
      <c r="K1194" s="886"/>
      <c r="L1194" s="886"/>
      <c r="M1194" s="886"/>
      <c r="N1194" s="886"/>
      <c r="O1194" s="886"/>
      <c r="P1194" s="886"/>
      <c r="Q1194" s="886"/>
    </row>
    <row r="1195" spans="1:17" x14ac:dyDescent="0.2">
      <c r="A1195" s="440"/>
      <c r="B1195" s="305"/>
      <c r="C1195" s="305"/>
      <c r="D1195" s="304"/>
      <c r="E1195" s="305"/>
      <c r="F1195" s="422"/>
      <c r="G1195" s="442"/>
      <c r="H1195" s="422"/>
      <c r="I1195" s="443"/>
      <c r="J1195" s="422"/>
      <c r="K1195" s="422"/>
      <c r="L1195" s="422"/>
      <c r="M1195" s="422"/>
      <c r="N1195" s="422"/>
      <c r="O1195" s="422"/>
      <c r="P1195" s="422"/>
      <c r="Q1195" s="305"/>
    </row>
    <row r="1196" spans="1:17" x14ac:dyDescent="0.2">
      <c r="A1196" s="416" t="s">
        <v>1</v>
      </c>
      <c r="B1196" s="226" t="s">
        <v>0</v>
      </c>
      <c r="C1196" s="226" t="s">
        <v>41</v>
      </c>
      <c r="D1196" s="423" t="s">
        <v>47</v>
      </c>
      <c r="E1196" s="226"/>
      <c r="F1196" s="424"/>
      <c r="G1196" s="425"/>
      <c r="H1196" s="424"/>
      <c r="I1196" s="426"/>
      <c r="J1196" s="424"/>
      <c r="K1196" s="424"/>
      <c r="L1196" s="424"/>
      <c r="M1196" s="424"/>
      <c r="N1196" s="424"/>
      <c r="O1196" s="424"/>
      <c r="P1196" s="424"/>
      <c r="Q1196" s="231"/>
    </row>
    <row r="1197" spans="1:17" x14ac:dyDescent="0.2">
      <c r="A1197" s="285" t="s">
        <v>3</v>
      </c>
      <c r="B1197" s="228" t="s">
        <v>40</v>
      </c>
      <c r="C1197" s="228" t="s">
        <v>4</v>
      </c>
      <c r="D1197" s="427" t="s">
        <v>48</v>
      </c>
      <c r="E1197" s="428" t="str">
        <f>B!$D$11</f>
        <v>Jan-17</v>
      </c>
      <c r="F1197" s="428" t="str">
        <f>B!$E$11</f>
        <v>Feb-17</v>
      </c>
      <c r="G1197" s="428" t="str">
        <f>B!$F$11</f>
        <v>Mar-17</v>
      </c>
      <c r="H1197" s="428" t="str">
        <f>B!$G$11</f>
        <v>Apr-17</v>
      </c>
      <c r="I1197" s="428" t="str">
        <f>B!$H$11</f>
        <v>May-17</v>
      </c>
      <c r="J1197" s="428" t="str">
        <f>B!$I$11</f>
        <v>Jun-17</v>
      </c>
      <c r="K1197" s="428" t="str">
        <f>B!$J$11</f>
        <v>Jul-17</v>
      </c>
      <c r="L1197" s="428" t="str">
        <f>B!$K$11</f>
        <v>Aug-17</v>
      </c>
      <c r="M1197" s="428" t="str">
        <f>B!$L$11</f>
        <v>Sep-17</v>
      </c>
      <c r="N1197" s="428" t="str">
        <f>B!$M$11</f>
        <v>Oct-17</v>
      </c>
      <c r="O1197" s="428" t="str">
        <f>B!$N$11</f>
        <v>Nov-17</v>
      </c>
      <c r="P1197" s="428" t="str">
        <f>B!$O$11</f>
        <v>Dec-17</v>
      </c>
      <c r="Q1197" s="429" t="s">
        <v>9</v>
      </c>
    </row>
    <row r="1198" spans="1:17" x14ac:dyDescent="0.2">
      <c r="A1198" s="416"/>
      <c r="B1198" s="231" t="s">
        <v>42</v>
      </c>
      <c r="C1198" s="231" t="s">
        <v>43</v>
      </c>
      <c r="D1198" s="430" t="s">
        <v>45</v>
      </c>
      <c r="E1198" s="431" t="s">
        <v>46</v>
      </c>
      <c r="F1198" s="431" t="s">
        <v>49</v>
      </c>
      <c r="G1198" s="431" t="s">
        <v>50</v>
      </c>
      <c r="H1198" s="431" t="s">
        <v>51</v>
      </c>
      <c r="I1198" s="431" t="s">
        <v>52</v>
      </c>
      <c r="J1198" s="431" t="s">
        <v>53</v>
      </c>
      <c r="K1198" s="432" t="s">
        <v>54</v>
      </c>
      <c r="L1198" s="432" t="s">
        <v>55</v>
      </c>
      <c r="M1198" s="432" t="s">
        <v>56</v>
      </c>
      <c r="N1198" s="432" t="s">
        <v>57</v>
      </c>
      <c r="O1198" s="432" t="s">
        <v>58</v>
      </c>
      <c r="P1198" s="432" t="s">
        <v>59</v>
      </c>
      <c r="Q1198" s="432" t="s">
        <v>203</v>
      </c>
    </row>
    <row r="1199" spans="1:17" x14ac:dyDescent="0.2">
      <c r="E1199" s="231"/>
      <c r="F1199" s="432"/>
      <c r="G1199" s="444"/>
      <c r="H1199" s="432"/>
      <c r="I1199" s="431"/>
      <c r="J1199" s="432"/>
      <c r="K1199" s="432"/>
      <c r="L1199" s="432"/>
      <c r="M1199" s="432"/>
      <c r="N1199" s="432"/>
      <c r="O1199" s="432"/>
      <c r="P1199" s="432"/>
      <c r="Q1199" s="231"/>
    </row>
    <row r="1200" spans="1:17" x14ac:dyDescent="0.2">
      <c r="A1200" s="224">
        <v>1</v>
      </c>
      <c r="B1200" s="221" t="str">
        <f>B351</f>
        <v>SAS</v>
      </c>
      <c r="C1200" s="221" t="str">
        <f>C351</f>
        <v>GTS Special Agency Service</v>
      </c>
    </row>
    <row r="1202" spans="1:17" x14ac:dyDescent="0.2">
      <c r="A1202" s="224">
        <f>A1200+1</f>
        <v>2</v>
      </c>
      <c r="C1202" s="225" t="s">
        <v>111</v>
      </c>
    </row>
    <row r="1203" spans="1:17" x14ac:dyDescent="0.2">
      <c r="C1203" s="225"/>
    </row>
    <row r="1204" spans="1:17" x14ac:dyDescent="0.2">
      <c r="A1204" s="224">
        <f>A1202+1</f>
        <v>3</v>
      </c>
      <c r="C1204" s="221" t="s">
        <v>202</v>
      </c>
      <c r="E1204" s="290">
        <f>B!D252</f>
        <v>0</v>
      </c>
      <c r="F1204" s="290">
        <f>B!E252</f>
        <v>0</v>
      </c>
      <c r="G1204" s="290">
        <f>B!F252</f>
        <v>0</v>
      </c>
      <c r="H1204" s="290">
        <f>B!G252</f>
        <v>0</v>
      </c>
      <c r="I1204" s="290">
        <f>B!H252</f>
        <v>0</v>
      </c>
      <c r="J1204" s="290">
        <f>B!I252</f>
        <v>0</v>
      </c>
      <c r="K1204" s="290">
        <f>B!J252</f>
        <v>0</v>
      </c>
      <c r="L1204" s="290">
        <f>B!K252</f>
        <v>0</v>
      </c>
      <c r="M1204" s="290">
        <f>B!L252</f>
        <v>0</v>
      </c>
      <c r="N1204" s="290">
        <f>B!M252</f>
        <v>0</v>
      </c>
      <c r="O1204" s="290">
        <f>B!N252</f>
        <v>0</v>
      </c>
      <c r="P1204" s="290">
        <f>B!O252</f>
        <v>0</v>
      </c>
      <c r="Q1204" s="242">
        <f>SUM(E1204:P1204)</f>
        <v>0</v>
      </c>
    </row>
    <row r="1205" spans="1:17" x14ac:dyDescent="0.2">
      <c r="A1205" s="224">
        <f>A1204+1</f>
        <v>4</v>
      </c>
      <c r="C1205" s="221" t="s">
        <v>210</v>
      </c>
      <c r="D1205" s="792">
        <f>Input!H53</f>
        <v>1007.05</v>
      </c>
      <c r="E1205" s="434">
        <f t="shared" ref="E1205:P1205" si="354">ROUND(E1204*$D$1205,2)</f>
        <v>0</v>
      </c>
      <c r="F1205" s="434">
        <f t="shared" si="354"/>
        <v>0</v>
      </c>
      <c r="G1205" s="434">
        <f t="shared" si="354"/>
        <v>0</v>
      </c>
      <c r="H1205" s="434">
        <f t="shared" si="354"/>
        <v>0</v>
      </c>
      <c r="I1205" s="434">
        <f t="shared" si="354"/>
        <v>0</v>
      </c>
      <c r="J1205" s="434">
        <f t="shared" si="354"/>
        <v>0</v>
      </c>
      <c r="K1205" s="434">
        <f t="shared" si="354"/>
        <v>0</v>
      </c>
      <c r="L1205" s="434">
        <f t="shared" si="354"/>
        <v>0</v>
      </c>
      <c r="M1205" s="434">
        <f t="shared" si="354"/>
        <v>0</v>
      </c>
      <c r="N1205" s="434">
        <f t="shared" si="354"/>
        <v>0</v>
      </c>
      <c r="O1205" s="434">
        <f t="shared" si="354"/>
        <v>0</v>
      </c>
      <c r="P1205" s="434">
        <f t="shared" si="354"/>
        <v>0</v>
      </c>
      <c r="Q1205" s="434">
        <f>SUM(E1205:P1205)</f>
        <v>0</v>
      </c>
    </row>
    <row r="1206" spans="1:17" x14ac:dyDescent="0.2">
      <c r="A1206" s="224">
        <f>A1205+1</f>
        <v>5</v>
      </c>
      <c r="C1206" s="221" t="s">
        <v>217</v>
      </c>
      <c r="D1206" s="792">
        <f>Input!I53</f>
        <v>55.9</v>
      </c>
      <c r="E1206" s="434">
        <f t="shared" ref="E1206:P1206" si="355">ROUND(E1204*$D$1206,2)</f>
        <v>0</v>
      </c>
      <c r="F1206" s="434">
        <f t="shared" si="355"/>
        <v>0</v>
      </c>
      <c r="G1206" s="434">
        <f t="shared" si="355"/>
        <v>0</v>
      </c>
      <c r="H1206" s="434">
        <f t="shared" si="355"/>
        <v>0</v>
      </c>
      <c r="I1206" s="434">
        <f t="shared" si="355"/>
        <v>0</v>
      </c>
      <c r="J1206" s="434">
        <f t="shared" si="355"/>
        <v>0</v>
      </c>
      <c r="K1206" s="434">
        <f t="shared" si="355"/>
        <v>0</v>
      </c>
      <c r="L1206" s="434">
        <f t="shared" si="355"/>
        <v>0</v>
      </c>
      <c r="M1206" s="434">
        <f t="shared" si="355"/>
        <v>0</v>
      </c>
      <c r="N1206" s="434">
        <f t="shared" si="355"/>
        <v>0</v>
      </c>
      <c r="O1206" s="434">
        <f t="shared" si="355"/>
        <v>0</v>
      </c>
      <c r="P1206" s="434">
        <f t="shared" si="355"/>
        <v>0</v>
      </c>
      <c r="Q1206" s="434">
        <f>SUM(E1206:P1206)</f>
        <v>0</v>
      </c>
    </row>
    <row r="1207" spans="1:17" x14ac:dyDescent="0.2">
      <c r="A1207" s="224">
        <f>A1206+1</f>
        <v>6</v>
      </c>
      <c r="C1207" s="224" t="s">
        <v>211</v>
      </c>
      <c r="D1207" s="792">
        <f>Input!J53</f>
        <v>449.59</v>
      </c>
      <c r="E1207" s="434">
        <f t="shared" ref="E1207:P1207" si="356">ROUND(E1204*$D$1207,2)</f>
        <v>0</v>
      </c>
      <c r="F1207" s="434">
        <f t="shared" si="356"/>
        <v>0</v>
      </c>
      <c r="G1207" s="434">
        <f t="shared" si="356"/>
        <v>0</v>
      </c>
      <c r="H1207" s="434">
        <f t="shared" si="356"/>
        <v>0</v>
      </c>
      <c r="I1207" s="434">
        <f t="shared" si="356"/>
        <v>0</v>
      </c>
      <c r="J1207" s="434">
        <f t="shared" si="356"/>
        <v>0</v>
      </c>
      <c r="K1207" s="434">
        <f t="shared" si="356"/>
        <v>0</v>
      </c>
      <c r="L1207" s="434">
        <f t="shared" si="356"/>
        <v>0</v>
      </c>
      <c r="M1207" s="434">
        <f t="shared" si="356"/>
        <v>0</v>
      </c>
      <c r="N1207" s="434">
        <f t="shared" si="356"/>
        <v>0</v>
      </c>
      <c r="O1207" s="434">
        <f t="shared" si="356"/>
        <v>0</v>
      </c>
      <c r="P1207" s="434">
        <f t="shared" si="356"/>
        <v>0</v>
      </c>
      <c r="Q1207" s="434">
        <f>SUM(E1207:P1207)</f>
        <v>0</v>
      </c>
    </row>
    <row r="1208" spans="1:17" x14ac:dyDescent="0.2">
      <c r="D1208" s="290"/>
      <c r="E1208" s="224"/>
      <c r="F1208" s="292"/>
      <c r="G1208" s="476"/>
      <c r="H1208" s="292"/>
      <c r="I1208" s="297"/>
      <c r="J1208" s="292"/>
      <c r="K1208" s="292"/>
    </row>
    <row r="1209" spans="1:17" x14ac:dyDescent="0.2">
      <c r="A1209" s="224">
        <f>A1207+1</f>
        <v>7</v>
      </c>
      <c r="C1209" s="221" t="s">
        <v>209</v>
      </c>
      <c r="D1209" s="290"/>
      <c r="E1209" s="521"/>
      <c r="F1209" s="292"/>
      <c r="G1209" s="476"/>
      <c r="H1209" s="292"/>
      <c r="I1209" s="297"/>
      <c r="J1209" s="292"/>
      <c r="K1209" s="292"/>
    </row>
    <row r="1210" spans="1:17" x14ac:dyDescent="0.2">
      <c r="A1210" s="224">
        <f>A1209+1</f>
        <v>8</v>
      </c>
      <c r="C1210" s="224" t="str">
        <f>'C'!B371</f>
        <v xml:space="preserve">    First 30,000 Mcf</v>
      </c>
      <c r="D1210" s="290"/>
      <c r="E1210" s="297">
        <f>'C'!D379</f>
        <v>0</v>
      </c>
      <c r="F1210" s="297">
        <f>'C'!E379</f>
        <v>0</v>
      </c>
      <c r="G1210" s="297">
        <f>'C'!F379</f>
        <v>0</v>
      </c>
      <c r="H1210" s="297">
        <f>'C'!G379</f>
        <v>0</v>
      </c>
      <c r="I1210" s="297">
        <f>'C'!H379</f>
        <v>0</v>
      </c>
      <c r="J1210" s="297">
        <f>'C'!I379</f>
        <v>0</v>
      </c>
      <c r="K1210" s="297">
        <f>'C'!J379</f>
        <v>0</v>
      </c>
      <c r="L1210" s="297">
        <f>'C'!K379</f>
        <v>0</v>
      </c>
      <c r="M1210" s="297">
        <f>'C'!L379</f>
        <v>0</v>
      </c>
      <c r="N1210" s="297">
        <f>'C'!M379</f>
        <v>0</v>
      </c>
      <c r="O1210" s="297">
        <f>'C'!N379</f>
        <v>0</v>
      </c>
      <c r="P1210" s="297">
        <f>'C'!O379</f>
        <v>0</v>
      </c>
      <c r="Q1210" s="247">
        <f>SUM(E1210:P1210)</f>
        <v>0</v>
      </c>
    </row>
    <row r="1211" spans="1:17" x14ac:dyDescent="0.2">
      <c r="A1211" s="224">
        <f>A1210+1</f>
        <v>9</v>
      </c>
      <c r="C1211" s="224" t="str">
        <f>'C'!B372</f>
        <v xml:space="preserve">    Over 30,000 Mcf</v>
      </c>
      <c r="D1211" s="290"/>
      <c r="E1211" s="522">
        <f>'C'!D380</f>
        <v>0</v>
      </c>
      <c r="F1211" s="522">
        <f>'C'!E380</f>
        <v>0</v>
      </c>
      <c r="G1211" s="522">
        <f>'C'!F380</f>
        <v>0</v>
      </c>
      <c r="H1211" s="522">
        <f>'C'!G380</f>
        <v>0</v>
      </c>
      <c r="I1211" s="522">
        <f>'C'!H380</f>
        <v>0</v>
      </c>
      <c r="J1211" s="522">
        <f>'C'!I380</f>
        <v>0</v>
      </c>
      <c r="K1211" s="522">
        <f>'C'!J380</f>
        <v>0</v>
      </c>
      <c r="L1211" s="522">
        <f>'C'!K380</f>
        <v>0</v>
      </c>
      <c r="M1211" s="522">
        <f>'C'!L380</f>
        <v>0</v>
      </c>
      <c r="N1211" s="522">
        <f>'C'!M380</f>
        <v>0</v>
      </c>
      <c r="O1211" s="522">
        <f>'C'!N380</f>
        <v>0</v>
      </c>
      <c r="P1211" s="522">
        <f>'C'!O380</f>
        <v>0</v>
      </c>
      <c r="Q1211" s="471">
        <f>SUM(E1211:P1211)</f>
        <v>0</v>
      </c>
    </row>
    <row r="1212" spans="1:17" x14ac:dyDescent="0.2">
      <c r="C1212" s="224"/>
      <c r="D1212" s="290"/>
      <c r="E1212" s="297">
        <f t="shared" ref="E1212:O1212" si="357">SUM(E1210:E1211)</f>
        <v>0</v>
      </c>
      <c r="F1212" s="297">
        <f t="shared" si="357"/>
        <v>0</v>
      </c>
      <c r="G1212" s="297">
        <f t="shared" si="357"/>
        <v>0</v>
      </c>
      <c r="H1212" s="297">
        <f t="shared" si="357"/>
        <v>0</v>
      </c>
      <c r="I1212" s="297">
        <f t="shared" si="357"/>
        <v>0</v>
      </c>
      <c r="J1212" s="297">
        <f t="shared" si="357"/>
        <v>0</v>
      </c>
      <c r="K1212" s="297">
        <f t="shared" si="357"/>
        <v>0</v>
      </c>
      <c r="L1212" s="297">
        <f t="shared" si="357"/>
        <v>0</v>
      </c>
      <c r="M1212" s="297">
        <f t="shared" si="357"/>
        <v>0</v>
      </c>
      <c r="N1212" s="297">
        <f t="shared" si="357"/>
        <v>0</v>
      </c>
      <c r="O1212" s="297">
        <f t="shared" si="357"/>
        <v>0</v>
      </c>
      <c r="P1212" s="297">
        <f>SUM(P1210:P1211)</f>
        <v>0</v>
      </c>
      <c r="Q1212" s="247">
        <f>SUM(E1212:P1212)</f>
        <v>0</v>
      </c>
    </row>
    <row r="1213" spans="1:17" x14ac:dyDescent="0.2">
      <c r="A1213" s="224">
        <f>A1211+1</f>
        <v>10</v>
      </c>
      <c r="C1213" s="242" t="s">
        <v>207</v>
      </c>
      <c r="D1213" s="290"/>
      <c r="E1213" s="299"/>
      <c r="F1213" s="542"/>
      <c r="G1213" s="543"/>
      <c r="H1213" s="542"/>
      <c r="I1213" s="522"/>
      <c r="J1213" s="544"/>
      <c r="K1213" s="542"/>
      <c r="L1213" s="542"/>
      <c r="M1213" s="542"/>
      <c r="N1213" s="470"/>
      <c r="O1213" s="470"/>
      <c r="P1213" s="470"/>
      <c r="Q1213" s="419"/>
    </row>
    <row r="1214" spans="1:17" x14ac:dyDescent="0.2">
      <c r="A1214" s="224">
        <f>A1213+1</f>
        <v>11</v>
      </c>
      <c r="C1214" s="242" t="str">
        <f>C1210</f>
        <v xml:space="preserve">    First 30,000 Mcf</v>
      </c>
      <c r="D1214" s="793">
        <f>Input!C53</f>
        <v>0.54430000000000001</v>
      </c>
      <c r="E1214" s="434">
        <f t="shared" ref="E1214:P1214" si="358">ROUND(E1210*$D$1214,2)</f>
        <v>0</v>
      </c>
      <c r="F1214" s="434">
        <f t="shared" si="358"/>
        <v>0</v>
      </c>
      <c r="G1214" s="434">
        <f t="shared" si="358"/>
        <v>0</v>
      </c>
      <c r="H1214" s="434">
        <f t="shared" si="358"/>
        <v>0</v>
      </c>
      <c r="I1214" s="434">
        <f t="shared" si="358"/>
        <v>0</v>
      </c>
      <c r="J1214" s="434">
        <f t="shared" si="358"/>
        <v>0</v>
      </c>
      <c r="K1214" s="434">
        <f t="shared" si="358"/>
        <v>0</v>
      </c>
      <c r="L1214" s="434">
        <f t="shared" si="358"/>
        <v>0</v>
      </c>
      <c r="M1214" s="434">
        <f t="shared" si="358"/>
        <v>0</v>
      </c>
      <c r="N1214" s="434">
        <f t="shared" si="358"/>
        <v>0</v>
      </c>
      <c r="O1214" s="434">
        <f t="shared" si="358"/>
        <v>0</v>
      </c>
      <c r="P1214" s="434">
        <f t="shared" si="358"/>
        <v>0</v>
      </c>
      <c r="Q1214" s="434">
        <f>SUM(E1214:P1214)</f>
        <v>0</v>
      </c>
    </row>
    <row r="1215" spans="1:17" x14ac:dyDescent="0.2">
      <c r="A1215" s="224">
        <f>A1214+1</f>
        <v>12</v>
      </c>
      <c r="C1215" s="242" t="str">
        <f>C1211</f>
        <v xml:space="preserve">    Over 30,000 Mcf</v>
      </c>
      <c r="D1215" s="793">
        <f>Input!D53</f>
        <v>0.28899999999999998</v>
      </c>
      <c r="E1215" s="277">
        <f t="shared" ref="E1215:P1215" si="359">ROUND(E1211*$D$1215,2)</f>
        <v>0</v>
      </c>
      <c r="F1215" s="277">
        <f t="shared" si="359"/>
        <v>0</v>
      </c>
      <c r="G1215" s="277">
        <f t="shared" si="359"/>
        <v>0</v>
      </c>
      <c r="H1215" s="277">
        <f t="shared" si="359"/>
        <v>0</v>
      </c>
      <c r="I1215" s="277">
        <f t="shared" si="359"/>
        <v>0</v>
      </c>
      <c r="J1215" s="277">
        <f t="shared" si="359"/>
        <v>0</v>
      </c>
      <c r="K1215" s="277">
        <f t="shared" si="359"/>
        <v>0</v>
      </c>
      <c r="L1215" s="277">
        <f t="shared" si="359"/>
        <v>0</v>
      </c>
      <c r="M1215" s="277">
        <f t="shared" si="359"/>
        <v>0</v>
      </c>
      <c r="N1215" s="277">
        <f t="shared" si="359"/>
        <v>0</v>
      </c>
      <c r="O1215" s="277">
        <f t="shared" si="359"/>
        <v>0</v>
      </c>
      <c r="P1215" s="277">
        <f t="shared" si="359"/>
        <v>0</v>
      </c>
      <c r="Q1215" s="438">
        <f>SUM(E1215:P1215)</f>
        <v>0</v>
      </c>
    </row>
    <row r="1216" spans="1:17" x14ac:dyDescent="0.2">
      <c r="C1216" s="242"/>
      <c r="D1216" s="290"/>
      <c r="E1216" s="434">
        <f t="shared" ref="E1216:O1216" si="360">SUM(E1214:E1215)</f>
        <v>0</v>
      </c>
      <c r="F1216" s="434">
        <f t="shared" si="360"/>
        <v>0</v>
      </c>
      <c r="G1216" s="434">
        <f t="shared" si="360"/>
        <v>0</v>
      </c>
      <c r="H1216" s="434">
        <f t="shared" si="360"/>
        <v>0</v>
      </c>
      <c r="I1216" s="434">
        <f t="shared" si="360"/>
        <v>0</v>
      </c>
      <c r="J1216" s="434">
        <f t="shared" si="360"/>
        <v>0</v>
      </c>
      <c r="K1216" s="434">
        <f t="shared" si="360"/>
        <v>0</v>
      </c>
      <c r="L1216" s="434">
        <f t="shared" si="360"/>
        <v>0</v>
      </c>
      <c r="M1216" s="434">
        <f t="shared" si="360"/>
        <v>0</v>
      </c>
      <c r="N1216" s="434">
        <f t="shared" si="360"/>
        <v>0</v>
      </c>
      <c r="O1216" s="434">
        <f t="shared" si="360"/>
        <v>0</v>
      </c>
      <c r="P1216" s="434">
        <f>SUM(P1214:P1215)</f>
        <v>0</v>
      </c>
      <c r="Q1216" s="434">
        <f>SUM(E1216:P1216)</f>
        <v>0</v>
      </c>
    </row>
    <row r="1217" spans="1:17" x14ac:dyDescent="0.2">
      <c r="C1217" s="242"/>
      <c r="D1217" s="290"/>
      <c r="E1217" s="299"/>
      <c r="F1217" s="542"/>
      <c r="G1217" s="543"/>
      <c r="H1217" s="542"/>
      <c r="I1217" s="522"/>
      <c r="J1217" s="544"/>
      <c r="K1217" s="542"/>
      <c r="L1217" s="542"/>
      <c r="M1217" s="542"/>
      <c r="N1217" s="470"/>
      <c r="O1217" s="470"/>
      <c r="P1217" s="470"/>
      <c r="Q1217" s="419"/>
    </row>
    <row r="1218" spans="1:17" x14ac:dyDescent="0.2">
      <c r="A1218" s="224">
        <f>A1215+1</f>
        <v>13</v>
      </c>
      <c r="C1218" s="242" t="s">
        <v>204</v>
      </c>
      <c r="D1218" s="290"/>
      <c r="E1218" s="434">
        <f t="shared" ref="E1218:O1218" si="361">E1205+E1206+E1207+E1216</f>
        <v>0</v>
      </c>
      <c r="F1218" s="434">
        <f t="shared" si="361"/>
        <v>0</v>
      </c>
      <c r="G1218" s="434">
        <f t="shared" si="361"/>
        <v>0</v>
      </c>
      <c r="H1218" s="434">
        <f t="shared" si="361"/>
        <v>0</v>
      </c>
      <c r="I1218" s="434">
        <f t="shared" si="361"/>
        <v>0</v>
      </c>
      <c r="J1218" s="434">
        <f t="shared" si="361"/>
        <v>0</v>
      </c>
      <c r="K1218" s="434">
        <f t="shared" si="361"/>
        <v>0</v>
      </c>
      <c r="L1218" s="434">
        <f t="shared" si="361"/>
        <v>0</v>
      </c>
      <c r="M1218" s="434">
        <f t="shared" si="361"/>
        <v>0</v>
      </c>
      <c r="N1218" s="434">
        <f t="shared" si="361"/>
        <v>0</v>
      </c>
      <c r="O1218" s="434">
        <f t="shared" si="361"/>
        <v>0</v>
      </c>
      <c r="P1218" s="434">
        <f>P1205+P1206+P1207+P1216</f>
        <v>0</v>
      </c>
      <c r="Q1218" s="434">
        <f>SUM(E1218:P1218)</f>
        <v>0</v>
      </c>
    </row>
    <row r="1219" spans="1:17" x14ac:dyDescent="0.2">
      <c r="C1219" s="242"/>
      <c r="D1219" s="290"/>
      <c r="E1219" s="299"/>
      <c r="F1219" s="542"/>
      <c r="G1219" s="543"/>
      <c r="H1219" s="542"/>
      <c r="I1219" s="522"/>
      <c r="J1219" s="544"/>
      <c r="K1219" s="542"/>
      <c r="L1219" s="542"/>
      <c r="M1219" s="542"/>
      <c r="N1219" s="470"/>
      <c r="O1219" s="470"/>
      <c r="P1219" s="470"/>
      <c r="Q1219" s="419"/>
    </row>
    <row r="1220" spans="1:17" x14ac:dyDescent="0.2">
      <c r="A1220" s="224">
        <f>A1218+1</f>
        <v>14</v>
      </c>
      <c r="C1220" s="221" t="s">
        <v>151</v>
      </c>
      <c r="D1220" s="793">
        <v>0</v>
      </c>
      <c r="E1220" s="517">
        <v>0</v>
      </c>
      <c r="F1220" s="517">
        <v>0</v>
      </c>
      <c r="G1220" s="517">
        <v>0</v>
      </c>
      <c r="H1220" s="517">
        <v>0</v>
      </c>
      <c r="I1220" s="517">
        <v>0</v>
      </c>
      <c r="J1220" s="517">
        <v>0</v>
      </c>
      <c r="K1220" s="517">
        <v>0</v>
      </c>
      <c r="L1220" s="517">
        <v>0</v>
      </c>
      <c r="M1220" s="517">
        <v>0</v>
      </c>
      <c r="N1220" s="517">
        <v>0</v>
      </c>
      <c r="O1220" s="517">
        <v>0</v>
      </c>
      <c r="P1220" s="517">
        <v>0</v>
      </c>
      <c r="Q1220" s="434">
        <f>SUM(E1220:P1220)</f>
        <v>0</v>
      </c>
    </row>
    <row r="1221" spans="1:17" x14ac:dyDescent="0.2">
      <c r="E1221" s="224"/>
      <c r="F1221" s="292"/>
      <c r="G1221" s="476"/>
      <c r="H1221" s="292"/>
      <c r="I1221" s="297"/>
      <c r="J1221" s="292"/>
      <c r="K1221" s="292"/>
      <c r="L1221" s="292"/>
      <c r="M1221" s="292"/>
    </row>
    <row r="1222" spans="1:17" ht="10.8" thickBot="1" x14ac:dyDescent="0.25">
      <c r="A1222" s="495">
        <f>A1220+1</f>
        <v>15</v>
      </c>
      <c r="B1222" s="496"/>
      <c r="C1222" s="496" t="s">
        <v>205</v>
      </c>
      <c r="D1222" s="497"/>
      <c r="E1222" s="499">
        <f t="shared" ref="E1222:O1222" si="362">E1218+E1220</f>
        <v>0</v>
      </c>
      <c r="F1222" s="499">
        <f t="shared" si="362"/>
        <v>0</v>
      </c>
      <c r="G1222" s="499">
        <f t="shared" si="362"/>
        <v>0</v>
      </c>
      <c r="H1222" s="499">
        <f t="shared" si="362"/>
        <v>0</v>
      </c>
      <c r="I1222" s="499">
        <f t="shared" si="362"/>
        <v>0</v>
      </c>
      <c r="J1222" s="499">
        <f t="shared" si="362"/>
        <v>0</v>
      </c>
      <c r="K1222" s="499">
        <f t="shared" si="362"/>
        <v>0</v>
      </c>
      <c r="L1222" s="499">
        <f t="shared" si="362"/>
        <v>0</v>
      </c>
      <c r="M1222" s="499">
        <f t="shared" si="362"/>
        <v>0</v>
      </c>
      <c r="N1222" s="499">
        <f t="shared" si="362"/>
        <v>0</v>
      </c>
      <c r="O1222" s="499">
        <f t="shared" si="362"/>
        <v>0</v>
      </c>
      <c r="P1222" s="499">
        <f>P1218+P1220</f>
        <v>0</v>
      </c>
      <c r="Q1222" s="499">
        <f>SUM(E1222:P1222)</f>
        <v>0</v>
      </c>
    </row>
    <row r="1223" spans="1:17" ht="10.8" thickTop="1" x14ac:dyDescent="0.2"/>
    <row r="1224" spans="1:17" x14ac:dyDescent="0.2">
      <c r="A1224" s="224">
        <f>A1222+1</f>
        <v>16</v>
      </c>
      <c r="B1224" s="221" t="str">
        <f>B358</f>
        <v>SC3</v>
      </c>
      <c r="C1224" s="221" t="str">
        <f>C358</f>
        <v>GTS Special Rate - Industrial</v>
      </c>
    </row>
    <row r="1226" spans="1:17" x14ac:dyDescent="0.2">
      <c r="A1226" s="224">
        <f>A1224+1</f>
        <v>17</v>
      </c>
      <c r="C1226" s="225" t="s">
        <v>112</v>
      </c>
    </row>
    <row r="1227" spans="1:17" x14ac:dyDescent="0.2">
      <c r="C1227" s="225"/>
    </row>
    <row r="1228" spans="1:17" x14ac:dyDescent="0.2">
      <c r="A1228" s="224">
        <f>A1226+1</f>
        <v>18</v>
      </c>
      <c r="C1228" s="221" t="s">
        <v>202</v>
      </c>
      <c r="E1228" s="479">
        <f>B!D271</f>
        <v>1</v>
      </c>
      <c r="F1228" s="479">
        <f>B!E271</f>
        <v>1</v>
      </c>
      <c r="G1228" s="479">
        <f>B!F271</f>
        <v>1</v>
      </c>
      <c r="H1228" s="479">
        <f>B!G271</f>
        <v>1</v>
      </c>
      <c r="I1228" s="479">
        <f>B!H271</f>
        <v>1</v>
      </c>
      <c r="J1228" s="479">
        <f>B!I271</f>
        <v>1</v>
      </c>
      <c r="K1228" s="479">
        <f>B!J271</f>
        <v>1</v>
      </c>
      <c r="L1228" s="479">
        <f>B!K271</f>
        <v>1</v>
      </c>
      <c r="M1228" s="479">
        <f>B!L271</f>
        <v>1</v>
      </c>
      <c r="N1228" s="479">
        <f>B!M271</f>
        <v>1</v>
      </c>
      <c r="O1228" s="479">
        <f>B!N271</f>
        <v>1</v>
      </c>
      <c r="P1228" s="479">
        <f>B!O271</f>
        <v>1</v>
      </c>
      <c r="Q1228" s="480">
        <f>SUM(E1228:P1228)</f>
        <v>12</v>
      </c>
    </row>
    <row r="1229" spans="1:17" x14ac:dyDescent="0.2">
      <c r="A1229" s="224">
        <f>A1228+1</f>
        <v>19</v>
      </c>
      <c r="C1229" s="221" t="s">
        <v>210</v>
      </c>
      <c r="D1229" s="792">
        <f>Input!H54</f>
        <v>1007.05</v>
      </c>
      <c r="E1229" s="434">
        <f t="shared" ref="E1229:P1229" si="363">ROUND(E1228*$D$1229,2)</f>
        <v>1007.05</v>
      </c>
      <c r="F1229" s="434">
        <f t="shared" si="363"/>
        <v>1007.05</v>
      </c>
      <c r="G1229" s="434">
        <f t="shared" si="363"/>
        <v>1007.05</v>
      </c>
      <c r="H1229" s="434">
        <f t="shared" si="363"/>
        <v>1007.05</v>
      </c>
      <c r="I1229" s="434">
        <f t="shared" si="363"/>
        <v>1007.05</v>
      </c>
      <c r="J1229" s="434">
        <f t="shared" si="363"/>
        <v>1007.05</v>
      </c>
      <c r="K1229" s="434">
        <f t="shared" si="363"/>
        <v>1007.05</v>
      </c>
      <c r="L1229" s="434">
        <f t="shared" si="363"/>
        <v>1007.05</v>
      </c>
      <c r="M1229" s="434">
        <f t="shared" si="363"/>
        <v>1007.05</v>
      </c>
      <c r="N1229" s="434">
        <f t="shared" si="363"/>
        <v>1007.05</v>
      </c>
      <c r="O1229" s="434">
        <f t="shared" si="363"/>
        <v>1007.05</v>
      </c>
      <c r="P1229" s="434">
        <f t="shared" si="363"/>
        <v>1007.05</v>
      </c>
      <c r="Q1229" s="434">
        <f>SUM(E1229:P1229)</f>
        <v>12084.599999999999</v>
      </c>
    </row>
    <row r="1230" spans="1:17" x14ac:dyDescent="0.2">
      <c r="A1230" s="224">
        <f>A1229+1</f>
        <v>20</v>
      </c>
      <c r="C1230" s="221" t="s">
        <v>217</v>
      </c>
      <c r="D1230" s="792">
        <f>Input!I54</f>
        <v>55.9</v>
      </c>
      <c r="E1230" s="434">
        <f t="shared" ref="E1230:P1230" si="364">ROUND(E1228*$D$1230,2)</f>
        <v>55.9</v>
      </c>
      <c r="F1230" s="434">
        <f t="shared" si="364"/>
        <v>55.9</v>
      </c>
      <c r="G1230" s="434">
        <f t="shared" si="364"/>
        <v>55.9</v>
      </c>
      <c r="H1230" s="434">
        <f t="shared" si="364"/>
        <v>55.9</v>
      </c>
      <c r="I1230" s="434">
        <f t="shared" si="364"/>
        <v>55.9</v>
      </c>
      <c r="J1230" s="434">
        <f t="shared" si="364"/>
        <v>55.9</v>
      </c>
      <c r="K1230" s="434">
        <f t="shared" si="364"/>
        <v>55.9</v>
      </c>
      <c r="L1230" s="434">
        <f t="shared" si="364"/>
        <v>55.9</v>
      </c>
      <c r="M1230" s="434">
        <f t="shared" si="364"/>
        <v>55.9</v>
      </c>
      <c r="N1230" s="434">
        <f t="shared" si="364"/>
        <v>55.9</v>
      </c>
      <c r="O1230" s="434">
        <f t="shared" si="364"/>
        <v>55.9</v>
      </c>
      <c r="P1230" s="434">
        <f t="shared" si="364"/>
        <v>55.9</v>
      </c>
      <c r="Q1230" s="434">
        <f>SUM(E1230:P1230)</f>
        <v>670.79999999999984</v>
      </c>
    </row>
    <row r="1231" spans="1:17" x14ac:dyDescent="0.2">
      <c r="D1231" s="290"/>
      <c r="E1231" s="224"/>
      <c r="F1231" s="292"/>
      <c r="G1231" s="476"/>
      <c r="H1231" s="292"/>
      <c r="I1231" s="297"/>
      <c r="J1231" s="292"/>
      <c r="K1231" s="292"/>
      <c r="L1231" s="292"/>
    </row>
    <row r="1232" spans="1:17" x14ac:dyDescent="0.2">
      <c r="A1232" s="224">
        <f>A1230+1</f>
        <v>21</v>
      </c>
      <c r="C1232" s="221" t="s">
        <v>209</v>
      </c>
      <c r="D1232" s="290"/>
      <c r="E1232" s="224"/>
      <c r="F1232" s="292"/>
      <c r="G1232" s="476"/>
      <c r="H1232" s="292"/>
      <c r="I1232" s="297"/>
      <c r="J1232" s="292"/>
      <c r="K1232" s="292"/>
      <c r="L1232" s="292"/>
    </row>
    <row r="1233" spans="1:17" x14ac:dyDescent="0.2">
      <c r="A1233" s="224">
        <f>A1232+1</f>
        <v>22</v>
      </c>
      <c r="C1233" s="242" t="str">
        <f>'C'!B385</f>
        <v xml:space="preserve">    First 150,000 Mcf</v>
      </c>
      <c r="D1233" s="519"/>
      <c r="E1233" s="297">
        <f>'C'!D393</f>
        <v>150000</v>
      </c>
      <c r="F1233" s="297">
        <f>'C'!E393</f>
        <v>150000</v>
      </c>
      <c r="G1233" s="297">
        <f>'C'!F393</f>
        <v>140000</v>
      </c>
      <c r="H1233" s="297">
        <f>'C'!G393</f>
        <v>140000</v>
      </c>
      <c r="I1233" s="297">
        <f>'C'!H393</f>
        <v>130000</v>
      </c>
      <c r="J1233" s="297">
        <f>'C'!I393</f>
        <v>130000</v>
      </c>
      <c r="K1233" s="297">
        <f>'C'!J393</f>
        <v>130000</v>
      </c>
      <c r="L1233" s="297">
        <f>'C'!K393</f>
        <v>130000</v>
      </c>
      <c r="M1233" s="297">
        <f>'C'!L393</f>
        <v>130000</v>
      </c>
      <c r="N1233" s="297">
        <f>'C'!M393</f>
        <v>130000</v>
      </c>
      <c r="O1233" s="297">
        <f>'C'!N393</f>
        <v>140000</v>
      </c>
      <c r="P1233" s="297">
        <f>'C'!O393</f>
        <v>150000</v>
      </c>
      <c r="Q1233" s="247">
        <f>SUM(E1233:P1233)</f>
        <v>1650000</v>
      </c>
    </row>
    <row r="1234" spans="1:17" x14ac:dyDescent="0.2">
      <c r="A1234" s="224">
        <f>A1233+1</f>
        <v>23</v>
      </c>
      <c r="C1234" s="242" t="str">
        <f>'C'!B386</f>
        <v xml:space="preserve">    Over 150,000 Mcf</v>
      </c>
      <c r="D1234" s="519"/>
      <c r="E1234" s="522">
        <f>'C'!D394</f>
        <v>20000</v>
      </c>
      <c r="F1234" s="522">
        <f>'C'!E394</f>
        <v>20000</v>
      </c>
      <c r="G1234" s="522">
        <f>'C'!F394</f>
        <v>0</v>
      </c>
      <c r="H1234" s="522">
        <f>'C'!G394</f>
        <v>0</v>
      </c>
      <c r="I1234" s="522">
        <f>'C'!H394</f>
        <v>0</v>
      </c>
      <c r="J1234" s="522">
        <f>'C'!I394</f>
        <v>0</v>
      </c>
      <c r="K1234" s="522">
        <f>'C'!J394</f>
        <v>0</v>
      </c>
      <c r="L1234" s="522">
        <f>'C'!K394</f>
        <v>0</v>
      </c>
      <c r="M1234" s="522">
        <f>'C'!L394</f>
        <v>0</v>
      </c>
      <c r="N1234" s="522">
        <f>'C'!M394</f>
        <v>0</v>
      </c>
      <c r="O1234" s="522">
        <f>'C'!N394</f>
        <v>0</v>
      </c>
      <c r="P1234" s="522">
        <f>'C'!O394</f>
        <v>20000</v>
      </c>
      <c r="Q1234" s="471">
        <f>SUM(E1234:P1234)</f>
        <v>60000</v>
      </c>
    </row>
    <row r="1235" spans="1:17" x14ac:dyDescent="0.2">
      <c r="C1235" s="242"/>
      <c r="D1235" s="519"/>
      <c r="E1235" s="297">
        <f t="shared" ref="E1235:O1235" si="365">SUM(E1233:E1234)</f>
        <v>170000</v>
      </c>
      <c r="F1235" s="297">
        <f t="shared" si="365"/>
        <v>170000</v>
      </c>
      <c r="G1235" s="297">
        <f t="shared" si="365"/>
        <v>140000</v>
      </c>
      <c r="H1235" s="297">
        <f t="shared" si="365"/>
        <v>140000</v>
      </c>
      <c r="I1235" s="297">
        <f t="shared" si="365"/>
        <v>130000</v>
      </c>
      <c r="J1235" s="297">
        <f t="shared" si="365"/>
        <v>130000</v>
      </c>
      <c r="K1235" s="297">
        <f t="shared" si="365"/>
        <v>130000</v>
      </c>
      <c r="L1235" s="297">
        <f t="shared" si="365"/>
        <v>130000</v>
      </c>
      <c r="M1235" s="297">
        <f t="shared" si="365"/>
        <v>130000</v>
      </c>
      <c r="N1235" s="297">
        <f t="shared" si="365"/>
        <v>130000</v>
      </c>
      <c r="O1235" s="297">
        <f t="shared" si="365"/>
        <v>140000</v>
      </c>
      <c r="P1235" s="297">
        <f>SUM(P1233:P1234)</f>
        <v>170000</v>
      </c>
      <c r="Q1235" s="247">
        <f>SUM(E1235:P1235)</f>
        <v>1710000</v>
      </c>
    </row>
    <row r="1236" spans="1:17" x14ac:dyDescent="0.2">
      <c r="A1236" s="224">
        <f>A1234+1</f>
        <v>24</v>
      </c>
      <c r="C1236" s="242" t="s">
        <v>207</v>
      </c>
      <c r="D1236" s="519"/>
      <c r="E1236" s="299"/>
      <c r="F1236" s="542"/>
      <c r="G1236" s="543"/>
      <c r="H1236" s="542"/>
      <c r="I1236" s="522"/>
      <c r="J1236" s="544"/>
      <c r="K1236" s="542"/>
      <c r="L1236" s="542"/>
      <c r="M1236" s="542"/>
      <c r="N1236" s="470"/>
      <c r="O1236" s="470"/>
      <c r="P1236" s="470"/>
      <c r="Q1236" s="419"/>
    </row>
    <row r="1237" spans="1:17" x14ac:dyDescent="0.2">
      <c r="A1237" s="224">
        <f>A1236+1</f>
        <v>25</v>
      </c>
      <c r="C1237" s="242" t="str">
        <f>C1233</f>
        <v xml:space="preserve">    First 150,000 Mcf</v>
      </c>
      <c r="D1237" s="793">
        <f>Input!C54</f>
        <v>0.28999999999999998</v>
      </c>
      <c r="E1237" s="434">
        <f t="shared" ref="E1237:P1237" si="366">ROUND(E1233*$D$1237,2)</f>
        <v>43500</v>
      </c>
      <c r="F1237" s="434">
        <f t="shared" si="366"/>
        <v>43500</v>
      </c>
      <c r="G1237" s="434">
        <f t="shared" si="366"/>
        <v>40600</v>
      </c>
      <c r="H1237" s="434">
        <f t="shared" si="366"/>
        <v>40600</v>
      </c>
      <c r="I1237" s="434">
        <f t="shared" si="366"/>
        <v>37700</v>
      </c>
      <c r="J1237" s="434">
        <f t="shared" si="366"/>
        <v>37700</v>
      </c>
      <c r="K1237" s="434">
        <f t="shared" si="366"/>
        <v>37700</v>
      </c>
      <c r="L1237" s="434">
        <f t="shared" si="366"/>
        <v>37700</v>
      </c>
      <c r="M1237" s="434">
        <f t="shared" si="366"/>
        <v>37700</v>
      </c>
      <c r="N1237" s="434">
        <f t="shared" si="366"/>
        <v>37700</v>
      </c>
      <c r="O1237" s="434">
        <f t="shared" si="366"/>
        <v>40600</v>
      </c>
      <c r="P1237" s="434">
        <f t="shared" si="366"/>
        <v>43500</v>
      </c>
      <c r="Q1237" s="434">
        <f>SUM(E1237:P1237)</f>
        <v>478500</v>
      </c>
    </row>
    <row r="1238" spans="1:17" x14ac:dyDescent="0.2">
      <c r="A1238" s="224">
        <f>A1237+1</f>
        <v>26</v>
      </c>
      <c r="C1238" s="242" t="str">
        <f>C1234</f>
        <v xml:space="preserve">    Over 150,000 Mcf</v>
      </c>
      <c r="D1238" s="793">
        <f>Input!D54</f>
        <v>0.16</v>
      </c>
      <c r="E1238" s="277">
        <f t="shared" ref="E1238:P1238" si="367">ROUND(E1234*$D$1238,2)</f>
        <v>3200</v>
      </c>
      <c r="F1238" s="277">
        <f t="shared" si="367"/>
        <v>3200</v>
      </c>
      <c r="G1238" s="277">
        <f t="shared" si="367"/>
        <v>0</v>
      </c>
      <c r="H1238" s="277">
        <f t="shared" si="367"/>
        <v>0</v>
      </c>
      <c r="I1238" s="277">
        <f t="shared" si="367"/>
        <v>0</v>
      </c>
      <c r="J1238" s="277">
        <f t="shared" si="367"/>
        <v>0</v>
      </c>
      <c r="K1238" s="277">
        <f t="shared" si="367"/>
        <v>0</v>
      </c>
      <c r="L1238" s="277">
        <f t="shared" si="367"/>
        <v>0</v>
      </c>
      <c r="M1238" s="277">
        <f t="shared" si="367"/>
        <v>0</v>
      </c>
      <c r="N1238" s="277">
        <f t="shared" si="367"/>
        <v>0</v>
      </c>
      <c r="O1238" s="277">
        <f t="shared" si="367"/>
        <v>0</v>
      </c>
      <c r="P1238" s="277">
        <f t="shared" si="367"/>
        <v>3200</v>
      </c>
      <c r="Q1238" s="438">
        <f>SUM(E1238:P1238)</f>
        <v>9600</v>
      </c>
    </row>
    <row r="1239" spans="1:17" x14ac:dyDescent="0.2">
      <c r="C1239" s="242"/>
      <c r="D1239" s="519"/>
      <c r="E1239" s="434">
        <f t="shared" ref="E1239:O1239" si="368">SUM(E1237:E1238)</f>
        <v>46700</v>
      </c>
      <c r="F1239" s="434">
        <f t="shared" si="368"/>
        <v>46700</v>
      </c>
      <c r="G1239" s="434">
        <f t="shared" si="368"/>
        <v>40600</v>
      </c>
      <c r="H1239" s="434">
        <f t="shared" si="368"/>
        <v>40600</v>
      </c>
      <c r="I1239" s="434">
        <f t="shared" si="368"/>
        <v>37700</v>
      </c>
      <c r="J1239" s="434">
        <f t="shared" si="368"/>
        <v>37700</v>
      </c>
      <c r="K1239" s="434">
        <f t="shared" si="368"/>
        <v>37700</v>
      </c>
      <c r="L1239" s="434">
        <f t="shared" si="368"/>
        <v>37700</v>
      </c>
      <c r="M1239" s="434">
        <f t="shared" si="368"/>
        <v>37700</v>
      </c>
      <c r="N1239" s="434">
        <f t="shared" si="368"/>
        <v>37700</v>
      </c>
      <c r="O1239" s="434">
        <f t="shared" si="368"/>
        <v>40600</v>
      </c>
      <c r="P1239" s="434">
        <f>SUM(P1237:P1238)</f>
        <v>46700</v>
      </c>
      <c r="Q1239" s="434">
        <f>SUM(E1239:P1239)</f>
        <v>488100</v>
      </c>
    </row>
    <row r="1240" spans="1:17" x14ac:dyDescent="0.2">
      <c r="C1240" s="242"/>
      <c r="D1240" s="519"/>
      <c r="E1240" s="473"/>
      <c r="F1240" s="545"/>
      <c r="G1240" s="545"/>
      <c r="H1240" s="545"/>
      <c r="I1240" s="545"/>
      <c r="J1240" s="540"/>
      <c r="K1240" s="545"/>
      <c r="L1240" s="545"/>
      <c r="M1240" s="545"/>
      <c r="N1240" s="491"/>
      <c r="O1240" s="491"/>
      <c r="P1240" s="491"/>
      <c r="Q1240" s="466"/>
    </row>
    <row r="1241" spans="1:17" x14ac:dyDescent="0.2">
      <c r="A1241" s="224">
        <f>A1238+1</f>
        <v>27</v>
      </c>
      <c r="C1241" s="242" t="s">
        <v>204</v>
      </c>
      <c r="D1241" s="290"/>
      <c r="E1241" s="434">
        <f>E1229+E1230+E1239</f>
        <v>47762.95</v>
      </c>
      <c r="F1241" s="434">
        <f t="shared" ref="F1241:P1241" si="369">F1229+F1230+F1239</f>
        <v>47762.95</v>
      </c>
      <c r="G1241" s="434">
        <f t="shared" si="369"/>
        <v>41662.949999999997</v>
      </c>
      <c r="H1241" s="434">
        <f t="shared" si="369"/>
        <v>41662.949999999997</v>
      </c>
      <c r="I1241" s="434">
        <f t="shared" si="369"/>
        <v>38762.949999999997</v>
      </c>
      <c r="J1241" s="434">
        <f t="shared" si="369"/>
        <v>38762.949999999997</v>
      </c>
      <c r="K1241" s="434">
        <f t="shared" si="369"/>
        <v>38762.949999999997</v>
      </c>
      <c r="L1241" s="434">
        <f t="shared" si="369"/>
        <v>38762.949999999997</v>
      </c>
      <c r="M1241" s="434">
        <f t="shared" si="369"/>
        <v>38762.949999999997</v>
      </c>
      <c r="N1241" s="434">
        <f t="shared" si="369"/>
        <v>38762.949999999997</v>
      </c>
      <c r="O1241" s="434">
        <f t="shared" si="369"/>
        <v>41662.949999999997</v>
      </c>
      <c r="P1241" s="434">
        <f t="shared" si="369"/>
        <v>47762.95</v>
      </c>
      <c r="Q1241" s="434">
        <f>SUM(E1241:P1241)</f>
        <v>500855.40000000008</v>
      </c>
    </row>
    <row r="1242" spans="1:17" x14ac:dyDescent="0.2">
      <c r="C1242" s="242"/>
      <c r="D1242" s="290"/>
      <c r="E1242" s="473"/>
      <c r="F1242" s="545"/>
      <c r="G1242" s="545"/>
      <c r="H1242" s="545"/>
      <c r="I1242" s="545"/>
      <c r="J1242" s="540"/>
      <c r="K1242" s="545"/>
      <c r="L1242" s="545"/>
      <c r="M1242" s="545"/>
      <c r="N1242" s="491"/>
      <c r="O1242" s="491"/>
      <c r="P1242" s="491"/>
      <c r="Q1242" s="466"/>
    </row>
    <row r="1243" spans="1:17" x14ac:dyDescent="0.2">
      <c r="A1243" s="224">
        <f>A1241+1</f>
        <v>28</v>
      </c>
      <c r="C1243" s="221" t="s">
        <v>151</v>
      </c>
      <c r="D1243" s="794">
        <v>0</v>
      </c>
      <c r="E1243" s="517">
        <v>0</v>
      </c>
      <c r="F1243" s="517">
        <v>0</v>
      </c>
      <c r="G1243" s="517">
        <v>0</v>
      </c>
      <c r="H1243" s="517">
        <v>0</v>
      </c>
      <c r="I1243" s="517">
        <v>0</v>
      </c>
      <c r="J1243" s="517">
        <v>0</v>
      </c>
      <c r="K1243" s="517">
        <v>0</v>
      </c>
      <c r="L1243" s="517">
        <v>0</v>
      </c>
      <c r="M1243" s="517">
        <v>0</v>
      </c>
      <c r="N1243" s="517">
        <v>0</v>
      </c>
      <c r="O1243" s="517">
        <v>0</v>
      </c>
      <c r="P1243" s="517">
        <v>0</v>
      </c>
      <c r="Q1243" s="434">
        <f>SUM(E1243:P1243)</f>
        <v>0</v>
      </c>
    </row>
    <row r="1244" spans="1:17" x14ac:dyDescent="0.2">
      <c r="E1244" s="473"/>
      <c r="F1244" s="473"/>
      <c r="G1244" s="473"/>
      <c r="H1244" s="473"/>
      <c r="I1244" s="473"/>
      <c r="J1244" s="473"/>
      <c r="K1244" s="473"/>
      <c r="L1244" s="473"/>
      <c r="M1244" s="473"/>
      <c r="N1244" s="466"/>
      <c r="O1244" s="466"/>
      <c r="P1244" s="466"/>
      <c r="Q1244" s="466"/>
    </row>
    <row r="1245" spans="1:17" ht="10.8" thickBot="1" x14ac:dyDescent="0.25">
      <c r="A1245" s="453">
        <f>A1243+1</f>
        <v>29</v>
      </c>
      <c r="B1245" s="454"/>
      <c r="C1245" s="454" t="s">
        <v>205</v>
      </c>
      <c r="D1245" s="456"/>
      <c r="E1245" s="499">
        <f t="shared" ref="E1245:O1245" si="370">E1241+E1243</f>
        <v>47762.95</v>
      </c>
      <c r="F1245" s="499">
        <f t="shared" si="370"/>
        <v>47762.95</v>
      </c>
      <c r="G1245" s="499">
        <f t="shared" si="370"/>
        <v>41662.949999999997</v>
      </c>
      <c r="H1245" s="499">
        <f t="shared" si="370"/>
        <v>41662.949999999997</v>
      </c>
      <c r="I1245" s="499">
        <f t="shared" si="370"/>
        <v>38762.949999999997</v>
      </c>
      <c r="J1245" s="499">
        <f t="shared" si="370"/>
        <v>38762.949999999997</v>
      </c>
      <c r="K1245" s="499">
        <f t="shared" si="370"/>
        <v>38762.949999999997</v>
      </c>
      <c r="L1245" s="499">
        <f t="shared" si="370"/>
        <v>38762.949999999997</v>
      </c>
      <c r="M1245" s="499">
        <f t="shared" si="370"/>
        <v>38762.949999999997</v>
      </c>
      <c r="N1245" s="499">
        <f t="shared" si="370"/>
        <v>38762.949999999997</v>
      </c>
      <c r="O1245" s="499">
        <f t="shared" si="370"/>
        <v>41662.949999999997</v>
      </c>
      <c r="P1245" s="499">
        <f>P1241+P1243</f>
        <v>47762.95</v>
      </c>
      <c r="Q1245" s="499">
        <f>SUM(E1245:P1245)</f>
        <v>500855.40000000008</v>
      </c>
    </row>
    <row r="1246" spans="1:17" ht="10.8" thickTop="1" x14ac:dyDescent="0.2">
      <c r="C1246" s="305"/>
    </row>
    <row r="1247" spans="1:17" x14ac:dyDescent="0.2">
      <c r="C1247" s="305"/>
      <c r="E1247" s="533"/>
    </row>
    <row r="1248" spans="1:17" x14ac:dyDescent="0.2">
      <c r="A1248" s="224" t="str">
        <f>$A$270</f>
        <v>[1] Reflects Normalized Volumes.</v>
      </c>
    </row>
    <row r="1250" spans="3:18" ht="10.8" thickBot="1" x14ac:dyDescent="0.25"/>
    <row r="1251" spans="3:18" x14ac:dyDescent="0.2">
      <c r="C1251" s="446"/>
      <c r="D1251" s="546"/>
      <c r="E1251" s="447"/>
      <c r="F1251" s="547"/>
      <c r="G1251" s="548"/>
      <c r="H1251" s="547"/>
      <c r="I1251" s="549"/>
      <c r="J1251" s="547"/>
      <c r="K1251" s="547"/>
      <c r="L1251" s="547"/>
      <c r="M1251" s="547"/>
      <c r="N1251" s="547"/>
      <c r="O1251" s="547"/>
      <c r="P1251" s="547"/>
      <c r="Q1251" s="448"/>
    </row>
    <row r="1252" spans="3:18" x14ac:dyDescent="0.2">
      <c r="C1252" s="449" t="s">
        <v>301</v>
      </c>
      <c r="D1252" s="501" t="s">
        <v>385</v>
      </c>
      <c r="E1252" s="305"/>
      <c r="F1252" s="422"/>
      <c r="G1252" s="442"/>
      <c r="H1252" s="422"/>
      <c r="I1252" s="443"/>
      <c r="J1252" s="422"/>
      <c r="K1252" s="422"/>
      <c r="L1252" s="422"/>
      <c r="M1252" s="422"/>
      <c r="N1252" s="422"/>
      <c r="O1252" s="422"/>
      <c r="P1252" s="422"/>
      <c r="Q1252" s="450"/>
    </row>
    <row r="1253" spans="3:18" x14ac:dyDescent="0.2">
      <c r="C1253" s="452"/>
      <c r="D1253" s="304" t="s">
        <v>348</v>
      </c>
      <c r="E1253" s="506">
        <f t="shared" ref="E1253:P1253" si="371">E401+E461++E478+E495+E529+E546+E596+E619</f>
        <v>1489612.52</v>
      </c>
      <c r="F1253" s="506">
        <f t="shared" si="371"/>
        <v>1492372.52</v>
      </c>
      <c r="G1253" s="506">
        <f t="shared" si="371"/>
        <v>1493407.52</v>
      </c>
      <c r="H1253" s="506">
        <f t="shared" si="371"/>
        <v>1493107.52</v>
      </c>
      <c r="I1253" s="506">
        <f t="shared" si="371"/>
        <v>1485877.52</v>
      </c>
      <c r="J1253" s="506">
        <f t="shared" si="371"/>
        <v>1471687.52</v>
      </c>
      <c r="K1253" s="506">
        <f t="shared" si="371"/>
        <v>1458862.52</v>
      </c>
      <c r="L1253" s="506">
        <f t="shared" si="371"/>
        <v>1464532.52</v>
      </c>
      <c r="M1253" s="506">
        <f t="shared" si="371"/>
        <v>1454962.52</v>
      </c>
      <c r="N1253" s="506">
        <f t="shared" si="371"/>
        <v>1454602.52</v>
      </c>
      <c r="O1253" s="506">
        <f t="shared" si="371"/>
        <v>1470142.52</v>
      </c>
      <c r="P1253" s="506">
        <f t="shared" si="371"/>
        <v>1484152.52</v>
      </c>
      <c r="Q1253" s="550">
        <f t="shared" ref="Q1253:Q1259" si="372">SUM(E1253:P1253)</f>
        <v>17713320.239999998</v>
      </c>
    </row>
    <row r="1254" spans="3:18" x14ac:dyDescent="0.2">
      <c r="C1254" s="452"/>
      <c r="D1254" s="304" t="s">
        <v>346</v>
      </c>
      <c r="E1254" s="506">
        <f t="shared" ref="E1254:P1254" si="373">E402+E462++E479+E496+E530+E547+E597+E620</f>
        <v>223400.25</v>
      </c>
      <c r="F1254" s="506">
        <f t="shared" si="373"/>
        <v>223814.25</v>
      </c>
      <c r="G1254" s="506">
        <f t="shared" si="373"/>
        <v>223969.5</v>
      </c>
      <c r="H1254" s="506">
        <f t="shared" si="373"/>
        <v>223924.5</v>
      </c>
      <c r="I1254" s="506">
        <f t="shared" si="373"/>
        <v>222840</v>
      </c>
      <c r="J1254" s="506">
        <f t="shared" si="373"/>
        <v>220711.5</v>
      </c>
      <c r="K1254" s="506">
        <f t="shared" si="373"/>
        <v>218787.75</v>
      </c>
      <c r="L1254" s="506">
        <f t="shared" si="373"/>
        <v>219638.25</v>
      </c>
      <c r="M1254" s="506">
        <f t="shared" si="373"/>
        <v>218202.75</v>
      </c>
      <c r="N1254" s="506">
        <f t="shared" si="373"/>
        <v>218148.75</v>
      </c>
      <c r="O1254" s="506">
        <f t="shared" si="373"/>
        <v>220479.75</v>
      </c>
      <c r="P1254" s="506">
        <f t="shared" si="373"/>
        <v>222581.25</v>
      </c>
      <c r="Q1254" s="550">
        <f t="shared" si="372"/>
        <v>2656498.5</v>
      </c>
    </row>
    <row r="1255" spans="3:18" x14ac:dyDescent="0.2">
      <c r="C1255" s="452"/>
      <c r="D1255" s="304" t="s">
        <v>386</v>
      </c>
      <c r="E1255" s="506">
        <f t="shared" ref="E1255:P1255" si="374">E405+E464+E481+E498+E532+E549+E605+E622</f>
        <v>3020514.56</v>
      </c>
      <c r="F1255" s="506">
        <f t="shared" si="374"/>
        <v>2927748.9</v>
      </c>
      <c r="G1255" s="506">
        <f t="shared" si="374"/>
        <v>2195938.5100000002</v>
      </c>
      <c r="H1255" s="506">
        <f t="shared" si="374"/>
        <v>1253040.96</v>
      </c>
      <c r="I1255" s="506">
        <f t="shared" si="374"/>
        <v>589103.84</v>
      </c>
      <c r="J1255" s="506">
        <f t="shared" si="374"/>
        <v>280977.00999999995</v>
      </c>
      <c r="K1255" s="506">
        <f t="shared" si="374"/>
        <v>201656.79</v>
      </c>
      <c r="L1255" s="506">
        <f t="shared" si="374"/>
        <v>194886.69</v>
      </c>
      <c r="M1255" s="506">
        <f t="shared" si="374"/>
        <v>201654.88999999998</v>
      </c>
      <c r="N1255" s="506">
        <f t="shared" si="374"/>
        <v>321626.19</v>
      </c>
      <c r="O1255" s="506">
        <f t="shared" si="374"/>
        <v>926590.65999999992</v>
      </c>
      <c r="P1255" s="506">
        <f t="shared" si="374"/>
        <v>2055288.74</v>
      </c>
      <c r="Q1255" s="550">
        <f t="shared" si="372"/>
        <v>14169027.739999998</v>
      </c>
    </row>
    <row r="1256" spans="3:18" x14ac:dyDescent="0.2">
      <c r="C1256" s="452"/>
      <c r="D1256" s="304" t="s">
        <v>352</v>
      </c>
      <c r="E1256" s="506">
        <f t="shared" ref="E1256:P1256" si="375">E409+E468+E485+E502+E536+E553+E609++E626</f>
        <v>2943328.4000000004</v>
      </c>
      <c r="F1256" s="506">
        <f t="shared" si="375"/>
        <v>2853047.57</v>
      </c>
      <c r="G1256" s="506">
        <f t="shared" si="375"/>
        <v>2139916.29</v>
      </c>
      <c r="H1256" s="506">
        <f t="shared" si="375"/>
        <v>1221031.8699999999</v>
      </c>
      <c r="I1256" s="506">
        <f t="shared" si="375"/>
        <v>574051.21000000008</v>
      </c>
      <c r="J1256" s="506">
        <f t="shared" si="375"/>
        <v>273806.23000000004</v>
      </c>
      <c r="K1256" s="506">
        <f t="shared" si="375"/>
        <v>196508.5</v>
      </c>
      <c r="L1256" s="506">
        <f t="shared" si="375"/>
        <v>189912.57</v>
      </c>
      <c r="M1256" s="506">
        <f t="shared" si="375"/>
        <v>196502.31999999998</v>
      </c>
      <c r="N1256" s="506">
        <f t="shared" si="375"/>
        <v>313365.92</v>
      </c>
      <c r="O1256" s="506">
        <f t="shared" si="375"/>
        <v>902862.71</v>
      </c>
      <c r="P1256" s="506">
        <f t="shared" si="375"/>
        <v>2002761</v>
      </c>
      <c r="Q1256" s="550">
        <f t="shared" si="372"/>
        <v>13807094.590000004</v>
      </c>
    </row>
    <row r="1257" spans="3:18" x14ac:dyDescent="0.2">
      <c r="C1257" s="452"/>
      <c r="D1257" s="305" t="s">
        <v>387</v>
      </c>
      <c r="E1257" s="506">
        <f t="shared" ref="E1257:P1257" si="376">E414</f>
        <v>68509.41</v>
      </c>
      <c r="F1257" s="506">
        <f t="shared" si="376"/>
        <v>68636.37</v>
      </c>
      <c r="G1257" s="506">
        <f t="shared" si="376"/>
        <v>68683.98</v>
      </c>
      <c r="H1257" s="506">
        <f t="shared" si="376"/>
        <v>68670.179999999993</v>
      </c>
      <c r="I1257" s="506">
        <f t="shared" si="376"/>
        <v>68337.600000000006</v>
      </c>
      <c r="J1257" s="506">
        <f t="shared" si="376"/>
        <v>67684.86</v>
      </c>
      <c r="K1257" s="506">
        <f t="shared" si="376"/>
        <v>67094.91</v>
      </c>
      <c r="L1257" s="506">
        <f t="shared" si="376"/>
        <v>67355.73</v>
      </c>
      <c r="M1257" s="506">
        <f t="shared" si="376"/>
        <v>66915.509999999995</v>
      </c>
      <c r="N1257" s="506">
        <f t="shared" si="376"/>
        <v>66898.95</v>
      </c>
      <c r="O1257" s="506">
        <f t="shared" si="376"/>
        <v>67613.789999999994</v>
      </c>
      <c r="P1257" s="506">
        <f t="shared" si="376"/>
        <v>68258.25</v>
      </c>
      <c r="Q1257" s="550">
        <f t="shared" si="372"/>
        <v>814659.54</v>
      </c>
    </row>
    <row r="1258" spans="3:18" x14ac:dyDescent="0.2">
      <c r="C1258" s="452"/>
      <c r="D1258" s="305" t="s">
        <v>388</v>
      </c>
      <c r="E1258" s="506">
        <f t="shared" ref="E1258:P1258" si="377">E415</f>
        <v>21310.51</v>
      </c>
      <c r="F1258" s="506">
        <f t="shared" si="377"/>
        <v>20658.43</v>
      </c>
      <c r="G1258" s="506">
        <f t="shared" si="377"/>
        <v>15494.45</v>
      </c>
      <c r="H1258" s="506">
        <f t="shared" si="377"/>
        <v>8840.85</v>
      </c>
      <c r="I1258" s="506">
        <f t="shared" si="377"/>
        <v>4156.42</v>
      </c>
      <c r="J1258" s="506">
        <f t="shared" si="377"/>
        <v>1982.58</v>
      </c>
      <c r="K1258" s="506">
        <f t="shared" si="377"/>
        <v>1422.88</v>
      </c>
      <c r="L1258" s="506">
        <f t="shared" si="377"/>
        <v>1375.05</v>
      </c>
      <c r="M1258" s="506">
        <f t="shared" si="377"/>
        <v>1422.77</v>
      </c>
      <c r="N1258" s="506">
        <f t="shared" si="377"/>
        <v>2268.5500000000002</v>
      </c>
      <c r="O1258" s="506">
        <f t="shared" si="377"/>
        <v>6536.68</v>
      </c>
      <c r="P1258" s="506">
        <f t="shared" si="377"/>
        <v>14500.12</v>
      </c>
      <c r="Q1258" s="550">
        <f t="shared" si="372"/>
        <v>99969.290000000008</v>
      </c>
    </row>
    <row r="1259" spans="3:18" ht="12" x14ac:dyDescent="0.35">
      <c r="C1259" s="452"/>
      <c r="D1259" s="305" t="s">
        <v>389</v>
      </c>
      <c r="E1259" s="551">
        <f t="shared" ref="E1259:P1259" si="378">E416</f>
        <v>79514.850000000006</v>
      </c>
      <c r="F1259" s="551">
        <f t="shared" si="378"/>
        <v>77081.759999999995</v>
      </c>
      <c r="G1259" s="551">
        <f t="shared" si="378"/>
        <v>57813.66</v>
      </c>
      <c r="H1259" s="551">
        <f t="shared" si="378"/>
        <v>32987.440000000002</v>
      </c>
      <c r="I1259" s="551">
        <f t="shared" si="378"/>
        <v>15508.65</v>
      </c>
      <c r="J1259" s="551">
        <f t="shared" si="378"/>
        <v>7397.5</v>
      </c>
      <c r="K1259" s="551">
        <f t="shared" si="378"/>
        <v>5309.12</v>
      </c>
      <c r="L1259" s="551">
        <f t="shared" si="378"/>
        <v>5130.66</v>
      </c>
      <c r="M1259" s="551">
        <f t="shared" si="378"/>
        <v>5308.7</v>
      </c>
      <c r="N1259" s="551">
        <f t="shared" si="378"/>
        <v>8464.52</v>
      </c>
      <c r="O1259" s="551">
        <f t="shared" si="378"/>
        <v>24389.98</v>
      </c>
      <c r="P1259" s="551">
        <f t="shared" si="378"/>
        <v>54103.55</v>
      </c>
      <c r="Q1259" s="552">
        <f t="shared" si="372"/>
        <v>373010.38999999996</v>
      </c>
    </row>
    <row r="1260" spans="3:18" x14ac:dyDescent="0.2">
      <c r="C1260" s="452"/>
      <c r="D1260" s="305"/>
      <c r="E1260" s="506">
        <f>SUM(E1253:E1259)</f>
        <v>7846190.5</v>
      </c>
      <c r="F1260" s="506">
        <f t="shared" ref="F1260:Q1260" si="379">SUM(F1253:F1259)</f>
        <v>7663359.7999999998</v>
      </c>
      <c r="G1260" s="506">
        <f t="shared" si="379"/>
        <v>6195223.9100000011</v>
      </c>
      <c r="H1260" s="506">
        <f t="shared" si="379"/>
        <v>4301603.3199999994</v>
      </c>
      <c r="I1260" s="506">
        <f t="shared" si="379"/>
        <v>2959875.2399999998</v>
      </c>
      <c r="J1260" s="506">
        <f t="shared" si="379"/>
        <v>2324247.2000000002</v>
      </c>
      <c r="K1260" s="506">
        <f t="shared" si="379"/>
        <v>2149642.4700000002</v>
      </c>
      <c r="L1260" s="506">
        <f t="shared" si="379"/>
        <v>2142831.4700000002</v>
      </c>
      <c r="M1260" s="506">
        <f t="shared" si="379"/>
        <v>2144969.46</v>
      </c>
      <c r="N1260" s="506">
        <f t="shared" si="379"/>
        <v>2385375.4</v>
      </c>
      <c r="O1260" s="506">
        <f t="shared" si="379"/>
        <v>3618616.09</v>
      </c>
      <c r="P1260" s="506">
        <f t="shared" si="379"/>
        <v>5901645.4299999997</v>
      </c>
      <c r="Q1260" s="550">
        <f t="shared" si="379"/>
        <v>49633580.289999999</v>
      </c>
      <c r="R1260" s="512">
        <f>SUM(Q1253:Q1257,Q1259)</f>
        <v>49533611</v>
      </c>
    </row>
    <row r="1261" spans="3:18" x14ac:dyDescent="0.2">
      <c r="C1261" s="452"/>
      <c r="D1261" s="305"/>
      <c r="E1261" s="506"/>
      <c r="F1261" s="506"/>
      <c r="G1261" s="506"/>
      <c r="H1261" s="506"/>
      <c r="I1261" s="506"/>
      <c r="J1261" s="506"/>
      <c r="K1261" s="506"/>
      <c r="L1261" s="506"/>
      <c r="M1261" s="506"/>
      <c r="N1261" s="506"/>
      <c r="O1261" s="506"/>
      <c r="P1261" s="506"/>
      <c r="Q1261" s="550"/>
    </row>
    <row r="1262" spans="3:18" x14ac:dyDescent="0.2">
      <c r="C1262" s="452"/>
      <c r="D1262" s="501" t="s">
        <v>390</v>
      </c>
      <c r="E1262" s="506"/>
      <c r="F1262" s="506"/>
      <c r="G1262" s="506"/>
      <c r="H1262" s="506"/>
      <c r="I1262" s="506"/>
      <c r="J1262" s="506"/>
      <c r="K1262" s="506"/>
      <c r="L1262" s="506"/>
      <c r="M1262" s="506"/>
      <c r="N1262" s="506"/>
      <c r="O1262" s="506"/>
      <c r="P1262" s="506"/>
      <c r="Q1262" s="550"/>
    </row>
    <row r="1263" spans="3:18" x14ac:dyDescent="0.2">
      <c r="C1263" s="452"/>
      <c r="D1263" s="304" t="s">
        <v>348</v>
      </c>
      <c r="E1263" s="506">
        <f>E427+E563+E652</f>
        <v>382933.26</v>
      </c>
      <c r="F1263" s="506">
        <f t="shared" ref="F1263:Q1263" si="380">F427+F563+F652</f>
        <v>385333.26</v>
      </c>
      <c r="G1263" s="506">
        <f t="shared" si="380"/>
        <v>376540.18</v>
      </c>
      <c r="H1263" s="506">
        <f t="shared" si="380"/>
        <v>375340.18</v>
      </c>
      <c r="I1263" s="506">
        <f t="shared" si="380"/>
        <v>370802.68</v>
      </c>
      <c r="J1263" s="506">
        <f t="shared" si="380"/>
        <v>366977.68</v>
      </c>
      <c r="K1263" s="506">
        <f t="shared" si="380"/>
        <v>367090.18</v>
      </c>
      <c r="L1263" s="506">
        <f t="shared" si="380"/>
        <v>366545.76</v>
      </c>
      <c r="M1263" s="506">
        <f t="shared" si="380"/>
        <v>365383.26</v>
      </c>
      <c r="N1263" s="506">
        <f t="shared" si="380"/>
        <v>366620.76</v>
      </c>
      <c r="O1263" s="506">
        <f t="shared" si="380"/>
        <v>371983.26</v>
      </c>
      <c r="P1263" s="506">
        <f t="shared" si="380"/>
        <v>378020.76</v>
      </c>
      <c r="Q1263" s="506">
        <f t="shared" si="380"/>
        <v>4473571.22</v>
      </c>
    </row>
    <row r="1264" spans="3:18" x14ac:dyDescent="0.2">
      <c r="C1264" s="452"/>
      <c r="D1264" s="304" t="s">
        <v>346</v>
      </c>
      <c r="E1264" s="506">
        <f t="shared" ref="E1264" si="381">E653</f>
        <v>81860.14</v>
      </c>
      <c r="F1264" s="506">
        <f t="shared" ref="F1264:Q1264" si="382">F653</f>
        <v>82373.42</v>
      </c>
      <c r="G1264" s="506">
        <f t="shared" si="382"/>
        <v>80480.7</v>
      </c>
      <c r="H1264" s="506">
        <f t="shared" si="382"/>
        <v>80224.06</v>
      </c>
      <c r="I1264" s="506">
        <f t="shared" si="382"/>
        <v>79253.64</v>
      </c>
      <c r="J1264" s="506">
        <f t="shared" si="382"/>
        <v>78435.600000000006</v>
      </c>
      <c r="K1264" s="506">
        <f t="shared" si="382"/>
        <v>78459.66</v>
      </c>
      <c r="L1264" s="506">
        <f t="shared" si="382"/>
        <v>78355.399999999994</v>
      </c>
      <c r="M1264" s="506">
        <f t="shared" si="382"/>
        <v>78106.78</v>
      </c>
      <c r="N1264" s="506">
        <f t="shared" si="382"/>
        <v>78371.44</v>
      </c>
      <c r="O1264" s="506">
        <f t="shared" si="382"/>
        <v>79518.3</v>
      </c>
      <c r="P1264" s="506">
        <f t="shared" si="382"/>
        <v>80809.52</v>
      </c>
      <c r="Q1264" s="506">
        <f t="shared" si="382"/>
        <v>956248.66000000015</v>
      </c>
    </row>
    <row r="1265" spans="3:17" x14ac:dyDescent="0.2">
      <c r="C1265" s="452"/>
      <c r="D1265" s="304" t="s">
        <v>386</v>
      </c>
      <c r="E1265" s="506">
        <f>E430+E566+E666</f>
        <v>1282117.94</v>
      </c>
      <c r="F1265" s="506">
        <f t="shared" ref="F1265:Q1265" si="383">F430+F566+F666</f>
        <v>1279706.9899999998</v>
      </c>
      <c r="G1265" s="506">
        <f t="shared" si="383"/>
        <v>913104.03</v>
      </c>
      <c r="H1265" s="506">
        <f t="shared" si="383"/>
        <v>560621.77</v>
      </c>
      <c r="I1265" s="506">
        <f t="shared" si="383"/>
        <v>274061.77999999997</v>
      </c>
      <c r="J1265" s="506">
        <f t="shared" si="383"/>
        <v>166245.19999999998</v>
      </c>
      <c r="K1265" s="506">
        <f t="shared" si="383"/>
        <v>119020.76000000001</v>
      </c>
      <c r="L1265" s="506">
        <f t="shared" si="383"/>
        <v>111058.33</v>
      </c>
      <c r="M1265" s="506">
        <f t="shared" si="383"/>
        <v>109360.22</v>
      </c>
      <c r="N1265" s="506">
        <f t="shared" si="383"/>
        <v>160600.69000000003</v>
      </c>
      <c r="O1265" s="506">
        <f t="shared" si="383"/>
        <v>348605.68</v>
      </c>
      <c r="P1265" s="506">
        <f t="shared" si="383"/>
        <v>837423.03999999992</v>
      </c>
      <c r="Q1265" s="506">
        <f t="shared" si="383"/>
        <v>6161926.4300000016</v>
      </c>
    </row>
    <row r="1266" spans="3:17" x14ac:dyDescent="0.2">
      <c r="C1266" s="452"/>
      <c r="D1266" s="304" t="s">
        <v>352</v>
      </c>
      <c r="E1266" s="506">
        <f>E434+E570+E670</f>
        <v>1460319.3699999999</v>
      </c>
      <c r="F1266" s="506">
        <f t="shared" ref="F1266:Q1266" si="384">F434+F570+F670</f>
        <v>1447923</v>
      </c>
      <c r="G1266" s="506">
        <f t="shared" si="384"/>
        <v>1010046.03</v>
      </c>
      <c r="H1266" s="506">
        <f t="shared" si="384"/>
        <v>612970.47</v>
      </c>
      <c r="I1266" s="506">
        <f t="shared" si="384"/>
        <v>297232.42000000004</v>
      </c>
      <c r="J1266" s="506">
        <f t="shared" si="384"/>
        <v>178354.56</v>
      </c>
      <c r="K1266" s="506">
        <f t="shared" si="384"/>
        <v>125383.20999999999</v>
      </c>
      <c r="L1266" s="506">
        <f t="shared" si="384"/>
        <v>116645.78</v>
      </c>
      <c r="M1266" s="506">
        <f t="shared" si="384"/>
        <v>114453.47</v>
      </c>
      <c r="N1266" s="506">
        <f t="shared" si="384"/>
        <v>170468.07</v>
      </c>
      <c r="O1266" s="506">
        <f t="shared" si="384"/>
        <v>378019.43</v>
      </c>
      <c r="P1266" s="506">
        <f t="shared" si="384"/>
        <v>936201.78</v>
      </c>
      <c r="Q1266" s="506">
        <f t="shared" si="384"/>
        <v>6848017.5900000008</v>
      </c>
    </row>
    <row r="1267" spans="3:17" ht="12" x14ac:dyDescent="0.35">
      <c r="C1267" s="452"/>
      <c r="D1267" s="305" t="s">
        <v>391</v>
      </c>
      <c r="E1267" s="551">
        <f t="shared" ref="E1267" si="385">E675</f>
        <v>10571.84</v>
      </c>
      <c r="F1267" s="551">
        <f t="shared" ref="F1267:Q1267" si="386">F675</f>
        <v>10480.969999999999</v>
      </c>
      <c r="G1267" s="551">
        <f t="shared" si="386"/>
        <v>7309.56</v>
      </c>
      <c r="H1267" s="551">
        <f t="shared" si="386"/>
        <v>4436.83</v>
      </c>
      <c r="I1267" s="551">
        <f t="shared" si="386"/>
        <v>2151.6799999999998</v>
      </c>
      <c r="J1267" s="551">
        <f t="shared" si="386"/>
        <v>1291.49</v>
      </c>
      <c r="K1267" s="551">
        <f t="shared" si="386"/>
        <v>907.66</v>
      </c>
      <c r="L1267" s="551">
        <f t="shared" si="386"/>
        <v>844.57</v>
      </c>
      <c r="M1267" s="551">
        <f t="shared" si="386"/>
        <v>828.82</v>
      </c>
      <c r="N1267" s="551">
        <f t="shared" si="386"/>
        <v>1234.31</v>
      </c>
      <c r="O1267" s="551">
        <f t="shared" si="386"/>
        <v>2736.57</v>
      </c>
      <c r="P1267" s="551">
        <f t="shared" si="386"/>
        <v>6777.13</v>
      </c>
      <c r="Q1267" s="551">
        <f t="shared" si="386"/>
        <v>49571.429999999993</v>
      </c>
    </row>
    <row r="1268" spans="3:17" x14ac:dyDescent="0.2">
      <c r="C1268" s="452"/>
      <c r="D1268" s="305"/>
      <c r="E1268" s="506">
        <f>SUM(E1263:E1267)</f>
        <v>3217802.55</v>
      </c>
      <c r="F1268" s="506">
        <f t="shared" ref="F1268:Q1268" si="387">SUM(F1263:F1267)</f>
        <v>3205817.64</v>
      </c>
      <c r="G1268" s="506">
        <f t="shared" si="387"/>
        <v>2387480.5000000005</v>
      </c>
      <c r="H1268" s="506">
        <f t="shared" si="387"/>
        <v>1633593.31</v>
      </c>
      <c r="I1268" s="506">
        <f t="shared" si="387"/>
        <v>1023502.2000000001</v>
      </c>
      <c r="J1268" s="506">
        <f t="shared" si="387"/>
        <v>791304.53</v>
      </c>
      <c r="K1268" s="506">
        <f t="shared" si="387"/>
        <v>690861.47</v>
      </c>
      <c r="L1268" s="506">
        <f t="shared" si="387"/>
        <v>673449.84</v>
      </c>
      <c r="M1268" s="506">
        <f t="shared" si="387"/>
        <v>668132.54999999993</v>
      </c>
      <c r="N1268" s="506">
        <f t="shared" si="387"/>
        <v>777295.27</v>
      </c>
      <c r="O1268" s="506">
        <f t="shared" si="387"/>
        <v>1180863.24</v>
      </c>
      <c r="P1268" s="506">
        <f t="shared" si="387"/>
        <v>2239232.2299999995</v>
      </c>
      <c r="Q1268" s="550">
        <f t="shared" si="387"/>
        <v>18489335.330000002</v>
      </c>
    </row>
    <row r="1269" spans="3:17" x14ac:dyDescent="0.2">
      <c r="C1269" s="452"/>
      <c r="D1269" s="305"/>
      <c r="E1269" s="506"/>
      <c r="F1269" s="506"/>
      <c r="G1269" s="506"/>
      <c r="H1269" s="506"/>
      <c r="I1269" s="506"/>
      <c r="J1269" s="506"/>
      <c r="K1269" s="506"/>
      <c r="L1269" s="506"/>
      <c r="M1269" s="506"/>
      <c r="N1269" s="506"/>
      <c r="O1269" s="506"/>
      <c r="P1269" s="506"/>
      <c r="Q1269" s="550"/>
    </row>
    <row r="1270" spans="3:17" x14ac:dyDescent="0.2">
      <c r="C1270" s="452"/>
      <c r="D1270" s="501" t="s">
        <v>392</v>
      </c>
      <c r="E1270" s="506"/>
      <c r="F1270" s="506"/>
      <c r="G1270" s="506"/>
      <c r="H1270" s="506"/>
      <c r="I1270" s="506"/>
      <c r="J1270" s="506"/>
      <c r="K1270" s="506"/>
      <c r="L1270" s="506"/>
      <c r="M1270" s="506"/>
      <c r="N1270" s="506"/>
      <c r="O1270" s="506"/>
      <c r="P1270" s="506"/>
      <c r="Q1270" s="550"/>
    </row>
    <row r="1271" spans="3:17" x14ac:dyDescent="0.2">
      <c r="C1271" s="452"/>
      <c r="D1271" s="304" t="s">
        <v>348</v>
      </c>
      <c r="E1271" s="506">
        <f t="shared" ref="E1271:P1271" si="388">E702+E753</f>
        <v>1612.5</v>
      </c>
      <c r="F1271" s="506">
        <f t="shared" si="388"/>
        <v>1612.5</v>
      </c>
      <c r="G1271" s="506">
        <f t="shared" si="388"/>
        <v>1612.5</v>
      </c>
      <c r="H1271" s="506">
        <f t="shared" si="388"/>
        <v>1612.5</v>
      </c>
      <c r="I1271" s="506">
        <f t="shared" si="388"/>
        <v>1612.5</v>
      </c>
      <c r="J1271" s="506">
        <f t="shared" si="388"/>
        <v>1650</v>
      </c>
      <c r="K1271" s="506">
        <f t="shared" si="388"/>
        <v>1650</v>
      </c>
      <c r="L1271" s="506">
        <f t="shared" si="388"/>
        <v>1687.5</v>
      </c>
      <c r="M1271" s="506">
        <f t="shared" si="388"/>
        <v>1650</v>
      </c>
      <c r="N1271" s="506">
        <f t="shared" si="388"/>
        <v>1650</v>
      </c>
      <c r="O1271" s="506">
        <f t="shared" si="388"/>
        <v>1650</v>
      </c>
      <c r="P1271" s="506">
        <f t="shared" si="388"/>
        <v>1650</v>
      </c>
      <c r="Q1271" s="550">
        <f>SUM(E1271:P1271)</f>
        <v>19650</v>
      </c>
    </row>
    <row r="1272" spans="3:17" x14ac:dyDescent="0.2">
      <c r="C1272" s="452"/>
      <c r="D1272" s="304" t="s">
        <v>346</v>
      </c>
      <c r="E1272" s="506">
        <f t="shared" ref="E1272:P1272" si="389">E703+E754</f>
        <v>344.86</v>
      </c>
      <c r="F1272" s="506">
        <f t="shared" si="389"/>
        <v>344.86</v>
      </c>
      <c r="G1272" s="506">
        <f t="shared" si="389"/>
        <v>344.86</v>
      </c>
      <c r="H1272" s="506">
        <f t="shared" si="389"/>
        <v>344.86</v>
      </c>
      <c r="I1272" s="506">
        <f t="shared" si="389"/>
        <v>344.86</v>
      </c>
      <c r="J1272" s="506">
        <f t="shared" si="389"/>
        <v>352.88</v>
      </c>
      <c r="K1272" s="506">
        <f t="shared" si="389"/>
        <v>352.88</v>
      </c>
      <c r="L1272" s="506">
        <f t="shared" si="389"/>
        <v>360.9</v>
      </c>
      <c r="M1272" s="506">
        <f t="shared" si="389"/>
        <v>352.88</v>
      </c>
      <c r="N1272" s="506">
        <f t="shared" si="389"/>
        <v>352.88</v>
      </c>
      <c r="O1272" s="506">
        <f t="shared" si="389"/>
        <v>352.88</v>
      </c>
      <c r="P1272" s="506">
        <f t="shared" si="389"/>
        <v>352.88</v>
      </c>
      <c r="Q1272" s="550">
        <f>SUM(E1272:P1272)</f>
        <v>4202.4800000000005</v>
      </c>
    </row>
    <row r="1273" spans="3:17" x14ac:dyDescent="0.2">
      <c r="C1273" s="452"/>
      <c r="D1273" s="304" t="s">
        <v>386</v>
      </c>
      <c r="E1273" s="506">
        <f t="shared" ref="E1273:P1273" si="390">E716+E763</f>
        <v>53763.89</v>
      </c>
      <c r="F1273" s="506">
        <f t="shared" si="390"/>
        <v>51972.65</v>
      </c>
      <c r="G1273" s="506">
        <f t="shared" si="390"/>
        <v>50375.73</v>
      </c>
      <c r="H1273" s="506">
        <f t="shared" si="390"/>
        <v>48487.57</v>
      </c>
      <c r="I1273" s="506">
        <f t="shared" si="390"/>
        <v>46323.95</v>
      </c>
      <c r="J1273" s="506">
        <f t="shared" si="390"/>
        <v>44391.880000000005</v>
      </c>
      <c r="K1273" s="506">
        <f t="shared" si="390"/>
        <v>44390.96</v>
      </c>
      <c r="L1273" s="506">
        <f t="shared" si="390"/>
        <v>46144.119999999995</v>
      </c>
      <c r="M1273" s="506">
        <f t="shared" si="390"/>
        <v>46139.14</v>
      </c>
      <c r="N1273" s="506">
        <f t="shared" si="390"/>
        <v>49590.81</v>
      </c>
      <c r="O1273" s="506">
        <f t="shared" si="390"/>
        <v>49948.39</v>
      </c>
      <c r="P1273" s="506">
        <f t="shared" si="390"/>
        <v>50324.149999999994</v>
      </c>
      <c r="Q1273" s="550">
        <f>SUM(E1273:P1273)</f>
        <v>581853.24000000011</v>
      </c>
    </row>
    <row r="1274" spans="3:17" x14ac:dyDescent="0.2">
      <c r="C1274" s="452"/>
      <c r="D1274" s="304" t="s">
        <v>352</v>
      </c>
      <c r="E1274" s="506">
        <f t="shared" ref="E1274:P1274" si="391">E720+E767</f>
        <v>72900.740000000005</v>
      </c>
      <c r="F1274" s="506">
        <f t="shared" si="391"/>
        <v>70690.98</v>
      </c>
      <c r="G1274" s="506">
        <f t="shared" si="391"/>
        <v>68261.19</v>
      </c>
      <c r="H1274" s="506">
        <f t="shared" si="391"/>
        <v>65830.960000000006</v>
      </c>
      <c r="I1274" s="506">
        <f t="shared" si="391"/>
        <v>63622.74</v>
      </c>
      <c r="J1274" s="506">
        <f t="shared" si="391"/>
        <v>61302.3</v>
      </c>
      <c r="K1274" s="506">
        <f t="shared" si="391"/>
        <v>61302.3</v>
      </c>
      <c r="L1274" s="506">
        <f t="shared" si="391"/>
        <v>63512.07</v>
      </c>
      <c r="M1274" s="506">
        <f t="shared" si="391"/>
        <v>63512.07</v>
      </c>
      <c r="N1274" s="506">
        <f t="shared" si="391"/>
        <v>68150.509999999995</v>
      </c>
      <c r="O1274" s="506">
        <f t="shared" si="391"/>
        <v>68261.19</v>
      </c>
      <c r="P1274" s="506">
        <f t="shared" si="391"/>
        <v>68482.320000000007</v>
      </c>
      <c r="Q1274" s="550">
        <f>SUM(E1274:P1274)</f>
        <v>795829.36999999988</v>
      </c>
    </row>
    <row r="1275" spans="3:17" ht="12" x14ac:dyDescent="0.35">
      <c r="C1275" s="452"/>
      <c r="D1275" s="305" t="s">
        <v>391</v>
      </c>
      <c r="E1275" s="551">
        <f t="shared" ref="E1275:P1275" si="392">E725+E772</f>
        <v>528</v>
      </c>
      <c r="F1275" s="551">
        <f t="shared" si="392"/>
        <v>512</v>
      </c>
      <c r="G1275" s="551">
        <f t="shared" si="392"/>
        <v>494.4</v>
      </c>
      <c r="H1275" s="551">
        <f t="shared" si="392"/>
        <v>476.8</v>
      </c>
      <c r="I1275" s="551">
        <f t="shared" si="392"/>
        <v>460.8</v>
      </c>
      <c r="J1275" s="551">
        <f t="shared" si="392"/>
        <v>444</v>
      </c>
      <c r="K1275" s="551">
        <f t="shared" si="392"/>
        <v>444</v>
      </c>
      <c r="L1275" s="551">
        <f t="shared" si="392"/>
        <v>460</v>
      </c>
      <c r="M1275" s="551">
        <f t="shared" si="392"/>
        <v>460</v>
      </c>
      <c r="N1275" s="551">
        <f t="shared" si="392"/>
        <v>493.6</v>
      </c>
      <c r="O1275" s="551">
        <f t="shared" si="392"/>
        <v>494.4</v>
      </c>
      <c r="P1275" s="551">
        <f t="shared" si="392"/>
        <v>496</v>
      </c>
      <c r="Q1275" s="552">
        <f>SUM(E1275:P1275)</f>
        <v>5764</v>
      </c>
    </row>
    <row r="1276" spans="3:17" x14ac:dyDescent="0.2">
      <c r="C1276" s="452"/>
      <c r="D1276" s="305"/>
      <c r="E1276" s="506">
        <f t="shared" ref="E1276:Q1276" si="393">SUM(E1271:E1275)</f>
        <v>129149.99</v>
      </c>
      <c r="F1276" s="506">
        <f t="shared" si="393"/>
        <v>125132.98999999999</v>
      </c>
      <c r="G1276" s="506">
        <f t="shared" si="393"/>
        <v>121088.68</v>
      </c>
      <c r="H1276" s="506">
        <f t="shared" si="393"/>
        <v>116752.69000000002</v>
      </c>
      <c r="I1276" s="506">
        <f t="shared" si="393"/>
        <v>112364.84999999999</v>
      </c>
      <c r="J1276" s="506">
        <f t="shared" si="393"/>
        <v>108141.06</v>
      </c>
      <c r="K1276" s="506">
        <f t="shared" si="393"/>
        <v>108140.14</v>
      </c>
      <c r="L1276" s="506">
        <f t="shared" si="393"/>
        <v>112164.59</v>
      </c>
      <c r="M1276" s="506">
        <f t="shared" si="393"/>
        <v>112114.09</v>
      </c>
      <c r="N1276" s="506">
        <f t="shared" si="393"/>
        <v>120237.79999999999</v>
      </c>
      <c r="O1276" s="506">
        <f t="shared" si="393"/>
        <v>120706.85999999999</v>
      </c>
      <c r="P1276" s="506">
        <f t="shared" si="393"/>
        <v>121305.35</v>
      </c>
      <c r="Q1276" s="550">
        <f t="shared" si="393"/>
        <v>1407299.0899999999</v>
      </c>
    </row>
    <row r="1277" spans="3:17" x14ac:dyDescent="0.2">
      <c r="C1277" s="452"/>
      <c r="D1277" s="305"/>
      <c r="E1277" s="506"/>
      <c r="F1277" s="506"/>
      <c r="G1277" s="506"/>
      <c r="H1277" s="506"/>
      <c r="I1277" s="506"/>
      <c r="J1277" s="506"/>
      <c r="K1277" s="506"/>
      <c r="L1277" s="506"/>
      <c r="M1277" s="506"/>
      <c r="N1277" s="506"/>
      <c r="O1277" s="506"/>
      <c r="P1277" s="506"/>
      <c r="Q1277" s="550"/>
    </row>
    <row r="1278" spans="3:17" x14ac:dyDescent="0.2">
      <c r="C1278" s="452"/>
      <c r="D1278" s="501" t="s">
        <v>393</v>
      </c>
      <c r="E1278" s="506"/>
      <c r="F1278" s="506"/>
      <c r="G1278" s="506"/>
      <c r="H1278" s="506"/>
      <c r="I1278" s="506"/>
      <c r="J1278" s="506"/>
      <c r="K1278" s="506"/>
      <c r="L1278" s="506"/>
      <c r="M1278" s="506"/>
      <c r="N1278" s="506"/>
      <c r="O1278" s="506"/>
      <c r="P1278" s="506"/>
      <c r="Q1278" s="550"/>
    </row>
    <row r="1279" spans="3:17" x14ac:dyDescent="0.2">
      <c r="C1279" s="452"/>
      <c r="D1279" s="304" t="s">
        <v>348</v>
      </c>
      <c r="E1279" s="506">
        <f t="shared" ref="E1279:P1279" si="394">E782</f>
        <v>954</v>
      </c>
      <c r="F1279" s="506">
        <f t="shared" si="394"/>
        <v>954</v>
      </c>
      <c r="G1279" s="506">
        <f t="shared" si="394"/>
        <v>954</v>
      </c>
      <c r="H1279" s="506">
        <f t="shared" si="394"/>
        <v>954</v>
      </c>
      <c r="I1279" s="506">
        <f t="shared" si="394"/>
        <v>954</v>
      </c>
      <c r="J1279" s="506">
        <f t="shared" si="394"/>
        <v>954</v>
      </c>
      <c r="K1279" s="506">
        <f t="shared" si="394"/>
        <v>954</v>
      </c>
      <c r="L1279" s="506">
        <f t="shared" si="394"/>
        <v>954</v>
      </c>
      <c r="M1279" s="506">
        <f t="shared" si="394"/>
        <v>954</v>
      </c>
      <c r="N1279" s="506">
        <f t="shared" si="394"/>
        <v>954</v>
      </c>
      <c r="O1279" s="506">
        <f t="shared" si="394"/>
        <v>954</v>
      </c>
      <c r="P1279" s="506">
        <f t="shared" si="394"/>
        <v>954</v>
      </c>
      <c r="Q1279" s="550">
        <f>SUM(E1279:P1279)</f>
        <v>11448</v>
      </c>
    </row>
    <row r="1280" spans="3:17" x14ac:dyDescent="0.2">
      <c r="C1280" s="452"/>
      <c r="D1280" s="304" t="s">
        <v>346</v>
      </c>
      <c r="E1280" s="506">
        <f t="shared" ref="E1280:P1280" si="395">E783</f>
        <v>153.91999999999999</v>
      </c>
      <c r="F1280" s="506">
        <f t="shared" si="395"/>
        <v>153.91999999999999</v>
      </c>
      <c r="G1280" s="506">
        <f t="shared" si="395"/>
        <v>153.91999999999999</v>
      </c>
      <c r="H1280" s="506">
        <f t="shared" si="395"/>
        <v>153.91999999999999</v>
      </c>
      <c r="I1280" s="506">
        <f t="shared" si="395"/>
        <v>153.91999999999999</v>
      </c>
      <c r="J1280" s="506">
        <f t="shared" si="395"/>
        <v>153.91999999999999</v>
      </c>
      <c r="K1280" s="506">
        <f t="shared" si="395"/>
        <v>153.91999999999999</v>
      </c>
      <c r="L1280" s="506">
        <f t="shared" si="395"/>
        <v>153.91999999999999</v>
      </c>
      <c r="M1280" s="506">
        <f t="shared" si="395"/>
        <v>153.91999999999999</v>
      </c>
      <c r="N1280" s="506">
        <f t="shared" si="395"/>
        <v>153.91999999999999</v>
      </c>
      <c r="O1280" s="506">
        <f t="shared" si="395"/>
        <v>153.91999999999999</v>
      </c>
      <c r="P1280" s="506">
        <f t="shared" si="395"/>
        <v>153.91999999999999</v>
      </c>
      <c r="Q1280" s="550">
        <f>SUM(E1280:P1280)</f>
        <v>1847.0400000000002</v>
      </c>
    </row>
    <row r="1281" spans="3:17" x14ac:dyDescent="0.2">
      <c r="C1281" s="452"/>
      <c r="D1281" s="304" t="s">
        <v>386</v>
      </c>
      <c r="E1281" s="506">
        <f t="shared" ref="E1281:P1281" si="396">E786</f>
        <v>2556.41</v>
      </c>
      <c r="F1281" s="506">
        <f t="shared" si="396"/>
        <v>1880.37</v>
      </c>
      <c r="G1281" s="506">
        <f t="shared" si="396"/>
        <v>895.36</v>
      </c>
      <c r="H1281" s="506">
        <f t="shared" si="396"/>
        <v>522.99</v>
      </c>
      <c r="I1281" s="506">
        <f t="shared" si="396"/>
        <v>295.76</v>
      </c>
      <c r="J1281" s="506">
        <f t="shared" si="396"/>
        <v>180.44</v>
      </c>
      <c r="K1281" s="506">
        <f t="shared" si="396"/>
        <v>199.68</v>
      </c>
      <c r="L1281" s="506">
        <f t="shared" si="396"/>
        <v>159.97999999999999</v>
      </c>
      <c r="M1281" s="506">
        <f t="shared" si="396"/>
        <v>160.22999999999999</v>
      </c>
      <c r="N1281" s="506">
        <f t="shared" si="396"/>
        <v>574.74</v>
      </c>
      <c r="O1281" s="506">
        <f t="shared" si="396"/>
        <v>826.65</v>
      </c>
      <c r="P1281" s="506">
        <f t="shared" si="396"/>
        <v>973.76</v>
      </c>
      <c r="Q1281" s="550">
        <f>SUM(E1281:P1281)</f>
        <v>9226.369999999999</v>
      </c>
    </row>
    <row r="1282" spans="3:17" x14ac:dyDescent="0.2">
      <c r="C1282" s="452"/>
      <c r="D1282" s="304" t="s">
        <v>352</v>
      </c>
      <c r="E1282" s="506">
        <f t="shared" ref="E1282:P1282" si="397">E790</f>
        <v>6929.28</v>
      </c>
      <c r="F1282" s="506">
        <f t="shared" si="397"/>
        <v>5096.84</v>
      </c>
      <c r="G1282" s="506">
        <f t="shared" si="397"/>
        <v>2426.92</v>
      </c>
      <c r="H1282" s="506">
        <f t="shared" si="397"/>
        <v>1417.58</v>
      </c>
      <c r="I1282" s="506">
        <f t="shared" si="397"/>
        <v>801.68</v>
      </c>
      <c r="J1282" s="506">
        <f t="shared" si="397"/>
        <v>489.09</v>
      </c>
      <c r="K1282" s="506">
        <f t="shared" si="397"/>
        <v>541.23</v>
      </c>
      <c r="L1282" s="506">
        <f t="shared" si="397"/>
        <v>433.65</v>
      </c>
      <c r="M1282" s="506">
        <f t="shared" si="397"/>
        <v>434.31</v>
      </c>
      <c r="N1282" s="506">
        <f t="shared" si="397"/>
        <v>1557.86</v>
      </c>
      <c r="O1282" s="506">
        <f t="shared" si="397"/>
        <v>2240.69</v>
      </c>
      <c r="P1282" s="506">
        <f t="shared" si="397"/>
        <v>2639.43</v>
      </c>
      <c r="Q1282" s="550">
        <f>SUM(E1282:P1282)</f>
        <v>25008.560000000001</v>
      </c>
    </row>
    <row r="1283" spans="3:17" ht="12" x14ac:dyDescent="0.35">
      <c r="C1283" s="452"/>
      <c r="D1283" s="305" t="s">
        <v>391</v>
      </c>
      <c r="E1283" s="551">
        <f t="shared" ref="E1283:P1283" si="398">E795</f>
        <v>50.19</v>
      </c>
      <c r="F1283" s="551">
        <f t="shared" si="398"/>
        <v>36.92</v>
      </c>
      <c r="G1283" s="551">
        <f t="shared" si="398"/>
        <v>17.579999999999998</v>
      </c>
      <c r="H1283" s="551">
        <f t="shared" si="398"/>
        <v>10.27</v>
      </c>
      <c r="I1283" s="551">
        <f t="shared" si="398"/>
        <v>5.81</v>
      </c>
      <c r="J1283" s="551">
        <f t="shared" si="398"/>
        <v>3.54</v>
      </c>
      <c r="K1283" s="551">
        <f t="shared" si="398"/>
        <v>3.92</v>
      </c>
      <c r="L1283" s="551">
        <f t="shared" si="398"/>
        <v>3.14</v>
      </c>
      <c r="M1283" s="551">
        <f t="shared" si="398"/>
        <v>3.15</v>
      </c>
      <c r="N1283" s="551">
        <f t="shared" si="398"/>
        <v>11.28</v>
      </c>
      <c r="O1283" s="551">
        <f t="shared" si="398"/>
        <v>16.23</v>
      </c>
      <c r="P1283" s="551">
        <f t="shared" si="398"/>
        <v>19.12</v>
      </c>
      <c r="Q1283" s="552">
        <f>SUM(E1283:P1283)</f>
        <v>181.14999999999998</v>
      </c>
    </row>
    <row r="1284" spans="3:17" x14ac:dyDescent="0.2">
      <c r="C1284" s="452"/>
      <c r="D1284" s="304"/>
      <c r="E1284" s="506">
        <f t="shared" ref="E1284:Q1284" si="399">SUM(E1279:E1283)</f>
        <v>10643.800000000001</v>
      </c>
      <c r="F1284" s="506">
        <f t="shared" si="399"/>
        <v>8122.05</v>
      </c>
      <c r="G1284" s="506">
        <f t="shared" si="399"/>
        <v>4447.7800000000007</v>
      </c>
      <c r="H1284" s="506">
        <f t="shared" si="399"/>
        <v>3058.7599999999998</v>
      </c>
      <c r="I1284" s="506">
        <f t="shared" si="399"/>
        <v>2211.17</v>
      </c>
      <c r="J1284" s="506">
        <f t="shared" si="399"/>
        <v>1780.99</v>
      </c>
      <c r="K1284" s="506">
        <f t="shared" si="399"/>
        <v>1852.7500000000002</v>
      </c>
      <c r="L1284" s="506">
        <f t="shared" si="399"/>
        <v>1704.6900000000003</v>
      </c>
      <c r="M1284" s="506">
        <f t="shared" si="399"/>
        <v>1705.6100000000001</v>
      </c>
      <c r="N1284" s="506">
        <f t="shared" si="399"/>
        <v>3251.8</v>
      </c>
      <c r="O1284" s="506">
        <f t="shared" si="399"/>
        <v>4191.49</v>
      </c>
      <c r="P1284" s="506">
        <f t="shared" si="399"/>
        <v>4740.2300000000005</v>
      </c>
      <c r="Q1284" s="550">
        <f t="shared" si="399"/>
        <v>47711.12</v>
      </c>
    </row>
    <row r="1285" spans="3:17" ht="10.8" thickBot="1" x14ac:dyDescent="0.25">
      <c r="C1285" s="452"/>
      <c r="D1285" s="304"/>
      <c r="E1285" s="506"/>
      <c r="F1285" s="506"/>
      <c r="G1285" s="506"/>
      <c r="H1285" s="506"/>
      <c r="I1285" s="506"/>
      <c r="J1285" s="506"/>
      <c r="K1285" s="506"/>
      <c r="L1285" s="506"/>
      <c r="M1285" s="506"/>
      <c r="N1285" s="506"/>
      <c r="O1285" s="506"/>
      <c r="P1285" s="506"/>
      <c r="Q1285" s="550"/>
    </row>
    <row r="1286" spans="3:17" x14ac:dyDescent="0.2">
      <c r="C1286" s="452"/>
      <c r="D1286" s="553" t="s">
        <v>394</v>
      </c>
      <c r="E1286" s="554"/>
      <c r="F1286" s="554"/>
      <c r="G1286" s="554"/>
      <c r="H1286" s="554"/>
      <c r="I1286" s="554"/>
      <c r="J1286" s="554"/>
      <c r="K1286" s="554"/>
      <c r="L1286" s="554"/>
      <c r="M1286" s="554"/>
      <c r="N1286" s="554"/>
      <c r="O1286" s="554"/>
      <c r="P1286" s="554"/>
      <c r="Q1286" s="555"/>
    </row>
    <row r="1287" spans="3:17" x14ac:dyDescent="0.2">
      <c r="C1287" s="452"/>
      <c r="D1287" s="556" t="s">
        <v>348</v>
      </c>
      <c r="E1287" s="506">
        <f>E1253+E1263+E1271+E1279</f>
        <v>1875112.28</v>
      </c>
      <c r="F1287" s="506">
        <f t="shared" ref="F1287:P1287" si="400">F1253+F1263+F1271+F1279</f>
        <v>1880272.28</v>
      </c>
      <c r="G1287" s="506">
        <f t="shared" si="400"/>
        <v>1872514.2</v>
      </c>
      <c r="H1287" s="506">
        <f t="shared" si="400"/>
        <v>1871014.2</v>
      </c>
      <c r="I1287" s="506">
        <f t="shared" si="400"/>
        <v>1859246.7</v>
      </c>
      <c r="J1287" s="506">
        <f t="shared" si="400"/>
        <v>1841269.2</v>
      </c>
      <c r="K1287" s="506">
        <f t="shared" si="400"/>
        <v>1828556.7</v>
      </c>
      <c r="L1287" s="506">
        <f t="shared" si="400"/>
        <v>1833719.78</v>
      </c>
      <c r="M1287" s="506">
        <f t="shared" si="400"/>
        <v>1822949.78</v>
      </c>
      <c r="N1287" s="506">
        <f t="shared" si="400"/>
        <v>1823827.28</v>
      </c>
      <c r="O1287" s="506">
        <f t="shared" si="400"/>
        <v>1844729.78</v>
      </c>
      <c r="P1287" s="506">
        <f t="shared" si="400"/>
        <v>1864777.28</v>
      </c>
      <c r="Q1287" s="550">
        <f t="shared" ref="Q1287:Q1293" si="401">SUM(E1287:P1287)</f>
        <v>22217989.460000001</v>
      </c>
    </row>
    <row r="1288" spans="3:17" x14ac:dyDescent="0.2">
      <c r="C1288" s="452"/>
      <c r="D1288" s="556" t="s">
        <v>346</v>
      </c>
      <c r="E1288" s="506">
        <f t="shared" ref="E1288:P1290" si="402">E1254+E1264+E1272+E1280</f>
        <v>305759.17</v>
      </c>
      <c r="F1288" s="506">
        <f t="shared" si="402"/>
        <v>306686.44999999995</v>
      </c>
      <c r="G1288" s="506">
        <f t="shared" si="402"/>
        <v>304948.98</v>
      </c>
      <c r="H1288" s="506">
        <f t="shared" si="402"/>
        <v>304647.33999999997</v>
      </c>
      <c r="I1288" s="506">
        <f t="shared" si="402"/>
        <v>302592.42</v>
      </c>
      <c r="J1288" s="506">
        <f t="shared" si="402"/>
        <v>299653.89999999997</v>
      </c>
      <c r="K1288" s="506">
        <f t="shared" si="402"/>
        <v>297754.21000000002</v>
      </c>
      <c r="L1288" s="506">
        <f t="shared" si="402"/>
        <v>298508.47000000003</v>
      </c>
      <c r="M1288" s="506">
        <f t="shared" si="402"/>
        <v>296816.33</v>
      </c>
      <c r="N1288" s="506">
        <f t="shared" si="402"/>
        <v>297026.99</v>
      </c>
      <c r="O1288" s="506">
        <f t="shared" si="402"/>
        <v>300504.84999999998</v>
      </c>
      <c r="P1288" s="506">
        <f t="shared" si="402"/>
        <v>303897.57</v>
      </c>
      <c r="Q1288" s="550">
        <f t="shared" si="401"/>
        <v>3618796.6799999997</v>
      </c>
    </row>
    <row r="1289" spans="3:17" x14ac:dyDescent="0.2">
      <c r="C1289" s="452"/>
      <c r="D1289" s="556" t="s">
        <v>386</v>
      </c>
      <c r="E1289" s="506">
        <f t="shared" si="402"/>
        <v>4358952.8</v>
      </c>
      <c r="F1289" s="506">
        <f t="shared" si="402"/>
        <v>4261308.91</v>
      </c>
      <c r="G1289" s="506">
        <f t="shared" si="402"/>
        <v>3160313.63</v>
      </c>
      <c r="H1289" s="506">
        <f t="shared" si="402"/>
        <v>1862673.29</v>
      </c>
      <c r="I1289" s="506">
        <f t="shared" si="402"/>
        <v>909785.32999999984</v>
      </c>
      <c r="J1289" s="506">
        <f t="shared" si="402"/>
        <v>491794.52999999997</v>
      </c>
      <c r="K1289" s="506">
        <f t="shared" si="402"/>
        <v>365268.19000000006</v>
      </c>
      <c r="L1289" s="506">
        <f t="shared" si="402"/>
        <v>352249.12</v>
      </c>
      <c r="M1289" s="506">
        <f t="shared" si="402"/>
        <v>357314.48</v>
      </c>
      <c r="N1289" s="506">
        <f t="shared" si="402"/>
        <v>532392.42999999993</v>
      </c>
      <c r="O1289" s="506">
        <f t="shared" si="402"/>
        <v>1325971.3799999997</v>
      </c>
      <c r="P1289" s="506">
        <f t="shared" si="402"/>
        <v>2944009.6899999995</v>
      </c>
      <c r="Q1289" s="550">
        <f t="shared" si="401"/>
        <v>20922033.779999994</v>
      </c>
    </row>
    <row r="1290" spans="3:17" x14ac:dyDescent="0.2">
      <c r="C1290" s="452"/>
      <c r="D1290" s="556" t="s">
        <v>352</v>
      </c>
      <c r="E1290" s="506">
        <f t="shared" si="402"/>
        <v>4483477.790000001</v>
      </c>
      <c r="F1290" s="506">
        <f t="shared" si="402"/>
        <v>4376758.3900000006</v>
      </c>
      <c r="G1290" s="506">
        <f t="shared" si="402"/>
        <v>3220650.43</v>
      </c>
      <c r="H1290" s="506">
        <f t="shared" si="402"/>
        <v>1901250.88</v>
      </c>
      <c r="I1290" s="506">
        <f t="shared" si="402"/>
        <v>935708.05000000016</v>
      </c>
      <c r="J1290" s="506">
        <f t="shared" si="402"/>
        <v>513952.18000000005</v>
      </c>
      <c r="K1290" s="506">
        <f t="shared" si="402"/>
        <v>383735.23999999993</v>
      </c>
      <c r="L1290" s="506">
        <f t="shared" si="402"/>
        <v>370504.07</v>
      </c>
      <c r="M1290" s="506">
        <f t="shared" si="402"/>
        <v>374902.17</v>
      </c>
      <c r="N1290" s="506">
        <f t="shared" si="402"/>
        <v>553542.36</v>
      </c>
      <c r="O1290" s="506">
        <f t="shared" si="402"/>
        <v>1351384.0199999998</v>
      </c>
      <c r="P1290" s="506">
        <f t="shared" si="402"/>
        <v>3010084.5300000003</v>
      </c>
      <c r="Q1290" s="550">
        <f t="shared" si="401"/>
        <v>21475950.110000003</v>
      </c>
    </row>
    <row r="1291" spans="3:17" x14ac:dyDescent="0.2">
      <c r="C1291" s="452"/>
      <c r="D1291" s="452" t="s">
        <v>387</v>
      </c>
      <c r="E1291" s="506">
        <f>E1257</f>
        <v>68509.41</v>
      </c>
      <c r="F1291" s="506">
        <f t="shared" ref="F1291:P1291" si="403">F1257</f>
        <v>68636.37</v>
      </c>
      <c r="G1291" s="506">
        <f t="shared" si="403"/>
        <v>68683.98</v>
      </c>
      <c r="H1291" s="506">
        <f t="shared" si="403"/>
        <v>68670.179999999993</v>
      </c>
      <c r="I1291" s="506">
        <f t="shared" si="403"/>
        <v>68337.600000000006</v>
      </c>
      <c r="J1291" s="506">
        <f t="shared" si="403"/>
        <v>67684.86</v>
      </c>
      <c r="K1291" s="506">
        <f t="shared" si="403"/>
        <v>67094.91</v>
      </c>
      <c r="L1291" s="506">
        <f t="shared" si="403"/>
        <v>67355.73</v>
      </c>
      <c r="M1291" s="506">
        <f t="shared" si="403"/>
        <v>66915.509999999995</v>
      </c>
      <c r="N1291" s="506">
        <f t="shared" si="403"/>
        <v>66898.95</v>
      </c>
      <c r="O1291" s="506">
        <f t="shared" si="403"/>
        <v>67613.789999999994</v>
      </c>
      <c r="P1291" s="506">
        <f t="shared" si="403"/>
        <v>68258.25</v>
      </c>
      <c r="Q1291" s="550">
        <f t="shared" si="401"/>
        <v>814659.54</v>
      </c>
    </row>
    <row r="1292" spans="3:17" x14ac:dyDescent="0.2">
      <c r="C1292" s="452"/>
      <c r="D1292" s="452" t="s">
        <v>388</v>
      </c>
      <c r="E1292" s="506">
        <f>E1258+E1267+E1275+E1283</f>
        <v>32460.539999999997</v>
      </c>
      <c r="F1292" s="506">
        <f t="shared" ref="F1292:P1292" si="404">F1258+F1267+F1275+F1283</f>
        <v>31688.32</v>
      </c>
      <c r="G1292" s="506">
        <f t="shared" si="404"/>
        <v>23315.990000000005</v>
      </c>
      <c r="H1292" s="506">
        <f t="shared" si="404"/>
        <v>13764.75</v>
      </c>
      <c r="I1292" s="506">
        <f t="shared" si="404"/>
        <v>6774.7100000000009</v>
      </c>
      <c r="J1292" s="506">
        <f t="shared" si="404"/>
        <v>3721.6099999999997</v>
      </c>
      <c r="K1292" s="506">
        <f t="shared" si="404"/>
        <v>2778.46</v>
      </c>
      <c r="L1292" s="506">
        <f t="shared" si="404"/>
        <v>2682.7599999999998</v>
      </c>
      <c r="M1292" s="506">
        <f t="shared" si="404"/>
        <v>2714.7400000000002</v>
      </c>
      <c r="N1292" s="506">
        <f t="shared" si="404"/>
        <v>4007.7400000000002</v>
      </c>
      <c r="O1292" s="506">
        <f t="shared" si="404"/>
        <v>9783.8799999999992</v>
      </c>
      <c r="P1292" s="506">
        <f t="shared" si="404"/>
        <v>21792.37</v>
      </c>
      <c r="Q1292" s="550">
        <f t="shared" si="401"/>
        <v>155485.87000000002</v>
      </c>
    </row>
    <row r="1293" spans="3:17" ht="12" x14ac:dyDescent="0.35">
      <c r="C1293" s="452"/>
      <c r="D1293" s="452" t="s">
        <v>389</v>
      </c>
      <c r="E1293" s="551">
        <f>E1259</f>
        <v>79514.850000000006</v>
      </c>
      <c r="F1293" s="551">
        <f t="shared" ref="F1293:P1293" si="405">F1259</f>
        <v>77081.759999999995</v>
      </c>
      <c r="G1293" s="551">
        <f t="shared" si="405"/>
        <v>57813.66</v>
      </c>
      <c r="H1293" s="551">
        <f t="shared" si="405"/>
        <v>32987.440000000002</v>
      </c>
      <c r="I1293" s="551">
        <f t="shared" si="405"/>
        <v>15508.65</v>
      </c>
      <c r="J1293" s="551">
        <f t="shared" si="405"/>
        <v>7397.5</v>
      </c>
      <c r="K1293" s="551">
        <f t="shared" si="405"/>
        <v>5309.12</v>
      </c>
      <c r="L1293" s="551">
        <f t="shared" si="405"/>
        <v>5130.66</v>
      </c>
      <c r="M1293" s="551">
        <f t="shared" si="405"/>
        <v>5308.7</v>
      </c>
      <c r="N1293" s="551">
        <f t="shared" si="405"/>
        <v>8464.52</v>
      </c>
      <c r="O1293" s="551">
        <f t="shared" si="405"/>
        <v>24389.98</v>
      </c>
      <c r="P1293" s="551">
        <f t="shared" si="405"/>
        <v>54103.55</v>
      </c>
      <c r="Q1293" s="552">
        <f t="shared" si="401"/>
        <v>373010.38999999996</v>
      </c>
    </row>
    <row r="1294" spans="3:17" x14ac:dyDescent="0.2">
      <c r="C1294" s="452"/>
      <c r="D1294" s="452"/>
      <c r="E1294" s="506">
        <f t="shared" ref="E1294:Q1294" si="406">SUM(E1287:E1293)</f>
        <v>11203786.84</v>
      </c>
      <c r="F1294" s="506">
        <f t="shared" si="406"/>
        <v>11002432.48</v>
      </c>
      <c r="G1294" s="506">
        <f t="shared" si="406"/>
        <v>8708240.870000001</v>
      </c>
      <c r="H1294" s="506">
        <f t="shared" si="406"/>
        <v>6055008.0800000001</v>
      </c>
      <c r="I1294" s="506">
        <f t="shared" si="406"/>
        <v>4097953.4600000004</v>
      </c>
      <c r="J1294" s="506">
        <f t="shared" si="406"/>
        <v>3225473.78</v>
      </c>
      <c r="K1294" s="506">
        <f t="shared" si="406"/>
        <v>2950496.83</v>
      </c>
      <c r="L1294" s="506">
        <f t="shared" si="406"/>
        <v>2930150.59</v>
      </c>
      <c r="M1294" s="506">
        <f t="shared" si="406"/>
        <v>2926921.71</v>
      </c>
      <c r="N1294" s="506">
        <f t="shared" si="406"/>
        <v>3286160.2700000005</v>
      </c>
      <c r="O1294" s="506">
        <f t="shared" si="406"/>
        <v>4924377.68</v>
      </c>
      <c r="P1294" s="506">
        <f t="shared" si="406"/>
        <v>8266923.2399999993</v>
      </c>
      <c r="Q1294" s="550">
        <f t="shared" si="406"/>
        <v>69577925.830000013</v>
      </c>
    </row>
    <row r="1295" spans="3:17" ht="10.8" thickBot="1" x14ac:dyDescent="0.25">
      <c r="C1295" s="452"/>
      <c r="D1295" s="459"/>
      <c r="E1295" s="558"/>
      <c r="F1295" s="558"/>
      <c r="G1295" s="558"/>
      <c r="H1295" s="558"/>
      <c r="I1295" s="558"/>
      <c r="J1295" s="558"/>
      <c r="K1295" s="558"/>
      <c r="L1295" s="558"/>
      <c r="M1295" s="558"/>
      <c r="N1295" s="558"/>
      <c r="O1295" s="558"/>
      <c r="P1295" s="558"/>
      <c r="Q1295" s="559"/>
    </row>
    <row r="1296" spans="3:17" x14ac:dyDescent="0.2">
      <c r="C1296" s="452"/>
      <c r="D1296" s="304"/>
      <c r="E1296" s="506"/>
      <c r="F1296" s="506"/>
      <c r="G1296" s="506"/>
      <c r="H1296" s="506"/>
      <c r="I1296" s="506"/>
      <c r="J1296" s="506"/>
      <c r="K1296" s="506"/>
      <c r="L1296" s="506"/>
      <c r="M1296" s="506"/>
      <c r="N1296" s="506"/>
      <c r="O1296" s="506"/>
      <c r="P1296" s="506"/>
      <c r="Q1296" s="550"/>
    </row>
    <row r="1297" spans="3:18" x14ac:dyDescent="0.2">
      <c r="C1297" s="452"/>
      <c r="D1297" s="501" t="s">
        <v>396</v>
      </c>
      <c r="E1297" s="305"/>
      <c r="F1297" s="422"/>
      <c r="G1297" s="442"/>
      <c r="H1297" s="422"/>
      <c r="I1297" s="443"/>
      <c r="J1297" s="422"/>
      <c r="K1297" s="422"/>
      <c r="L1297" s="422"/>
      <c r="M1297" s="422"/>
      <c r="N1297" s="422"/>
      <c r="O1297" s="422"/>
      <c r="P1297" s="422"/>
      <c r="Q1297" s="450"/>
    </row>
    <row r="1298" spans="3:18" x14ac:dyDescent="0.2">
      <c r="C1298" s="452"/>
      <c r="D1298" s="304" t="s">
        <v>348</v>
      </c>
      <c r="E1298" s="506">
        <f t="shared" ref="E1298:P1298" si="407">E822</f>
        <v>355800</v>
      </c>
      <c r="F1298" s="506">
        <f t="shared" si="407"/>
        <v>356775</v>
      </c>
      <c r="G1298" s="506">
        <f t="shared" si="407"/>
        <v>356790</v>
      </c>
      <c r="H1298" s="506">
        <f t="shared" si="407"/>
        <v>355410</v>
      </c>
      <c r="I1298" s="506">
        <f t="shared" si="407"/>
        <v>354180</v>
      </c>
      <c r="J1298" s="506">
        <f t="shared" si="407"/>
        <v>350790</v>
      </c>
      <c r="K1298" s="506">
        <f t="shared" si="407"/>
        <v>348570</v>
      </c>
      <c r="L1298" s="506">
        <f t="shared" si="407"/>
        <v>348345</v>
      </c>
      <c r="M1298" s="506">
        <f t="shared" si="407"/>
        <v>347685</v>
      </c>
      <c r="N1298" s="506">
        <f t="shared" si="407"/>
        <v>347820</v>
      </c>
      <c r="O1298" s="506">
        <f t="shared" si="407"/>
        <v>351870</v>
      </c>
      <c r="P1298" s="506">
        <f t="shared" si="407"/>
        <v>355155</v>
      </c>
      <c r="Q1298" s="550">
        <f>SUM(E1298:P1298)</f>
        <v>4229190</v>
      </c>
    </row>
    <row r="1299" spans="3:18" x14ac:dyDescent="0.2">
      <c r="C1299" s="452"/>
      <c r="D1299" s="304" t="s">
        <v>346</v>
      </c>
      <c r="E1299" s="506">
        <f t="shared" ref="E1299:P1299" si="408">E823</f>
        <v>53370</v>
      </c>
      <c r="F1299" s="506">
        <f t="shared" si="408"/>
        <v>53516.25</v>
      </c>
      <c r="G1299" s="506">
        <f t="shared" si="408"/>
        <v>53518.5</v>
      </c>
      <c r="H1299" s="506">
        <f t="shared" si="408"/>
        <v>53311.5</v>
      </c>
      <c r="I1299" s="506">
        <f t="shared" si="408"/>
        <v>53127</v>
      </c>
      <c r="J1299" s="506">
        <f t="shared" si="408"/>
        <v>52618.5</v>
      </c>
      <c r="K1299" s="506">
        <f t="shared" si="408"/>
        <v>52285.5</v>
      </c>
      <c r="L1299" s="506">
        <f t="shared" si="408"/>
        <v>52251.75</v>
      </c>
      <c r="M1299" s="506">
        <f t="shared" si="408"/>
        <v>52152.75</v>
      </c>
      <c r="N1299" s="506">
        <f t="shared" si="408"/>
        <v>52173</v>
      </c>
      <c r="O1299" s="506">
        <f t="shared" si="408"/>
        <v>52780.5</v>
      </c>
      <c r="P1299" s="506">
        <f t="shared" si="408"/>
        <v>53273.25</v>
      </c>
      <c r="Q1299" s="550">
        <f>SUM(E1299:P1299)</f>
        <v>634378.5</v>
      </c>
    </row>
    <row r="1300" spans="3:18" x14ac:dyDescent="0.2">
      <c r="C1300" s="452"/>
      <c r="D1300" s="304" t="s">
        <v>386</v>
      </c>
      <c r="E1300" s="506">
        <f t="shared" ref="E1300:P1300" si="409">E826</f>
        <v>825042.4</v>
      </c>
      <c r="F1300" s="506">
        <f t="shared" si="409"/>
        <v>800109.8</v>
      </c>
      <c r="G1300" s="506">
        <f t="shared" si="409"/>
        <v>600649</v>
      </c>
      <c r="H1300" s="506">
        <f t="shared" si="409"/>
        <v>342256.6</v>
      </c>
      <c r="I1300" s="506">
        <f t="shared" si="409"/>
        <v>160928.6</v>
      </c>
      <c r="J1300" s="506">
        <f t="shared" si="409"/>
        <v>77064.399999999994</v>
      </c>
      <c r="K1300" s="506">
        <f t="shared" si="409"/>
        <v>54398.400000000001</v>
      </c>
      <c r="L1300" s="506">
        <f t="shared" si="409"/>
        <v>52131.8</v>
      </c>
      <c r="M1300" s="506">
        <f t="shared" si="409"/>
        <v>56665</v>
      </c>
      <c r="N1300" s="506">
        <f t="shared" si="409"/>
        <v>88397.4</v>
      </c>
      <c r="O1300" s="506">
        <f t="shared" si="409"/>
        <v>251592.6</v>
      </c>
      <c r="P1300" s="506">
        <f t="shared" si="409"/>
        <v>559850.19999999995</v>
      </c>
      <c r="Q1300" s="550">
        <f>SUM(E1300:P1300)</f>
        <v>3869086.2</v>
      </c>
    </row>
    <row r="1301" spans="3:18" x14ac:dyDescent="0.2">
      <c r="C1301" s="452"/>
      <c r="D1301" s="305" t="s">
        <v>387</v>
      </c>
      <c r="E1301" s="506">
        <f t="shared" ref="E1301:P1301" si="410">E835</f>
        <v>16366.8</v>
      </c>
      <c r="F1301" s="506">
        <f t="shared" si="410"/>
        <v>16411.650000000001</v>
      </c>
      <c r="G1301" s="506">
        <f t="shared" si="410"/>
        <v>16412.34</v>
      </c>
      <c r="H1301" s="506">
        <f t="shared" si="410"/>
        <v>16348.86</v>
      </c>
      <c r="I1301" s="506">
        <f t="shared" si="410"/>
        <v>16292.28</v>
      </c>
      <c r="J1301" s="506">
        <f t="shared" si="410"/>
        <v>16136.34</v>
      </c>
      <c r="K1301" s="506">
        <f t="shared" si="410"/>
        <v>16034.22</v>
      </c>
      <c r="L1301" s="506">
        <f t="shared" si="410"/>
        <v>16023.87</v>
      </c>
      <c r="M1301" s="506">
        <f t="shared" si="410"/>
        <v>15993.51</v>
      </c>
      <c r="N1301" s="506">
        <f t="shared" si="410"/>
        <v>15999.72</v>
      </c>
      <c r="O1301" s="506">
        <f t="shared" si="410"/>
        <v>16186.02</v>
      </c>
      <c r="P1301" s="506">
        <f t="shared" si="410"/>
        <v>16337.13</v>
      </c>
      <c r="Q1301" s="550">
        <f>SUM(E1301:P1301)</f>
        <v>194542.74</v>
      </c>
    </row>
    <row r="1302" spans="3:18" ht="12" x14ac:dyDescent="0.35">
      <c r="C1302" s="452"/>
      <c r="D1302" s="305" t="s">
        <v>389</v>
      </c>
      <c r="E1302" s="551">
        <f t="shared" ref="E1302:P1302" si="411">E836</f>
        <v>21730.799999999999</v>
      </c>
      <c r="F1302" s="551">
        <f t="shared" si="411"/>
        <v>21074.1</v>
      </c>
      <c r="G1302" s="551">
        <f t="shared" si="411"/>
        <v>15820.5</v>
      </c>
      <c r="H1302" s="551">
        <f t="shared" si="411"/>
        <v>9014.7000000000007</v>
      </c>
      <c r="I1302" s="551">
        <f t="shared" si="411"/>
        <v>4238.7</v>
      </c>
      <c r="J1302" s="551">
        <f t="shared" si="411"/>
        <v>2029.8</v>
      </c>
      <c r="K1302" s="551">
        <f t="shared" si="411"/>
        <v>1432.8</v>
      </c>
      <c r="L1302" s="551">
        <f t="shared" si="411"/>
        <v>1373.1</v>
      </c>
      <c r="M1302" s="551">
        <f t="shared" si="411"/>
        <v>1492.5</v>
      </c>
      <c r="N1302" s="551">
        <f t="shared" si="411"/>
        <v>2328.3000000000002</v>
      </c>
      <c r="O1302" s="551">
        <f t="shared" si="411"/>
        <v>6626.7</v>
      </c>
      <c r="P1302" s="551">
        <f t="shared" si="411"/>
        <v>14745.9</v>
      </c>
      <c r="Q1302" s="552">
        <f>SUM(E1302:P1302)</f>
        <v>101907.9</v>
      </c>
    </row>
    <row r="1303" spans="3:18" x14ac:dyDescent="0.2">
      <c r="C1303" s="452"/>
      <c r="D1303" s="305"/>
      <c r="E1303" s="506">
        <f t="shared" ref="E1303:Q1303" si="412">SUM(E1298:E1302)</f>
        <v>1272310</v>
      </c>
      <c r="F1303" s="506">
        <f t="shared" si="412"/>
        <v>1247886.8</v>
      </c>
      <c r="G1303" s="506">
        <f t="shared" si="412"/>
        <v>1043190.34</v>
      </c>
      <c r="H1303" s="506">
        <f t="shared" si="412"/>
        <v>776341.65999999992</v>
      </c>
      <c r="I1303" s="506">
        <f t="shared" si="412"/>
        <v>588766.57999999996</v>
      </c>
      <c r="J1303" s="506">
        <f t="shared" si="412"/>
        <v>498639.04000000004</v>
      </c>
      <c r="K1303" s="506">
        <f t="shared" si="412"/>
        <v>472720.92</v>
      </c>
      <c r="L1303" s="506">
        <f t="shared" si="412"/>
        <v>470125.51999999996</v>
      </c>
      <c r="M1303" s="506">
        <f t="shared" si="412"/>
        <v>473988.76</v>
      </c>
      <c r="N1303" s="506">
        <f t="shared" si="412"/>
        <v>506718.42</v>
      </c>
      <c r="O1303" s="506">
        <f t="shared" si="412"/>
        <v>679055.82</v>
      </c>
      <c r="P1303" s="506">
        <f t="shared" si="412"/>
        <v>999361.48</v>
      </c>
      <c r="Q1303" s="550">
        <f t="shared" si="412"/>
        <v>9029105.3399999999</v>
      </c>
      <c r="R1303" s="512">
        <f>Q1303</f>
        <v>9029105.3399999999</v>
      </c>
    </row>
    <row r="1304" spans="3:18" x14ac:dyDescent="0.2">
      <c r="C1304" s="452"/>
      <c r="D1304" s="305"/>
      <c r="E1304" s="506"/>
      <c r="F1304" s="506"/>
      <c r="G1304" s="506"/>
      <c r="H1304" s="506"/>
      <c r="I1304" s="506"/>
      <c r="J1304" s="506"/>
      <c r="K1304" s="506"/>
      <c r="L1304" s="506"/>
      <c r="M1304" s="506"/>
      <c r="N1304" s="506"/>
      <c r="O1304" s="506"/>
      <c r="P1304" s="506"/>
      <c r="Q1304" s="550"/>
    </row>
    <row r="1305" spans="3:18" x14ac:dyDescent="0.2">
      <c r="C1305" s="452"/>
      <c r="D1305" s="501" t="s">
        <v>395</v>
      </c>
      <c r="E1305" s="305"/>
      <c r="F1305" s="422"/>
      <c r="G1305" s="442"/>
      <c r="H1305" s="422"/>
      <c r="I1305" s="443"/>
      <c r="J1305" s="422"/>
      <c r="K1305" s="422"/>
      <c r="L1305" s="422"/>
      <c r="M1305" s="422"/>
      <c r="N1305" s="422"/>
      <c r="O1305" s="422"/>
      <c r="P1305" s="422"/>
      <c r="Q1305" s="450"/>
    </row>
    <row r="1306" spans="3:18" x14ac:dyDescent="0.2">
      <c r="C1306" s="452"/>
      <c r="D1306" s="304" t="s">
        <v>348</v>
      </c>
      <c r="E1306" s="506">
        <f t="shared" ref="E1306:P1306" si="413">E847++E937+E938+E1003+E1004+E1095+E1096+E1113+E1114+E1205+E1206</f>
        <v>190715.14999999994</v>
      </c>
      <c r="F1306" s="506">
        <f t="shared" si="413"/>
        <v>180098.59999999995</v>
      </c>
      <c r="G1306" s="506">
        <f t="shared" si="413"/>
        <v>190748.59999999995</v>
      </c>
      <c r="H1306" s="506">
        <f t="shared" si="413"/>
        <v>190298.59999999995</v>
      </c>
      <c r="I1306" s="506">
        <f t="shared" si="413"/>
        <v>189436.09999999995</v>
      </c>
      <c r="J1306" s="506">
        <f t="shared" si="413"/>
        <v>188836.09999999995</v>
      </c>
      <c r="K1306" s="506">
        <f t="shared" si="413"/>
        <v>189986.99999999997</v>
      </c>
      <c r="L1306" s="506">
        <f t="shared" si="413"/>
        <v>186674.04999999996</v>
      </c>
      <c r="M1306" s="506">
        <f t="shared" si="413"/>
        <v>185474.04999999996</v>
      </c>
      <c r="N1306" s="506">
        <f t="shared" si="413"/>
        <v>184536.54999999996</v>
      </c>
      <c r="O1306" s="506">
        <f t="shared" si="413"/>
        <v>184867.9</v>
      </c>
      <c r="P1306" s="506">
        <f t="shared" si="413"/>
        <v>211511.19999999995</v>
      </c>
      <c r="Q1306" s="550">
        <f>SUM(E1306:P1306)</f>
        <v>2273183.8999999994</v>
      </c>
    </row>
    <row r="1307" spans="3:18" x14ac:dyDescent="0.2">
      <c r="C1307" s="452"/>
      <c r="D1307" s="304" t="s">
        <v>346</v>
      </c>
      <c r="E1307" s="506">
        <f t="shared" ref="E1307:P1307" si="414">E848+E939++E1005+E1207</f>
        <v>49302.17</v>
      </c>
      <c r="F1307" s="506">
        <f t="shared" si="414"/>
        <v>45031.299999999996</v>
      </c>
      <c r="G1307" s="506">
        <f t="shared" si="414"/>
        <v>47308.979999999996</v>
      </c>
      <c r="H1307" s="506">
        <f t="shared" si="414"/>
        <v>47212.74</v>
      </c>
      <c r="I1307" s="506">
        <f t="shared" si="414"/>
        <v>47028.28</v>
      </c>
      <c r="J1307" s="506">
        <f t="shared" si="414"/>
        <v>46899.96</v>
      </c>
      <c r="K1307" s="506">
        <f t="shared" si="414"/>
        <v>47590.619999999995</v>
      </c>
      <c r="L1307" s="506">
        <f t="shared" si="414"/>
        <v>46659.829999999994</v>
      </c>
      <c r="M1307" s="506">
        <f t="shared" si="414"/>
        <v>46403.189999999995</v>
      </c>
      <c r="N1307" s="506">
        <f t="shared" si="414"/>
        <v>46202.689999999995</v>
      </c>
      <c r="O1307" s="506">
        <f t="shared" si="414"/>
        <v>46483.86</v>
      </c>
      <c r="P1307" s="506">
        <f t="shared" si="414"/>
        <v>57972.700000000004</v>
      </c>
      <c r="Q1307" s="550">
        <f>SUM(E1307:P1307)</f>
        <v>574096.31999999995</v>
      </c>
    </row>
    <row r="1308" spans="3:18" ht="12" x14ac:dyDescent="0.35">
      <c r="C1308" s="452"/>
      <c r="D1308" s="304" t="s">
        <v>386</v>
      </c>
      <c r="E1308" s="551">
        <f t="shared" ref="E1308:P1308" si="415">E861++E948+E1018+E1099+E1117+E1216</f>
        <v>805528.1</v>
      </c>
      <c r="F1308" s="551">
        <f t="shared" si="415"/>
        <v>777514.0399999998</v>
      </c>
      <c r="G1308" s="551">
        <f t="shared" si="415"/>
        <v>621150.56000000006</v>
      </c>
      <c r="H1308" s="551">
        <f t="shared" si="415"/>
        <v>424117.92</v>
      </c>
      <c r="I1308" s="551">
        <f t="shared" si="415"/>
        <v>290295.2</v>
      </c>
      <c r="J1308" s="551">
        <f t="shared" si="415"/>
        <v>228411.20999999996</v>
      </c>
      <c r="K1308" s="551">
        <f t="shared" si="415"/>
        <v>215237.19999999998</v>
      </c>
      <c r="L1308" s="551">
        <f t="shared" si="415"/>
        <v>208997.4</v>
      </c>
      <c r="M1308" s="551">
        <f t="shared" si="415"/>
        <v>226524.57</v>
      </c>
      <c r="N1308" s="551">
        <f t="shared" si="415"/>
        <v>293097.12</v>
      </c>
      <c r="O1308" s="551">
        <f t="shared" si="415"/>
        <v>422078.36999999994</v>
      </c>
      <c r="P1308" s="551">
        <f t="shared" si="415"/>
        <v>621816.76000000013</v>
      </c>
      <c r="Q1308" s="552">
        <f>SUM(E1308:P1308)</f>
        <v>5134768.4499999993</v>
      </c>
    </row>
    <row r="1309" spans="3:18" x14ac:dyDescent="0.2">
      <c r="C1309" s="452"/>
      <c r="D1309" s="305"/>
      <c r="E1309" s="506">
        <f>SUM(E1306:E1308)</f>
        <v>1045545.4199999999</v>
      </c>
      <c r="F1309" s="506">
        <f t="shared" ref="F1309:Q1309" si="416">SUM(F1306:F1308)</f>
        <v>1002643.9399999997</v>
      </c>
      <c r="G1309" s="506">
        <f t="shared" si="416"/>
        <v>859208.14</v>
      </c>
      <c r="H1309" s="506">
        <f t="shared" si="416"/>
        <v>661629.25999999989</v>
      </c>
      <c r="I1309" s="506">
        <f t="shared" si="416"/>
        <v>526759.57999999996</v>
      </c>
      <c r="J1309" s="506">
        <f t="shared" si="416"/>
        <v>464147.2699999999</v>
      </c>
      <c r="K1309" s="506">
        <f t="shared" si="416"/>
        <v>452814.81999999995</v>
      </c>
      <c r="L1309" s="506">
        <f t="shared" si="416"/>
        <v>442331.27999999991</v>
      </c>
      <c r="M1309" s="506">
        <f t="shared" si="416"/>
        <v>458401.80999999994</v>
      </c>
      <c r="N1309" s="506">
        <f t="shared" si="416"/>
        <v>523836.36</v>
      </c>
      <c r="O1309" s="506">
        <f t="shared" si="416"/>
        <v>653430.12999999989</v>
      </c>
      <c r="P1309" s="506">
        <f t="shared" si="416"/>
        <v>891300.66000000015</v>
      </c>
      <c r="Q1309" s="550">
        <f t="shared" si="416"/>
        <v>7982048.6699999981</v>
      </c>
    </row>
    <row r="1310" spans="3:18" x14ac:dyDescent="0.2">
      <c r="C1310" s="452"/>
      <c r="D1310" s="305"/>
      <c r="E1310" s="506"/>
      <c r="F1310" s="506"/>
      <c r="G1310" s="506"/>
      <c r="H1310" s="506"/>
      <c r="I1310" s="506"/>
      <c r="J1310" s="506"/>
      <c r="K1310" s="506"/>
      <c r="L1310" s="506"/>
      <c r="M1310" s="506"/>
      <c r="N1310" s="506"/>
      <c r="O1310" s="506"/>
      <c r="P1310" s="506"/>
      <c r="Q1310" s="550"/>
    </row>
    <row r="1311" spans="3:18" x14ac:dyDescent="0.2">
      <c r="C1311" s="452"/>
      <c r="D1311" s="501" t="s">
        <v>397</v>
      </c>
      <c r="E1311" s="305"/>
      <c r="F1311" s="422"/>
      <c r="G1311" s="442"/>
      <c r="H1311" s="422"/>
      <c r="I1311" s="443"/>
      <c r="J1311" s="422"/>
      <c r="K1311" s="422"/>
      <c r="L1311" s="422"/>
      <c r="M1311" s="422"/>
      <c r="N1311" s="422"/>
      <c r="O1311" s="422"/>
      <c r="P1311" s="422"/>
      <c r="Q1311" s="450"/>
    </row>
    <row r="1312" spans="3:18" x14ac:dyDescent="0.2">
      <c r="C1312" s="452"/>
      <c r="D1312" s="304" t="s">
        <v>348</v>
      </c>
      <c r="E1312" s="506">
        <f t="shared" ref="E1312:P1312" si="417">E892+E962+E963+E1031+E1032+E1077+E1078+E1147+E1148+E1165+E1166+E1229+E1230</f>
        <v>47004.85</v>
      </c>
      <c r="F1312" s="506">
        <f t="shared" si="417"/>
        <v>47004.85</v>
      </c>
      <c r="G1312" s="506">
        <f t="shared" si="417"/>
        <v>46967.35</v>
      </c>
      <c r="H1312" s="506">
        <f t="shared" si="417"/>
        <v>47004.85</v>
      </c>
      <c r="I1312" s="506">
        <f t="shared" si="417"/>
        <v>46967.35</v>
      </c>
      <c r="J1312" s="506">
        <f t="shared" si="417"/>
        <v>46967.35</v>
      </c>
      <c r="K1312" s="506">
        <f t="shared" si="417"/>
        <v>46967.35</v>
      </c>
      <c r="L1312" s="506">
        <f t="shared" si="417"/>
        <v>46967.35</v>
      </c>
      <c r="M1312" s="506">
        <f t="shared" si="417"/>
        <v>46967.35</v>
      </c>
      <c r="N1312" s="506">
        <f t="shared" si="417"/>
        <v>46967.35</v>
      </c>
      <c r="O1312" s="506">
        <f t="shared" si="417"/>
        <v>47004.85</v>
      </c>
      <c r="P1312" s="506">
        <f t="shared" si="417"/>
        <v>47004.85</v>
      </c>
      <c r="Q1312" s="550">
        <f>SUM(E1312:P1312)</f>
        <v>563795.69999999984</v>
      </c>
    </row>
    <row r="1313" spans="3:17" x14ac:dyDescent="0.2">
      <c r="C1313" s="452"/>
      <c r="D1313" s="304" t="s">
        <v>346</v>
      </c>
      <c r="E1313" s="506">
        <f t="shared" ref="E1313:P1313" si="418">E893+E964+E1033</f>
        <v>17758.569999999996</v>
      </c>
      <c r="F1313" s="506">
        <f t="shared" si="418"/>
        <v>17758.569999999996</v>
      </c>
      <c r="G1313" s="506">
        <f t="shared" si="418"/>
        <v>17750.55</v>
      </c>
      <c r="H1313" s="506">
        <f t="shared" si="418"/>
        <v>17758.569999999996</v>
      </c>
      <c r="I1313" s="506">
        <f t="shared" si="418"/>
        <v>17750.55</v>
      </c>
      <c r="J1313" s="506">
        <f t="shared" si="418"/>
        <v>17750.55</v>
      </c>
      <c r="K1313" s="506">
        <f t="shared" si="418"/>
        <v>17750.55</v>
      </c>
      <c r="L1313" s="506">
        <f t="shared" si="418"/>
        <v>17750.55</v>
      </c>
      <c r="M1313" s="506">
        <f t="shared" si="418"/>
        <v>17750.55</v>
      </c>
      <c r="N1313" s="506">
        <f t="shared" si="418"/>
        <v>17750.55</v>
      </c>
      <c r="O1313" s="506">
        <f t="shared" si="418"/>
        <v>17758.569999999996</v>
      </c>
      <c r="P1313" s="506">
        <f t="shared" si="418"/>
        <v>17758.569999999996</v>
      </c>
      <c r="Q1313" s="550">
        <f>SUM(E1313:P1313)</f>
        <v>213046.69999999998</v>
      </c>
    </row>
    <row r="1314" spans="3:17" ht="12" x14ac:dyDescent="0.35">
      <c r="C1314" s="452"/>
      <c r="D1314" s="304" t="s">
        <v>386</v>
      </c>
      <c r="E1314" s="551">
        <f t="shared" ref="E1314:P1314" si="419">E906+E973+E1046+E1081++E1151+E1175+E1239</f>
        <v>431404.13</v>
      </c>
      <c r="F1314" s="551">
        <f t="shared" si="419"/>
        <v>393901.82999999996</v>
      </c>
      <c r="G1314" s="551">
        <f t="shared" si="419"/>
        <v>365478.75999999995</v>
      </c>
      <c r="H1314" s="551">
        <f t="shared" si="419"/>
        <v>322985.34000000003</v>
      </c>
      <c r="I1314" s="551">
        <f t="shared" si="419"/>
        <v>298525.78000000003</v>
      </c>
      <c r="J1314" s="551">
        <f t="shared" si="419"/>
        <v>280198.89</v>
      </c>
      <c r="K1314" s="551">
        <f t="shared" si="419"/>
        <v>260303.09999999998</v>
      </c>
      <c r="L1314" s="551">
        <f t="shared" si="419"/>
        <v>281934.58999999997</v>
      </c>
      <c r="M1314" s="551">
        <f t="shared" si="419"/>
        <v>294985.81000000006</v>
      </c>
      <c r="N1314" s="551">
        <f t="shared" si="419"/>
        <v>331558.39</v>
      </c>
      <c r="O1314" s="551">
        <f t="shared" si="419"/>
        <v>369486.7</v>
      </c>
      <c r="P1314" s="551">
        <f t="shared" si="419"/>
        <v>388302.50999999995</v>
      </c>
      <c r="Q1314" s="552">
        <f>SUM(E1314:P1314)</f>
        <v>4019065.83</v>
      </c>
    </row>
    <row r="1315" spans="3:17" x14ac:dyDescent="0.2">
      <c r="C1315" s="452"/>
      <c r="D1315" s="305"/>
      <c r="E1315" s="506">
        <f t="shared" ref="E1315:Q1315" si="420">SUM(E1312:E1314)</f>
        <v>496167.55</v>
      </c>
      <c r="F1315" s="506">
        <f t="shared" si="420"/>
        <v>458665.24999999994</v>
      </c>
      <c r="G1315" s="506">
        <f t="shared" si="420"/>
        <v>430196.65999999992</v>
      </c>
      <c r="H1315" s="506">
        <f t="shared" si="420"/>
        <v>387748.76</v>
      </c>
      <c r="I1315" s="506">
        <f t="shared" si="420"/>
        <v>363243.68000000005</v>
      </c>
      <c r="J1315" s="506">
        <f t="shared" si="420"/>
        <v>344916.79000000004</v>
      </c>
      <c r="K1315" s="506">
        <f t="shared" si="420"/>
        <v>325021</v>
      </c>
      <c r="L1315" s="506">
        <f t="shared" si="420"/>
        <v>346652.49</v>
      </c>
      <c r="M1315" s="506">
        <f t="shared" si="420"/>
        <v>359703.71000000008</v>
      </c>
      <c r="N1315" s="506">
        <f t="shared" si="420"/>
        <v>396276.29000000004</v>
      </c>
      <c r="O1315" s="506">
        <f t="shared" si="420"/>
        <v>434250.12</v>
      </c>
      <c r="P1315" s="506">
        <f t="shared" si="420"/>
        <v>453065.92999999993</v>
      </c>
      <c r="Q1315" s="550">
        <f t="shared" si="420"/>
        <v>4795908.2299999995</v>
      </c>
    </row>
    <row r="1316" spans="3:17" ht="10.8" thickBot="1" x14ac:dyDescent="0.25">
      <c r="C1316" s="452"/>
      <c r="D1316" s="304"/>
      <c r="E1316" s="506"/>
      <c r="F1316" s="506"/>
      <c r="G1316" s="506"/>
      <c r="H1316" s="506"/>
      <c r="I1316" s="506"/>
      <c r="J1316" s="506"/>
      <c r="K1316" s="506"/>
      <c r="L1316" s="506"/>
      <c r="M1316" s="506"/>
      <c r="N1316" s="506"/>
      <c r="O1316" s="506"/>
      <c r="P1316" s="506"/>
      <c r="Q1316" s="550"/>
    </row>
    <row r="1317" spans="3:17" x14ac:dyDescent="0.2">
      <c r="C1317" s="452"/>
      <c r="D1317" s="553" t="s">
        <v>18</v>
      </c>
      <c r="E1317" s="447"/>
      <c r="F1317" s="547"/>
      <c r="G1317" s="548"/>
      <c r="H1317" s="547"/>
      <c r="I1317" s="549"/>
      <c r="J1317" s="547"/>
      <c r="K1317" s="547"/>
      <c r="L1317" s="547"/>
      <c r="M1317" s="547"/>
      <c r="N1317" s="547"/>
      <c r="O1317" s="547"/>
      <c r="P1317" s="547"/>
      <c r="Q1317" s="448"/>
    </row>
    <row r="1318" spans="3:17" x14ac:dyDescent="0.2">
      <c r="C1318" s="452"/>
      <c r="D1318" s="556" t="s">
        <v>348</v>
      </c>
      <c r="E1318" s="506">
        <f>E1298+E1306+E1312</f>
        <v>593519.99999999988</v>
      </c>
      <c r="F1318" s="506">
        <f t="shared" ref="F1318:P1318" si="421">F1298+F1306+F1312</f>
        <v>583878.44999999995</v>
      </c>
      <c r="G1318" s="506">
        <f t="shared" si="421"/>
        <v>594505.94999999995</v>
      </c>
      <c r="H1318" s="506">
        <f t="shared" si="421"/>
        <v>592713.44999999995</v>
      </c>
      <c r="I1318" s="506">
        <f t="shared" si="421"/>
        <v>590583.44999999995</v>
      </c>
      <c r="J1318" s="506">
        <f t="shared" si="421"/>
        <v>586593.44999999995</v>
      </c>
      <c r="K1318" s="506">
        <f t="shared" si="421"/>
        <v>585524.35</v>
      </c>
      <c r="L1318" s="506">
        <f t="shared" si="421"/>
        <v>581986.39999999991</v>
      </c>
      <c r="M1318" s="506">
        <f t="shared" si="421"/>
        <v>580126.39999999991</v>
      </c>
      <c r="N1318" s="506">
        <f t="shared" si="421"/>
        <v>579323.89999999991</v>
      </c>
      <c r="O1318" s="506">
        <f t="shared" si="421"/>
        <v>583742.75</v>
      </c>
      <c r="P1318" s="506">
        <f t="shared" si="421"/>
        <v>613671.04999999993</v>
      </c>
      <c r="Q1318" s="550">
        <f>SUM(E1318:P1318)</f>
        <v>7066169.6000000006</v>
      </c>
    </row>
    <row r="1319" spans="3:17" x14ac:dyDescent="0.2">
      <c r="C1319" s="452"/>
      <c r="D1319" s="556" t="s">
        <v>346</v>
      </c>
      <c r="E1319" s="506">
        <f t="shared" ref="E1319:P1320" si="422">E1299+E1307+E1313</f>
        <v>120430.73999999999</v>
      </c>
      <c r="F1319" s="506">
        <f t="shared" si="422"/>
        <v>116306.11999999998</v>
      </c>
      <c r="G1319" s="506">
        <f t="shared" si="422"/>
        <v>118578.03</v>
      </c>
      <c r="H1319" s="506">
        <f t="shared" si="422"/>
        <v>118282.80999999998</v>
      </c>
      <c r="I1319" s="506">
        <f t="shared" si="422"/>
        <v>117905.83</v>
      </c>
      <c r="J1319" s="506">
        <f t="shared" si="422"/>
        <v>117269.01</v>
      </c>
      <c r="K1319" s="506">
        <f t="shared" si="422"/>
        <v>117626.67</v>
      </c>
      <c r="L1319" s="506">
        <f t="shared" si="422"/>
        <v>116662.12999999999</v>
      </c>
      <c r="M1319" s="506">
        <f t="shared" si="422"/>
        <v>116306.49</v>
      </c>
      <c r="N1319" s="506">
        <f t="shared" si="422"/>
        <v>116126.24</v>
      </c>
      <c r="O1319" s="506">
        <f t="shared" si="422"/>
        <v>117022.93</v>
      </c>
      <c r="P1319" s="506">
        <f t="shared" si="422"/>
        <v>129004.52</v>
      </c>
      <c r="Q1319" s="550">
        <f>SUM(E1319:P1319)</f>
        <v>1421521.52</v>
      </c>
    </row>
    <row r="1320" spans="3:17" x14ac:dyDescent="0.2">
      <c r="C1320" s="452"/>
      <c r="D1320" s="556" t="s">
        <v>386</v>
      </c>
      <c r="E1320" s="506">
        <f t="shared" si="422"/>
        <v>2061974.63</v>
      </c>
      <c r="F1320" s="506">
        <f t="shared" si="422"/>
        <v>1971525.67</v>
      </c>
      <c r="G1320" s="506">
        <f t="shared" si="422"/>
        <v>1587278.32</v>
      </c>
      <c r="H1320" s="506">
        <f t="shared" si="422"/>
        <v>1089359.8600000001</v>
      </c>
      <c r="I1320" s="506">
        <f t="shared" si="422"/>
        <v>749749.58000000007</v>
      </c>
      <c r="J1320" s="506">
        <f t="shared" si="422"/>
        <v>585674.5</v>
      </c>
      <c r="K1320" s="506">
        <f t="shared" si="422"/>
        <v>529938.69999999995</v>
      </c>
      <c r="L1320" s="506">
        <f t="shared" si="422"/>
        <v>543063.79</v>
      </c>
      <c r="M1320" s="506">
        <f t="shared" si="422"/>
        <v>578175.38000000012</v>
      </c>
      <c r="N1320" s="506">
        <f t="shared" si="422"/>
        <v>713052.91</v>
      </c>
      <c r="O1320" s="506">
        <f t="shared" si="422"/>
        <v>1043157.6699999999</v>
      </c>
      <c r="P1320" s="506">
        <f t="shared" si="422"/>
        <v>1569969.47</v>
      </c>
      <c r="Q1320" s="550">
        <f>SUM(E1320:P1320)</f>
        <v>13022920.480000002</v>
      </c>
    </row>
    <row r="1321" spans="3:17" x14ac:dyDescent="0.2">
      <c r="C1321" s="452"/>
      <c r="D1321" s="452" t="s">
        <v>387</v>
      </c>
      <c r="E1321" s="506">
        <f>E1301</f>
        <v>16366.8</v>
      </c>
      <c r="F1321" s="506">
        <f t="shared" ref="F1321:P1321" si="423">F1301</f>
        <v>16411.650000000001</v>
      </c>
      <c r="G1321" s="506">
        <f t="shared" si="423"/>
        <v>16412.34</v>
      </c>
      <c r="H1321" s="506">
        <f t="shared" si="423"/>
        <v>16348.86</v>
      </c>
      <c r="I1321" s="506">
        <f t="shared" si="423"/>
        <v>16292.28</v>
      </c>
      <c r="J1321" s="506">
        <f t="shared" si="423"/>
        <v>16136.34</v>
      </c>
      <c r="K1321" s="506">
        <f t="shared" si="423"/>
        <v>16034.22</v>
      </c>
      <c r="L1321" s="506">
        <f t="shared" si="423"/>
        <v>16023.87</v>
      </c>
      <c r="M1321" s="506">
        <f t="shared" si="423"/>
        <v>15993.51</v>
      </c>
      <c r="N1321" s="506">
        <f t="shared" si="423"/>
        <v>15999.72</v>
      </c>
      <c r="O1321" s="506">
        <f t="shared" si="423"/>
        <v>16186.02</v>
      </c>
      <c r="P1321" s="506">
        <f t="shared" si="423"/>
        <v>16337.13</v>
      </c>
      <c r="Q1321" s="550">
        <f>SUM(E1321:P1321)</f>
        <v>194542.74</v>
      </c>
    </row>
    <row r="1322" spans="3:17" ht="12" x14ac:dyDescent="0.35">
      <c r="C1322" s="452"/>
      <c r="D1322" s="452" t="s">
        <v>389</v>
      </c>
      <c r="E1322" s="551">
        <f>E1302</f>
        <v>21730.799999999999</v>
      </c>
      <c r="F1322" s="551">
        <f t="shared" ref="F1322:P1322" si="424">F1302</f>
        <v>21074.1</v>
      </c>
      <c r="G1322" s="551">
        <f t="shared" si="424"/>
        <v>15820.5</v>
      </c>
      <c r="H1322" s="551">
        <f t="shared" si="424"/>
        <v>9014.7000000000007</v>
      </c>
      <c r="I1322" s="551">
        <f t="shared" si="424"/>
        <v>4238.7</v>
      </c>
      <c r="J1322" s="551">
        <f t="shared" si="424"/>
        <v>2029.8</v>
      </c>
      <c r="K1322" s="551">
        <f t="shared" si="424"/>
        <v>1432.8</v>
      </c>
      <c r="L1322" s="551">
        <f t="shared" si="424"/>
        <v>1373.1</v>
      </c>
      <c r="M1322" s="551">
        <f t="shared" si="424"/>
        <v>1492.5</v>
      </c>
      <c r="N1322" s="551">
        <f t="shared" si="424"/>
        <v>2328.3000000000002</v>
      </c>
      <c r="O1322" s="551">
        <f t="shared" si="424"/>
        <v>6626.7</v>
      </c>
      <c r="P1322" s="551">
        <f t="shared" si="424"/>
        <v>14745.9</v>
      </c>
      <c r="Q1322" s="552">
        <f>SUM(E1322:P1322)</f>
        <v>101907.9</v>
      </c>
    </row>
    <row r="1323" spans="3:17" x14ac:dyDescent="0.2">
      <c r="C1323" s="452"/>
      <c r="D1323" s="452"/>
      <c r="E1323" s="506">
        <f t="shared" ref="E1323:Q1323" si="425">SUM(E1318:E1322)</f>
        <v>2814022.9699999993</v>
      </c>
      <c r="F1323" s="506">
        <f t="shared" si="425"/>
        <v>2709195.9899999998</v>
      </c>
      <c r="G1323" s="506">
        <f t="shared" si="425"/>
        <v>2332595.1399999997</v>
      </c>
      <c r="H1323" s="506">
        <f t="shared" si="425"/>
        <v>1825719.6800000002</v>
      </c>
      <c r="I1323" s="506">
        <f t="shared" si="425"/>
        <v>1478769.8399999999</v>
      </c>
      <c r="J1323" s="506">
        <f t="shared" si="425"/>
        <v>1307703.1000000001</v>
      </c>
      <c r="K1323" s="506">
        <f t="shared" si="425"/>
        <v>1250556.74</v>
      </c>
      <c r="L1323" s="506">
        <f t="shared" si="425"/>
        <v>1259109.29</v>
      </c>
      <c r="M1323" s="506">
        <f t="shared" si="425"/>
        <v>1292094.28</v>
      </c>
      <c r="N1323" s="506">
        <f t="shared" si="425"/>
        <v>1426831.0699999998</v>
      </c>
      <c r="O1323" s="506">
        <f t="shared" si="425"/>
        <v>1766736.0699999998</v>
      </c>
      <c r="P1323" s="506">
        <f t="shared" si="425"/>
        <v>2343728.0699999998</v>
      </c>
      <c r="Q1323" s="550">
        <f t="shared" si="425"/>
        <v>21807062.239999998</v>
      </c>
    </row>
    <row r="1324" spans="3:17" x14ac:dyDescent="0.2">
      <c r="C1324" s="452"/>
      <c r="D1324" s="452"/>
      <c r="E1324" s="506"/>
      <c r="F1324" s="506"/>
      <c r="G1324" s="506"/>
      <c r="H1324" s="506"/>
      <c r="I1324" s="506"/>
      <c r="J1324" s="506"/>
      <c r="K1324" s="506"/>
      <c r="L1324" s="506"/>
      <c r="M1324" s="506"/>
      <c r="N1324" s="506"/>
      <c r="O1324" s="506"/>
      <c r="P1324" s="506"/>
      <c r="Q1324" s="550"/>
    </row>
    <row r="1325" spans="3:17" ht="10.8" thickBot="1" x14ac:dyDescent="0.25">
      <c r="C1325" s="452"/>
      <c r="D1325" s="459"/>
      <c r="E1325" s="558"/>
      <c r="F1325" s="558"/>
      <c r="G1325" s="558"/>
      <c r="H1325" s="558"/>
      <c r="I1325" s="558"/>
      <c r="J1325" s="558"/>
      <c r="K1325" s="558"/>
      <c r="L1325" s="558"/>
      <c r="M1325" s="558"/>
      <c r="N1325" s="558"/>
      <c r="O1325" s="558"/>
      <c r="P1325" s="558"/>
      <c r="Q1325" s="559"/>
    </row>
    <row r="1326" spans="3:17" x14ac:dyDescent="0.2">
      <c r="C1326" s="452" t="s">
        <v>398</v>
      </c>
      <c r="D1326" s="304"/>
      <c r="E1326" s="506"/>
      <c r="F1326" s="506"/>
      <c r="G1326" s="506"/>
      <c r="H1326" s="506"/>
      <c r="I1326" s="506"/>
      <c r="J1326" s="506"/>
      <c r="K1326" s="506"/>
      <c r="L1326" s="506"/>
      <c r="M1326" s="506"/>
      <c r="N1326" s="506"/>
      <c r="O1326" s="506"/>
      <c r="P1326" s="506"/>
      <c r="Q1326" s="550"/>
    </row>
    <row r="1327" spans="3:17" x14ac:dyDescent="0.2">
      <c r="C1327" s="452" t="s">
        <v>354</v>
      </c>
      <c r="D1327" s="304" t="s">
        <v>355</v>
      </c>
      <c r="E1327" s="506">
        <f>E68+E75+E82+E89+E96+E103+E132+E139+E146+E153+E160+E188+E195+E202</f>
        <v>6720309.0499999989</v>
      </c>
      <c r="F1327" s="506">
        <f t="shared" ref="F1327:Q1327" si="426">F68+F75+F82+F89+F96+F103+F132+F139+F146+F153+F160+F188+F195+F202</f>
        <v>6625674.0899999999</v>
      </c>
      <c r="G1327" s="506">
        <f t="shared" si="426"/>
        <v>5487590.4400000004</v>
      </c>
      <c r="H1327" s="506">
        <f t="shared" si="426"/>
        <v>4153757.2</v>
      </c>
      <c r="I1327" s="506">
        <f t="shared" si="426"/>
        <v>3162245.4099999992</v>
      </c>
      <c r="J1327" s="506">
        <f t="shared" si="426"/>
        <v>2711521.5999999996</v>
      </c>
      <c r="K1327" s="506">
        <f t="shared" si="426"/>
        <v>2566761.5899999994</v>
      </c>
      <c r="L1327" s="506">
        <f t="shared" si="426"/>
        <v>2559646.52</v>
      </c>
      <c r="M1327" s="506">
        <f t="shared" si="426"/>
        <v>2552019.5399999996</v>
      </c>
      <c r="N1327" s="506">
        <f t="shared" si="426"/>
        <v>2732617.9100000006</v>
      </c>
      <c r="O1327" s="506">
        <f t="shared" si="426"/>
        <v>3572993.6599999997</v>
      </c>
      <c r="P1327" s="506">
        <f t="shared" si="426"/>
        <v>5256838.7100000009</v>
      </c>
      <c r="Q1327" s="550">
        <f t="shared" si="426"/>
        <v>48101975.719999999</v>
      </c>
    </row>
    <row r="1328" spans="3:17" x14ac:dyDescent="0.2">
      <c r="C1328" s="795"/>
      <c r="D1328" s="304" t="s">
        <v>352</v>
      </c>
      <c r="E1328" s="506">
        <f>E69+E76+E83+E90+E97+E104+E133+E140+E147+E154+E161+E189+E196+E203</f>
        <v>4483477.790000001</v>
      </c>
      <c r="F1328" s="506">
        <f t="shared" ref="F1328:Q1328" si="427">F69+F76+F83+F90+F97+F104+F133+F140+F147+F154+F161+F189+F196+F203</f>
        <v>4376758.3900000006</v>
      </c>
      <c r="G1328" s="506">
        <f t="shared" si="427"/>
        <v>3220650.43</v>
      </c>
      <c r="H1328" s="506">
        <f t="shared" si="427"/>
        <v>1901250.88</v>
      </c>
      <c r="I1328" s="506">
        <f t="shared" si="427"/>
        <v>935708.05000000016</v>
      </c>
      <c r="J1328" s="506">
        <f t="shared" si="427"/>
        <v>513952.18000000005</v>
      </c>
      <c r="K1328" s="506">
        <f t="shared" si="427"/>
        <v>383735.23999999993</v>
      </c>
      <c r="L1328" s="506">
        <f t="shared" si="427"/>
        <v>370504.07000000007</v>
      </c>
      <c r="M1328" s="506">
        <f t="shared" si="427"/>
        <v>374902.17</v>
      </c>
      <c r="N1328" s="506">
        <f t="shared" si="427"/>
        <v>553542.36</v>
      </c>
      <c r="O1328" s="506">
        <f t="shared" si="427"/>
        <v>1351384.0199999998</v>
      </c>
      <c r="P1328" s="506">
        <f t="shared" si="427"/>
        <v>3010084.5300000003</v>
      </c>
      <c r="Q1328" s="550">
        <f t="shared" si="427"/>
        <v>21475950.109999999</v>
      </c>
    </row>
    <row r="1329" spans="3:18" x14ac:dyDescent="0.2">
      <c r="C1329" s="795"/>
      <c r="D1329" s="304" t="s">
        <v>9</v>
      </c>
      <c r="E1329" s="506">
        <f>E70+E77+E84+E91+E98+E105+E134+E141+E148+E155+E162+E190+E197+E204</f>
        <v>11203786.84</v>
      </c>
      <c r="F1329" s="506">
        <f t="shared" ref="F1329:Q1329" si="428">F70+F77+F84+F91+F98+F105+F134+F141+F148+F155+F162+F190+F197+F204</f>
        <v>11002432.48</v>
      </c>
      <c r="G1329" s="506">
        <f t="shared" si="428"/>
        <v>8708240.8699999992</v>
      </c>
      <c r="H1329" s="506">
        <f t="shared" si="428"/>
        <v>6055008.0800000001</v>
      </c>
      <c r="I1329" s="506">
        <f t="shared" si="428"/>
        <v>4097953.4599999995</v>
      </c>
      <c r="J1329" s="506">
        <f t="shared" si="428"/>
        <v>3225473.7800000007</v>
      </c>
      <c r="K1329" s="506">
        <f t="shared" si="428"/>
        <v>2950496.8300000005</v>
      </c>
      <c r="L1329" s="506">
        <f t="shared" si="428"/>
        <v>2930150.59</v>
      </c>
      <c r="M1329" s="506">
        <f t="shared" si="428"/>
        <v>2926921.71</v>
      </c>
      <c r="N1329" s="506">
        <f t="shared" si="428"/>
        <v>3286160.27</v>
      </c>
      <c r="O1329" s="506">
        <f t="shared" si="428"/>
        <v>4924377.6800000006</v>
      </c>
      <c r="P1329" s="506">
        <f t="shared" si="428"/>
        <v>8266923.2400000002</v>
      </c>
      <c r="Q1329" s="550">
        <f t="shared" si="428"/>
        <v>69577925.830000013</v>
      </c>
    </row>
    <row r="1330" spans="3:18" x14ac:dyDescent="0.2">
      <c r="C1330" s="795"/>
      <c r="D1330" s="304"/>
      <c r="E1330" s="506">
        <f>E1294-E1329</f>
        <v>0</v>
      </c>
      <c r="F1330" s="506">
        <f t="shared" ref="F1330:Q1330" si="429">F1294-F1329</f>
        <v>0</v>
      </c>
      <c r="G1330" s="506">
        <f t="shared" si="429"/>
        <v>0</v>
      </c>
      <c r="H1330" s="506">
        <f t="shared" si="429"/>
        <v>0</v>
      </c>
      <c r="I1330" s="506">
        <f t="shared" si="429"/>
        <v>0</v>
      </c>
      <c r="J1330" s="506">
        <f t="shared" si="429"/>
        <v>0</v>
      </c>
      <c r="K1330" s="506">
        <f t="shared" si="429"/>
        <v>0</v>
      </c>
      <c r="L1330" s="506">
        <f t="shared" si="429"/>
        <v>0</v>
      </c>
      <c r="M1330" s="506">
        <f t="shared" si="429"/>
        <v>0</v>
      </c>
      <c r="N1330" s="506">
        <f t="shared" si="429"/>
        <v>0</v>
      </c>
      <c r="O1330" s="506">
        <f t="shared" si="429"/>
        <v>0</v>
      </c>
      <c r="P1330" s="506">
        <f t="shared" si="429"/>
        <v>0</v>
      </c>
      <c r="Q1330" s="550">
        <f t="shared" si="429"/>
        <v>0</v>
      </c>
    </row>
    <row r="1331" spans="3:18" ht="12" x14ac:dyDescent="0.35">
      <c r="C1331" s="795" t="s">
        <v>384</v>
      </c>
      <c r="D1331" s="304" t="s">
        <v>355</v>
      </c>
      <c r="E1331" s="506">
        <f t="shared" ref="E1331:P1331" si="430">E230+E237+E244+E251+E258+E265+E292+E299+E306+E313+E320+E327+E354+E361</f>
        <v>2814022.9699999997</v>
      </c>
      <c r="F1331" s="506">
        <f t="shared" si="430"/>
        <v>2709195.9899999998</v>
      </c>
      <c r="G1331" s="506">
        <f t="shared" si="430"/>
        <v>2332595.14</v>
      </c>
      <c r="H1331" s="506">
        <f t="shared" si="430"/>
        <v>1825719.6800000002</v>
      </c>
      <c r="I1331" s="506">
        <f t="shared" si="430"/>
        <v>1478769.84</v>
      </c>
      <c r="J1331" s="506">
        <f t="shared" si="430"/>
        <v>1307703.1000000001</v>
      </c>
      <c r="K1331" s="506">
        <f t="shared" si="430"/>
        <v>1250556.7400000002</v>
      </c>
      <c r="L1331" s="506">
        <f t="shared" si="430"/>
        <v>1259109.2899999998</v>
      </c>
      <c r="M1331" s="506">
        <f t="shared" si="430"/>
        <v>1292094.2799999998</v>
      </c>
      <c r="N1331" s="506">
        <f t="shared" si="430"/>
        <v>1426831.0699999998</v>
      </c>
      <c r="O1331" s="506">
        <f t="shared" si="430"/>
        <v>1766736.0699999998</v>
      </c>
      <c r="P1331" s="506">
        <f t="shared" si="430"/>
        <v>2343728.0700000008</v>
      </c>
      <c r="Q1331" s="552">
        <f>SUM(E1331:P1331)</f>
        <v>21807062.239999998</v>
      </c>
    </row>
    <row r="1332" spans="3:18" x14ac:dyDescent="0.2">
      <c r="C1332" s="795"/>
      <c r="D1332" s="304" t="s">
        <v>352</v>
      </c>
      <c r="E1332" s="506">
        <f t="shared" ref="E1332:P1332" si="431">E231+E238+E245+E252+E259+E266+E293+E300+E307+E314+E321+E328+E355+E362</f>
        <v>0</v>
      </c>
      <c r="F1332" s="506">
        <f t="shared" si="431"/>
        <v>0</v>
      </c>
      <c r="G1332" s="506">
        <f t="shared" si="431"/>
        <v>0</v>
      </c>
      <c r="H1332" s="506">
        <f t="shared" si="431"/>
        <v>0</v>
      </c>
      <c r="I1332" s="506">
        <f t="shared" si="431"/>
        <v>0</v>
      </c>
      <c r="J1332" s="506">
        <f t="shared" si="431"/>
        <v>0</v>
      </c>
      <c r="K1332" s="506">
        <f t="shared" si="431"/>
        <v>0</v>
      </c>
      <c r="L1332" s="506">
        <f t="shared" si="431"/>
        <v>0</v>
      </c>
      <c r="M1332" s="506">
        <f t="shared" si="431"/>
        <v>0</v>
      </c>
      <c r="N1332" s="506">
        <f t="shared" si="431"/>
        <v>0</v>
      </c>
      <c r="O1332" s="506">
        <f t="shared" si="431"/>
        <v>0</v>
      </c>
      <c r="P1332" s="506">
        <f t="shared" si="431"/>
        <v>0</v>
      </c>
      <c r="Q1332" s="550">
        <f>SUM(E1332:P1332)</f>
        <v>0</v>
      </c>
    </row>
    <row r="1333" spans="3:18" x14ac:dyDescent="0.2">
      <c r="C1333" s="795"/>
      <c r="D1333" s="304" t="s">
        <v>9</v>
      </c>
      <c r="E1333" s="506">
        <f t="shared" ref="E1333:P1333" si="432">E232+E239+E246+E253+E260+E267+E294+E301+E308+E315+E322+E329+E356+E363</f>
        <v>2814022.9699999997</v>
      </c>
      <c r="F1333" s="506">
        <f t="shared" si="432"/>
        <v>2709195.9899999998</v>
      </c>
      <c r="G1333" s="506">
        <f t="shared" si="432"/>
        <v>2332595.14</v>
      </c>
      <c r="H1333" s="506">
        <f t="shared" si="432"/>
        <v>1825719.6800000002</v>
      </c>
      <c r="I1333" s="506">
        <f t="shared" si="432"/>
        <v>1478769.84</v>
      </c>
      <c r="J1333" s="506">
        <f t="shared" si="432"/>
        <v>1307703.1000000001</v>
      </c>
      <c r="K1333" s="506">
        <f t="shared" si="432"/>
        <v>1250556.7400000002</v>
      </c>
      <c r="L1333" s="506">
        <f t="shared" si="432"/>
        <v>1259109.2899999998</v>
      </c>
      <c r="M1333" s="506">
        <f t="shared" si="432"/>
        <v>1292094.2799999998</v>
      </c>
      <c r="N1333" s="506">
        <f t="shared" si="432"/>
        <v>1426831.0699999998</v>
      </c>
      <c r="O1333" s="506">
        <f t="shared" si="432"/>
        <v>1766736.0699999998</v>
      </c>
      <c r="P1333" s="506">
        <f t="shared" si="432"/>
        <v>2343728.0700000008</v>
      </c>
      <c r="Q1333" s="550">
        <f>SUM(E1333:P1333)</f>
        <v>21807062.239999998</v>
      </c>
    </row>
    <row r="1334" spans="3:18" x14ac:dyDescent="0.2">
      <c r="C1334" s="795"/>
      <c r="D1334" s="304"/>
      <c r="E1334" s="506">
        <f>E1323-E1333</f>
        <v>0</v>
      </c>
      <c r="F1334" s="506">
        <f t="shared" ref="F1334:Q1334" si="433">F1323-F1333</f>
        <v>0</v>
      </c>
      <c r="G1334" s="506">
        <f t="shared" si="433"/>
        <v>0</v>
      </c>
      <c r="H1334" s="506">
        <f t="shared" si="433"/>
        <v>0</v>
      </c>
      <c r="I1334" s="506">
        <f t="shared" si="433"/>
        <v>0</v>
      </c>
      <c r="J1334" s="506">
        <f t="shared" si="433"/>
        <v>0</v>
      </c>
      <c r="K1334" s="506">
        <f t="shared" si="433"/>
        <v>0</v>
      </c>
      <c r="L1334" s="506">
        <f t="shared" si="433"/>
        <v>0</v>
      </c>
      <c r="M1334" s="506">
        <f t="shared" si="433"/>
        <v>0</v>
      </c>
      <c r="N1334" s="506">
        <f t="shared" si="433"/>
        <v>0</v>
      </c>
      <c r="O1334" s="506">
        <f t="shared" si="433"/>
        <v>0</v>
      </c>
      <c r="P1334" s="506">
        <f t="shared" si="433"/>
        <v>0</v>
      </c>
      <c r="Q1334" s="550">
        <f t="shared" si="433"/>
        <v>0</v>
      </c>
    </row>
    <row r="1335" spans="3:18" x14ac:dyDescent="0.2">
      <c r="C1335" s="795" t="s">
        <v>344</v>
      </c>
      <c r="D1335" s="304"/>
      <c r="E1335" s="506">
        <f t="shared" ref="E1335:Q1335" si="434">SUM(E1253:E1266)-E1329-E1333</f>
        <v>4881801.9000000013</v>
      </c>
      <c r="F1335" s="506">
        <f t="shared" si="434"/>
        <v>4810427.7999999989</v>
      </c>
      <c r="G1335" s="506">
        <f t="shared" si="434"/>
        <v>3729782.7500000005</v>
      </c>
      <c r="H1335" s="506">
        <f t="shared" si="434"/>
        <v>2351635.3599999989</v>
      </c>
      <c r="I1335" s="506">
        <f t="shared" si="434"/>
        <v>1364377.6999999995</v>
      </c>
      <c r="J1335" s="506">
        <f t="shared" si="434"/>
        <v>905330.55999999866</v>
      </c>
      <c r="K1335" s="506">
        <f t="shared" si="434"/>
        <v>788185.17999999924</v>
      </c>
      <c r="L1335" s="506">
        <f t="shared" si="434"/>
        <v>769008.33000000124</v>
      </c>
      <c r="M1335" s="506">
        <f t="shared" si="434"/>
        <v>738226.65999999968</v>
      </c>
      <c r="N1335" s="506">
        <f t="shared" si="434"/>
        <v>833820.42000000086</v>
      </c>
      <c r="O1335" s="506">
        <f t="shared" si="434"/>
        <v>1724245.0999999992</v>
      </c>
      <c r="P1335" s="506">
        <f t="shared" si="434"/>
        <v>3425094.6499999962</v>
      </c>
      <c r="Q1335" s="550">
        <f t="shared" si="434"/>
        <v>26321936.409999993</v>
      </c>
    </row>
    <row r="1336" spans="3:18" ht="10.8" thickBot="1" x14ac:dyDescent="0.25">
      <c r="C1336" s="557"/>
      <c r="D1336" s="557"/>
      <c r="E1336" s="460"/>
      <c r="F1336" s="560"/>
      <c r="G1336" s="561"/>
      <c r="H1336" s="560"/>
      <c r="I1336" s="562"/>
      <c r="J1336" s="560"/>
      <c r="K1336" s="560"/>
      <c r="L1336" s="560"/>
      <c r="M1336" s="560"/>
      <c r="N1336" s="560"/>
      <c r="O1336" s="560"/>
      <c r="P1336" s="560"/>
      <c r="Q1336" s="461"/>
    </row>
    <row r="1337" spans="3:18" ht="10.8" thickBot="1" x14ac:dyDescent="0.25"/>
    <row r="1338" spans="3:18" x14ac:dyDescent="0.2">
      <c r="D1338" s="563" t="s">
        <v>363</v>
      </c>
      <c r="E1338" s="564"/>
      <c r="F1338" s="565"/>
      <c r="G1338" s="566"/>
      <c r="H1338" s="567"/>
      <c r="I1338" s="566"/>
      <c r="J1338" s="568"/>
      <c r="K1338" s="566"/>
      <c r="L1338" s="566"/>
      <c r="M1338" s="566"/>
      <c r="N1338" s="566"/>
      <c r="O1338" s="566"/>
      <c r="P1338" s="566"/>
      <c r="Q1338" s="566"/>
      <c r="R1338" s="569"/>
    </row>
    <row r="1339" spans="3:18" x14ac:dyDescent="0.2">
      <c r="D1339" s="570" t="s">
        <v>351</v>
      </c>
      <c r="E1339" s="571" t="s">
        <v>356</v>
      </c>
      <c r="F1339" s="572">
        <v>9239153.5</v>
      </c>
      <c r="G1339" s="572">
        <v>8822761.5</v>
      </c>
      <c r="H1339" s="572">
        <v>6987268.7300000004</v>
      </c>
      <c r="I1339" s="572">
        <v>4750562.58</v>
      </c>
      <c r="J1339" s="572">
        <v>2713868.94</v>
      </c>
      <c r="K1339" s="572">
        <v>1969728.21</v>
      </c>
      <c r="L1339" s="572">
        <v>1712865.46</v>
      </c>
      <c r="M1339" s="572">
        <v>1697393.15</v>
      </c>
      <c r="N1339" s="572">
        <v>1720632.95</v>
      </c>
      <c r="O1339" s="572">
        <v>2040068.02</v>
      </c>
      <c r="P1339" s="572">
        <v>3448717.08</v>
      </c>
      <c r="Q1339" s="572">
        <v>6422169.5099999998</v>
      </c>
      <c r="R1339" s="573">
        <f t="shared" ref="R1339:R1344" si="435">SUM(F1339:Q1339)</f>
        <v>51525189.630000003</v>
      </c>
    </row>
    <row r="1340" spans="3:18" x14ac:dyDescent="0.2">
      <c r="D1340" s="570"/>
      <c r="E1340" s="571" t="s">
        <v>357</v>
      </c>
      <c r="F1340" s="572">
        <v>-8703.89</v>
      </c>
      <c r="G1340" s="572">
        <v>-9198.76</v>
      </c>
      <c r="H1340" s="572">
        <v>-3580.53</v>
      </c>
      <c r="I1340" s="572">
        <v>-3551.42</v>
      </c>
      <c r="J1340" s="572">
        <v>-3405.87</v>
      </c>
      <c r="K1340" s="572">
        <v>-3202.1</v>
      </c>
      <c r="L1340" s="572">
        <v>-4250.0600000000004</v>
      </c>
      <c r="M1340" s="572">
        <v>-3900.74</v>
      </c>
      <c r="N1340" s="572">
        <v>-4832.26</v>
      </c>
      <c r="O1340" s="572">
        <v>-5967.55</v>
      </c>
      <c r="P1340" s="572">
        <v>-8121.69</v>
      </c>
      <c r="Q1340" s="572">
        <v>-8994.99</v>
      </c>
      <c r="R1340" s="573">
        <f t="shared" si="435"/>
        <v>-67709.86</v>
      </c>
    </row>
    <row r="1341" spans="3:18" x14ac:dyDescent="0.2">
      <c r="D1341" s="570"/>
      <c r="E1341" s="571" t="s">
        <v>357</v>
      </c>
      <c r="F1341" s="572">
        <v>4046911.13</v>
      </c>
      <c r="G1341" s="572">
        <v>3805571.67</v>
      </c>
      <c r="H1341" s="572">
        <v>2742495.78</v>
      </c>
      <c r="I1341" s="572">
        <v>1784422.65</v>
      </c>
      <c r="J1341" s="572">
        <v>967173.24</v>
      </c>
      <c r="K1341" s="572">
        <v>737819.97</v>
      </c>
      <c r="L1341" s="572">
        <v>635403.79</v>
      </c>
      <c r="M1341" s="572">
        <v>544775.28</v>
      </c>
      <c r="N1341" s="572">
        <v>616374.18000000005</v>
      </c>
      <c r="O1341" s="572">
        <v>654449.74</v>
      </c>
      <c r="P1341" s="572">
        <v>1143752.42</v>
      </c>
      <c r="Q1341" s="572">
        <v>2589865.61</v>
      </c>
      <c r="R1341" s="573">
        <f t="shared" si="435"/>
        <v>20269015.460000001</v>
      </c>
    </row>
    <row r="1342" spans="3:18" x14ac:dyDescent="0.2">
      <c r="D1342" s="570"/>
      <c r="E1342" s="571" t="s">
        <v>358</v>
      </c>
      <c r="F1342" s="572">
        <v>100095.9</v>
      </c>
      <c r="G1342" s="572">
        <v>89710.89</v>
      </c>
      <c r="H1342" s="572">
        <v>75276.72</v>
      </c>
      <c r="I1342" s="572">
        <v>64074.51</v>
      </c>
      <c r="J1342" s="572">
        <v>53354.11</v>
      </c>
      <c r="K1342" s="572">
        <v>53372.92</v>
      </c>
      <c r="L1342" s="572">
        <v>53397.26</v>
      </c>
      <c r="M1342" s="572">
        <v>52870.28</v>
      </c>
      <c r="N1342" s="572">
        <v>47165.93</v>
      </c>
      <c r="O1342" s="572">
        <v>58733.86</v>
      </c>
      <c r="P1342" s="572">
        <v>63446.98</v>
      </c>
      <c r="Q1342" s="572">
        <v>94828.77</v>
      </c>
      <c r="R1342" s="573">
        <f t="shared" si="435"/>
        <v>806328.13</v>
      </c>
    </row>
    <row r="1343" spans="3:18" x14ac:dyDescent="0.2">
      <c r="D1343" s="570"/>
      <c r="E1343" s="571" t="s">
        <v>361</v>
      </c>
      <c r="F1343" s="572">
        <v>22660.86</v>
      </c>
      <c r="G1343" s="572">
        <v>11904.77</v>
      </c>
      <c r="H1343" s="572">
        <v>5315.5</v>
      </c>
      <c r="I1343" s="572">
        <v>3998.63</v>
      </c>
      <c r="J1343" s="572">
        <v>2799.69</v>
      </c>
      <c r="K1343" s="572">
        <v>2784.95</v>
      </c>
      <c r="L1343" s="572">
        <v>2883.22</v>
      </c>
      <c r="M1343" s="572">
        <v>3983.89</v>
      </c>
      <c r="N1343" s="572">
        <v>2853.74</v>
      </c>
      <c r="O1343" s="572">
        <v>6416.17</v>
      </c>
      <c r="P1343" s="572">
        <v>4976.46</v>
      </c>
      <c r="Q1343" s="572">
        <v>6396.52</v>
      </c>
      <c r="R1343" s="573">
        <f t="shared" si="435"/>
        <v>76974.400000000009</v>
      </c>
    </row>
    <row r="1344" spans="3:18" ht="12" x14ac:dyDescent="0.35">
      <c r="D1344" s="570"/>
      <c r="E1344" s="571" t="s">
        <v>362</v>
      </c>
      <c r="F1344" s="574">
        <v>3428.74</v>
      </c>
      <c r="G1344" s="574">
        <v>3176.4</v>
      </c>
      <c r="H1344" s="574">
        <v>2163.4499999999998</v>
      </c>
      <c r="I1344" s="574">
        <v>2407.5700000000002</v>
      </c>
      <c r="J1344" s="574">
        <v>70872.61</v>
      </c>
      <c r="K1344" s="574">
        <v>26945.74</v>
      </c>
      <c r="L1344" s="574">
        <v>19911.490000000002</v>
      </c>
      <c r="M1344" s="574">
        <v>15628.04</v>
      </c>
      <c r="N1344" s="574">
        <v>2495.6799999999998</v>
      </c>
      <c r="O1344" s="574">
        <v>29.11</v>
      </c>
      <c r="P1344" s="574">
        <v>2525.02</v>
      </c>
      <c r="Q1344" s="574">
        <v>960.74</v>
      </c>
      <c r="R1344" s="575">
        <f t="shared" si="435"/>
        <v>150544.58999999997</v>
      </c>
    </row>
    <row r="1345" spans="4:18" x14ac:dyDescent="0.2">
      <c r="D1345" s="570"/>
      <c r="E1345" s="571"/>
      <c r="F1345" s="576">
        <f>SUM(F1339:F1344)</f>
        <v>13403546.239999998</v>
      </c>
      <c r="G1345" s="576">
        <f t="shared" ref="G1345:R1345" si="436">SUM(G1339:G1344)</f>
        <v>12723926.470000001</v>
      </c>
      <c r="H1345" s="576">
        <f t="shared" si="436"/>
        <v>9808939.6500000004</v>
      </c>
      <c r="I1345" s="576">
        <f t="shared" si="436"/>
        <v>6601914.5200000005</v>
      </c>
      <c r="J1345" s="576">
        <f t="shared" si="436"/>
        <v>3804662.7199999993</v>
      </c>
      <c r="K1345" s="576">
        <f t="shared" si="436"/>
        <v>2787449.6900000004</v>
      </c>
      <c r="L1345" s="576">
        <f t="shared" si="436"/>
        <v>2420211.16</v>
      </c>
      <c r="M1345" s="576">
        <f t="shared" si="436"/>
        <v>2310749.9</v>
      </c>
      <c r="N1345" s="576">
        <f t="shared" si="436"/>
        <v>2384690.2200000007</v>
      </c>
      <c r="O1345" s="576">
        <f t="shared" si="436"/>
        <v>2753729.3499999996</v>
      </c>
      <c r="P1345" s="576">
        <f t="shared" si="436"/>
        <v>4655296.2700000005</v>
      </c>
      <c r="Q1345" s="576">
        <f t="shared" si="436"/>
        <v>9105226.1599999983</v>
      </c>
      <c r="R1345" s="573">
        <f t="shared" si="436"/>
        <v>72760342.350000009</v>
      </c>
    </row>
    <row r="1346" spans="4:18" x14ac:dyDescent="0.2">
      <c r="D1346" s="570"/>
      <c r="E1346" s="571"/>
      <c r="F1346" s="576"/>
      <c r="G1346" s="577"/>
      <c r="H1346" s="578"/>
      <c r="I1346" s="577"/>
      <c r="J1346" s="579"/>
      <c r="K1346" s="577"/>
      <c r="L1346" s="577"/>
      <c r="M1346" s="577"/>
      <c r="N1346" s="577"/>
      <c r="O1346" s="577"/>
      <c r="P1346" s="577"/>
      <c r="Q1346" s="577"/>
      <c r="R1346" s="580"/>
    </row>
    <row r="1347" spans="4:18" x14ac:dyDescent="0.2">
      <c r="D1347" s="570" t="s">
        <v>353</v>
      </c>
      <c r="E1347" s="571" t="s">
        <v>356</v>
      </c>
      <c r="F1347" s="572">
        <v>1145792.3700000001</v>
      </c>
      <c r="G1347" s="572">
        <v>1105723.68</v>
      </c>
      <c r="H1347" s="572">
        <v>923122.5</v>
      </c>
      <c r="I1347" s="572">
        <v>700188.24</v>
      </c>
      <c r="J1347" s="572">
        <v>496037.67</v>
      </c>
      <c r="K1347" s="572">
        <v>419728.8</v>
      </c>
      <c r="L1347" s="572">
        <v>394190.88</v>
      </c>
      <c r="M1347" s="572">
        <v>391294.47</v>
      </c>
      <c r="N1347" s="572">
        <v>392939.73</v>
      </c>
      <c r="O1347" s="572">
        <v>427033.2</v>
      </c>
      <c r="P1347" s="572">
        <v>568053.12</v>
      </c>
      <c r="Q1347" s="572">
        <v>865399.77</v>
      </c>
      <c r="R1347" s="573">
        <f t="shared" ref="R1347:R1352" si="437">SUM(F1347:Q1347)</f>
        <v>7829504.4299999997</v>
      </c>
    </row>
    <row r="1348" spans="4:18" x14ac:dyDescent="0.2">
      <c r="D1348" s="570"/>
      <c r="E1348" s="571" t="s">
        <v>357</v>
      </c>
      <c r="F1348" s="572">
        <v>2998.33</v>
      </c>
      <c r="G1348" s="572">
        <v>3638.75</v>
      </c>
      <c r="H1348" s="572">
        <v>-1630.16</v>
      </c>
      <c r="I1348" s="572">
        <v>-2008.59</v>
      </c>
      <c r="J1348" s="572">
        <v>-2387.02</v>
      </c>
      <c r="K1348" s="572">
        <v>-2561.6799999999998</v>
      </c>
      <c r="L1348" s="572">
        <v>-3114.77</v>
      </c>
      <c r="M1348" s="572">
        <v>-3114.77</v>
      </c>
      <c r="N1348" s="572">
        <v>-3085.66</v>
      </c>
      <c r="O1348" s="572">
        <v>-2212.36</v>
      </c>
      <c r="P1348" s="572">
        <v>-669.53</v>
      </c>
      <c r="Q1348" s="572">
        <v>960.63</v>
      </c>
      <c r="R1348" s="573">
        <f t="shared" si="437"/>
        <v>-13186.830000000002</v>
      </c>
    </row>
    <row r="1349" spans="4:18" x14ac:dyDescent="0.2">
      <c r="D1349" s="570"/>
      <c r="E1349" s="571" t="s">
        <v>357</v>
      </c>
      <c r="F1349" s="572">
        <v>260976.56</v>
      </c>
      <c r="G1349" s="572">
        <v>234524.64</v>
      </c>
      <c r="H1349" s="572">
        <v>216042.98</v>
      </c>
      <c r="I1349" s="572">
        <v>160959.87</v>
      </c>
      <c r="J1349" s="572">
        <v>131076.72</v>
      </c>
      <c r="K1349" s="572">
        <v>107709.33</v>
      </c>
      <c r="L1349" s="572">
        <v>112167.24</v>
      </c>
      <c r="M1349" s="572">
        <v>118577.8</v>
      </c>
      <c r="N1349" s="572">
        <v>120342.51</v>
      </c>
      <c r="O1349" s="572">
        <v>147876.25</v>
      </c>
      <c r="P1349" s="572">
        <v>183244.79</v>
      </c>
      <c r="Q1349" s="572">
        <v>244058.37</v>
      </c>
      <c r="R1349" s="573">
        <f t="shared" si="437"/>
        <v>2037557.06</v>
      </c>
    </row>
    <row r="1350" spans="4:18" x14ac:dyDescent="0.2">
      <c r="D1350" s="570"/>
      <c r="E1350" s="571" t="s">
        <v>358</v>
      </c>
      <c r="F1350" s="572">
        <v>552523.85</v>
      </c>
      <c r="G1350" s="572">
        <v>504835.39</v>
      </c>
      <c r="H1350" s="572">
        <v>474614.4</v>
      </c>
      <c r="I1350" s="572">
        <v>421481.4</v>
      </c>
      <c r="J1350" s="572">
        <v>384543.58</v>
      </c>
      <c r="K1350" s="572">
        <v>353811.29</v>
      </c>
      <c r="L1350" s="572">
        <v>343983.28</v>
      </c>
      <c r="M1350" s="572">
        <v>364135.95</v>
      </c>
      <c r="N1350" s="572">
        <v>374699.27</v>
      </c>
      <c r="O1350" s="572">
        <v>414260.49</v>
      </c>
      <c r="P1350" s="572">
        <v>454119.23</v>
      </c>
      <c r="Q1350" s="572">
        <v>491014.74</v>
      </c>
      <c r="R1350" s="573">
        <f t="shared" si="437"/>
        <v>5134022.870000001</v>
      </c>
    </row>
    <row r="1351" spans="4:18" x14ac:dyDescent="0.2">
      <c r="D1351" s="570"/>
      <c r="E1351" s="571" t="s">
        <v>359</v>
      </c>
      <c r="F1351" s="572">
        <v>732182.19</v>
      </c>
      <c r="G1351" s="572">
        <v>672708.27</v>
      </c>
      <c r="H1351" s="572">
        <v>569605.44999999995</v>
      </c>
      <c r="I1351" s="572">
        <v>398350.37</v>
      </c>
      <c r="J1351" s="572">
        <v>287914.64</v>
      </c>
      <c r="K1351" s="572">
        <v>245145.87</v>
      </c>
      <c r="L1351" s="572">
        <v>232161.04</v>
      </c>
      <c r="M1351" s="572">
        <v>228218.58</v>
      </c>
      <c r="N1351" s="572">
        <v>247541.04</v>
      </c>
      <c r="O1351" s="572">
        <v>276300.13</v>
      </c>
      <c r="P1351" s="572">
        <v>364070.39</v>
      </c>
      <c r="Q1351" s="572">
        <v>556698.84</v>
      </c>
      <c r="R1351" s="573">
        <f t="shared" si="437"/>
        <v>4810896.8099999996</v>
      </c>
    </row>
    <row r="1352" spans="4:18" ht="12" x14ac:dyDescent="0.35">
      <c r="D1352" s="570"/>
      <c r="E1352" s="571" t="s">
        <v>360</v>
      </c>
      <c r="F1352" s="574">
        <v>7404.48</v>
      </c>
      <c r="G1352" s="574">
        <v>7407.77</v>
      </c>
      <c r="H1352" s="574">
        <v>7431.02</v>
      </c>
      <c r="I1352" s="574">
        <v>7292.8</v>
      </c>
      <c r="J1352" s="574">
        <v>7258.96</v>
      </c>
      <c r="K1352" s="574">
        <v>7239.4</v>
      </c>
      <c r="L1352" s="574">
        <v>7156.63</v>
      </c>
      <c r="M1352" s="574">
        <v>7141.2</v>
      </c>
      <c r="N1352" s="574">
        <v>7162.21</v>
      </c>
      <c r="O1352" s="574">
        <v>7286.7</v>
      </c>
      <c r="P1352" s="574">
        <v>7406.32</v>
      </c>
      <c r="Q1352" s="574">
        <v>7420.75</v>
      </c>
      <c r="R1352" s="575">
        <f t="shared" si="437"/>
        <v>87608.239999999991</v>
      </c>
    </row>
    <row r="1353" spans="4:18" x14ac:dyDescent="0.2">
      <c r="D1353" s="570"/>
      <c r="E1353" s="571"/>
      <c r="F1353" s="576">
        <f>SUM(F1347:F1352)</f>
        <v>2701877.7800000003</v>
      </c>
      <c r="G1353" s="576">
        <f t="shared" ref="G1353:R1353" si="438">SUM(G1347:G1352)</f>
        <v>2528838.5</v>
      </c>
      <c r="H1353" s="576">
        <f t="shared" si="438"/>
        <v>2189186.19</v>
      </c>
      <c r="I1353" s="576">
        <f t="shared" si="438"/>
        <v>1686264.09</v>
      </c>
      <c r="J1353" s="576">
        <f t="shared" si="438"/>
        <v>1304444.5499999998</v>
      </c>
      <c r="K1353" s="576">
        <f t="shared" si="438"/>
        <v>1131073.0099999998</v>
      </c>
      <c r="L1353" s="576">
        <f t="shared" si="438"/>
        <v>1086544.2999999998</v>
      </c>
      <c r="M1353" s="576">
        <f t="shared" si="438"/>
        <v>1106253.23</v>
      </c>
      <c r="N1353" s="576">
        <f t="shared" si="438"/>
        <v>1139599.1000000001</v>
      </c>
      <c r="O1353" s="576">
        <f t="shared" si="438"/>
        <v>1270544.4099999999</v>
      </c>
      <c r="P1353" s="576">
        <f t="shared" si="438"/>
        <v>1576224.32</v>
      </c>
      <c r="Q1353" s="576">
        <f t="shared" si="438"/>
        <v>2165553.1</v>
      </c>
      <c r="R1353" s="573">
        <f t="shared" si="438"/>
        <v>19886402.579999998</v>
      </c>
    </row>
    <row r="1354" spans="4:18" x14ac:dyDescent="0.2">
      <c r="D1354" s="570"/>
      <c r="E1354" s="571"/>
      <c r="F1354" s="576"/>
      <c r="G1354" s="577"/>
      <c r="H1354" s="578"/>
      <c r="I1354" s="577"/>
      <c r="J1354" s="579"/>
      <c r="K1354" s="577"/>
      <c r="L1354" s="577"/>
      <c r="M1354" s="577"/>
      <c r="N1354" s="577"/>
      <c r="O1354" s="577"/>
      <c r="P1354" s="577"/>
      <c r="Q1354" s="577"/>
      <c r="R1354" s="580"/>
    </row>
    <row r="1355" spans="4:18" x14ac:dyDescent="0.2">
      <c r="D1355" s="570" t="s">
        <v>364</v>
      </c>
      <c r="E1355" s="571"/>
      <c r="F1355" s="576">
        <f t="shared" ref="F1355:R1355" si="439">E1253+E1254+E1255+E1256+E1257</f>
        <v>7745365.1400000006</v>
      </c>
      <c r="G1355" s="576">
        <f t="shared" si="439"/>
        <v>7565619.6100000003</v>
      </c>
      <c r="H1355" s="576">
        <f t="shared" si="439"/>
        <v>6121915.8000000007</v>
      </c>
      <c r="I1355" s="576">
        <f t="shared" si="439"/>
        <v>4259775.0299999993</v>
      </c>
      <c r="J1355" s="576">
        <f t="shared" si="439"/>
        <v>2940210.17</v>
      </c>
      <c r="K1355" s="576">
        <f t="shared" si="439"/>
        <v>2314867.12</v>
      </c>
      <c r="L1355" s="576">
        <f t="shared" si="439"/>
        <v>2142910.4700000002</v>
      </c>
      <c r="M1355" s="576">
        <f t="shared" si="439"/>
        <v>2136325.7600000002</v>
      </c>
      <c r="N1355" s="576">
        <f t="shared" si="439"/>
        <v>2138237.9899999998</v>
      </c>
      <c r="O1355" s="576">
        <f t="shared" si="439"/>
        <v>2374642.33</v>
      </c>
      <c r="P1355" s="576">
        <f t="shared" si="439"/>
        <v>3587689.4299999997</v>
      </c>
      <c r="Q1355" s="576">
        <f t="shared" si="439"/>
        <v>5833041.7599999998</v>
      </c>
      <c r="R1355" s="573">
        <f t="shared" si="439"/>
        <v>49160600.609999999</v>
      </c>
    </row>
    <row r="1356" spans="4:18" x14ac:dyDescent="0.2">
      <c r="D1356" s="570"/>
      <c r="E1356" s="571"/>
      <c r="F1356" s="576">
        <f>F1355-F1345</f>
        <v>-5658181.0999999978</v>
      </c>
      <c r="G1356" s="576">
        <f t="shared" ref="G1356:R1356" si="440">G1355-G1345</f>
        <v>-5158306.8600000003</v>
      </c>
      <c r="H1356" s="576">
        <f t="shared" si="440"/>
        <v>-3687023.8499999996</v>
      </c>
      <c r="I1356" s="576">
        <f t="shared" si="440"/>
        <v>-2342139.4900000012</v>
      </c>
      <c r="J1356" s="576">
        <f t="shared" si="440"/>
        <v>-864452.54999999935</v>
      </c>
      <c r="K1356" s="576">
        <f t="shared" si="440"/>
        <v>-472582.5700000003</v>
      </c>
      <c r="L1356" s="576">
        <f t="shared" si="440"/>
        <v>-277300.68999999994</v>
      </c>
      <c r="M1356" s="576">
        <f t="shared" si="440"/>
        <v>-174424.13999999966</v>
      </c>
      <c r="N1356" s="576">
        <f t="shared" si="440"/>
        <v>-246452.23000000091</v>
      </c>
      <c r="O1356" s="576">
        <f t="shared" si="440"/>
        <v>-379087.01999999955</v>
      </c>
      <c r="P1356" s="576">
        <f t="shared" si="440"/>
        <v>-1067606.8400000008</v>
      </c>
      <c r="Q1356" s="576">
        <f t="shared" si="440"/>
        <v>-3272184.3999999985</v>
      </c>
      <c r="R1356" s="573">
        <f t="shared" si="440"/>
        <v>-23599741.74000001</v>
      </c>
    </row>
    <row r="1357" spans="4:18" x14ac:dyDescent="0.2">
      <c r="D1357" s="570"/>
      <c r="E1357" s="571"/>
      <c r="F1357" s="576">
        <f>ROUND(B!D16*12.35,2)</f>
        <v>19611.8</v>
      </c>
      <c r="G1357" s="576">
        <f>ROUND(B!E16*12.35,2)</f>
        <v>20155.2</v>
      </c>
      <c r="H1357" s="576">
        <f>ROUND(B!F16*12.35,2)</f>
        <v>21896.55</v>
      </c>
      <c r="I1357" s="576">
        <f>ROUND(B!G16*12.35,2)</f>
        <v>28676.7</v>
      </c>
      <c r="J1357" s="576">
        <f>ROUND(B!H16*12.35,2)</f>
        <v>29961.1</v>
      </c>
      <c r="K1357" s="576">
        <f>ROUND(B!I16*12.35,2)</f>
        <v>27997.45</v>
      </c>
      <c r="L1357" s="576">
        <f>ROUND(B!J16*12.35,2)</f>
        <v>24798.799999999999</v>
      </c>
      <c r="M1357" s="576">
        <f>ROUND(B!K16*12.35,2)</f>
        <v>32665.75</v>
      </c>
      <c r="N1357" s="576">
        <f>ROUND(B!L16*12.35,2)</f>
        <v>25539.8</v>
      </c>
      <c r="O1357" s="576">
        <f>ROUND(B!M16*12.35,2)</f>
        <v>20933.25</v>
      </c>
      <c r="P1357" s="576">
        <f>ROUND(B!N16*12.35,2)</f>
        <v>19636.5</v>
      </c>
      <c r="Q1357" s="576">
        <f>ROUND(B!O16*12.35,2)</f>
        <v>19685.900000000001</v>
      </c>
      <c r="R1357" s="573">
        <f>SUM(F1357:Q1357)</f>
        <v>291558.80000000005</v>
      </c>
    </row>
    <row r="1358" spans="4:18" x14ac:dyDescent="0.2">
      <c r="D1358" s="570"/>
      <c r="E1358" s="571"/>
      <c r="F1358" s="576">
        <f>ROUND(B!D80*25.13,2)</f>
        <v>2286.83</v>
      </c>
      <c r="G1358" s="576">
        <f>ROUND(B!E80*25.13,2)</f>
        <v>1708.84</v>
      </c>
      <c r="H1358" s="576">
        <f>ROUND(B!F80*25.13,2)</f>
        <v>2136.0500000000002</v>
      </c>
      <c r="I1358" s="576">
        <f>ROUND(B!G80*25.13,2)</f>
        <v>3493.07</v>
      </c>
      <c r="J1358" s="576">
        <f>ROUND(B!H80*25.13,2)</f>
        <v>2688.91</v>
      </c>
      <c r="K1358" s="576">
        <f>ROUND(B!I80*25.13,2)</f>
        <v>2211.44</v>
      </c>
      <c r="L1358" s="576">
        <f>ROUND(B!J80*25.13,2)</f>
        <v>1884.75</v>
      </c>
      <c r="M1358" s="576">
        <f>ROUND(B!K80*25.13,2)</f>
        <v>2311.96</v>
      </c>
      <c r="N1358" s="576">
        <f>ROUND(B!L80*25.13,2)</f>
        <v>1784.23</v>
      </c>
      <c r="O1358" s="576">
        <f>ROUND(B!M80*25.13,2)</f>
        <v>1759.1</v>
      </c>
      <c r="P1358" s="576">
        <f>ROUND(B!N80*25.13,2)</f>
        <v>1633.45</v>
      </c>
      <c r="Q1358" s="576">
        <f>ROUND(B!O80*25.13,2)</f>
        <v>1457.54</v>
      </c>
      <c r="R1358" s="573">
        <f>SUM(F1358:Q1358)</f>
        <v>25356.17</v>
      </c>
    </row>
    <row r="1359" spans="4:18" x14ac:dyDescent="0.2">
      <c r="D1359" s="570"/>
      <c r="E1359" s="571"/>
      <c r="F1359" s="576"/>
      <c r="G1359" s="576"/>
      <c r="H1359" s="576"/>
      <c r="I1359" s="576"/>
      <c r="J1359" s="576"/>
      <c r="K1359" s="576"/>
      <c r="L1359" s="576"/>
      <c r="M1359" s="576"/>
      <c r="N1359" s="576"/>
      <c r="O1359" s="576"/>
      <c r="P1359" s="576"/>
      <c r="Q1359" s="576"/>
      <c r="R1359" s="573"/>
    </row>
    <row r="1360" spans="4:18" x14ac:dyDescent="0.2">
      <c r="D1360" s="570"/>
      <c r="E1360" s="571"/>
      <c r="F1360" s="576"/>
      <c r="G1360" s="576"/>
      <c r="H1360" s="576"/>
      <c r="I1360" s="576"/>
      <c r="J1360" s="576"/>
      <c r="K1360" s="576"/>
      <c r="L1360" s="576"/>
      <c r="M1360" s="576"/>
      <c r="N1360" s="576"/>
      <c r="O1360" s="576"/>
      <c r="P1360" s="576"/>
      <c r="Q1360" s="576"/>
      <c r="R1360" s="573"/>
    </row>
    <row r="1361" spans="4:18" x14ac:dyDescent="0.2">
      <c r="D1361" s="570"/>
      <c r="E1361" s="571"/>
      <c r="F1361" s="576">
        <f t="shared" ref="F1361:R1361" si="441">SUM(E1263:E1266)</f>
        <v>3207230.71</v>
      </c>
      <c r="G1361" s="576">
        <f t="shared" si="441"/>
        <v>3195336.67</v>
      </c>
      <c r="H1361" s="576">
        <f t="shared" si="441"/>
        <v>2380170.9400000004</v>
      </c>
      <c r="I1361" s="576">
        <f t="shared" si="441"/>
        <v>1629156.48</v>
      </c>
      <c r="J1361" s="576">
        <f t="shared" si="441"/>
        <v>1021350.52</v>
      </c>
      <c r="K1361" s="576">
        <f t="shared" si="441"/>
        <v>790013.04</v>
      </c>
      <c r="L1361" s="576">
        <f t="shared" si="441"/>
        <v>689953.80999999994</v>
      </c>
      <c r="M1361" s="576">
        <f t="shared" si="441"/>
        <v>672605.27</v>
      </c>
      <c r="N1361" s="576">
        <f t="shared" si="441"/>
        <v>667303.73</v>
      </c>
      <c r="O1361" s="576">
        <f t="shared" si="441"/>
        <v>776060.96</v>
      </c>
      <c r="P1361" s="576">
        <f t="shared" si="441"/>
        <v>1178126.67</v>
      </c>
      <c r="Q1361" s="576">
        <f t="shared" si="441"/>
        <v>2232455.0999999996</v>
      </c>
      <c r="R1361" s="573">
        <f t="shared" si="441"/>
        <v>18439763.900000002</v>
      </c>
    </row>
    <row r="1362" spans="4:18" ht="10.8" thickBot="1" x14ac:dyDescent="0.25">
      <c r="D1362" s="581"/>
      <c r="E1362" s="582"/>
      <c r="F1362" s="583">
        <f t="shared" ref="F1362:R1362" si="442">F1361-F1353</f>
        <v>505352.9299999997</v>
      </c>
      <c r="G1362" s="583">
        <f t="shared" si="442"/>
        <v>666498.16999999993</v>
      </c>
      <c r="H1362" s="583">
        <f t="shared" si="442"/>
        <v>190984.75000000047</v>
      </c>
      <c r="I1362" s="583">
        <f t="shared" si="442"/>
        <v>-57107.610000000102</v>
      </c>
      <c r="J1362" s="583">
        <f t="shared" si="442"/>
        <v>-283094.0299999998</v>
      </c>
      <c r="K1362" s="583">
        <f t="shared" si="442"/>
        <v>-341059.96999999974</v>
      </c>
      <c r="L1362" s="583">
        <f t="shared" si="442"/>
        <v>-396590.48999999987</v>
      </c>
      <c r="M1362" s="583">
        <f t="shared" si="442"/>
        <v>-433647.95999999996</v>
      </c>
      <c r="N1362" s="583">
        <f t="shared" si="442"/>
        <v>-472295.37000000011</v>
      </c>
      <c r="O1362" s="583">
        <f t="shared" si="442"/>
        <v>-494483.44999999995</v>
      </c>
      <c r="P1362" s="583">
        <f t="shared" si="442"/>
        <v>-398097.65000000014</v>
      </c>
      <c r="Q1362" s="583">
        <f t="shared" si="442"/>
        <v>66901.999999999534</v>
      </c>
      <c r="R1362" s="584">
        <f t="shared" si="442"/>
        <v>-1446638.679999996</v>
      </c>
    </row>
    <row r="1363" spans="4:18" x14ac:dyDescent="0.2">
      <c r="E1363" s="512"/>
      <c r="F1363" s="512"/>
      <c r="G1363" s="512"/>
      <c r="H1363" s="512"/>
      <c r="I1363" s="512"/>
      <c r="J1363" s="512"/>
      <c r="K1363" s="512"/>
      <c r="L1363" s="512"/>
      <c r="M1363" s="512"/>
      <c r="N1363" s="512"/>
      <c r="O1363" s="512"/>
      <c r="P1363" s="512"/>
      <c r="Q1363" s="512"/>
    </row>
    <row r="1364" spans="4:18" x14ac:dyDescent="0.2">
      <c r="E1364" s="512"/>
      <c r="F1364" s="512"/>
      <c r="G1364" s="512"/>
      <c r="H1364" s="512"/>
      <c r="I1364" s="512"/>
      <c r="J1364" s="512"/>
      <c r="K1364" s="512"/>
      <c r="L1364" s="512"/>
      <c r="M1364" s="512"/>
      <c r="N1364" s="512"/>
      <c r="O1364" s="512"/>
      <c r="P1364" s="512"/>
      <c r="Q1364" s="512"/>
    </row>
    <row r="1365" spans="4:18" x14ac:dyDescent="0.2">
      <c r="E1365" s="512"/>
      <c r="F1365" s="512"/>
      <c r="G1365" s="512"/>
      <c r="H1365" s="512"/>
      <c r="I1365" s="512"/>
      <c r="J1365" s="512"/>
      <c r="K1365" s="512"/>
      <c r="L1365" s="512"/>
      <c r="M1365" s="512"/>
      <c r="N1365" s="512"/>
      <c r="O1365" s="512"/>
      <c r="P1365" s="512"/>
      <c r="Q1365" s="512"/>
    </row>
    <row r="1366" spans="4:18" x14ac:dyDescent="0.2">
      <c r="E1366" s="512"/>
      <c r="F1366" s="512"/>
      <c r="G1366" s="512"/>
      <c r="H1366" s="512"/>
      <c r="I1366" s="512"/>
      <c r="J1366" s="512"/>
      <c r="K1366" s="512"/>
      <c r="L1366" s="512"/>
      <c r="M1366" s="512"/>
      <c r="N1366" s="512"/>
      <c r="O1366" s="512"/>
      <c r="P1366" s="512"/>
      <c r="Q1366" s="512"/>
    </row>
    <row r="1367" spans="4:18" x14ac:dyDescent="0.2">
      <c r="E1367" s="512"/>
      <c r="F1367" s="512"/>
      <c r="G1367" s="512"/>
      <c r="H1367" s="512"/>
      <c r="I1367" s="512"/>
      <c r="J1367" s="512"/>
      <c r="K1367" s="512"/>
      <c r="L1367" s="512"/>
      <c r="M1367" s="512"/>
      <c r="N1367" s="512"/>
      <c r="O1367" s="512"/>
      <c r="P1367" s="512"/>
      <c r="Q1367" s="512"/>
    </row>
  </sheetData>
  <mergeCells count="126">
    <mergeCell ref="A881:Q881"/>
    <mergeCell ref="A170:Q170"/>
    <mergeCell ref="A171:Q171"/>
    <mergeCell ref="A176:Q176"/>
    <mergeCell ref="A334:Q334"/>
    <mergeCell ref="A335:Q335"/>
    <mergeCell ref="A336:Q336"/>
    <mergeCell ref="A337:Q337"/>
    <mergeCell ref="A338:Q338"/>
    <mergeCell ref="A343:Q343"/>
    <mergeCell ref="A578:Q578"/>
    <mergeCell ref="A511:Q511"/>
    <mergeCell ref="A518:Q518"/>
    <mergeCell ref="A512:Q512"/>
    <mergeCell ref="A576:Q576"/>
    <mergeCell ref="A577:Q577"/>
    <mergeCell ref="A634:Q634"/>
    <mergeCell ref="A633:Q633"/>
    <mergeCell ref="A802:Q802"/>
    <mergeCell ref="A1:Q1"/>
    <mergeCell ref="A2:Q2"/>
    <mergeCell ref="A3:Q3"/>
    <mergeCell ref="A4:Q4"/>
    <mergeCell ref="A47:Q47"/>
    <mergeCell ref="A48:Q48"/>
    <mergeCell ref="A113:Q113"/>
    <mergeCell ref="A112:Q112"/>
    <mergeCell ref="A111:Q111"/>
    <mergeCell ref="A49:Q49"/>
    <mergeCell ref="A50:Q50"/>
    <mergeCell ref="A51:Q51"/>
    <mergeCell ref="A5:Q5"/>
    <mergeCell ref="A10:Q10"/>
    <mergeCell ref="A56:Q56"/>
    <mergeCell ref="A167:Q167"/>
    <mergeCell ref="A168:Q168"/>
    <mergeCell ref="A169:Q169"/>
    <mergeCell ref="A390:Q390"/>
    <mergeCell ref="A442:Q442"/>
    <mergeCell ref="A441:Q441"/>
    <mergeCell ref="A450:Q450"/>
    <mergeCell ref="A443:Q443"/>
    <mergeCell ref="A444:Q444"/>
    <mergeCell ref="A445:Q445"/>
    <mergeCell ref="A281:Q281"/>
    <mergeCell ref="A114:Q114"/>
    <mergeCell ref="A384:Q384"/>
    <mergeCell ref="A383:Q383"/>
    <mergeCell ref="A382:Q382"/>
    <mergeCell ref="A513:Q513"/>
    <mergeCell ref="A1194:Q1194"/>
    <mergeCell ref="A1189:Q1189"/>
    <mergeCell ref="A1188:Q1188"/>
    <mergeCell ref="A1187:Q1187"/>
    <mergeCell ref="A1186:Q1186"/>
    <mergeCell ref="A811:Q811"/>
    <mergeCell ref="A1136:Q1136"/>
    <mergeCell ref="A1129:Q1129"/>
    <mergeCell ref="A1128:Q1128"/>
    <mergeCell ref="A1127:Q1127"/>
    <mergeCell ref="A1131:Q1131"/>
    <mergeCell ref="A1130:Q1130"/>
    <mergeCell ref="A919:Q919"/>
    <mergeCell ref="A1066:Q1066"/>
    <mergeCell ref="A921:Q921"/>
    <mergeCell ref="A1185:Q1185"/>
    <mergeCell ref="A872:Q872"/>
    <mergeCell ref="A806:Q806"/>
    <mergeCell ref="A805:Q805"/>
    <mergeCell ref="A1061:Q1061"/>
    <mergeCell ref="A1060:Q1060"/>
    <mergeCell ref="A1059:Q1059"/>
    <mergeCell ref="A1058:Q1058"/>
    <mergeCell ref="A1057:Q1057"/>
    <mergeCell ref="A987:Q987"/>
    <mergeCell ref="A986:Q986"/>
    <mergeCell ref="A992:Q992"/>
    <mergeCell ref="A985:Q985"/>
    <mergeCell ref="A984:Q984"/>
    <mergeCell ref="A920:Q920"/>
    <mergeCell ref="A983:Q983"/>
    <mergeCell ref="A686:Q686"/>
    <mergeCell ref="A684:Q684"/>
    <mergeCell ref="A115:Q115"/>
    <mergeCell ref="A381:Q381"/>
    <mergeCell ref="A218:Q218"/>
    <mergeCell ref="A120:Q120"/>
    <mergeCell ref="A213:Q213"/>
    <mergeCell ref="A212:Q212"/>
    <mergeCell ref="A211:Q211"/>
    <mergeCell ref="A210:Q210"/>
    <mergeCell ref="A209:Q209"/>
    <mergeCell ref="A276:Q276"/>
    <mergeCell ref="A275:Q275"/>
    <mergeCell ref="A274:Q274"/>
    <mergeCell ref="A273:Q273"/>
    <mergeCell ref="A272:Q272"/>
    <mergeCell ref="A385:Q385"/>
    <mergeCell ref="A632:Q632"/>
    <mergeCell ref="A641:Q641"/>
    <mergeCell ref="A636:Q636"/>
    <mergeCell ref="A635:Q635"/>
    <mergeCell ref="A926:Q926"/>
    <mergeCell ref="A918:Q918"/>
    <mergeCell ref="A917:Q917"/>
    <mergeCell ref="A510:Q510"/>
    <mergeCell ref="A509:Q509"/>
    <mergeCell ref="A804:Q804"/>
    <mergeCell ref="A803:Q803"/>
    <mergeCell ref="A742:Q742"/>
    <mergeCell ref="A733:Q733"/>
    <mergeCell ref="A734:Q734"/>
    <mergeCell ref="A735:Q735"/>
    <mergeCell ref="A579:Q579"/>
    <mergeCell ref="A580:Q580"/>
    <mergeCell ref="A585:Q585"/>
    <mergeCell ref="A736:Q736"/>
    <mergeCell ref="A737:Q737"/>
    <mergeCell ref="A683:Q683"/>
    <mergeCell ref="A682:Q682"/>
    <mergeCell ref="A685:Q685"/>
    <mergeCell ref="A691:Q691"/>
    <mergeCell ref="A873:Q873"/>
    <mergeCell ref="A874:Q874"/>
    <mergeCell ref="A875:Q875"/>
    <mergeCell ref="A876:Q876"/>
  </mergeCells>
  <phoneticPr fontId="0" type="noConversion"/>
  <printOptions horizontalCentered="1"/>
  <pageMargins left="0.5" right="0.25" top="0.5" bottom="0.25" header="0.25" footer="0.5"/>
  <pageSetup scale="68" orientation="landscape" r:id="rId1"/>
  <headerFooter alignWithMargins="0">
    <oddHeader>&amp;RKY PSC Case No. 2016-00162
Attachment B to PSC 2-65</oddHeader>
  </headerFooter>
  <rowBreaks count="20" manualBreakCount="20">
    <brk id="46" max="17" man="1"/>
    <brk id="110" max="16" man="1"/>
    <brk id="166" max="16" man="1"/>
    <brk id="208" max="16383" man="1"/>
    <brk id="271" max="16383" man="1"/>
    <brk id="333" max="16" man="1"/>
    <brk id="380" max="16383" man="1"/>
    <brk id="440" max="16383" man="1"/>
    <brk id="508" max="16383" man="1"/>
    <brk id="575" max="16383" man="1"/>
    <brk id="631" max="16383" man="1"/>
    <brk id="681" max="16383" man="1"/>
    <brk id="732" max="16383" man="1"/>
    <brk id="801" max="16383" man="1"/>
    <brk id="870" max="16" man="1"/>
    <brk id="915" max="16" man="1"/>
    <brk id="982" max="16383" man="1"/>
    <brk id="1055" max="17" man="1"/>
    <brk id="1126" max="16383" man="1"/>
    <brk id="118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0"/>
  <dimension ref="A1:Y1336"/>
  <sheetViews>
    <sheetView zoomScaleNormal="100" zoomScaleSheetLayoutView="70" workbookViewId="0">
      <selection activeCell="C18" sqref="C18"/>
    </sheetView>
  </sheetViews>
  <sheetFormatPr defaultColWidth="10" defaultRowHeight="10.199999999999999" x14ac:dyDescent="0.2"/>
  <cols>
    <col min="1" max="1" width="6.1640625" style="263" customWidth="1"/>
    <col min="2" max="2" width="7.83203125" style="221" customWidth="1"/>
    <col min="3" max="3" width="40.83203125" style="221" customWidth="1"/>
    <col min="4" max="4" width="12.33203125" style="242" bestFit="1" customWidth="1"/>
    <col min="5" max="5" width="14.33203125" style="221" bestFit="1" customWidth="1"/>
    <col min="6" max="6" width="14.33203125" style="294" bestFit="1" customWidth="1"/>
    <col min="7" max="7" width="14.33203125" style="419" bestFit="1" customWidth="1"/>
    <col min="8" max="8" width="14.6640625" style="294" bestFit="1" customWidth="1"/>
    <col min="9" max="9" width="13.1640625" style="247" bestFit="1" customWidth="1"/>
    <col min="10" max="15" width="13.1640625" style="294" bestFit="1" customWidth="1"/>
    <col min="16" max="16" width="14.33203125" style="294" bestFit="1" customWidth="1"/>
    <col min="17" max="17" width="15.6640625" style="221" customWidth="1"/>
    <col min="18" max="18" width="10" style="221"/>
    <col min="19" max="19" width="31" style="221" bestFit="1" customWidth="1"/>
    <col min="20" max="20" width="15.83203125" style="221" bestFit="1" customWidth="1"/>
    <col min="21" max="16384" width="10" style="221"/>
  </cols>
  <sheetData>
    <row r="1" spans="1:17" x14ac:dyDescent="0.2">
      <c r="A1" s="887" t="str">
        <f>CONAME</f>
        <v>Columbia Gas of Kentucky, Inc.</v>
      </c>
      <c r="B1" s="887"/>
      <c r="C1" s="887"/>
      <c r="D1" s="887"/>
      <c r="E1" s="887"/>
      <c r="F1" s="887"/>
      <c r="G1" s="887"/>
      <c r="H1" s="887"/>
      <c r="I1" s="887"/>
      <c r="J1" s="887"/>
      <c r="K1" s="887"/>
      <c r="L1" s="887"/>
      <c r="M1" s="887"/>
      <c r="N1" s="887"/>
      <c r="O1" s="887"/>
      <c r="P1" s="887"/>
      <c r="Q1" s="887"/>
    </row>
    <row r="2" spans="1:17" x14ac:dyDescent="0.2">
      <c r="A2" s="875" t="str">
        <f>case</f>
        <v>Case No. 2016-00162</v>
      </c>
      <c r="B2" s="875"/>
      <c r="C2" s="875"/>
      <c r="D2" s="875"/>
      <c r="E2" s="875"/>
      <c r="F2" s="875"/>
      <c r="G2" s="875"/>
      <c r="H2" s="875"/>
      <c r="I2" s="875"/>
      <c r="J2" s="875"/>
      <c r="K2" s="875"/>
      <c r="L2" s="875"/>
      <c r="M2" s="875"/>
      <c r="N2" s="875"/>
      <c r="O2" s="875"/>
      <c r="P2" s="875"/>
      <c r="Q2" s="875"/>
    </row>
    <row r="3" spans="1:17" x14ac:dyDescent="0.2">
      <c r="A3" s="888" t="s">
        <v>200</v>
      </c>
      <c r="B3" s="888"/>
      <c r="C3" s="888"/>
      <c r="D3" s="888"/>
      <c r="E3" s="888"/>
      <c r="F3" s="888"/>
      <c r="G3" s="888"/>
      <c r="H3" s="888"/>
      <c r="I3" s="888"/>
      <c r="J3" s="888"/>
      <c r="K3" s="888"/>
      <c r="L3" s="888"/>
      <c r="M3" s="888"/>
      <c r="N3" s="888"/>
      <c r="O3" s="888"/>
      <c r="P3" s="888"/>
      <c r="Q3" s="888"/>
    </row>
    <row r="4" spans="1:17" x14ac:dyDescent="0.2">
      <c r="A4" s="887" t="str">
        <f>TYDESC</f>
        <v>For the 12 Months Ended December 31, 2017</v>
      </c>
      <c r="B4" s="887"/>
      <c r="C4" s="887"/>
      <c r="D4" s="887"/>
      <c r="E4" s="887"/>
      <c r="F4" s="887"/>
      <c r="G4" s="887"/>
      <c r="H4" s="887"/>
      <c r="I4" s="887"/>
      <c r="J4" s="887"/>
      <c r="K4" s="887"/>
      <c r="L4" s="887"/>
      <c r="M4" s="887"/>
      <c r="N4" s="887"/>
      <c r="O4" s="887"/>
      <c r="P4" s="887"/>
      <c r="Q4" s="887"/>
    </row>
    <row r="5" spans="1:17" x14ac:dyDescent="0.2">
      <c r="A5" s="885" t="s">
        <v>39</v>
      </c>
      <c r="B5" s="885"/>
      <c r="C5" s="885"/>
      <c r="D5" s="885"/>
      <c r="E5" s="885"/>
      <c r="F5" s="885"/>
      <c r="G5" s="885"/>
      <c r="H5" s="885"/>
      <c r="I5" s="885"/>
      <c r="J5" s="885"/>
      <c r="K5" s="885"/>
      <c r="L5" s="885"/>
      <c r="M5" s="885"/>
      <c r="N5" s="885"/>
      <c r="O5" s="885"/>
      <c r="P5" s="885"/>
      <c r="Q5" s="885"/>
    </row>
    <row r="6" spans="1:17" x14ac:dyDescent="0.2">
      <c r="A6" s="718" t="str">
        <f>$A$52</f>
        <v>Data: __ Base Period _X_ Forecasted Period</v>
      </c>
    </row>
    <row r="7" spans="1:17" x14ac:dyDescent="0.2">
      <c r="A7" s="718" t="str">
        <f>$A$53</f>
        <v>Type of Filing: X Original _ Update _ Revised</v>
      </c>
      <c r="Q7" s="420" t="str">
        <f>$Q$53</f>
        <v>Schedule M-2.3</v>
      </c>
    </row>
    <row r="8" spans="1:17" x14ac:dyDescent="0.2">
      <c r="A8" s="718" t="str">
        <f>$A$54</f>
        <v>Work Paper Reference No(s):</v>
      </c>
      <c r="Q8" s="420" t="s">
        <v>505</v>
      </c>
    </row>
    <row r="9" spans="1:17" x14ac:dyDescent="0.2">
      <c r="A9" s="719" t="str">
        <f>$A$55</f>
        <v>12 Months Forecasted</v>
      </c>
      <c r="Q9" s="420" t="str">
        <f>Witness</f>
        <v>Witness:  M. J. Bell</v>
      </c>
    </row>
    <row r="10" spans="1:17" x14ac:dyDescent="0.2">
      <c r="A10" s="886" t="s">
        <v>294</v>
      </c>
      <c r="B10" s="886"/>
      <c r="C10" s="886"/>
      <c r="D10" s="886"/>
      <c r="E10" s="886"/>
      <c r="F10" s="886"/>
      <c r="G10" s="886"/>
      <c r="H10" s="886"/>
      <c r="I10" s="886"/>
      <c r="J10" s="886"/>
      <c r="K10" s="886"/>
      <c r="L10" s="886"/>
      <c r="M10" s="886"/>
      <c r="N10" s="886"/>
      <c r="O10" s="886"/>
      <c r="P10" s="886"/>
      <c r="Q10" s="886"/>
    </row>
    <row r="11" spans="1:17" x14ac:dyDescent="0.2">
      <c r="B11" s="224"/>
      <c r="C11" s="224"/>
      <c r="D11" s="423"/>
      <c r="P11" s="422"/>
      <c r="Q11" s="422"/>
    </row>
    <row r="12" spans="1:17" x14ac:dyDescent="0.2">
      <c r="A12" s="416" t="s">
        <v>1</v>
      </c>
      <c r="B12" s="226" t="s">
        <v>224</v>
      </c>
      <c r="C12" s="226" t="s">
        <v>41</v>
      </c>
      <c r="D12" s="423" t="s">
        <v>30</v>
      </c>
      <c r="E12" s="424"/>
      <c r="F12" s="425"/>
      <c r="G12" s="424"/>
      <c r="H12" s="426"/>
      <c r="I12" s="424"/>
      <c r="J12" s="424"/>
      <c r="K12" s="424"/>
      <c r="L12" s="424"/>
      <c r="M12" s="424"/>
      <c r="N12" s="424"/>
      <c r="O12" s="231"/>
      <c r="P12" s="231"/>
      <c r="Q12" s="231"/>
    </row>
    <row r="13" spans="1:17" x14ac:dyDescent="0.2">
      <c r="A13" s="285" t="s">
        <v>3</v>
      </c>
      <c r="B13" s="228" t="s">
        <v>225</v>
      </c>
      <c r="C13" s="228" t="s">
        <v>4</v>
      </c>
      <c r="D13" s="427" t="s">
        <v>48</v>
      </c>
      <c r="E13" s="428" t="str">
        <f>B!$D$11</f>
        <v>Jan-17</v>
      </c>
      <c r="F13" s="428" t="str">
        <f>B!$E$11</f>
        <v>Feb-17</v>
      </c>
      <c r="G13" s="428" t="str">
        <f>B!$F$11</f>
        <v>Mar-17</v>
      </c>
      <c r="H13" s="428" t="str">
        <f>B!$G$11</f>
        <v>Apr-17</v>
      </c>
      <c r="I13" s="428" t="str">
        <f>B!$H$11</f>
        <v>May-17</v>
      </c>
      <c r="J13" s="428" t="str">
        <f>B!$I$11</f>
        <v>Jun-17</v>
      </c>
      <c r="K13" s="428" t="str">
        <f>B!$J$11</f>
        <v>Jul-17</v>
      </c>
      <c r="L13" s="428" t="str">
        <f>B!$K$11</f>
        <v>Aug-17</v>
      </c>
      <c r="M13" s="428" t="str">
        <f>B!$L$11</f>
        <v>Sep-17</v>
      </c>
      <c r="N13" s="428" t="str">
        <f>B!$M$11</f>
        <v>Oct-17</v>
      </c>
      <c r="O13" s="428" t="str">
        <f>B!$N$11</f>
        <v>Nov-17</v>
      </c>
      <c r="P13" s="428" t="str">
        <f>B!$O$11</f>
        <v>Dec-17</v>
      </c>
      <c r="Q13" s="429" t="s">
        <v>9</v>
      </c>
    </row>
    <row r="14" spans="1:17" x14ac:dyDescent="0.2">
      <c r="A14" s="416"/>
      <c r="B14" s="231" t="s">
        <v>42</v>
      </c>
      <c r="C14" s="231" t="s">
        <v>43</v>
      </c>
      <c r="D14" s="430" t="s">
        <v>45</v>
      </c>
      <c r="E14" s="431" t="s">
        <v>46</v>
      </c>
      <c r="F14" s="431" t="s">
        <v>49</v>
      </c>
      <c r="G14" s="431" t="s">
        <v>50</v>
      </c>
      <c r="H14" s="431" t="s">
        <v>51</v>
      </c>
      <c r="I14" s="431" t="s">
        <v>52</v>
      </c>
      <c r="J14" s="432" t="s">
        <v>53</v>
      </c>
      <c r="K14" s="432" t="s">
        <v>54</v>
      </c>
      <c r="L14" s="432" t="s">
        <v>55</v>
      </c>
      <c r="M14" s="432" t="s">
        <v>56</v>
      </c>
      <c r="N14" s="432" t="s">
        <v>57</v>
      </c>
      <c r="O14" s="432" t="s">
        <v>58</v>
      </c>
      <c r="P14" s="432" t="s">
        <v>59</v>
      </c>
      <c r="Q14" s="432" t="s">
        <v>203</v>
      </c>
    </row>
    <row r="15" spans="1:17" x14ac:dyDescent="0.2">
      <c r="B15" s="224"/>
      <c r="C15" s="224"/>
      <c r="P15" s="429"/>
      <c r="Q15" s="429"/>
    </row>
    <row r="16" spans="1:17" x14ac:dyDescent="0.2">
      <c r="A16" s="263">
        <v>1</v>
      </c>
      <c r="B16" s="224"/>
      <c r="C16" s="433" t="s">
        <v>226</v>
      </c>
      <c r="P16" s="432"/>
      <c r="Q16" s="432"/>
    </row>
    <row r="17" spans="1:17" x14ac:dyDescent="0.2">
      <c r="B17" s="224"/>
      <c r="C17" s="433"/>
      <c r="P17" s="422"/>
      <c r="Q17" s="422"/>
    </row>
    <row r="18" spans="1:17" x14ac:dyDescent="0.2">
      <c r="A18" s="263">
        <f>A16+1</f>
        <v>2</v>
      </c>
      <c r="B18" s="224"/>
      <c r="C18" s="433" t="s">
        <v>227</v>
      </c>
    </row>
    <row r="19" spans="1:17" x14ac:dyDescent="0.2">
      <c r="A19" s="263">
        <f>A18+1</f>
        <v>3</v>
      </c>
      <c r="B19" s="263">
        <v>480</v>
      </c>
      <c r="C19" s="224" t="s">
        <v>229</v>
      </c>
      <c r="E19" s="434">
        <f t="shared" ref="E19:P19" si="0">E69+E83+E90+E97+E104+E131+E145+E152</f>
        <v>10239049.810000002</v>
      </c>
      <c r="F19" s="434">
        <f t="shared" si="0"/>
        <v>9991054.9300000016</v>
      </c>
      <c r="G19" s="434">
        <f t="shared" si="0"/>
        <v>8003401.4199999999</v>
      </c>
      <c r="H19" s="434">
        <f t="shared" si="0"/>
        <v>5440129.8099999996</v>
      </c>
      <c r="I19" s="434">
        <f t="shared" si="0"/>
        <v>3625767.1999999993</v>
      </c>
      <c r="J19" s="434">
        <f t="shared" si="0"/>
        <v>2769004.17</v>
      </c>
      <c r="K19" s="434">
        <f t="shared" si="0"/>
        <v>2535935.0500000003</v>
      </c>
      <c r="L19" s="434">
        <f t="shared" si="0"/>
        <v>2525255.6900000004</v>
      </c>
      <c r="M19" s="434">
        <f t="shared" si="0"/>
        <v>2530600.6100000003</v>
      </c>
      <c r="N19" s="434">
        <f t="shared" si="0"/>
        <v>2856063.98</v>
      </c>
      <c r="O19" s="434">
        <f t="shared" si="0"/>
        <v>4521428.5599999987</v>
      </c>
      <c r="P19" s="434">
        <f t="shared" si="0"/>
        <v>7608213.2700000005</v>
      </c>
      <c r="Q19" s="434">
        <f>SUM(E19:P19)</f>
        <v>62645904.499999993</v>
      </c>
    </row>
    <row r="20" spans="1:17" x14ac:dyDescent="0.2">
      <c r="A20" s="263">
        <f>A19+1</f>
        <v>4</v>
      </c>
      <c r="B20" s="263">
        <v>481.1</v>
      </c>
      <c r="C20" s="224" t="s">
        <v>230</v>
      </c>
      <c r="E20" s="436">
        <f>E76+E138+E159</f>
        <v>3961465.2399999998</v>
      </c>
      <c r="F20" s="436">
        <f t="shared" ref="F20:P20" si="1">F76+F138+F159</f>
        <v>3948420.2</v>
      </c>
      <c r="G20" s="436">
        <f t="shared" si="1"/>
        <v>2931957.5000000005</v>
      </c>
      <c r="H20" s="436">
        <f t="shared" si="1"/>
        <v>1988972.79</v>
      </c>
      <c r="I20" s="436">
        <f t="shared" si="1"/>
        <v>1224595.06</v>
      </c>
      <c r="J20" s="436">
        <f t="shared" si="1"/>
        <v>934051.84000000008</v>
      </c>
      <c r="K20" s="436">
        <f t="shared" si="1"/>
        <v>808270.21</v>
      </c>
      <c r="L20" s="436">
        <f t="shared" si="1"/>
        <v>786529.91000000015</v>
      </c>
      <c r="M20" s="436">
        <f t="shared" si="1"/>
        <v>780139.30999999994</v>
      </c>
      <c r="N20" s="436">
        <f t="shared" si="1"/>
        <v>916956.38</v>
      </c>
      <c r="O20" s="436">
        <f t="shared" si="1"/>
        <v>1422106.1399999997</v>
      </c>
      <c r="P20" s="436">
        <f t="shared" si="1"/>
        <v>2743542.68</v>
      </c>
      <c r="Q20" s="242">
        <f>SUM(E20:P20)</f>
        <v>22447007.259999998</v>
      </c>
    </row>
    <row r="21" spans="1:17" x14ac:dyDescent="0.2">
      <c r="A21" s="263">
        <f>A20+1</f>
        <v>5</v>
      </c>
      <c r="B21" s="437">
        <v>481.2</v>
      </c>
      <c r="C21" s="224" t="s">
        <v>231</v>
      </c>
      <c r="E21" s="242">
        <f t="shared" ref="E21:P21" si="2">E186+E193</f>
        <v>158291.24</v>
      </c>
      <c r="F21" s="242">
        <f t="shared" si="2"/>
        <v>153312.03999999998</v>
      </c>
      <c r="G21" s="242">
        <f t="shared" si="2"/>
        <v>148408.09</v>
      </c>
      <c r="H21" s="242">
        <f t="shared" si="2"/>
        <v>143057.5</v>
      </c>
      <c r="I21" s="242">
        <f t="shared" si="2"/>
        <v>137509.44</v>
      </c>
      <c r="J21" s="242">
        <f t="shared" si="2"/>
        <v>132253.63</v>
      </c>
      <c r="K21" s="242">
        <f t="shared" si="2"/>
        <v>132252.28000000003</v>
      </c>
      <c r="L21" s="242">
        <f t="shared" si="2"/>
        <v>137224.11000000002</v>
      </c>
      <c r="M21" s="242">
        <f t="shared" si="2"/>
        <v>137165.45000000001</v>
      </c>
      <c r="N21" s="242">
        <f t="shared" si="2"/>
        <v>147144.74000000002</v>
      </c>
      <c r="O21" s="242">
        <f t="shared" si="2"/>
        <v>147804.4</v>
      </c>
      <c r="P21" s="242">
        <f t="shared" si="2"/>
        <v>148603.68</v>
      </c>
      <c r="Q21" s="242">
        <f>SUM(E21:P21)</f>
        <v>1723026.5999999999</v>
      </c>
    </row>
    <row r="22" spans="1:17" x14ac:dyDescent="0.2">
      <c r="A22" s="263">
        <f>A25+1</f>
        <v>8</v>
      </c>
      <c r="B22" s="263">
        <v>483</v>
      </c>
      <c r="C22" s="224" t="s">
        <v>233</v>
      </c>
      <c r="E22" s="438">
        <f t="shared" ref="E22:P22" si="3">E200</f>
        <v>12479.07</v>
      </c>
      <c r="F22" s="438">
        <f t="shared" si="3"/>
        <v>9522.25</v>
      </c>
      <c r="G22" s="438">
        <f t="shared" si="3"/>
        <v>5214.0700000000006</v>
      </c>
      <c r="H22" s="438">
        <f t="shared" si="3"/>
        <v>3585.3999999999996</v>
      </c>
      <c r="I22" s="438">
        <f t="shared" si="3"/>
        <v>2591.6</v>
      </c>
      <c r="J22" s="438">
        <f t="shared" si="3"/>
        <v>2087.2000000000003</v>
      </c>
      <c r="K22" s="438">
        <f t="shared" si="3"/>
        <v>2171.33</v>
      </c>
      <c r="L22" s="438">
        <f t="shared" si="3"/>
        <v>1997.73</v>
      </c>
      <c r="M22" s="438">
        <f t="shared" si="3"/>
        <v>1998.8</v>
      </c>
      <c r="N22" s="438">
        <f t="shared" si="3"/>
        <v>3811.76</v>
      </c>
      <c r="O22" s="438">
        <f t="shared" si="3"/>
        <v>4913.5700000000006</v>
      </c>
      <c r="P22" s="438">
        <f t="shared" si="3"/>
        <v>5556.9800000000005</v>
      </c>
      <c r="Q22" s="438">
        <f>SUM(E22:P22)</f>
        <v>55929.760000000009</v>
      </c>
    </row>
    <row r="23" spans="1:17" x14ac:dyDescent="0.2">
      <c r="A23" s="263">
        <f>A21+1</f>
        <v>6</v>
      </c>
      <c r="B23" s="437"/>
      <c r="C23" s="224" t="s">
        <v>232</v>
      </c>
      <c r="E23" s="434">
        <f t="shared" ref="E23:P23" si="4">SUM(E19:E22)</f>
        <v>14371285.360000003</v>
      </c>
      <c r="F23" s="434">
        <f t="shared" si="4"/>
        <v>14102309.420000002</v>
      </c>
      <c r="G23" s="434">
        <f t="shared" si="4"/>
        <v>11088981.08</v>
      </c>
      <c r="H23" s="434">
        <f t="shared" si="4"/>
        <v>7575745.5</v>
      </c>
      <c r="I23" s="434">
        <f t="shared" si="4"/>
        <v>4990463.3</v>
      </c>
      <c r="J23" s="434">
        <f t="shared" si="4"/>
        <v>3837396.84</v>
      </c>
      <c r="K23" s="434">
        <f t="shared" si="4"/>
        <v>3478628.87</v>
      </c>
      <c r="L23" s="434">
        <f t="shared" si="4"/>
        <v>3451007.4400000004</v>
      </c>
      <c r="M23" s="434">
        <f t="shared" si="4"/>
        <v>3449904.1700000004</v>
      </c>
      <c r="N23" s="434">
        <f t="shared" si="4"/>
        <v>3923976.86</v>
      </c>
      <c r="O23" s="434">
        <f t="shared" si="4"/>
        <v>6096252.669999999</v>
      </c>
      <c r="P23" s="434">
        <f t="shared" si="4"/>
        <v>10505916.610000001</v>
      </c>
      <c r="Q23" s="434">
        <f>SUM(E23:P23)</f>
        <v>86871868.120000005</v>
      </c>
    </row>
    <row r="24" spans="1:17" x14ac:dyDescent="0.2">
      <c r="B24" s="437"/>
      <c r="C24" s="224"/>
    </row>
    <row r="25" spans="1:17" x14ac:dyDescent="0.2">
      <c r="A25" s="263">
        <f>A23+1</f>
        <v>7</v>
      </c>
      <c r="B25" s="437"/>
      <c r="C25" s="433" t="s">
        <v>285</v>
      </c>
    </row>
    <row r="26" spans="1:17" x14ac:dyDescent="0.2">
      <c r="A26" s="263">
        <f>A22+1</f>
        <v>9</v>
      </c>
      <c r="B26" s="263">
        <v>489</v>
      </c>
      <c r="C26" s="224" t="s">
        <v>234</v>
      </c>
      <c r="E26" s="434">
        <f t="shared" ref="E26:P26" si="5">E227</f>
        <v>1914082.8</v>
      </c>
      <c r="F26" s="434">
        <f t="shared" si="5"/>
        <v>1872219.9</v>
      </c>
      <c r="G26" s="434">
        <f t="shared" si="5"/>
        <v>1526708.34</v>
      </c>
      <c r="H26" s="434">
        <f t="shared" si="5"/>
        <v>1077206.8600000001</v>
      </c>
      <c r="I26" s="434">
        <f t="shared" si="5"/>
        <v>761410.78</v>
      </c>
      <c r="J26" s="434">
        <f t="shared" si="5"/>
        <v>611510.84</v>
      </c>
      <c r="K26" s="434">
        <f t="shared" si="5"/>
        <v>569220.72</v>
      </c>
      <c r="L26" s="434">
        <f t="shared" si="5"/>
        <v>564987.62</v>
      </c>
      <c r="M26" s="434">
        <f t="shared" si="5"/>
        <v>571941.26</v>
      </c>
      <c r="N26" s="434">
        <f t="shared" si="5"/>
        <v>627096.22</v>
      </c>
      <c r="O26" s="434">
        <f t="shared" si="5"/>
        <v>915323.02</v>
      </c>
      <c r="P26" s="434">
        <f t="shared" si="5"/>
        <v>1453803.3800000001</v>
      </c>
      <c r="Q26" s="434">
        <f>SUM(E26:P26)</f>
        <v>12465511.74</v>
      </c>
    </row>
    <row r="27" spans="1:17" x14ac:dyDescent="0.2">
      <c r="A27" s="263">
        <f t="shared" ref="A27:A34" si="6">A26+1</f>
        <v>10</v>
      </c>
      <c r="B27" s="263">
        <v>489</v>
      </c>
      <c r="C27" s="224" t="s">
        <v>235</v>
      </c>
      <c r="E27" s="242">
        <f t="shared" ref="E27:P27" si="7">E234+E248+E262+E304+E352</f>
        <v>1461885.1400000004</v>
      </c>
      <c r="F27" s="242">
        <f t="shared" si="7"/>
        <v>1398729.74</v>
      </c>
      <c r="G27" s="242">
        <f t="shared" si="7"/>
        <v>1183869.0999999999</v>
      </c>
      <c r="H27" s="242">
        <f t="shared" si="7"/>
        <v>877322.08000000007</v>
      </c>
      <c r="I27" s="242">
        <f t="shared" si="7"/>
        <v>677291.61</v>
      </c>
      <c r="J27" s="242">
        <f t="shared" si="7"/>
        <v>580778.8600000001</v>
      </c>
      <c r="K27" s="242">
        <f t="shared" si="7"/>
        <v>560949.85000000009</v>
      </c>
      <c r="L27" s="242">
        <f t="shared" si="7"/>
        <v>548137.12000000011</v>
      </c>
      <c r="M27" s="242">
        <f t="shared" si="7"/>
        <v>570437.41999999993</v>
      </c>
      <c r="N27" s="242">
        <f t="shared" si="7"/>
        <v>665940.47999999998</v>
      </c>
      <c r="O27" s="242">
        <f t="shared" si="7"/>
        <v>861854.75</v>
      </c>
      <c r="P27" s="242">
        <f t="shared" si="7"/>
        <v>1203167.3799999999</v>
      </c>
      <c r="Q27" s="242">
        <f t="shared" ref="Q27:Q33" si="8">SUM(E27:P27)</f>
        <v>10590363.530000001</v>
      </c>
    </row>
    <row r="28" spans="1:17" x14ac:dyDescent="0.2">
      <c r="A28" s="263">
        <f t="shared" si="6"/>
        <v>11</v>
      </c>
      <c r="B28" s="263">
        <v>489</v>
      </c>
      <c r="C28" s="224" t="s">
        <v>236</v>
      </c>
      <c r="E28" s="242">
        <f t="shared" ref="E28:P28" si="9">E241+E255+E290+E297+E311+E318+E325+E359</f>
        <v>720903.28999999992</v>
      </c>
      <c r="F28" s="242">
        <f t="shared" si="9"/>
        <v>669511.04999999993</v>
      </c>
      <c r="G28" s="242">
        <f t="shared" si="9"/>
        <v>614676.41999999993</v>
      </c>
      <c r="H28" s="242">
        <f t="shared" si="9"/>
        <v>551987.37</v>
      </c>
      <c r="I28" s="242">
        <f t="shared" si="9"/>
        <v>508762.46</v>
      </c>
      <c r="J28" s="242">
        <f t="shared" si="9"/>
        <v>479898.59</v>
      </c>
      <c r="K28" s="242">
        <f t="shared" si="9"/>
        <v>447447.84000000008</v>
      </c>
      <c r="L28" s="242">
        <f t="shared" si="9"/>
        <v>482317.75</v>
      </c>
      <c r="M28" s="242">
        <f t="shared" si="9"/>
        <v>503261.66000000009</v>
      </c>
      <c r="N28" s="242">
        <f t="shared" si="9"/>
        <v>566462.6399999999</v>
      </c>
      <c r="O28" s="242">
        <f t="shared" si="9"/>
        <v>629640.81999999995</v>
      </c>
      <c r="P28" s="242">
        <f t="shared" si="9"/>
        <v>655878.14</v>
      </c>
      <c r="Q28" s="242">
        <f t="shared" si="8"/>
        <v>6830748.0299999993</v>
      </c>
    </row>
    <row r="29" spans="1:17" x14ac:dyDescent="0.2">
      <c r="A29" s="263">
        <f t="shared" si="6"/>
        <v>12</v>
      </c>
      <c r="B29" s="263">
        <v>487</v>
      </c>
      <c r="C29" s="224" t="s">
        <v>237</v>
      </c>
      <c r="E29" s="242">
        <f t="shared" ref="E29:P29" si="10">E365</f>
        <v>67004</v>
      </c>
      <c r="F29" s="242">
        <f t="shared" si="10"/>
        <v>90004</v>
      </c>
      <c r="G29" s="242">
        <f t="shared" si="10"/>
        <v>89004</v>
      </c>
      <c r="H29" s="242">
        <f t="shared" si="10"/>
        <v>85004</v>
      </c>
      <c r="I29" s="242">
        <f t="shared" si="10"/>
        <v>51004</v>
      </c>
      <c r="J29" s="242">
        <f t="shared" si="10"/>
        <v>36004</v>
      </c>
      <c r="K29" s="242">
        <f t="shared" si="10"/>
        <v>31004</v>
      </c>
      <c r="L29" s="242">
        <f t="shared" si="10"/>
        <v>30004</v>
      </c>
      <c r="M29" s="242">
        <f t="shared" si="10"/>
        <v>33004</v>
      </c>
      <c r="N29" s="242">
        <f t="shared" si="10"/>
        <v>22004</v>
      </c>
      <c r="O29" s="242">
        <f t="shared" si="10"/>
        <v>29004</v>
      </c>
      <c r="P29" s="242">
        <f t="shared" si="10"/>
        <v>45004</v>
      </c>
      <c r="Q29" s="242">
        <f t="shared" si="8"/>
        <v>608048</v>
      </c>
    </row>
    <row r="30" spans="1:17" x14ac:dyDescent="0.2">
      <c r="A30" s="263">
        <f t="shared" si="6"/>
        <v>13</v>
      </c>
      <c r="B30" s="263">
        <v>488</v>
      </c>
      <c r="C30" s="224" t="s">
        <v>238</v>
      </c>
      <c r="E30" s="242">
        <f t="shared" ref="E30:P30" si="11">E366</f>
        <v>8000</v>
      </c>
      <c r="F30" s="242">
        <f t="shared" si="11"/>
        <v>9000</v>
      </c>
      <c r="G30" s="242">
        <f t="shared" si="11"/>
        <v>11000</v>
      </c>
      <c r="H30" s="242">
        <f t="shared" si="11"/>
        <v>13000</v>
      </c>
      <c r="I30" s="242">
        <f t="shared" si="11"/>
        <v>10000</v>
      </c>
      <c r="J30" s="242">
        <f t="shared" si="11"/>
        <v>11000</v>
      </c>
      <c r="K30" s="242">
        <f t="shared" si="11"/>
        <v>9000</v>
      </c>
      <c r="L30" s="242">
        <f t="shared" si="11"/>
        <v>8000</v>
      </c>
      <c r="M30" s="242">
        <f t="shared" si="11"/>
        <v>9000</v>
      </c>
      <c r="N30" s="242">
        <f t="shared" si="11"/>
        <v>19000</v>
      </c>
      <c r="O30" s="242">
        <f t="shared" si="11"/>
        <v>20000</v>
      </c>
      <c r="P30" s="242">
        <f t="shared" si="11"/>
        <v>10000</v>
      </c>
      <c r="Q30" s="242">
        <f t="shared" si="8"/>
        <v>137000</v>
      </c>
    </row>
    <row r="31" spans="1:17" x14ac:dyDescent="0.2">
      <c r="A31" s="263">
        <f t="shared" si="6"/>
        <v>14</v>
      </c>
      <c r="B31" s="263">
        <v>493</v>
      </c>
      <c r="C31" s="221" t="s">
        <v>317</v>
      </c>
      <c r="E31" s="242">
        <f t="shared" ref="E31:P31" si="12">E367</f>
        <v>6000</v>
      </c>
      <c r="F31" s="242">
        <f t="shared" si="12"/>
        <v>6000</v>
      </c>
      <c r="G31" s="242">
        <f t="shared" si="12"/>
        <v>6000</v>
      </c>
      <c r="H31" s="242">
        <f t="shared" si="12"/>
        <v>6000</v>
      </c>
      <c r="I31" s="242">
        <f t="shared" si="12"/>
        <v>6000</v>
      </c>
      <c r="J31" s="242">
        <f t="shared" si="12"/>
        <v>6000</v>
      </c>
      <c r="K31" s="242">
        <f t="shared" si="12"/>
        <v>6000</v>
      </c>
      <c r="L31" s="242">
        <f t="shared" si="12"/>
        <v>6000</v>
      </c>
      <c r="M31" s="242">
        <f t="shared" si="12"/>
        <v>6000</v>
      </c>
      <c r="N31" s="242">
        <f t="shared" si="12"/>
        <v>6000</v>
      </c>
      <c r="O31" s="242">
        <f t="shared" si="12"/>
        <v>6000</v>
      </c>
      <c r="P31" s="242">
        <f t="shared" si="12"/>
        <v>6000</v>
      </c>
      <c r="Q31" s="242">
        <f t="shared" si="8"/>
        <v>72000</v>
      </c>
    </row>
    <row r="32" spans="1:17" x14ac:dyDescent="0.2">
      <c r="A32" s="263">
        <f t="shared" si="6"/>
        <v>15</v>
      </c>
      <c r="B32" s="263">
        <v>495</v>
      </c>
      <c r="C32" s="224" t="s">
        <v>239</v>
      </c>
      <c r="E32" s="242">
        <f t="shared" ref="E32:P32" si="13">E368</f>
        <v>0</v>
      </c>
      <c r="F32" s="242">
        <f t="shared" si="13"/>
        <v>0</v>
      </c>
      <c r="G32" s="242">
        <f t="shared" si="13"/>
        <v>0</v>
      </c>
      <c r="H32" s="242">
        <f t="shared" si="13"/>
        <v>0</v>
      </c>
      <c r="I32" s="242">
        <f t="shared" si="13"/>
        <v>0</v>
      </c>
      <c r="J32" s="242">
        <f t="shared" si="13"/>
        <v>0</v>
      </c>
      <c r="K32" s="242">
        <f t="shared" si="13"/>
        <v>0</v>
      </c>
      <c r="L32" s="242">
        <f t="shared" si="13"/>
        <v>0</v>
      </c>
      <c r="M32" s="242">
        <f t="shared" si="13"/>
        <v>0</v>
      </c>
      <c r="N32" s="242">
        <f t="shared" si="13"/>
        <v>0</v>
      </c>
      <c r="O32" s="242">
        <f t="shared" si="13"/>
        <v>0</v>
      </c>
      <c r="P32" s="242">
        <f t="shared" si="13"/>
        <v>0</v>
      </c>
      <c r="Q32" s="242">
        <f t="shared" si="8"/>
        <v>0</v>
      </c>
    </row>
    <row r="33" spans="1:17" x14ac:dyDescent="0.2">
      <c r="A33" s="263">
        <f t="shared" si="6"/>
        <v>16</v>
      </c>
      <c r="B33" s="263">
        <v>495</v>
      </c>
      <c r="C33" s="224" t="s">
        <v>240</v>
      </c>
      <c r="E33" s="438">
        <f t="shared" ref="E33:P33" si="14">E369</f>
        <v>66000</v>
      </c>
      <c r="F33" s="438">
        <f t="shared" si="14"/>
        <v>58000</v>
      </c>
      <c r="G33" s="438">
        <f t="shared" si="14"/>
        <v>61000</v>
      </c>
      <c r="H33" s="438">
        <f t="shared" si="14"/>
        <v>85000</v>
      </c>
      <c r="I33" s="438">
        <f t="shared" si="14"/>
        <v>24000</v>
      </c>
      <c r="J33" s="438">
        <f t="shared" si="14"/>
        <v>19000</v>
      </c>
      <c r="K33" s="438">
        <f t="shared" si="14"/>
        <v>16000</v>
      </c>
      <c r="L33" s="438">
        <f t="shared" si="14"/>
        <v>15000</v>
      </c>
      <c r="M33" s="438">
        <f t="shared" si="14"/>
        <v>16000</v>
      </c>
      <c r="N33" s="438">
        <f t="shared" si="14"/>
        <v>18000</v>
      </c>
      <c r="O33" s="438">
        <f t="shared" si="14"/>
        <v>25000</v>
      </c>
      <c r="P33" s="438">
        <f t="shared" si="14"/>
        <v>112000</v>
      </c>
      <c r="Q33" s="438">
        <f t="shared" si="8"/>
        <v>515000</v>
      </c>
    </row>
    <row r="34" spans="1:17" x14ac:dyDescent="0.2">
      <c r="A34" s="263">
        <f t="shared" si="6"/>
        <v>17</v>
      </c>
      <c r="B34" s="224"/>
      <c r="C34" s="224" t="s">
        <v>286</v>
      </c>
      <c r="E34" s="434">
        <f t="shared" ref="E34:Q34" si="15">SUM(E26:E33)</f>
        <v>4243875.2300000004</v>
      </c>
      <c r="F34" s="434">
        <f t="shared" si="15"/>
        <v>4103464.6899999995</v>
      </c>
      <c r="G34" s="434">
        <f t="shared" si="15"/>
        <v>3492257.86</v>
      </c>
      <c r="H34" s="434">
        <f t="shared" si="15"/>
        <v>2695520.31</v>
      </c>
      <c r="I34" s="434">
        <f t="shared" si="15"/>
        <v>2038468.85</v>
      </c>
      <c r="J34" s="434">
        <f t="shared" si="15"/>
        <v>1744192.2900000003</v>
      </c>
      <c r="K34" s="434">
        <f t="shared" si="15"/>
        <v>1639622.4100000001</v>
      </c>
      <c r="L34" s="434">
        <f t="shared" si="15"/>
        <v>1654446.4900000002</v>
      </c>
      <c r="M34" s="434">
        <f t="shared" si="15"/>
        <v>1709644.34</v>
      </c>
      <c r="N34" s="434">
        <f t="shared" si="15"/>
        <v>1924503.3399999999</v>
      </c>
      <c r="O34" s="434">
        <f t="shared" si="15"/>
        <v>2486822.59</v>
      </c>
      <c r="P34" s="434">
        <f t="shared" si="15"/>
        <v>3485852.9</v>
      </c>
      <c r="Q34" s="434">
        <f t="shared" si="15"/>
        <v>31218671.300000004</v>
      </c>
    </row>
    <row r="35" spans="1:17" x14ac:dyDescent="0.2">
      <c r="B35" s="224"/>
      <c r="C35" s="224"/>
    </row>
    <row r="36" spans="1:17" x14ac:dyDescent="0.2">
      <c r="A36" s="263">
        <f>A34+1</f>
        <v>18</v>
      </c>
      <c r="B36" s="224"/>
      <c r="C36" s="224" t="s">
        <v>228</v>
      </c>
      <c r="E36" s="434">
        <f t="shared" ref="E36:P36" si="16">E23+E34</f>
        <v>18615160.590000004</v>
      </c>
      <c r="F36" s="434">
        <f t="shared" si="16"/>
        <v>18205774.109999999</v>
      </c>
      <c r="G36" s="434">
        <f t="shared" si="16"/>
        <v>14581238.939999999</v>
      </c>
      <c r="H36" s="434">
        <f t="shared" si="16"/>
        <v>10271265.810000001</v>
      </c>
      <c r="I36" s="434">
        <f t="shared" si="16"/>
        <v>7028932.1500000004</v>
      </c>
      <c r="J36" s="434">
        <f t="shared" si="16"/>
        <v>5581589.1299999999</v>
      </c>
      <c r="K36" s="434">
        <f t="shared" si="16"/>
        <v>5118251.28</v>
      </c>
      <c r="L36" s="434">
        <f t="shared" si="16"/>
        <v>5105453.9300000006</v>
      </c>
      <c r="M36" s="434">
        <f t="shared" si="16"/>
        <v>5159548.5100000007</v>
      </c>
      <c r="N36" s="434">
        <f t="shared" si="16"/>
        <v>5848480.1999999993</v>
      </c>
      <c r="O36" s="434">
        <f t="shared" si="16"/>
        <v>8583075.2599999979</v>
      </c>
      <c r="P36" s="434">
        <f t="shared" si="16"/>
        <v>13991769.510000002</v>
      </c>
      <c r="Q36" s="434">
        <f>SUM(E36:P36)</f>
        <v>118090539.42000003</v>
      </c>
    </row>
    <row r="37" spans="1:17" x14ac:dyDescent="0.2">
      <c r="B37" s="224"/>
      <c r="C37" s="224"/>
    </row>
    <row r="38" spans="1:17" x14ac:dyDescent="0.2">
      <c r="B38" s="224"/>
      <c r="C38" s="224"/>
    </row>
    <row r="39" spans="1:17" x14ac:dyDescent="0.2">
      <c r="B39" s="224"/>
      <c r="C39" s="224"/>
    </row>
    <row r="40" spans="1:17" x14ac:dyDescent="0.2">
      <c r="B40" s="224"/>
      <c r="C40" s="224"/>
    </row>
    <row r="41" spans="1:17" x14ac:dyDescent="0.2">
      <c r="B41" s="224"/>
      <c r="C41" s="224"/>
    </row>
    <row r="42" spans="1:17" x14ac:dyDescent="0.2">
      <c r="B42" s="224"/>
      <c r="C42" s="224"/>
    </row>
    <row r="43" spans="1:17" x14ac:dyDescent="0.2">
      <c r="B43" s="224"/>
      <c r="C43" s="224"/>
    </row>
    <row r="44" spans="1:17" x14ac:dyDescent="0.2">
      <c r="B44" s="224"/>
      <c r="C44" s="224"/>
    </row>
    <row r="45" spans="1:17" x14ac:dyDescent="0.2">
      <c r="B45" s="224"/>
      <c r="C45" s="224"/>
    </row>
    <row r="46" spans="1:17" x14ac:dyDescent="0.2">
      <c r="B46" s="224"/>
      <c r="C46" s="224"/>
    </row>
    <row r="47" spans="1:17" x14ac:dyDescent="0.2">
      <c r="A47" s="887" t="str">
        <f>CONAME</f>
        <v>Columbia Gas of Kentucky, Inc.</v>
      </c>
      <c r="B47" s="887"/>
      <c r="C47" s="887"/>
      <c r="D47" s="887"/>
      <c r="E47" s="887"/>
      <c r="F47" s="887"/>
      <c r="G47" s="887"/>
      <c r="H47" s="887"/>
      <c r="I47" s="887"/>
      <c r="J47" s="887"/>
      <c r="K47" s="887"/>
      <c r="L47" s="887"/>
      <c r="M47" s="887"/>
      <c r="N47" s="887"/>
      <c r="O47" s="887"/>
      <c r="P47" s="887"/>
      <c r="Q47" s="887"/>
    </row>
    <row r="48" spans="1:17" x14ac:dyDescent="0.2">
      <c r="A48" s="875" t="str">
        <f>case</f>
        <v>Case No. 2016-00162</v>
      </c>
      <c r="B48" s="875"/>
      <c r="C48" s="875"/>
      <c r="D48" s="875"/>
      <c r="E48" s="875"/>
      <c r="F48" s="875"/>
      <c r="G48" s="875"/>
      <c r="H48" s="875"/>
      <c r="I48" s="875"/>
      <c r="J48" s="875"/>
      <c r="K48" s="875"/>
      <c r="L48" s="875"/>
      <c r="M48" s="875"/>
      <c r="N48" s="875"/>
      <c r="O48" s="875"/>
      <c r="P48" s="875"/>
      <c r="Q48" s="875"/>
    </row>
    <row r="49" spans="1:25" x14ac:dyDescent="0.2">
      <c r="A49" s="888" t="s">
        <v>200</v>
      </c>
      <c r="B49" s="888"/>
      <c r="C49" s="888"/>
      <c r="D49" s="888"/>
      <c r="E49" s="888"/>
      <c r="F49" s="888"/>
      <c r="G49" s="888"/>
      <c r="H49" s="888"/>
      <c r="I49" s="888"/>
      <c r="J49" s="888"/>
      <c r="K49" s="888"/>
      <c r="L49" s="888"/>
      <c r="M49" s="888"/>
      <c r="N49" s="888"/>
      <c r="O49" s="888"/>
      <c r="P49" s="888"/>
      <c r="Q49" s="888"/>
    </row>
    <row r="50" spans="1:25" x14ac:dyDescent="0.2">
      <c r="A50" s="887" t="str">
        <f>TYDESC</f>
        <v>For the 12 Months Ended December 31, 2017</v>
      </c>
      <c r="B50" s="887"/>
      <c r="C50" s="887"/>
      <c r="D50" s="887"/>
      <c r="E50" s="887"/>
      <c r="F50" s="887"/>
      <c r="G50" s="887"/>
      <c r="H50" s="887"/>
      <c r="I50" s="887"/>
      <c r="J50" s="887"/>
      <c r="K50" s="887"/>
      <c r="L50" s="887"/>
      <c r="M50" s="887"/>
      <c r="N50" s="887"/>
      <c r="O50" s="887"/>
      <c r="P50" s="887"/>
      <c r="Q50" s="887"/>
    </row>
    <row r="51" spans="1:25" x14ac:dyDescent="0.2">
      <c r="A51" s="885" t="s">
        <v>39</v>
      </c>
      <c r="B51" s="885"/>
      <c r="C51" s="885"/>
      <c r="D51" s="885"/>
      <c r="E51" s="885"/>
      <c r="F51" s="885"/>
      <c r="G51" s="885"/>
      <c r="H51" s="885"/>
      <c r="I51" s="885"/>
      <c r="J51" s="885"/>
      <c r="K51" s="885"/>
      <c r="L51" s="885"/>
      <c r="M51" s="885"/>
      <c r="N51" s="885"/>
      <c r="O51" s="885"/>
      <c r="P51" s="885"/>
      <c r="Q51" s="885"/>
    </row>
    <row r="52" spans="1:25" x14ac:dyDescent="0.2">
      <c r="A52" s="718" t="s">
        <v>536</v>
      </c>
    </row>
    <row r="53" spans="1:25" x14ac:dyDescent="0.2">
      <c r="A53" s="718" t="s">
        <v>537</v>
      </c>
      <c r="Q53" s="420" t="s">
        <v>65</v>
      </c>
    </row>
    <row r="54" spans="1:25" x14ac:dyDescent="0.2">
      <c r="A54" s="718" t="s">
        <v>63</v>
      </c>
      <c r="Q54" s="420" t="s">
        <v>506</v>
      </c>
    </row>
    <row r="55" spans="1:25" x14ac:dyDescent="0.2">
      <c r="A55" s="719" t="s">
        <v>303</v>
      </c>
      <c r="Q55" s="420" t="str">
        <f>Witness</f>
        <v>Witness:  M. J. Bell</v>
      </c>
    </row>
    <row r="56" spans="1:25" x14ac:dyDescent="0.2">
      <c r="A56" s="886" t="s">
        <v>294</v>
      </c>
      <c r="B56" s="886"/>
      <c r="C56" s="886"/>
      <c r="D56" s="886"/>
      <c r="E56" s="886"/>
      <c r="F56" s="886"/>
      <c r="G56" s="886"/>
      <c r="H56" s="886"/>
      <c r="I56" s="886"/>
      <c r="J56" s="886"/>
      <c r="K56" s="886"/>
      <c r="L56" s="886"/>
      <c r="M56" s="886"/>
      <c r="N56" s="886"/>
      <c r="O56" s="886"/>
      <c r="P56" s="886"/>
      <c r="Q56" s="886"/>
    </row>
    <row r="57" spans="1:25" x14ac:dyDescent="0.2">
      <c r="A57" s="227"/>
      <c r="B57" s="305"/>
      <c r="C57" s="305"/>
      <c r="D57" s="304"/>
      <c r="E57" s="305"/>
      <c r="F57" s="422"/>
      <c r="G57" s="442"/>
      <c r="H57" s="422"/>
      <c r="I57" s="443"/>
      <c r="J57" s="422"/>
      <c r="K57" s="422"/>
      <c r="L57" s="422"/>
      <c r="M57" s="422"/>
      <c r="N57" s="422"/>
      <c r="O57" s="422"/>
      <c r="P57" s="422"/>
      <c r="Q57" s="305"/>
    </row>
    <row r="58" spans="1:25" x14ac:dyDescent="0.2">
      <c r="A58" s="416" t="s">
        <v>1</v>
      </c>
      <c r="B58" s="226" t="s">
        <v>0</v>
      </c>
      <c r="C58" s="226" t="s">
        <v>41</v>
      </c>
      <c r="D58" s="423" t="s">
        <v>30</v>
      </c>
      <c r="E58" s="424"/>
      <c r="F58" s="425"/>
      <c r="G58" s="424"/>
      <c r="H58" s="426"/>
      <c r="I58" s="424"/>
      <c r="J58" s="424"/>
      <c r="K58" s="424"/>
      <c r="L58" s="424"/>
      <c r="M58" s="424"/>
      <c r="N58" s="424"/>
      <c r="O58" s="231"/>
      <c r="P58" s="231"/>
      <c r="Q58" s="231"/>
    </row>
    <row r="59" spans="1:25" x14ac:dyDescent="0.2">
      <c r="A59" s="285" t="s">
        <v>3</v>
      </c>
      <c r="B59" s="228" t="s">
        <v>40</v>
      </c>
      <c r="C59" s="228" t="s">
        <v>4</v>
      </c>
      <c r="D59" s="427" t="s">
        <v>48</v>
      </c>
      <c r="E59" s="428" t="str">
        <f>B!$D$11</f>
        <v>Jan-17</v>
      </c>
      <c r="F59" s="428" t="str">
        <f>B!$E$11</f>
        <v>Feb-17</v>
      </c>
      <c r="G59" s="428" t="str">
        <f>B!$F$11</f>
        <v>Mar-17</v>
      </c>
      <c r="H59" s="428" t="str">
        <f>B!$G$11</f>
        <v>Apr-17</v>
      </c>
      <c r="I59" s="428" t="str">
        <f>B!$H$11</f>
        <v>May-17</v>
      </c>
      <c r="J59" s="428" t="str">
        <f>B!$I$11</f>
        <v>Jun-17</v>
      </c>
      <c r="K59" s="428" t="str">
        <f>B!$J$11</f>
        <v>Jul-17</v>
      </c>
      <c r="L59" s="428" t="str">
        <f>B!$K$11</f>
        <v>Aug-17</v>
      </c>
      <c r="M59" s="428" t="str">
        <f>B!$L$11</f>
        <v>Sep-17</v>
      </c>
      <c r="N59" s="428" t="str">
        <f>B!$M$11</f>
        <v>Oct-17</v>
      </c>
      <c r="O59" s="428" t="str">
        <f>B!$N$11</f>
        <v>Nov-17</v>
      </c>
      <c r="P59" s="428" t="str">
        <f>B!$O$11</f>
        <v>Dec-17</v>
      </c>
      <c r="Q59" s="429" t="s">
        <v>9</v>
      </c>
      <c r="R59" s="286"/>
    </row>
    <row r="60" spans="1:25" x14ac:dyDescent="0.2">
      <c r="A60" s="416"/>
      <c r="B60" s="231" t="s">
        <v>42</v>
      </c>
      <c r="C60" s="231" t="s">
        <v>43</v>
      </c>
      <c r="D60" s="430" t="s">
        <v>45</v>
      </c>
      <c r="E60" s="431" t="s">
        <v>46</v>
      </c>
      <c r="F60" s="431" t="s">
        <v>49</v>
      </c>
      <c r="G60" s="431" t="s">
        <v>50</v>
      </c>
      <c r="H60" s="431" t="s">
        <v>51</v>
      </c>
      <c r="I60" s="431" t="s">
        <v>52</v>
      </c>
      <c r="J60" s="432" t="s">
        <v>53</v>
      </c>
      <c r="K60" s="432" t="s">
        <v>54</v>
      </c>
      <c r="L60" s="432" t="s">
        <v>55</v>
      </c>
      <c r="M60" s="432" t="s">
        <v>56</v>
      </c>
      <c r="N60" s="432" t="s">
        <v>57</v>
      </c>
      <c r="O60" s="432" t="s">
        <v>58</v>
      </c>
      <c r="P60" s="432" t="s">
        <v>59</v>
      </c>
      <c r="Q60" s="432" t="s">
        <v>203</v>
      </c>
      <c r="R60" s="231"/>
    </row>
    <row r="61" spans="1:25" x14ac:dyDescent="0.2">
      <c r="E61" s="231"/>
      <c r="F61" s="432"/>
      <c r="G61" s="444"/>
      <c r="H61" s="432"/>
      <c r="I61" s="431"/>
      <c r="J61" s="432"/>
      <c r="K61" s="432"/>
      <c r="L61" s="432"/>
      <c r="M61" s="432"/>
      <c r="N61" s="432"/>
      <c r="O61" s="432"/>
      <c r="P61" s="432"/>
      <c r="Q61" s="231"/>
    </row>
    <row r="62" spans="1:25" ht="10.8" thickBot="1" x14ac:dyDescent="0.25">
      <c r="A62" s="263">
        <v>1</v>
      </c>
      <c r="C62" s="445" t="s">
        <v>94</v>
      </c>
      <c r="S62" s="305"/>
      <c r="T62" s="305"/>
      <c r="U62" s="305"/>
      <c r="V62" s="305"/>
      <c r="W62" s="305"/>
      <c r="X62" s="305"/>
      <c r="Y62" s="305"/>
    </row>
    <row r="63" spans="1:25" x14ac:dyDescent="0.2">
      <c r="S63" s="446"/>
      <c r="T63" s="447"/>
      <c r="U63" s="447"/>
      <c r="V63" s="447"/>
      <c r="W63" s="448"/>
      <c r="X63" s="305"/>
      <c r="Y63" s="305"/>
    </row>
    <row r="64" spans="1:25" x14ac:dyDescent="0.2">
      <c r="A64" s="263">
        <f>A62+1</f>
        <v>2</v>
      </c>
      <c r="B64" s="221" t="str">
        <f>Input!A19</f>
        <v>GSR</v>
      </c>
      <c r="C64" s="221" t="str">
        <f>'Sch M 2.1'!B19</f>
        <v>General Service - Residential</v>
      </c>
      <c r="G64" s="294"/>
      <c r="H64" s="292"/>
      <c r="Q64" s="294"/>
      <c r="S64" s="449" t="s">
        <v>304</v>
      </c>
      <c r="T64" s="305"/>
      <c r="U64" s="305"/>
      <c r="V64" s="305"/>
      <c r="W64" s="450"/>
      <c r="X64" s="305"/>
      <c r="Y64" s="305"/>
    </row>
    <row r="65" spans="1:25" x14ac:dyDescent="0.2">
      <c r="A65" s="263">
        <f>A64+1</f>
        <v>3</v>
      </c>
      <c r="C65" s="451" t="s">
        <v>219</v>
      </c>
      <c r="E65" s="242">
        <f t="shared" ref="E65:P65" si="17">E397</f>
        <v>99289</v>
      </c>
      <c r="F65" s="242">
        <f t="shared" si="17"/>
        <v>99473</v>
      </c>
      <c r="G65" s="242">
        <f t="shared" si="17"/>
        <v>99542</v>
      </c>
      <c r="H65" s="242">
        <f t="shared" si="17"/>
        <v>99522</v>
      </c>
      <c r="I65" s="242">
        <f t="shared" si="17"/>
        <v>99040</v>
      </c>
      <c r="J65" s="242">
        <f t="shared" si="17"/>
        <v>98094</v>
      </c>
      <c r="K65" s="242">
        <f t="shared" si="17"/>
        <v>97239</v>
      </c>
      <c r="L65" s="242">
        <f t="shared" si="17"/>
        <v>97617</v>
      </c>
      <c r="M65" s="242">
        <f t="shared" si="17"/>
        <v>96979</v>
      </c>
      <c r="N65" s="242">
        <f t="shared" si="17"/>
        <v>96955</v>
      </c>
      <c r="O65" s="242">
        <f t="shared" si="17"/>
        <v>97991</v>
      </c>
      <c r="P65" s="242">
        <f t="shared" si="17"/>
        <v>98925</v>
      </c>
      <c r="Q65" s="242">
        <f>SUM(E65:P65)</f>
        <v>1180666</v>
      </c>
      <c r="S65" s="452" t="s">
        <v>25</v>
      </c>
      <c r="T65" s="304" t="e">
        <f>Q65+Q72+Q79+Q86+#REF!+Q93+Q100+Q127+Q134+Q141+Q148+Q155+Q182+Q189+Q196+Q223+Q230+Q237+Q244+Q251+Q258+Q286+Q293+Q300+Q307+Q314+Q321+Q348+Q355</f>
        <v>#REF!</v>
      </c>
      <c r="U65" s="305"/>
      <c r="V65" s="305"/>
      <c r="W65" s="450"/>
      <c r="X65" s="305"/>
      <c r="Y65" s="305"/>
    </row>
    <row r="66" spans="1:25" x14ac:dyDescent="0.2">
      <c r="A66" s="263">
        <f>A65+1</f>
        <v>4</v>
      </c>
      <c r="C66" s="451" t="s">
        <v>576</v>
      </c>
      <c r="E66" s="247">
        <f t="shared" ref="E66:P66" si="18">E401</f>
        <v>1331907.1000000001</v>
      </c>
      <c r="F66" s="247">
        <f t="shared" si="18"/>
        <v>1291151.8</v>
      </c>
      <c r="G66" s="247">
        <f t="shared" si="18"/>
        <v>968403</v>
      </c>
      <c r="H66" s="247">
        <f t="shared" si="18"/>
        <v>552553.4</v>
      </c>
      <c r="I66" s="247">
        <f t="shared" si="18"/>
        <v>259776.40000000002</v>
      </c>
      <c r="J66" s="247">
        <f t="shared" si="18"/>
        <v>123911.3</v>
      </c>
      <c r="K66" s="247">
        <f t="shared" si="18"/>
        <v>88930</v>
      </c>
      <c r="L66" s="247">
        <f t="shared" si="18"/>
        <v>85940.7</v>
      </c>
      <c r="M66" s="247">
        <f t="shared" si="18"/>
        <v>88922.9</v>
      </c>
      <c r="N66" s="247">
        <f t="shared" si="18"/>
        <v>141784.29999999999</v>
      </c>
      <c r="O66" s="247">
        <f t="shared" si="18"/>
        <v>408542.4</v>
      </c>
      <c r="P66" s="247">
        <f t="shared" si="18"/>
        <v>906257.2</v>
      </c>
      <c r="Q66" s="247">
        <f>SUM(E66:P66)</f>
        <v>6248080.5000000009</v>
      </c>
      <c r="S66" s="452" t="s">
        <v>345</v>
      </c>
      <c r="T66" s="443" t="e">
        <f>Q66+Q73+Q80+Q87+#REF!+Q94+Q101+Q128+Q135+Q142+Q149+Q156+Q183+Q190+Q197+Q224+Q231+Q238+Q245+Q252+Q259+Q287+Q294+Q301+Q308+Q315+Q322+Q349+Q356</f>
        <v>#REF!</v>
      </c>
      <c r="U66" s="305"/>
      <c r="V66" s="305"/>
      <c r="W66" s="450"/>
      <c r="X66" s="305"/>
      <c r="Y66" s="305"/>
    </row>
    <row r="67" spans="1:25" x14ac:dyDescent="0.2">
      <c r="A67" s="263">
        <f>A66+1</f>
        <v>5</v>
      </c>
      <c r="C67" s="451" t="s">
        <v>221</v>
      </c>
      <c r="E67" s="434">
        <f>E404+E414</f>
        <v>7293829.96</v>
      </c>
      <c r="F67" s="434">
        <f t="shared" ref="F67:P67" si="19">F404+F414</f>
        <v>7136505.6100000003</v>
      </c>
      <c r="G67" s="434">
        <f t="shared" si="19"/>
        <v>5862251.3400000008</v>
      </c>
      <c r="H67" s="434">
        <f t="shared" si="19"/>
        <v>4218197</v>
      </c>
      <c r="I67" s="434">
        <f t="shared" si="19"/>
        <v>3051143.82</v>
      </c>
      <c r="J67" s="434">
        <f t="shared" si="19"/>
        <v>2494800.7599999998</v>
      </c>
      <c r="K67" s="434">
        <f t="shared" si="19"/>
        <v>2339060.98</v>
      </c>
      <c r="L67" s="434">
        <f t="shared" si="19"/>
        <v>2334972.1</v>
      </c>
      <c r="M67" s="434">
        <f t="shared" si="19"/>
        <v>2333718.5299999998</v>
      </c>
      <c r="N67" s="434">
        <f t="shared" si="19"/>
        <v>2542162.64</v>
      </c>
      <c r="O67" s="434">
        <f t="shared" si="19"/>
        <v>3617699.87</v>
      </c>
      <c r="P67" s="434">
        <f t="shared" si="19"/>
        <v>5604008.5800000001</v>
      </c>
      <c r="Q67" s="434">
        <f>SUM(E67:P67)</f>
        <v>48828351.189999998</v>
      </c>
      <c r="S67" s="452" t="s">
        <v>341</v>
      </c>
      <c r="T67" s="304" t="e">
        <f>Q67+Q74+Q81+Q88+#REF!+Q95+Q102+Q129+Q136+Q143+Q150+Q157+Q184+Q191+Q198+Q225+Q232+Q239+Q246+Q253+Q260+Q288+Q295+Q302+Q309+Q316+Q323+Q350+Q357</f>
        <v>#REF!</v>
      </c>
      <c r="U67" s="305"/>
      <c r="V67" s="305"/>
      <c r="W67" s="450"/>
      <c r="X67" s="305"/>
      <c r="Y67" s="305"/>
    </row>
    <row r="68" spans="1:25" x14ac:dyDescent="0.2">
      <c r="A68" s="263">
        <f>A67+1</f>
        <v>6</v>
      </c>
      <c r="C68" s="451" t="s">
        <v>222</v>
      </c>
      <c r="E68" s="434">
        <f t="shared" ref="E68:P68" si="20">E406</f>
        <v>2942315.97</v>
      </c>
      <c r="F68" s="434">
        <f t="shared" si="20"/>
        <v>2852283.44</v>
      </c>
      <c r="G68" s="434">
        <f t="shared" si="20"/>
        <v>2139299.0699999998</v>
      </c>
      <c r="H68" s="434">
        <f t="shared" si="20"/>
        <v>1220645.72</v>
      </c>
      <c r="I68" s="434">
        <f t="shared" si="20"/>
        <v>573872.05000000005</v>
      </c>
      <c r="J68" s="434">
        <f t="shared" si="20"/>
        <v>273732.45</v>
      </c>
      <c r="K68" s="434">
        <f t="shared" si="20"/>
        <v>196455.26</v>
      </c>
      <c r="L68" s="434">
        <f t="shared" si="20"/>
        <v>189851.6</v>
      </c>
      <c r="M68" s="434">
        <f t="shared" si="20"/>
        <v>196439.58</v>
      </c>
      <c r="N68" s="434">
        <f t="shared" si="20"/>
        <v>313215.7</v>
      </c>
      <c r="O68" s="434">
        <f t="shared" si="20"/>
        <v>902511.02</v>
      </c>
      <c r="P68" s="434">
        <f t="shared" si="20"/>
        <v>2002012.78</v>
      </c>
      <c r="Q68" s="434">
        <f>SUM(E68:P68)</f>
        <v>13802634.639999999</v>
      </c>
      <c r="S68" s="452" t="s">
        <v>342</v>
      </c>
      <c r="T68" s="304" t="e">
        <f>Q68+Q75+Q82+Q89+#REF!+Q96+Q103+Q130+Q137+Q144+Q151+Q158+Q185+Q192+Q199+Q226+Q233+Q240+Q247+Q254+Q261+Q289+Q296+Q303+Q310+Q317+Q324+Q351+Q358</f>
        <v>#REF!</v>
      </c>
      <c r="U68" s="305"/>
      <c r="V68" s="305"/>
      <c r="W68" s="450"/>
      <c r="X68" s="305"/>
      <c r="Y68" s="305"/>
    </row>
    <row r="69" spans="1:25" x14ac:dyDescent="0.2">
      <c r="A69" s="720">
        <f>A68+1</f>
        <v>7</v>
      </c>
      <c r="B69" s="454"/>
      <c r="C69" s="455" t="s">
        <v>577</v>
      </c>
      <c r="D69" s="456"/>
      <c r="E69" s="457">
        <f t="shared" ref="E69:P69" si="21">E416</f>
        <v>10236145.93</v>
      </c>
      <c r="F69" s="457">
        <f t="shared" si="21"/>
        <v>9988789.0500000007</v>
      </c>
      <c r="G69" s="457">
        <f t="shared" si="21"/>
        <v>8001550.4100000011</v>
      </c>
      <c r="H69" s="457">
        <f t="shared" si="21"/>
        <v>5438842.7199999997</v>
      </c>
      <c r="I69" s="457">
        <f t="shared" si="21"/>
        <v>3625015.8699999996</v>
      </c>
      <c r="J69" s="457">
        <f t="shared" si="21"/>
        <v>2768533.21</v>
      </c>
      <c r="K69" s="457">
        <f t="shared" si="21"/>
        <v>2535516.2400000002</v>
      </c>
      <c r="L69" s="457">
        <f t="shared" si="21"/>
        <v>2524823.7000000002</v>
      </c>
      <c r="M69" s="457">
        <f t="shared" si="21"/>
        <v>2530158.11</v>
      </c>
      <c r="N69" s="457">
        <f t="shared" si="21"/>
        <v>2855378.3400000003</v>
      </c>
      <c r="O69" s="457">
        <f t="shared" si="21"/>
        <v>4520210.8899999997</v>
      </c>
      <c r="P69" s="457">
        <f t="shared" si="21"/>
        <v>7606021.3600000003</v>
      </c>
      <c r="Q69" s="457">
        <f>SUM(E69:P69)</f>
        <v>62630985.830000006</v>
      </c>
      <c r="S69" s="452" t="s">
        <v>9</v>
      </c>
      <c r="T69" s="304" t="e">
        <f>Q69+Q76+Q83+Q90+#REF!+Q97+Q104+Q131+Q138+Q145+Q152+Q159+Q186+Q193+Q200+Q227+Q234+Q241+Q248+Q255+Q262+Q290+Q297+Q304+Q311+Q318+Q325+Q352+Q359</f>
        <v>#REF!</v>
      </c>
      <c r="U69" s="305"/>
      <c r="V69" s="305"/>
      <c r="W69" s="450"/>
      <c r="X69" s="305"/>
      <c r="Y69" s="305"/>
    </row>
    <row r="70" spans="1:25" x14ac:dyDescent="0.2">
      <c r="G70" s="294"/>
      <c r="H70" s="292"/>
      <c r="Q70" s="294"/>
      <c r="S70" s="452"/>
      <c r="T70" s="304"/>
      <c r="U70" s="305"/>
      <c r="V70" s="305"/>
      <c r="W70" s="450"/>
      <c r="X70" s="305"/>
      <c r="Y70" s="305"/>
    </row>
    <row r="71" spans="1:25" x14ac:dyDescent="0.2">
      <c r="A71" s="263">
        <f>A69+1</f>
        <v>8</v>
      </c>
      <c r="B71" s="221" t="str">
        <f>Input!A20</f>
        <v>G1C</v>
      </c>
      <c r="C71" s="221" t="str">
        <f>'Sch M 2.1'!B20</f>
        <v>LG&amp;E Commercial</v>
      </c>
      <c r="G71" s="294"/>
      <c r="Q71" s="294"/>
      <c r="S71" s="452" t="s">
        <v>348</v>
      </c>
      <c r="T71" s="304" t="e">
        <f>Q398+Q424+Q459+Q476+#REF!+Q493+Q527+Q544+Q561+Q594+Q616+Q649+Q700+#REF!+#REF!+#REF!+#REF!+Q750+Q779+Q821+Q846+Q890+Q934+Q935+Q959+Q960+Q1000+Q1001+Q1028+Q1029+Q1073+Q1074+Q1091+Q1092+Q1109+Q1110+Q1143+Q1144+Q1161+Q1162+Q1202+Q1203+Q1227+Q1228</f>
        <v>#REF!</v>
      </c>
      <c r="U71" s="305"/>
      <c r="V71" s="305"/>
      <c r="W71" s="450"/>
      <c r="X71" s="305"/>
      <c r="Y71" s="305"/>
    </row>
    <row r="72" spans="1:25" x14ac:dyDescent="0.2">
      <c r="A72" s="263">
        <f>A71+1</f>
        <v>9</v>
      </c>
      <c r="C72" s="451" t="s">
        <v>219</v>
      </c>
      <c r="E72" s="242">
        <f t="shared" ref="E72:P72" si="22">E423</f>
        <v>3</v>
      </c>
      <c r="F72" s="242">
        <f t="shared" si="22"/>
        <v>3</v>
      </c>
      <c r="G72" s="242">
        <f t="shared" si="22"/>
        <v>4</v>
      </c>
      <c r="H72" s="242">
        <f t="shared" si="22"/>
        <v>4</v>
      </c>
      <c r="I72" s="242">
        <f t="shared" si="22"/>
        <v>4</v>
      </c>
      <c r="J72" s="242">
        <f t="shared" si="22"/>
        <v>4</v>
      </c>
      <c r="K72" s="242">
        <f t="shared" si="22"/>
        <v>4</v>
      </c>
      <c r="L72" s="242">
        <f t="shared" si="22"/>
        <v>3</v>
      </c>
      <c r="M72" s="242">
        <f t="shared" si="22"/>
        <v>3</v>
      </c>
      <c r="N72" s="242">
        <f t="shared" si="22"/>
        <v>3</v>
      </c>
      <c r="O72" s="242">
        <f t="shared" si="22"/>
        <v>3</v>
      </c>
      <c r="P72" s="242">
        <f t="shared" si="22"/>
        <v>3</v>
      </c>
      <c r="Q72" s="242">
        <f>SUM(E72:P72)</f>
        <v>41</v>
      </c>
      <c r="S72" s="452" t="s">
        <v>347</v>
      </c>
      <c r="T72" s="304" t="e">
        <f>Q402+Q427+Q462+Q479+#REF!+Q496+Q530+Q547+Q564+Q603+Q619+Q663+Q714+#REF!+#REF!+#REF!+#REF!+Q760+Q783+Q825+Q860+Q904+Q945+Q970+Q1015+Q1043+Q1077+Q1095+Q1113+Q1147+Q1171+Q1213+Q1237</f>
        <v>#REF!</v>
      </c>
      <c r="U72" s="305"/>
      <c r="V72" s="305"/>
      <c r="W72" s="450"/>
      <c r="X72" s="305"/>
      <c r="Y72" s="305"/>
    </row>
    <row r="73" spans="1:25" x14ac:dyDescent="0.2">
      <c r="A73" s="263">
        <f>A72+1</f>
        <v>10</v>
      </c>
      <c r="C73" s="451" t="s">
        <v>576</v>
      </c>
      <c r="E73" s="247">
        <f t="shared" ref="E73:P73" si="23">E426</f>
        <v>307.2</v>
      </c>
      <c r="F73" s="247">
        <f t="shared" si="23"/>
        <v>374.8</v>
      </c>
      <c r="G73" s="247">
        <f t="shared" si="23"/>
        <v>373.1</v>
      </c>
      <c r="H73" s="247">
        <f t="shared" si="23"/>
        <v>173.3</v>
      </c>
      <c r="I73" s="247">
        <f t="shared" si="23"/>
        <v>68.900000000000006</v>
      </c>
      <c r="J73" s="247">
        <f t="shared" si="23"/>
        <v>18</v>
      </c>
      <c r="K73" s="247">
        <f t="shared" si="23"/>
        <v>29.1</v>
      </c>
      <c r="L73" s="247">
        <f t="shared" si="23"/>
        <v>16.7</v>
      </c>
      <c r="M73" s="247">
        <f t="shared" si="23"/>
        <v>8.8000000000000007</v>
      </c>
      <c r="N73" s="247">
        <f t="shared" si="23"/>
        <v>22.2</v>
      </c>
      <c r="O73" s="247">
        <f t="shared" si="23"/>
        <v>83.3</v>
      </c>
      <c r="P73" s="247">
        <f t="shared" si="23"/>
        <v>222.4</v>
      </c>
      <c r="Q73" s="247">
        <f>SUM(E73:P73)</f>
        <v>1697.8</v>
      </c>
      <c r="S73" s="452"/>
      <c r="T73" s="304"/>
      <c r="U73" s="305"/>
      <c r="V73" s="305"/>
      <c r="W73" s="450"/>
      <c r="X73" s="305"/>
      <c r="Y73" s="305"/>
    </row>
    <row r="74" spans="1:25" x14ac:dyDescent="0.2">
      <c r="A74" s="263">
        <f>A73+1</f>
        <v>11</v>
      </c>
      <c r="C74" s="451" t="s">
        <v>221</v>
      </c>
      <c r="E74" s="434">
        <f t="shared" ref="E74:P74" si="24">E429</f>
        <v>833.02</v>
      </c>
      <c r="F74" s="434">
        <f t="shared" si="24"/>
        <v>978.75</v>
      </c>
      <c r="G74" s="434">
        <f t="shared" si="24"/>
        <v>1032.01</v>
      </c>
      <c r="H74" s="434">
        <f t="shared" si="24"/>
        <v>601.28</v>
      </c>
      <c r="I74" s="434">
        <f t="shared" si="24"/>
        <v>376.21000000000004</v>
      </c>
      <c r="J74" s="434">
        <f t="shared" si="24"/>
        <v>266.48</v>
      </c>
      <c r="K74" s="434">
        <f t="shared" si="24"/>
        <v>290.41000000000003</v>
      </c>
      <c r="L74" s="434">
        <f t="shared" si="24"/>
        <v>206.76</v>
      </c>
      <c r="M74" s="434">
        <f t="shared" si="24"/>
        <v>189.73</v>
      </c>
      <c r="N74" s="434">
        <f t="shared" si="24"/>
        <v>218.62</v>
      </c>
      <c r="O74" s="434">
        <f t="shared" si="24"/>
        <v>350.34000000000003</v>
      </c>
      <c r="P74" s="434">
        <f t="shared" si="24"/>
        <v>650.21</v>
      </c>
      <c r="Q74" s="434">
        <f>SUM(E74:P74)</f>
        <v>5993.82</v>
      </c>
      <c r="S74" s="452" t="s">
        <v>346</v>
      </c>
      <c r="T74" s="304">
        <f>Q399+Q650+Q701+Q751+Q780+Q822+Q847+Q891+Q936+Q961+Q1002+Q1030</f>
        <v>0</v>
      </c>
      <c r="U74" s="305"/>
      <c r="V74" s="305"/>
      <c r="W74" s="450"/>
      <c r="X74" s="305"/>
      <c r="Y74" s="305"/>
    </row>
    <row r="75" spans="1:25" x14ac:dyDescent="0.2">
      <c r="A75" s="263">
        <f>A74+1</f>
        <v>12</v>
      </c>
      <c r="C75" s="451" t="s">
        <v>222</v>
      </c>
      <c r="E75" s="434">
        <f t="shared" ref="E75:P75" si="25">E431</f>
        <v>678.64</v>
      </c>
      <c r="F75" s="434">
        <f t="shared" si="25"/>
        <v>827.97</v>
      </c>
      <c r="G75" s="434">
        <f t="shared" si="25"/>
        <v>824.22</v>
      </c>
      <c r="H75" s="434">
        <f t="shared" si="25"/>
        <v>382.84</v>
      </c>
      <c r="I75" s="434">
        <f t="shared" si="25"/>
        <v>152.21</v>
      </c>
      <c r="J75" s="434">
        <f t="shared" si="25"/>
        <v>39.76</v>
      </c>
      <c r="K75" s="434">
        <f t="shared" si="25"/>
        <v>64.28</v>
      </c>
      <c r="L75" s="434">
        <f t="shared" si="25"/>
        <v>36.89</v>
      </c>
      <c r="M75" s="434">
        <f t="shared" si="25"/>
        <v>19.440000000000001</v>
      </c>
      <c r="N75" s="434">
        <f t="shared" si="25"/>
        <v>49.04</v>
      </c>
      <c r="O75" s="434">
        <f t="shared" si="25"/>
        <v>184.02</v>
      </c>
      <c r="P75" s="434">
        <f t="shared" si="25"/>
        <v>491.3</v>
      </c>
      <c r="Q75" s="434">
        <f>SUM(E75:P75)</f>
        <v>3750.6100000000006</v>
      </c>
      <c r="S75" s="452"/>
      <c r="T75" s="305"/>
      <c r="U75" s="305"/>
      <c r="V75" s="305"/>
      <c r="W75" s="450"/>
      <c r="X75" s="305"/>
      <c r="Y75" s="305"/>
    </row>
    <row r="76" spans="1:25" x14ac:dyDescent="0.2">
      <c r="A76" s="720">
        <f>A75+1</f>
        <v>13</v>
      </c>
      <c r="B76" s="454"/>
      <c r="C76" s="455" t="s">
        <v>577</v>
      </c>
      <c r="D76" s="456"/>
      <c r="E76" s="457">
        <f t="shared" ref="E76:P76" si="26">E433</f>
        <v>1511.6599999999999</v>
      </c>
      <c r="F76" s="457">
        <f t="shared" si="26"/>
        <v>1806.72</v>
      </c>
      <c r="G76" s="457">
        <f t="shared" si="26"/>
        <v>1856.23</v>
      </c>
      <c r="H76" s="457">
        <f t="shared" si="26"/>
        <v>984.11999999999989</v>
      </c>
      <c r="I76" s="457">
        <f t="shared" si="26"/>
        <v>528.42000000000007</v>
      </c>
      <c r="J76" s="457">
        <f t="shared" si="26"/>
        <v>306.24</v>
      </c>
      <c r="K76" s="457">
        <f t="shared" si="26"/>
        <v>354.69000000000005</v>
      </c>
      <c r="L76" s="457">
        <f t="shared" si="26"/>
        <v>243.64999999999998</v>
      </c>
      <c r="M76" s="457">
        <f t="shared" si="26"/>
        <v>209.17</v>
      </c>
      <c r="N76" s="457">
        <f t="shared" si="26"/>
        <v>267.66000000000003</v>
      </c>
      <c r="O76" s="457">
        <f t="shared" si="26"/>
        <v>534.36</v>
      </c>
      <c r="P76" s="457">
        <f t="shared" si="26"/>
        <v>1141.51</v>
      </c>
      <c r="Q76" s="457">
        <f>SUM(E76:P76)</f>
        <v>9744.43</v>
      </c>
      <c r="S76" s="452"/>
      <c r="T76" s="305"/>
      <c r="U76" s="305"/>
      <c r="V76" s="305"/>
      <c r="W76" s="450"/>
      <c r="X76" s="305"/>
      <c r="Y76" s="305"/>
    </row>
    <row r="77" spans="1:25" x14ac:dyDescent="0.2">
      <c r="G77" s="294"/>
      <c r="Q77" s="294"/>
      <c r="S77" s="452"/>
      <c r="T77" s="305"/>
      <c r="U77" s="305"/>
      <c r="V77" s="305"/>
      <c r="W77" s="450"/>
      <c r="X77" s="305"/>
      <c r="Y77" s="305"/>
    </row>
    <row r="78" spans="1:25" x14ac:dyDescent="0.2">
      <c r="A78" s="263">
        <f>A76+1</f>
        <v>14</v>
      </c>
      <c r="B78" s="221" t="str">
        <f>Input!A21</f>
        <v>G1R</v>
      </c>
      <c r="C78" s="221" t="str">
        <f>'Sch M 2.1'!B21</f>
        <v>LG&amp;E Residential</v>
      </c>
      <c r="G78" s="294"/>
      <c r="Q78" s="294"/>
      <c r="S78" s="452" t="s">
        <v>343</v>
      </c>
      <c r="T78" s="304" t="e">
        <f>T69-(T68+T67)</f>
        <v>#REF!</v>
      </c>
      <c r="U78" s="305"/>
      <c r="V78" s="305"/>
      <c r="W78" s="450"/>
      <c r="X78" s="305"/>
      <c r="Y78" s="305"/>
    </row>
    <row r="79" spans="1:25" x14ac:dyDescent="0.2">
      <c r="A79" s="263">
        <f>A78+1</f>
        <v>15</v>
      </c>
      <c r="C79" s="451" t="s">
        <v>219</v>
      </c>
      <c r="E79" s="242">
        <f t="shared" ref="E79:P79" si="27">E458</f>
        <v>16</v>
      </c>
      <c r="F79" s="242">
        <f t="shared" si="27"/>
        <v>16</v>
      </c>
      <c r="G79" s="242">
        <f t="shared" si="27"/>
        <v>16</v>
      </c>
      <c r="H79" s="242">
        <f t="shared" si="27"/>
        <v>16</v>
      </c>
      <c r="I79" s="242">
        <f t="shared" si="27"/>
        <v>16</v>
      </c>
      <c r="J79" s="242">
        <f t="shared" si="27"/>
        <v>16</v>
      </c>
      <c r="K79" s="242">
        <f t="shared" si="27"/>
        <v>16</v>
      </c>
      <c r="L79" s="242">
        <f t="shared" si="27"/>
        <v>16</v>
      </c>
      <c r="M79" s="242">
        <f t="shared" si="27"/>
        <v>16</v>
      </c>
      <c r="N79" s="242">
        <f t="shared" si="27"/>
        <v>16</v>
      </c>
      <c r="O79" s="242">
        <f t="shared" si="27"/>
        <v>16</v>
      </c>
      <c r="P79" s="242">
        <f t="shared" si="27"/>
        <v>16</v>
      </c>
      <c r="Q79" s="242">
        <f>SUM(E79:P79)</f>
        <v>192</v>
      </c>
      <c r="S79" s="452" t="s">
        <v>192</v>
      </c>
      <c r="T79" s="304">
        <f>Q411+Q834</f>
        <v>1009202.28</v>
      </c>
      <c r="U79" s="305"/>
      <c r="V79" s="305"/>
      <c r="W79" s="450"/>
      <c r="X79" s="305"/>
      <c r="Y79" s="305"/>
    </row>
    <row r="80" spans="1:25" x14ac:dyDescent="0.2">
      <c r="A80" s="263">
        <f>A79+1</f>
        <v>16</v>
      </c>
      <c r="C80" s="451" t="s">
        <v>576</v>
      </c>
      <c r="E80" s="247">
        <f t="shared" ref="E80:P80" si="28">E461</f>
        <v>458.3</v>
      </c>
      <c r="F80" s="247">
        <f t="shared" si="28"/>
        <v>345.9</v>
      </c>
      <c r="G80" s="247">
        <f t="shared" si="28"/>
        <v>279.39999999999998</v>
      </c>
      <c r="H80" s="247">
        <f t="shared" si="28"/>
        <v>174.8</v>
      </c>
      <c r="I80" s="247">
        <f t="shared" si="28"/>
        <v>81.099999999999994</v>
      </c>
      <c r="J80" s="247">
        <f t="shared" si="28"/>
        <v>33.4</v>
      </c>
      <c r="K80" s="247">
        <f t="shared" si="28"/>
        <v>24.1</v>
      </c>
      <c r="L80" s="247">
        <f t="shared" si="28"/>
        <v>27.6</v>
      </c>
      <c r="M80" s="247">
        <f t="shared" si="28"/>
        <v>28.4</v>
      </c>
      <c r="N80" s="247">
        <f t="shared" si="28"/>
        <v>68</v>
      </c>
      <c r="O80" s="247">
        <f t="shared" si="28"/>
        <v>159.19999999999999</v>
      </c>
      <c r="P80" s="247">
        <f t="shared" si="28"/>
        <v>338.7</v>
      </c>
      <c r="Q80" s="247">
        <f>SUM(E80:P80)</f>
        <v>2018.8999999999999</v>
      </c>
      <c r="S80" s="452" t="s">
        <v>178</v>
      </c>
      <c r="T80" s="304">
        <f>Q412+Q672+Q723+Q769+Q792</f>
        <v>252664.57</v>
      </c>
      <c r="U80" s="305"/>
      <c r="V80" s="305"/>
      <c r="W80" s="450"/>
      <c r="X80" s="305"/>
      <c r="Y80" s="305"/>
    </row>
    <row r="81" spans="1:25" x14ac:dyDescent="0.2">
      <c r="A81" s="263">
        <f>A80+1</f>
        <v>17</v>
      </c>
      <c r="C81" s="451" t="s">
        <v>221</v>
      </c>
      <c r="E81" s="434">
        <f t="shared" ref="E81:P81" si="29">E464</f>
        <v>1632.8899999999999</v>
      </c>
      <c r="F81" s="434">
        <f t="shared" si="29"/>
        <v>1300.18</v>
      </c>
      <c r="G81" s="434">
        <f t="shared" si="29"/>
        <v>1103.3399999999999</v>
      </c>
      <c r="H81" s="434">
        <f t="shared" si="29"/>
        <v>793.73</v>
      </c>
      <c r="I81" s="434">
        <f t="shared" si="29"/>
        <v>516.38</v>
      </c>
      <c r="J81" s="434">
        <f t="shared" si="29"/>
        <v>375.18</v>
      </c>
      <c r="K81" s="434">
        <f t="shared" si="29"/>
        <v>347.65999999999997</v>
      </c>
      <c r="L81" s="434">
        <f t="shared" si="29"/>
        <v>358.02</v>
      </c>
      <c r="M81" s="434">
        <f t="shared" si="29"/>
        <v>360.38</v>
      </c>
      <c r="N81" s="434">
        <f t="shared" si="29"/>
        <v>477.6</v>
      </c>
      <c r="O81" s="434">
        <f t="shared" si="29"/>
        <v>747.55</v>
      </c>
      <c r="P81" s="434">
        <f t="shared" si="29"/>
        <v>1278.8699999999999</v>
      </c>
      <c r="Q81" s="434">
        <f>SUM(E81:P81)</f>
        <v>9291.7799999999988</v>
      </c>
      <c r="S81" s="452" t="s">
        <v>141</v>
      </c>
      <c r="T81" s="304">
        <f>Q413+Q835</f>
        <v>474918.28999999992</v>
      </c>
      <c r="U81" s="305"/>
      <c r="V81" s="305"/>
      <c r="W81" s="450"/>
      <c r="X81" s="305"/>
      <c r="Y81" s="305"/>
    </row>
    <row r="82" spans="1:25" x14ac:dyDescent="0.2">
      <c r="A82" s="263">
        <f>A81+1</f>
        <v>18</v>
      </c>
      <c r="C82" s="451" t="s">
        <v>222</v>
      </c>
      <c r="E82" s="434">
        <f t="shared" ref="E82:P82" si="30">E466</f>
        <v>1012.43</v>
      </c>
      <c r="F82" s="434">
        <f t="shared" si="30"/>
        <v>764.13</v>
      </c>
      <c r="G82" s="434">
        <f t="shared" si="30"/>
        <v>617.22</v>
      </c>
      <c r="H82" s="434">
        <f t="shared" si="30"/>
        <v>386.15</v>
      </c>
      <c r="I82" s="434">
        <f t="shared" si="30"/>
        <v>179.16</v>
      </c>
      <c r="J82" s="434">
        <f t="shared" si="30"/>
        <v>73.78</v>
      </c>
      <c r="K82" s="434">
        <f t="shared" si="30"/>
        <v>53.24</v>
      </c>
      <c r="L82" s="434">
        <f t="shared" si="30"/>
        <v>60.97</v>
      </c>
      <c r="M82" s="434">
        <f t="shared" si="30"/>
        <v>62.74</v>
      </c>
      <c r="N82" s="434">
        <f t="shared" si="30"/>
        <v>150.22</v>
      </c>
      <c r="O82" s="434">
        <f t="shared" si="30"/>
        <v>351.69</v>
      </c>
      <c r="P82" s="434">
        <f t="shared" si="30"/>
        <v>748.22</v>
      </c>
      <c r="Q82" s="434">
        <f>SUM(E82:P82)</f>
        <v>4459.9499999999989</v>
      </c>
      <c r="S82" s="452"/>
      <c r="T82" s="304"/>
      <c r="U82" s="305"/>
      <c r="V82" s="305"/>
      <c r="W82" s="450"/>
      <c r="X82" s="305"/>
      <c r="Y82" s="305"/>
    </row>
    <row r="83" spans="1:25" x14ac:dyDescent="0.2">
      <c r="A83" s="720">
        <f>A82+1</f>
        <v>19</v>
      </c>
      <c r="B83" s="454"/>
      <c r="C83" s="455" t="s">
        <v>577</v>
      </c>
      <c r="D83" s="456"/>
      <c r="E83" s="457">
        <f t="shared" ref="E83:P83" si="31">E468</f>
        <v>2645.3199999999997</v>
      </c>
      <c r="F83" s="457">
        <f t="shared" si="31"/>
        <v>2064.31</v>
      </c>
      <c r="G83" s="457">
        <f t="shared" si="31"/>
        <v>1720.56</v>
      </c>
      <c r="H83" s="457">
        <f t="shared" si="31"/>
        <v>1179.8800000000001</v>
      </c>
      <c r="I83" s="457">
        <f t="shared" si="31"/>
        <v>695.54</v>
      </c>
      <c r="J83" s="457">
        <f t="shared" si="31"/>
        <v>448.96000000000004</v>
      </c>
      <c r="K83" s="457">
        <f t="shared" si="31"/>
        <v>400.9</v>
      </c>
      <c r="L83" s="457">
        <f t="shared" si="31"/>
        <v>418.99</v>
      </c>
      <c r="M83" s="457">
        <f t="shared" si="31"/>
        <v>423.12</v>
      </c>
      <c r="N83" s="457">
        <f t="shared" si="31"/>
        <v>627.82000000000005</v>
      </c>
      <c r="O83" s="457">
        <f t="shared" si="31"/>
        <v>1099.24</v>
      </c>
      <c r="P83" s="457">
        <f t="shared" si="31"/>
        <v>2027.09</v>
      </c>
      <c r="Q83" s="457">
        <f>SUM(E83:P83)</f>
        <v>13751.73</v>
      </c>
      <c r="S83" s="452"/>
      <c r="T83" s="305"/>
      <c r="U83" s="305"/>
      <c r="V83" s="305"/>
      <c r="W83" s="450"/>
      <c r="X83" s="305"/>
      <c r="Y83" s="305"/>
    </row>
    <row r="84" spans="1:25" ht="10.8" thickBot="1" x14ac:dyDescent="0.25">
      <c r="G84" s="294"/>
      <c r="Q84" s="294"/>
      <c r="S84" s="459"/>
      <c r="T84" s="460"/>
      <c r="U84" s="460"/>
      <c r="V84" s="460"/>
      <c r="W84" s="461"/>
      <c r="X84" s="305"/>
      <c r="Y84" s="305"/>
    </row>
    <row r="85" spans="1:25" x14ac:dyDescent="0.2">
      <c r="A85" s="263">
        <f>A83+1</f>
        <v>20</v>
      </c>
      <c r="B85" s="221" t="str">
        <f>Input!A22</f>
        <v>IN3</v>
      </c>
      <c r="C85" s="221" t="str">
        <f>'Sch M 2.1'!B22</f>
        <v>Inland Gas General Service - Residential</v>
      </c>
      <c r="G85" s="294"/>
      <c r="Q85" s="294"/>
      <c r="S85" s="305"/>
      <c r="T85" s="305"/>
      <c r="U85" s="305"/>
      <c r="V85" s="305"/>
      <c r="W85" s="305"/>
      <c r="X85" s="305"/>
      <c r="Y85" s="305"/>
    </row>
    <row r="86" spans="1:25" x14ac:dyDescent="0.2">
      <c r="A86" s="263">
        <f>A85+1</f>
        <v>21</v>
      </c>
      <c r="C86" s="451" t="s">
        <v>219</v>
      </c>
      <c r="E86" s="242">
        <f t="shared" ref="E86:P86" si="32">E475</f>
        <v>9</v>
      </c>
      <c r="F86" s="242">
        <f t="shared" si="32"/>
        <v>9</v>
      </c>
      <c r="G86" s="242">
        <f t="shared" si="32"/>
        <v>9</v>
      </c>
      <c r="H86" s="242">
        <f t="shared" si="32"/>
        <v>10</v>
      </c>
      <c r="I86" s="242">
        <f t="shared" si="32"/>
        <v>8</v>
      </c>
      <c r="J86" s="242">
        <f t="shared" si="32"/>
        <v>9</v>
      </c>
      <c r="K86" s="242">
        <f t="shared" si="32"/>
        <v>9</v>
      </c>
      <c r="L86" s="242">
        <f t="shared" si="32"/>
        <v>9</v>
      </c>
      <c r="M86" s="242">
        <f t="shared" si="32"/>
        <v>9</v>
      </c>
      <c r="N86" s="242">
        <f t="shared" si="32"/>
        <v>9</v>
      </c>
      <c r="O86" s="242">
        <f t="shared" si="32"/>
        <v>9</v>
      </c>
      <c r="P86" s="242">
        <f t="shared" si="32"/>
        <v>9</v>
      </c>
      <c r="Q86" s="242">
        <f>SUM(E86:P86)</f>
        <v>108</v>
      </c>
      <c r="S86" s="305"/>
      <c r="T86" s="305"/>
      <c r="U86" s="305"/>
      <c r="V86" s="305"/>
      <c r="W86" s="305"/>
      <c r="X86" s="305"/>
      <c r="Y86" s="305"/>
    </row>
    <row r="87" spans="1:25" x14ac:dyDescent="0.2">
      <c r="A87" s="263">
        <f>A86+1</f>
        <v>22</v>
      </c>
      <c r="C87" s="451" t="s">
        <v>576</v>
      </c>
      <c r="E87" s="247">
        <f t="shared" ref="E87:P87" si="33">E478</f>
        <v>247.9</v>
      </c>
      <c r="F87" s="247">
        <f t="shared" si="33"/>
        <v>172.9</v>
      </c>
      <c r="G87" s="247">
        <f t="shared" si="33"/>
        <v>116.2</v>
      </c>
      <c r="H87" s="247">
        <f t="shared" si="33"/>
        <v>84.5</v>
      </c>
      <c r="I87" s="247">
        <f t="shared" si="33"/>
        <v>36.299999999999997</v>
      </c>
      <c r="J87" s="247">
        <f t="shared" si="33"/>
        <v>17</v>
      </c>
      <c r="K87" s="247">
        <f t="shared" si="33"/>
        <v>11.6</v>
      </c>
      <c r="L87" s="247">
        <f t="shared" si="33"/>
        <v>10.8</v>
      </c>
      <c r="M87" s="247">
        <f t="shared" si="33"/>
        <v>11.5</v>
      </c>
      <c r="N87" s="247">
        <f t="shared" si="33"/>
        <v>34</v>
      </c>
      <c r="O87" s="247">
        <f t="shared" si="33"/>
        <v>90.2</v>
      </c>
      <c r="P87" s="247">
        <f t="shared" si="33"/>
        <v>157.30000000000001</v>
      </c>
      <c r="Q87" s="247">
        <f>SUM(E87:P87)</f>
        <v>990.2</v>
      </c>
    </row>
    <row r="88" spans="1:25" x14ac:dyDescent="0.2">
      <c r="A88" s="263">
        <f>A87+1</f>
        <v>23</v>
      </c>
      <c r="C88" s="451" t="s">
        <v>221</v>
      </c>
      <c r="E88" s="434">
        <f t="shared" ref="E88:P88" si="34">E481</f>
        <v>99.16</v>
      </c>
      <c r="F88" s="434">
        <f t="shared" si="34"/>
        <v>69.16</v>
      </c>
      <c r="G88" s="434">
        <f t="shared" si="34"/>
        <v>46.48</v>
      </c>
      <c r="H88" s="434">
        <f t="shared" si="34"/>
        <v>33.799999999999997</v>
      </c>
      <c r="I88" s="434">
        <f t="shared" si="34"/>
        <v>14.52</v>
      </c>
      <c r="J88" s="434">
        <f t="shared" si="34"/>
        <v>6.8</v>
      </c>
      <c r="K88" s="434">
        <f t="shared" si="34"/>
        <v>4.6399999999999997</v>
      </c>
      <c r="L88" s="434">
        <f t="shared" si="34"/>
        <v>4.32</v>
      </c>
      <c r="M88" s="434">
        <f t="shared" si="34"/>
        <v>4.5999999999999996</v>
      </c>
      <c r="N88" s="434">
        <f t="shared" si="34"/>
        <v>13.6</v>
      </c>
      <c r="O88" s="434">
        <f t="shared" si="34"/>
        <v>36.08</v>
      </c>
      <c r="P88" s="434">
        <f t="shared" si="34"/>
        <v>62.92</v>
      </c>
      <c r="Q88" s="434">
        <f>SUM(E88:P88)</f>
        <v>396.08</v>
      </c>
    </row>
    <row r="89" spans="1:25" x14ac:dyDescent="0.2">
      <c r="A89" s="263">
        <f>A88+1</f>
        <v>24</v>
      </c>
      <c r="C89" s="451" t="s">
        <v>222</v>
      </c>
      <c r="E89" s="434">
        <f t="shared" ref="E89:P89" si="35">E483</f>
        <v>0</v>
      </c>
      <c r="F89" s="434">
        <f t="shared" si="35"/>
        <v>0</v>
      </c>
      <c r="G89" s="434">
        <f t="shared" si="35"/>
        <v>0</v>
      </c>
      <c r="H89" s="434">
        <f t="shared" si="35"/>
        <v>0</v>
      </c>
      <c r="I89" s="434">
        <f t="shared" si="35"/>
        <v>0</v>
      </c>
      <c r="J89" s="434">
        <f t="shared" si="35"/>
        <v>0</v>
      </c>
      <c r="K89" s="434">
        <f t="shared" si="35"/>
        <v>0</v>
      </c>
      <c r="L89" s="434">
        <f t="shared" si="35"/>
        <v>0</v>
      </c>
      <c r="M89" s="434">
        <f t="shared" si="35"/>
        <v>0</v>
      </c>
      <c r="N89" s="434">
        <f t="shared" si="35"/>
        <v>0</v>
      </c>
      <c r="O89" s="434">
        <f t="shared" si="35"/>
        <v>0</v>
      </c>
      <c r="P89" s="434">
        <f t="shared" si="35"/>
        <v>0</v>
      </c>
      <c r="Q89" s="434">
        <f>SUM(E89:P89)</f>
        <v>0</v>
      </c>
    </row>
    <row r="90" spans="1:25" x14ac:dyDescent="0.2">
      <c r="A90" s="720">
        <f>A89+1</f>
        <v>25</v>
      </c>
      <c r="B90" s="454"/>
      <c r="C90" s="455" t="s">
        <v>577</v>
      </c>
      <c r="D90" s="456"/>
      <c r="E90" s="457">
        <f t="shared" ref="E90:P90" si="36">E485</f>
        <v>99.16</v>
      </c>
      <c r="F90" s="457">
        <f t="shared" si="36"/>
        <v>69.16</v>
      </c>
      <c r="G90" s="457">
        <f t="shared" si="36"/>
        <v>46.48</v>
      </c>
      <c r="H90" s="457">
        <f t="shared" si="36"/>
        <v>33.799999999999997</v>
      </c>
      <c r="I90" s="457">
        <f t="shared" si="36"/>
        <v>14.52</v>
      </c>
      <c r="J90" s="457">
        <f t="shared" si="36"/>
        <v>6.8</v>
      </c>
      <c r="K90" s="457">
        <f t="shared" si="36"/>
        <v>4.6399999999999997</v>
      </c>
      <c r="L90" s="457">
        <f t="shared" si="36"/>
        <v>4.32</v>
      </c>
      <c r="M90" s="457">
        <f t="shared" si="36"/>
        <v>4.5999999999999996</v>
      </c>
      <c r="N90" s="457">
        <f t="shared" si="36"/>
        <v>13.6</v>
      </c>
      <c r="O90" s="457">
        <f t="shared" si="36"/>
        <v>36.08</v>
      </c>
      <c r="P90" s="457">
        <f t="shared" si="36"/>
        <v>62.92</v>
      </c>
      <c r="Q90" s="457">
        <f>SUM(E90:P90)</f>
        <v>396.08</v>
      </c>
    </row>
    <row r="91" spans="1:25" x14ac:dyDescent="0.2">
      <c r="G91" s="294"/>
      <c r="Q91" s="294"/>
    </row>
    <row r="92" spans="1:25" x14ac:dyDescent="0.2">
      <c r="A92" s="263">
        <f>A90+1</f>
        <v>26</v>
      </c>
      <c r="B92" s="221" t="str">
        <f>Input!A24</f>
        <v>IN4</v>
      </c>
      <c r="C92" s="221" t="str">
        <f>'Sch M 2.1'!B23</f>
        <v>Inland Gas General Service - Residential</v>
      </c>
      <c r="G92" s="294"/>
      <c r="Q92" s="294"/>
    </row>
    <row r="93" spans="1:25" x14ac:dyDescent="0.2">
      <c r="A93" s="263">
        <f>A92+1</f>
        <v>27</v>
      </c>
      <c r="C93" s="451" t="s">
        <v>219</v>
      </c>
      <c r="E93" s="242">
        <f t="shared" ref="E93:P93" si="37">E492</f>
        <v>0</v>
      </c>
      <c r="F93" s="242">
        <f t="shared" si="37"/>
        <v>0</v>
      </c>
      <c r="G93" s="242">
        <f t="shared" si="37"/>
        <v>0</v>
      </c>
      <c r="H93" s="242">
        <f t="shared" si="37"/>
        <v>0</v>
      </c>
      <c r="I93" s="242">
        <f t="shared" si="37"/>
        <v>0</v>
      </c>
      <c r="J93" s="242">
        <f t="shared" si="37"/>
        <v>0</v>
      </c>
      <c r="K93" s="242">
        <f t="shared" si="37"/>
        <v>0</v>
      </c>
      <c r="L93" s="242">
        <f t="shared" si="37"/>
        <v>0</v>
      </c>
      <c r="M93" s="242">
        <f t="shared" si="37"/>
        <v>0</v>
      </c>
      <c r="N93" s="242">
        <f t="shared" si="37"/>
        <v>0</v>
      </c>
      <c r="O93" s="242">
        <f t="shared" si="37"/>
        <v>0</v>
      </c>
      <c r="P93" s="242">
        <f t="shared" si="37"/>
        <v>0</v>
      </c>
      <c r="Q93" s="242">
        <f>SUM(E93:P93)</f>
        <v>0</v>
      </c>
    </row>
    <row r="94" spans="1:25" x14ac:dyDescent="0.2">
      <c r="A94" s="263">
        <f>A93+1</f>
        <v>28</v>
      </c>
      <c r="C94" s="451" t="s">
        <v>576</v>
      </c>
      <c r="E94" s="247">
        <f t="shared" ref="E94:P94" si="38">E495</f>
        <v>0</v>
      </c>
      <c r="F94" s="247">
        <f t="shared" si="38"/>
        <v>0</v>
      </c>
      <c r="G94" s="247">
        <f t="shared" si="38"/>
        <v>0</v>
      </c>
      <c r="H94" s="247">
        <f t="shared" si="38"/>
        <v>0</v>
      </c>
      <c r="I94" s="247">
        <f t="shared" si="38"/>
        <v>0</v>
      </c>
      <c r="J94" s="247">
        <f t="shared" si="38"/>
        <v>0</v>
      </c>
      <c r="K94" s="247">
        <f t="shared" si="38"/>
        <v>0</v>
      </c>
      <c r="L94" s="247">
        <f t="shared" si="38"/>
        <v>0</v>
      </c>
      <c r="M94" s="247">
        <f t="shared" si="38"/>
        <v>0</v>
      </c>
      <c r="N94" s="247">
        <f t="shared" si="38"/>
        <v>0</v>
      </c>
      <c r="O94" s="247">
        <f t="shared" si="38"/>
        <v>0</v>
      </c>
      <c r="P94" s="247">
        <f t="shared" si="38"/>
        <v>0</v>
      </c>
      <c r="Q94" s="247">
        <f>SUM(E94:P94)</f>
        <v>0</v>
      </c>
    </row>
    <row r="95" spans="1:25" x14ac:dyDescent="0.2">
      <c r="A95" s="263">
        <f>A94+1</f>
        <v>29</v>
      </c>
      <c r="C95" s="451" t="s">
        <v>221</v>
      </c>
      <c r="E95" s="434">
        <f t="shared" ref="E95:P95" si="39">E498</f>
        <v>0</v>
      </c>
      <c r="F95" s="434">
        <f t="shared" si="39"/>
        <v>0</v>
      </c>
      <c r="G95" s="434">
        <f t="shared" si="39"/>
        <v>0</v>
      </c>
      <c r="H95" s="434">
        <f t="shared" si="39"/>
        <v>0</v>
      </c>
      <c r="I95" s="434">
        <f t="shared" si="39"/>
        <v>0</v>
      </c>
      <c r="J95" s="434">
        <f t="shared" si="39"/>
        <v>0</v>
      </c>
      <c r="K95" s="434">
        <f t="shared" si="39"/>
        <v>0</v>
      </c>
      <c r="L95" s="434">
        <f t="shared" si="39"/>
        <v>0</v>
      </c>
      <c r="M95" s="434">
        <f t="shared" si="39"/>
        <v>0</v>
      </c>
      <c r="N95" s="434">
        <f t="shared" si="39"/>
        <v>0</v>
      </c>
      <c r="O95" s="434">
        <f t="shared" si="39"/>
        <v>0</v>
      </c>
      <c r="P95" s="434">
        <f t="shared" si="39"/>
        <v>0</v>
      </c>
      <c r="Q95" s="434">
        <f>SUM(E95:P95)</f>
        <v>0</v>
      </c>
    </row>
    <row r="96" spans="1:25" x14ac:dyDescent="0.2">
      <c r="A96" s="263">
        <f>A95+1</f>
        <v>30</v>
      </c>
      <c r="C96" s="451" t="s">
        <v>222</v>
      </c>
      <c r="E96" s="434">
        <f t="shared" ref="E96:P96" si="40">E500</f>
        <v>0</v>
      </c>
      <c r="F96" s="434">
        <f t="shared" si="40"/>
        <v>0</v>
      </c>
      <c r="G96" s="434">
        <f t="shared" si="40"/>
        <v>0</v>
      </c>
      <c r="H96" s="434">
        <f t="shared" si="40"/>
        <v>0</v>
      </c>
      <c r="I96" s="434">
        <f t="shared" si="40"/>
        <v>0</v>
      </c>
      <c r="J96" s="434">
        <f t="shared" si="40"/>
        <v>0</v>
      </c>
      <c r="K96" s="434">
        <f t="shared" si="40"/>
        <v>0</v>
      </c>
      <c r="L96" s="434">
        <f t="shared" si="40"/>
        <v>0</v>
      </c>
      <c r="M96" s="434">
        <f t="shared" si="40"/>
        <v>0</v>
      </c>
      <c r="N96" s="434">
        <f t="shared" si="40"/>
        <v>0</v>
      </c>
      <c r="O96" s="434">
        <f t="shared" si="40"/>
        <v>0</v>
      </c>
      <c r="P96" s="434">
        <f t="shared" si="40"/>
        <v>0</v>
      </c>
      <c r="Q96" s="434">
        <f>SUM(E96:P96)</f>
        <v>0</v>
      </c>
    </row>
    <row r="97" spans="1:18" x14ac:dyDescent="0.2">
      <c r="A97" s="720">
        <f>A96+1</f>
        <v>31</v>
      </c>
      <c r="B97" s="454"/>
      <c r="C97" s="455" t="s">
        <v>577</v>
      </c>
      <c r="D97" s="456"/>
      <c r="E97" s="457">
        <f t="shared" ref="E97:P97" si="41">E502</f>
        <v>0</v>
      </c>
      <c r="F97" s="457">
        <f t="shared" si="41"/>
        <v>0</v>
      </c>
      <c r="G97" s="457">
        <f t="shared" si="41"/>
        <v>0</v>
      </c>
      <c r="H97" s="457">
        <f t="shared" si="41"/>
        <v>0</v>
      </c>
      <c r="I97" s="457">
        <f t="shared" si="41"/>
        <v>0</v>
      </c>
      <c r="J97" s="457">
        <f t="shared" si="41"/>
        <v>0</v>
      </c>
      <c r="K97" s="457">
        <f t="shared" si="41"/>
        <v>0</v>
      </c>
      <c r="L97" s="457">
        <f t="shared" si="41"/>
        <v>0</v>
      </c>
      <c r="M97" s="457">
        <f t="shared" si="41"/>
        <v>0</v>
      </c>
      <c r="N97" s="457">
        <f t="shared" si="41"/>
        <v>0</v>
      </c>
      <c r="O97" s="457">
        <f t="shared" si="41"/>
        <v>0</v>
      </c>
      <c r="P97" s="457">
        <f t="shared" si="41"/>
        <v>0</v>
      </c>
      <c r="Q97" s="457">
        <f>SUM(E97:P97)</f>
        <v>0</v>
      </c>
    </row>
    <row r="98" spans="1:18" x14ac:dyDescent="0.2">
      <c r="G98" s="294"/>
      <c r="Q98" s="294"/>
    </row>
    <row r="99" spans="1:18" x14ac:dyDescent="0.2">
      <c r="A99" s="263">
        <f>A97+1</f>
        <v>32</v>
      </c>
      <c r="B99" s="221" t="str">
        <f>Input!A25</f>
        <v>IN5</v>
      </c>
      <c r="C99" s="221" t="str">
        <f>'Sch M 2.1'!B24</f>
        <v>Inland Gas General Service - Residential</v>
      </c>
      <c r="G99" s="294"/>
      <c r="Q99" s="294"/>
    </row>
    <row r="100" spans="1:18" x14ac:dyDescent="0.2">
      <c r="A100" s="263">
        <f>A99+1</f>
        <v>33</v>
      </c>
      <c r="C100" s="451" t="s">
        <v>219</v>
      </c>
      <c r="E100" s="242">
        <f t="shared" ref="E100:P100" si="42">E526</f>
        <v>3</v>
      </c>
      <c r="F100" s="242">
        <f t="shared" si="42"/>
        <v>3</v>
      </c>
      <c r="G100" s="242">
        <f t="shared" si="42"/>
        <v>3</v>
      </c>
      <c r="H100" s="242">
        <f t="shared" si="42"/>
        <v>3</v>
      </c>
      <c r="I100" s="242">
        <f t="shared" si="42"/>
        <v>3</v>
      </c>
      <c r="J100" s="242">
        <f t="shared" si="42"/>
        <v>3</v>
      </c>
      <c r="K100" s="242">
        <f t="shared" si="42"/>
        <v>3</v>
      </c>
      <c r="L100" s="242">
        <f t="shared" si="42"/>
        <v>3</v>
      </c>
      <c r="M100" s="242">
        <f t="shared" si="42"/>
        <v>3</v>
      </c>
      <c r="N100" s="242">
        <f t="shared" si="42"/>
        <v>3</v>
      </c>
      <c r="O100" s="242">
        <f t="shared" si="42"/>
        <v>3</v>
      </c>
      <c r="P100" s="242">
        <f t="shared" si="42"/>
        <v>3</v>
      </c>
      <c r="Q100" s="242">
        <f>SUM(E100:P100)</f>
        <v>36</v>
      </c>
    </row>
    <row r="101" spans="1:18" x14ac:dyDescent="0.2">
      <c r="A101" s="263">
        <f>A100+1</f>
        <v>34</v>
      </c>
      <c r="C101" s="451" t="s">
        <v>576</v>
      </c>
      <c r="E101" s="247">
        <f t="shared" ref="E101:P101" si="43">E529</f>
        <v>84.3</v>
      </c>
      <c r="F101" s="247">
        <f t="shared" si="43"/>
        <v>54.6</v>
      </c>
      <c r="G101" s="247">
        <f t="shared" si="43"/>
        <v>43.5</v>
      </c>
      <c r="H101" s="247">
        <f t="shared" si="43"/>
        <v>25.4</v>
      </c>
      <c r="I101" s="247">
        <f t="shared" si="43"/>
        <v>12.3</v>
      </c>
      <c r="J101" s="247">
        <f t="shared" si="43"/>
        <v>4.9000000000000004</v>
      </c>
      <c r="K101" s="247">
        <f t="shared" si="43"/>
        <v>2.4</v>
      </c>
      <c r="L101" s="247">
        <f t="shared" si="43"/>
        <v>2.9</v>
      </c>
      <c r="M101" s="247">
        <f t="shared" si="43"/>
        <v>4.3</v>
      </c>
      <c r="N101" s="247">
        <f t="shared" si="43"/>
        <v>14.9</v>
      </c>
      <c r="O101" s="247">
        <f t="shared" si="43"/>
        <v>32.1</v>
      </c>
      <c r="P101" s="247">
        <f t="shared" si="43"/>
        <v>52</v>
      </c>
      <c r="Q101" s="247">
        <f>SUM(E101:P101)</f>
        <v>333.60000000000008</v>
      </c>
    </row>
    <row r="102" spans="1:18" x14ac:dyDescent="0.2">
      <c r="A102" s="263">
        <f>A101+1</f>
        <v>35</v>
      </c>
      <c r="C102" s="451" t="s">
        <v>221</v>
      </c>
      <c r="E102" s="434">
        <f t="shared" ref="E102:P102" si="44">E532</f>
        <v>50.58</v>
      </c>
      <c r="F102" s="434">
        <f t="shared" si="44"/>
        <v>32.76</v>
      </c>
      <c r="G102" s="434">
        <f t="shared" si="44"/>
        <v>26.1</v>
      </c>
      <c r="H102" s="434">
        <f t="shared" si="44"/>
        <v>15.24</v>
      </c>
      <c r="I102" s="434">
        <f t="shared" si="44"/>
        <v>7.38</v>
      </c>
      <c r="J102" s="434">
        <f t="shared" si="44"/>
        <v>2.94</v>
      </c>
      <c r="K102" s="434">
        <f t="shared" si="44"/>
        <v>1.44</v>
      </c>
      <c r="L102" s="434">
        <f t="shared" si="44"/>
        <v>1.74</v>
      </c>
      <c r="M102" s="434">
        <f t="shared" si="44"/>
        <v>2.58</v>
      </c>
      <c r="N102" s="434">
        <f t="shared" si="44"/>
        <v>8.94</v>
      </c>
      <c r="O102" s="434">
        <f t="shared" si="44"/>
        <v>19.260000000000002</v>
      </c>
      <c r="P102" s="434">
        <f t="shared" si="44"/>
        <v>31.2</v>
      </c>
      <c r="Q102" s="434">
        <f>SUM(E102:P102)</f>
        <v>200.16</v>
      </c>
    </row>
    <row r="103" spans="1:18" x14ac:dyDescent="0.2">
      <c r="A103" s="263">
        <f>A102+1</f>
        <v>36</v>
      </c>
      <c r="C103" s="451" t="s">
        <v>222</v>
      </c>
      <c r="E103" s="434">
        <f t="shared" ref="E103:P103" si="45">E534</f>
        <v>0</v>
      </c>
      <c r="F103" s="434">
        <f t="shared" si="45"/>
        <v>0</v>
      </c>
      <c r="G103" s="434">
        <f t="shared" si="45"/>
        <v>0</v>
      </c>
      <c r="H103" s="434">
        <f t="shared" si="45"/>
        <v>0</v>
      </c>
      <c r="I103" s="434">
        <f t="shared" si="45"/>
        <v>0</v>
      </c>
      <c r="J103" s="434">
        <f t="shared" si="45"/>
        <v>0</v>
      </c>
      <c r="K103" s="434">
        <f t="shared" si="45"/>
        <v>0</v>
      </c>
      <c r="L103" s="434">
        <f t="shared" si="45"/>
        <v>0</v>
      </c>
      <c r="M103" s="434">
        <f t="shared" si="45"/>
        <v>0</v>
      </c>
      <c r="N103" s="434">
        <f t="shared" si="45"/>
        <v>0</v>
      </c>
      <c r="O103" s="434">
        <f t="shared" si="45"/>
        <v>0</v>
      </c>
      <c r="P103" s="434">
        <f t="shared" si="45"/>
        <v>0</v>
      </c>
      <c r="Q103" s="434">
        <f>SUM(E103:P103)</f>
        <v>0</v>
      </c>
    </row>
    <row r="104" spans="1:18" x14ac:dyDescent="0.2">
      <c r="A104" s="720">
        <f>A103+1</f>
        <v>37</v>
      </c>
      <c r="B104" s="454"/>
      <c r="C104" s="455" t="s">
        <v>577</v>
      </c>
      <c r="D104" s="456"/>
      <c r="E104" s="457">
        <f t="shared" ref="E104:P104" si="46">E536</f>
        <v>50.58</v>
      </c>
      <c r="F104" s="457">
        <f t="shared" si="46"/>
        <v>32.76</v>
      </c>
      <c r="G104" s="457">
        <f t="shared" si="46"/>
        <v>26.1</v>
      </c>
      <c r="H104" s="457">
        <f t="shared" si="46"/>
        <v>15.24</v>
      </c>
      <c r="I104" s="457">
        <f t="shared" si="46"/>
        <v>7.38</v>
      </c>
      <c r="J104" s="457">
        <f t="shared" si="46"/>
        <v>2.94</v>
      </c>
      <c r="K104" s="457">
        <f t="shared" si="46"/>
        <v>1.44</v>
      </c>
      <c r="L104" s="457">
        <f t="shared" si="46"/>
        <v>1.74</v>
      </c>
      <c r="M104" s="457">
        <f t="shared" si="46"/>
        <v>2.58</v>
      </c>
      <c r="N104" s="457">
        <f t="shared" si="46"/>
        <v>8.94</v>
      </c>
      <c r="O104" s="457">
        <f t="shared" si="46"/>
        <v>19.260000000000002</v>
      </c>
      <c r="P104" s="457">
        <f t="shared" si="46"/>
        <v>31.2</v>
      </c>
      <c r="Q104" s="457">
        <f>SUM(E104:P104)</f>
        <v>200.16</v>
      </c>
    </row>
    <row r="107" spans="1:18" x14ac:dyDescent="0.2">
      <c r="A107" s="721" t="s">
        <v>113</v>
      </c>
    </row>
    <row r="108" spans="1:18" x14ac:dyDescent="0.2">
      <c r="A108" s="721" t="s">
        <v>582</v>
      </c>
    </row>
    <row r="109" spans="1:18" x14ac:dyDescent="0.2">
      <c r="A109" s="887" t="str">
        <f>CONAME</f>
        <v>Columbia Gas of Kentucky, Inc.</v>
      </c>
      <c r="B109" s="887"/>
      <c r="C109" s="887"/>
      <c r="D109" s="887"/>
      <c r="E109" s="887"/>
      <c r="F109" s="887"/>
      <c r="G109" s="887"/>
      <c r="H109" s="887"/>
      <c r="I109" s="887"/>
      <c r="J109" s="887"/>
      <c r="K109" s="887"/>
      <c r="L109" s="887"/>
      <c r="M109" s="887"/>
      <c r="N109" s="887"/>
      <c r="O109" s="887"/>
      <c r="P109" s="887"/>
      <c r="Q109" s="887"/>
      <c r="R109" s="465"/>
    </row>
    <row r="110" spans="1:18" x14ac:dyDescent="0.2">
      <c r="A110" s="875" t="str">
        <f>case</f>
        <v>Case No. 2016-00162</v>
      </c>
      <c r="B110" s="875"/>
      <c r="C110" s="875"/>
      <c r="D110" s="875"/>
      <c r="E110" s="875"/>
      <c r="F110" s="875"/>
      <c r="G110" s="875"/>
      <c r="H110" s="875"/>
      <c r="I110" s="875"/>
      <c r="J110" s="875"/>
      <c r="K110" s="875"/>
      <c r="L110" s="875"/>
      <c r="M110" s="875"/>
      <c r="N110" s="875"/>
      <c r="O110" s="875"/>
      <c r="P110" s="875"/>
      <c r="Q110" s="875"/>
      <c r="R110" s="465"/>
    </row>
    <row r="111" spans="1:18" x14ac:dyDescent="0.2">
      <c r="A111" s="888" t="s">
        <v>200</v>
      </c>
      <c r="B111" s="888"/>
      <c r="C111" s="888"/>
      <c r="D111" s="888"/>
      <c r="E111" s="888"/>
      <c r="F111" s="888"/>
      <c r="G111" s="888"/>
      <c r="H111" s="888"/>
      <c r="I111" s="888"/>
      <c r="J111" s="888"/>
      <c r="K111" s="888"/>
      <c r="L111" s="888"/>
      <c r="M111" s="888"/>
      <c r="N111" s="888"/>
      <c r="O111" s="888"/>
      <c r="P111" s="888"/>
      <c r="Q111" s="888"/>
      <c r="R111" s="465"/>
    </row>
    <row r="112" spans="1:18" x14ac:dyDescent="0.2">
      <c r="A112" s="887" t="str">
        <f>TYDESC</f>
        <v>For the 12 Months Ended December 31, 2017</v>
      </c>
      <c r="B112" s="887"/>
      <c r="C112" s="887"/>
      <c r="D112" s="887"/>
      <c r="E112" s="887"/>
      <c r="F112" s="887"/>
      <c r="G112" s="887"/>
      <c r="H112" s="887"/>
      <c r="I112" s="887"/>
      <c r="J112" s="887"/>
      <c r="K112" s="887"/>
      <c r="L112" s="887"/>
      <c r="M112" s="887"/>
      <c r="N112" s="887"/>
      <c r="O112" s="887"/>
      <c r="P112" s="887"/>
      <c r="Q112" s="887"/>
      <c r="R112" s="465"/>
    </row>
    <row r="113" spans="1:18" x14ac:dyDescent="0.2">
      <c r="A113" s="885" t="s">
        <v>39</v>
      </c>
      <c r="B113" s="885"/>
      <c r="C113" s="885"/>
      <c r="D113" s="885"/>
      <c r="E113" s="885"/>
      <c r="F113" s="885"/>
      <c r="G113" s="885"/>
      <c r="H113" s="885"/>
      <c r="I113" s="885"/>
      <c r="J113" s="885"/>
      <c r="K113" s="885"/>
      <c r="L113" s="885"/>
      <c r="M113" s="885"/>
      <c r="N113" s="885"/>
      <c r="O113" s="885"/>
      <c r="P113" s="885"/>
      <c r="Q113" s="885"/>
      <c r="R113" s="465"/>
    </row>
    <row r="114" spans="1:18" x14ac:dyDescent="0.2">
      <c r="A114" s="718" t="str">
        <f>$A$52</f>
        <v>Data: __ Base Period _X_ Forecasted Period</v>
      </c>
    </row>
    <row r="115" spans="1:18" x14ac:dyDescent="0.2">
      <c r="A115" s="718" t="str">
        <f>$A$53</f>
        <v>Type of Filing: X Original _ Update _ Revised</v>
      </c>
      <c r="Q115" s="420" t="str">
        <f>$Q$53</f>
        <v>Schedule M-2.3</v>
      </c>
    </row>
    <row r="116" spans="1:18" x14ac:dyDescent="0.2">
      <c r="A116" s="718" t="str">
        <f>$A$54</f>
        <v>Work Paper Reference No(s):</v>
      </c>
      <c r="Q116" s="420" t="s">
        <v>507</v>
      </c>
    </row>
    <row r="117" spans="1:18" x14ac:dyDescent="0.2">
      <c r="A117" s="719" t="str">
        <f>$A$55</f>
        <v>12 Months Forecasted</v>
      </c>
      <c r="Q117" s="420" t="str">
        <f>Witness</f>
        <v>Witness:  M. J. Bell</v>
      </c>
    </row>
    <row r="118" spans="1:18" x14ac:dyDescent="0.2">
      <c r="A118" s="886" t="s">
        <v>294</v>
      </c>
      <c r="B118" s="886"/>
      <c r="C118" s="886"/>
      <c r="D118" s="886"/>
      <c r="E118" s="886"/>
      <c r="F118" s="886"/>
      <c r="G118" s="886"/>
      <c r="H118" s="886"/>
      <c r="I118" s="886"/>
      <c r="J118" s="886"/>
      <c r="K118" s="886"/>
      <c r="L118" s="886"/>
      <c r="M118" s="886"/>
      <c r="N118" s="886"/>
      <c r="O118" s="886"/>
      <c r="P118" s="886"/>
      <c r="Q118" s="886"/>
    </row>
    <row r="119" spans="1:18" x14ac:dyDescent="0.2">
      <c r="C119" s="462"/>
      <c r="G119" s="294"/>
      <c r="Q119" s="294"/>
    </row>
    <row r="120" spans="1:18" x14ac:dyDescent="0.2">
      <c r="A120" s="416" t="s">
        <v>1</v>
      </c>
      <c r="B120" s="226" t="s">
        <v>0</v>
      </c>
      <c r="C120" s="226" t="s">
        <v>41</v>
      </c>
      <c r="D120" s="423" t="s">
        <v>30</v>
      </c>
      <c r="E120" s="424"/>
      <c r="F120" s="425"/>
      <c r="G120" s="424"/>
      <c r="H120" s="426"/>
      <c r="I120" s="424"/>
      <c r="J120" s="424"/>
      <c r="K120" s="424"/>
      <c r="L120" s="424"/>
      <c r="M120" s="424"/>
      <c r="N120" s="424"/>
      <c r="O120" s="231"/>
      <c r="P120" s="231"/>
      <c r="Q120" s="231"/>
    </row>
    <row r="121" spans="1:18" x14ac:dyDescent="0.2">
      <c r="A121" s="285" t="s">
        <v>3</v>
      </c>
      <c r="B121" s="228" t="s">
        <v>40</v>
      </c>
      <c r="C121" s="228" t="s">
        <v>4</v>
      </c>
      <c r="D121" s="427" t="s">
        <v>48</v>
      </c>
      <c r="E121" s="428" t="str">
        <f>B!$D$11</f>
        <v>Jan-17</v>
      </c>
      <c r="F121" s="428" t="str">
        <f>B!$E$11</f>
        <v>Feb-17</v>
      </c>
      <c r="G121" s="428" t="str">
        <f>B!$F$11</f>
        <v>Mar-17</v>
      </c>
      <c r="H121" s="428" t="str">
        <f>B!$G$11</f>
        <v>Apr-17</v>
      </c>
      <c r="I121" s="428" t="str">
        <f>B!$H$11</f>
        <v>May-17</v>
      </c>
      <c r="J121" s="428" t="str">
        <f>B!$I$11</f>
        <v>Jun-17</v>
      </c>
      <c r="K121" s="428" t="str">
        <f>B!$J$11</f>
        <v>Jul-17</v>
      </c>
      <c r="L121" s="428" t="str">
        <f>B!$K$11</f>
        <v>Aug-17</v>
      </c>
      <c r="M121" s="428" t="str">
        <f>B!$L$11</f>
        <v>Sep-17</v>
      </c>
      <c r="N121" s="428" t="str">
        <f>B!$M$11</f>
        <v>Oct-17</v>
      </c>
      <c r="O121" s="428" t="str">
        <f>B!$N$11</f>
        <v>Nov-17</v>
      </c>
      <c r="P121" s="428" t="str">
        <f>B!$O$11</f>
        <v>Dec-17</v>
      </c>
      <c r="Q121" s="429" t="s">
        <v>9</v>
      </c>
    </row>
    <row r="122" spans="1:18" x14ac:dyDescent="0.2">
      <c r="A122" s="416"/>
      <c r="B122" s="231" t="s">
        <v>42</v>
      </c>
      <c r="C122" s="231" t="s">
        <v>43</v>
      </c>
      <c r="D122" s="430" t="s">
        <v>45</v>
      </c>
      <c r="E122" s="431" t="s">
        <v>46</v>
      </c>
      <c r="F122" s="431" t="s">
        <v>49</v>
      </c>
      <c r="G122" s="431" t="s">
        <v>50</v>
      </c>
      <c r="H122" s="431" t="s">
        <v>51</v>
      </c>
      <c r="I122" s="431" t="s">
        <v>52</v>
      </c>
      <c r="J122" s="432" t="s">
        <v>53</v>
      </c>
      <c r="K122" s="432" t="s">
        <v>54</v>
      </c>
      <c r="L122" s="432" t="s">
        <v>55</v>
      </c>
      <c r="M122" s="432" t="s">
        <v>56</v>
      </c>
      <c r="N122" s="432" t="s">
        <v>57</v>
      </c>
      <c r="O122" s="432" t="s">
        <v>58</v>
      </c>
      <c r="P122" s="432" t="s">
        <v>59</v>
      </c>
      <c r="Q122" s="432" t="s">
        <v>203</v>
      </c>
    </row>
    <row r="123" spans="1:18" x14ac:dyDescent="0.2">
      <c r="C123" s="462"/>
      <c r="G123" s="294"/>
      <c r="Q123" s="294"/>
    </row>
    <row r="124" spans="1:18" x14ac:dyDescent="0.2">
      <c r="A124" s="263">
        <v>1</v>
      </c>
      <c r="C124" s="445" t="s">
        <v>94</v>
      </c>
      <c r="G124" s="294"/>
      <c r="Q124" s="294"/>
    </row>
    <row r="125" spans="1:18" x14ac:dyDescent="0.2">
      <c r="C125" s="462"/>
      <c r="G125" s="294"/>
      <c r="Q125" s="294"/>
    </row>
    <row r="126" spans="1:18" x14ac:dyDescent="0.2">
      <c r="A126" s="263">
        <f>A124+1</f>
        <v>2</v>
      </c>
      <c r="B126" s="221" t="str">
        <f>Input!A26</f>
        <v>LG2</v>
      </c>
      <c r="C126" s="221" t="str">
        <f>'Sch M 2.1'!B25</f>
        <v xml:space="preserve">LG&amp;E Residential </v>
      </c>
      <c r="G126" s="294"/>
      <c r="Q126" s="294"/>
    </row>
    <row r="127" spans="1:18" x14ac:dyDescent="0.2">
      <c r="A127" s="263">
        <f>A126+1</f>
        <v>3</v>
      </c>
      <c r="C127" s="451" t="s">
        <v>219</v>
      </c>
      <c r="E127" s="242">
        <f t="shared" ref="E127:P127" si="47">E543</f>
        <v>1</v>
      </c>
      <c r="F127" s="242">
        <f t="shared" si="47"/>
        <v>1</v>
      </c>
      <c r="G127" s="242">
        <f t="shared" si="47"/>
        <v>1</v>
      </c>
      <c r="H127" s="242">
        <f t="shared" si="47"/>
        <v>1</v>
      </c>
      <c r="I127" s="242">
        <f t="shared" si="47"/>
        <v>1</v>
      </c>
      <c r="J127" s="242">
        <f t="shared" si="47"/>
        <v>1</v>
      </c>
      <c r="K127" s="242">
        <f t="shared" si="47"/>
        <v>1</v>
      </c>
      <c r="L127" s="242">
        <f t="shared" si="47"/>
        <v>1</v>
      </c>
      <c r="M127" s="242">
        <f t="shared" si="47"/>
        <v>1</v>
      </c>
      <c r="N127" s="242">
        <f t="shared" si="47"/>
        <v>1</v>
      </c>
      <c r="O127" s="242">
        <f t="shared" si="47"/>
        <v>1</v>
      </c>
      <c r="P127" s="242">
        <f t="shared" si="47"/>
        <v>1</v>
      </c>
      <c r="Q127" s="242">
        <f>SUM(E127:P127)</f>
        <v>12</v>
      </c>
    </row>
    <row r="128" spans="1:18" x14ac:dyDescent="0.2">
      <c r="A128" s="263">
        <f>A127+1</f>
        <v>4</v>
      </c>
      <c r="C128" s="451" t="s">
        <v>576</v>
      </c>
      <c r="E128" s="247">
        <f t="shared" ref="E128:P128" si="48">E546</f>
        <v>161.1</v>
      </c>
      <c r="F128" s="247">
        <f t="shared" si="48"/>
        <v>142.80000000000001</v>
      </c>
      <c r="G128" s="247">
        <f t="shared" si="48"/>
        <v>70.5</v>
      </c>
      <c r="H128" s="247">
        <f t="shared" si="48"/>
        <v>36.6</v>
      </c>
      <c r="I128" s="247">
        <f t="shared" si="48"/>
        <v>15.2</v>
      </c>
      <c r="J128" s="247">
        <f t="shared" si="48"/>
        <v>2.9</v>
      </c>
      <c r="K128" s="247">
        <f t="shared" si="48"/>
        <v>3.2</v>
      </c>
      <c r="L128" s="247">
        <f t="shared" si="48"/>
        <v>3.4</v>
      </c>
      <c r="M128" s="247">
        <f t="shared" si="48"/>
        <v>3.8</v>
      </c>
      <c r="N128" s="247">
        <f t="shared" si="48"/>
        <v>19</v>
      </c>
      <c r="O128" s="247">
        <f t="shared" si="48"/>
        <v>51.7</v>
      </c>
      <c r="P128" s="247">
        <f t="shared" si="48"/>
        <v>95</v>
      </c>
      <c r="Q128" s="247">
        <f>SUM(E128:P128)</f>
        <v>605.19999999999993</v>
      </c>
    </row>
    <row r="129" spans="1:17" x14ac:dyDescent="0.2">
      <c r="A129" s="263">
        <f>A128+1</f>
        <v>5</v>
      </c>
      <c r="C129" s="451" t="s">
        <v>221</v>
      </c>
      <c r="E129" s="434">
        <f t="shared" ref="E129:P129" si="49">E549</f>
        <v>56.39</v>
      </c>
      <c r="F129" s="434">
        <f t="shared" si="49"/>
        <v>49.98</v>
      </c>
      <c r="G129" s="434">
        <f t="shared" si="49"/>
        <v>24.68</v>
      </c>
      <c r="H129" s="434">
        <f t="shared" si="49"/>
        <v>12.81</v>
      </c>
      <c r="I129" s="434">
        <f t="shared" si="49"/>
        <v>5.32</v>
      </c>
      <c r="J129" s="434">
        <f t="shared" si="49"/>
        <v>1.02</v>
      </c>
      <c r="K129" s="434">
        <f t="shared" si="49"/>
        <v>1.1200000000000001</v>
      </c>
      <c r="L129" s="434">
        <f t="shared" si="49"/>
        <v>1.19</v>
      </c>
      <c r="M129" s="434">
        <f t="shared" si="49"/>
        <v>1.33</v>
      </c>
      <c r="N129" s="434">
        <f t="shared" si="49"/>
        <v>6.65</v>
      </c>
      <c r="O129" s="434">
        <f t="shared" si="49"/>
        <v>18.100000000000001</v>
      </c>
      <c r="P129" s="434">
        <f t="shared" si="49"/>
        <v>33.25</v>
      </c>
      <c r="Q129" s="434">
        <f>SUM(E129:P129)</f>
        <v>211.84000000000003</v>
      </c>
    </row>
    <row r="130" spans="1:17" x14ac:dyDescent="0.2">
      <c r="A130" s="263">
        <f>A129+1</f>
        <v>6</v>
      </c>
      <c r="C130" s="451" t="s">
        <v>222</v>
      </c>
      <c r="E130" s="434">
        <f t="shared" ref="E130:P130" si="50">E551</f>
        <v>0</v>
      </c>
      <c r="F130" s="434">
        <f t="shared" si="50"/>
        <v>0</v>
      </c>
      <c r="G130" s="434">
        <f t="shared" si="50"/>
        <v>0</v>
      </c>
      <c r="H130" s="434">
        <f t="shared" si="50"/>
        <v>0</v>
      </c>
      <c r="I130" s="434">
        <f t="shared" si="50"/>
        <v>0</v>
      </c>
      <c r="J130" s="434">
        <f t="shared" si="50"/>
        <v>0</v>
      </c>
      <c r="K130" s="434">
        <f t="shared" si="50"/>
        <v>0</v>
      </c>
      <c r="L130" s="434">
        <f t="shared" si="50"/>
        <v>0</v>
      </c>
      <c r="M130" s="434">
        <f t="shared" si="50"/>
        <v>0</v>
      </c>
      <c r="N130" s="434">
        <f t="shared" si="50"/>
        <v>0</v>
      </c>
      <c r="O130" s="434">
        <f t="shared" si="50"/>
        <v>0</v>
      </c>
      <c r="P130" s="434">
        <f t="shared" si="50"/>
        <v>0</v>
      </c>
      <c r="Q130" s="434">
        <f>SUM(E130:P130)</f>
        <v>0</v>
      </c>
    </row>
    <row r="131" spans="1:17" x14ac:dyDescent="0.2">
      <c r="A131" s="720">
        <f>A130+1</f>
        <v>7</v>
      </c>
      <c r="B131" s="454"/>
      <c r="C131" s="455" t="s">
        <v>577</v>
      </c>
      <c r="D131" s="456"/>
      <c r="E131" s="457">
        <f t="shared" ref="E131:P131" si="51">E553</f>
        <v>56.39</v>
      </c>
      <c r="F131" s="457">
        <f t="shared" si="51"/>
        <v>49.98</v>
      </c>
      <c r="G131" s="457">
        <f t="shared" si="51"/>
        <v>24.68</v>
      </c>
      <c r="H131" s="457">
        <f t="shared" si="51"/>
        <v>12.81</v>
      </c>
      <c r="I131" s="457">
        <f t="shared" si="51"/>
        <v>5.32</v>
      </c>
      <c r="J131" s="457">
        <f t="shared" si="51"/>
        <v>1.02</v>
      </c>
      <c r="K131" s="457">
        <f t="shared" si="51"/>
        <v>1.1200000000000001</v>
      </c>
      <c r="L131" s="457">
        <f t="shared" si="51"/>
        <v>1.19</v>
      </c>
      <c r="M131" s="457">
        <f t="shared" si="51"/>
        <v>1.33</v>
      </c>
      <c r="N131" s="457">
        <f t="shared" si="51"/>
        <v>6.65</v>
      </c>
      <c r="O131" s="457">
        <f t="shared" si="51"/>
        <v>18.100000000000001</v>
      </c>
      <c r="P131" s="457">
        <f t="shared" si="51"/>
        <v>33.25</v>
      </c>
      <c r="Q131" s="457">
        <f>SUM(E131:P131)</f>
        <v>211.84000000000003</v>
      </c>
    </row>
    <row r="132" spans="1:17" x14ac:dyDescent="0.2">
      <c r="C132" s="462"/>
      <c r="G132" s="294"/>
      <c r="Q132" s="294"/>
    </row>
    <row r="133" spans="1:17" x14ac:dyDescent="0.2">
      <c r="A133" s="263">
        <f>A131+1</f>
        <v>8</v>
      </c>
      <c r="B133" s="221" t="str">
        <f>Input!A27</f>
        <v>LG2</v>
      </c>
      <c r="C133" s="221" t="str">
        <f>'Sch M 2.1'!B26</f>
        <v>LG&amp;E Commercial</v>
      </c>
      <c r="G133" s="294"/>
      <c r="Q133" s="294"/>
    </row>
    <row r="134" spans="1:17" x14ac:dyDescent="0.2">
      <c r="A134" s="263">
        <f>A133+1</f>
        <v>9</v>
      </c>
      <c r="C134" s="451" t="s">
        <v>219</v>
      </c>
      <c r="E134" s="242">
        <f t="shared" ref="E134:P134" si="52">E560</f>
        <v>1</v>
      </c>
      <c r="F134" s="242">
        <f t="shared" si="52"/>
        <v>1</v>
      </c>
      <c r="G134" s="242">
        <f t="shared" si="52"/>
        <v>1</v>
      </c>
      <c r="H134" s="242">
        <f t="shared" si="52"/>
        <v>1</v>
      </c>
      <c r="I134" s="242">
        <f t="shared" si="52"/>
        <v>1</v>
      </c>
      <c r="J134" s="242">
        <f t="shared" si="52"/>
        <v>1</v>
      </c>
      <c r="K134" s="242">
        <f t="shared" si="52"/>
        <v>1</v>
      </c>
      <c r="L134" s="242">
        <f t="shared" si="52"/>
        <v>1</v>
      </c>
      <c r="M134" s="242">
        <f t="shared" si="52"/>
        <v>1</v>
      </c>
      <c r="N134" s="242">
        <f t="shared" si="52"/>
        <v>1</v>
      </c>
      <c r="O134" s="242">
        <f t="shared" si="52"/>
        <v>1</v>
      </c>
      <c r="P134" s="242">
        <f t="shared" si="52"/>
        <v>1</v>
      </c>
      <c r="Q134" s="242">
        <f>SUM(E134:P134)</f>
        <v>12</v>
      </c>
    </row>
    <row r="135" spans="1:17" x14ac:dyDescent="0.2">
      <c r="A135" s="263">
        <f>A134+1</f>
        <v>10</v>
      </c>
      <c r="C135" s="451" t="s">
        <v>576</v>
      </c>
      <c r="E135" s="247">
        <f t="shared" ref="E135:P135" si="53">E563</f>
        <v>191.8</v>
      </c>
      <c r="F135" s="247">
        <f t="shared" si="53"/>
        <v>167.7</v>
      </c>
      <c r="G135" s="247">
        <f t="shared" si="53"/>
        <v>88.3</v>
      </c>
      <c r="H135" s="247">
        <f t="shared" si="53"/>
        <v>54</v>
      </c>
      <c r="I135" s="247">
        <f t="shared" si="53"/>
        <v>20.2</v>
      </c>
      <c r="J135" s="247">
        <f t="shared" si="53"/>
        <v>7.6</v>
      </c>
      <c r="K135" s="247">
        <f t="shared" si="53"/>
        <v>7.9</v>
      </c>
      <c r="L135" s="247">
        <f t="shared" si="53"/>
        <v>6.8</v>
      </c>
      <c r="M135" s="247">
        <f t="shared" si="53"/>
        <v>6.6</v>
      </c>
      <c r="N135" s="247">
        <f t="shared" si="53"/>
        <v>14.8</v>
      </c>
      <c r="O135" s="247">
        <f t="shared" si="53"/>
        <v>41.5</v>
      </c>
      <c r="P135" s="247">
        <f t="shared" si="53"/>
        <v>103.7</v>
      </c>
      <c r="Q135" s="247">
        <f>SUM(E135:P135)</f>
        <v>710.9</v>
      </c>
    </row>
    <row r="136" spans="1:17" x14ac:dyDescent="0.2">
      <c r="A136" s="263">
        <f>A135+1</f>
        <v>11</v>
      </c>
      <c r="C136" s="451" t="s">
        <v>221</v>
      </c>
      <c r="E136" s="434">
        <f t="shared" ref="E136:P136" si="54">E566</f>
        <v>67.13</v>
      </c>
      <c r="F136" s="434">
        <f t="shared" si="54"/>
        <v>58.7</v>
      </c>
      <c r="G136" s="434">
        <f t="shared" si="54"/>
        <v>30.91</v>
      </c>
      <c r="H136" s="434">
        <f t="shared" si="54"/>
        <v>18.899999999999999</v>
      </c>
      <c r="I136" s="434">
        <f t="shared" si="54"/>
        <v>7.07</v>
      </c>
      <c r="J136" s="434">
        <f t="shared" si="54"/>
        <v>2.66</v>
      </c>
      <c r="K136" s="434">
        <f t="shared" si="54"/>
        <v>2.77</v>
      </c>
      <c r="L136" s="434">
        <f t="shared" si="54"/>
        <v>2.38</v>
      </c>
      <c r="M136" s="434">
        <f t="shared" si="54"/>
        <v>2.31</v>
      </c>
      <c r="N136" s="434">
        <f t="shared" si="54"/>
        <v>5.18</v>
      </c>
      <c r="O136" s="434">
        <f t="shared" si="54"/>
        <v>14.53</v>
      </c>
      <c r="P136" s="434">
        <f t="shared" si="54"/>
        <v>36.299999999999997</v>
      </c>
      <c r="Q136" s="434">
        <f>SUM(E136:P136)</f>
        <v>248.84000000000003</v>
      </c>
    </row>
    <row r="137" spans="1:17" x14ac:dyDescent="0.2">
      <c r="A137" s="263">
        <f>A136+1</f>
        <v>12</v>
      </c>
      <c r="C137" s="451" t="s">
        <v>222</v>
      </c>
      <c r="E137" s="434">
        <f t="shared" ref="E137:P137" si="55">E568</f>
        <v>0</v>
      </c>
      <c r="F137" s="434">
        <f t="shared" si="55"/>
        <v>0</v>
      </c>
      <c r="G137" s="434">
        <f t="shared" si="55"/>
        <v>0</v>
      </c>
      <c r="H137" s="434">
        <f t="shared" si="55"/>
        <v>0</v>
      </c>
      <c r="I137" s="434">
        <f t="shared" si="55"/>
        <v>0</v>
      </c>
      <c r="J137" s="434">
        <f t="shared" si="55"/>
        <v>0</v>
      </c>
      <c r="K137" s="434">
        <f t="shared" si="55"/>
        <v>0</v>
      </c>
      <c r="L137" s="434">
        <f t="shared" si="55"/>
        <v>0</v>
      </c>
      <c r="M137" s="434">
        <f t="shared" si="55"/>
        <v>0</v>
      </c>
      <c r="N137" s="434">
        <f t="shared" si="55"/>
        <v>0</v>
      </c>
      <c r="O137" s="434">
        <f t="shared" si="55"/>
        <v>0</v>
      </c>
      <c r="P137" s="434">
        <f t="shared" si="55"/>
        <v>0</v>
      </c>
      <c r="Q137" s="434">
        <f>SUM(E137:P137)</f>
        <v>0</v>
      </c>
    </row>
    <row r="138" spans="1:17" x14ac:dyDescent="0.2">
      <c r="A138" s="720">
        <f>A137+1</f>
        <v>13</v>
      </c>
      <c r="B138" s="454"/>
      <c r="C138" s="455" t="s">
        <v>577</v>
      </c>
      <c r="D138" s="456"/>
      <c r="E138" s="457">
        <f t="shared" ref="E138:P138" si="56">E570</f>
        <v>67.13</v>
      </c>
      <c r="F138" s="457">
        <f t="shared" si="56"/>
        <v>58.7</v>
      </c>
      <c r="G138" s="457">
        <f t="shared" si="56"/>
        <v>30.91</v>
      </c>
      <c r="H138" s="457">
        <f t="shared" si="56"/>
        <v>18.899999999999999</v>
      </c>
      <c r="I138" s="457">
        <f t="shared" si="56"/>
        <v>7.07</v>
      </c>
      <c r="J138" s="457">
        <f t="shared" si="56"/>
        <v>2.66</v>
      </c>
      <c r="K138" s="457">
        <f t="shared" si="56"/>
        <v>2.77</v>
      </c>
      <c r="L138" s="457">
        <f t="shared" si="56"/>
        <v>2.38</v>
      </c>
      <c r="M138" s="457">
        <f t="shared" si="56"/>
        <v>2.31</v>
      </c>
      <c r="N138" s="457">
        <f t="shared" si="56"/>
        <v>5.18</v>
      </c>
      <c r="O138" s="457">
        <f t="shared" si="56"/>
        <v>14.53</v>
      </c>
      <c r="P138" s="457">
        <f t="shared" si="56"/>
        <v>36.299999999999997</v>
      </c>
      <c r="Q138" s="457">
        <f>SUM(E138:P138)</f>
        <v>248.84000000000003</v>
      </c>
    </row>
    <row r="139" spans="1:17" x14ac:dyDescent="0.2">
      <c r="A139" s="622"/>
      <c r="B139" s="305"/>
      <c r="C139" s="462"/>
      <c r="D139" s="304"/>
      <c r="E139" s="422"/>
      <c r="F139" s="422"/>
      <c r="G139" s="422"/>
      <c r="H139" s="422"/>
      <c r="I139" s="422"/>
      <c r="J139" s="422"/>
      <c r="K139" s="422"/>
      <c r="L139" s="422"/>
      <c r="M139" s="422"/>
      <c r="N139" s="422"/>
      <c r="O139" s="422"/>
      <c r="P139" s="422"/>
      <c r="Q139" s="422"/>
    </row>
    <row r="140" spans="1:17" x14ac:dyDescent="0.2">
      <c r="A140" s="263">
        <f>A124+1</f>
        <v>2</v>
      </c>
      <c r="B140" s="221" t="str">
        <f>Input!A28</f>
        <v>LG3</v>
      </c>
      <c r="C140" s="221" t="str">
        <f>'Sch M 2.1'!B27</f>
        <v>LG&amp;E Residential</v>
      </c>
      <c r="G140" s="294"/>
      <c r="Q140" s="294"/>
    </row>
    <row r="141" spans="1:17" x14ac:dyDescent="0.2">
      <c r="A141" s="263">
        <f>A140+1</f>
        <v>3</v>
      </c>
      <c r="C141" s="451" t="s">
        <v>219</v>
      </c>
      <c r="E141" s="242">
        <f t="shared" ref="E141:P141" si="57">E593</f>
        <v>1</v>
      </c>
      <c r="F141" s="242">
        <f t="shared" si="57"/>
        <v>1</v>
      </c>
      <c r="G141" s="242">
        <f t="shared" si="57"/>
        <v>1</v>
      </c>
      <c r="H141" s="242">
        <f t="shared" si="57"/>
        <v>1</v>
      </c>
      <c r="I141" s="242">
        <f t="shared" si="57"/>
        <v>1</v>
      </c>
      <c r="J141" s="242">
        <f t="shared" si="57"/>
        <v>1</v>
      </c>
      <c r="K141" s="242">
        <f t="shared" si="57"/>
        <v>1</v>
      </c>
      <c r="L141" s="242">
        <f t="shared" si="57"/>
        <v>1</v>
      </c>
      <c r="M141" s="242">
        <f t="shared" si="57"/>
        <v>1</v>
      </c>
      <c r="N141" s="242">
        <f t="shared" si="57"/>
        <v>1</v>
      </c>
      <c r="O141" s="242">
        <f t="shared" si="57"/>
        <v>1</v>
      </c>
      <c r="P141" s="242">
        <f t="shared" si="57"/>
        <v>1</v>
      </c>
      <c r="Q141" s="242">
        <f>SUM(E141:P141)</f>
        <v>12</v>
      </c>
    </row>
    <row r="142" spans="1:17" x14ac:dyDescent="0.2">
      <c r="A142" s="263">
        <f>A141+1</f>
        <v>4</v>
      </c>
      <c r="C142" s="451" t="s">
        <v>576</v>
      </c>
      <c r="E142" s="247">
        <f t="shared" ref="E142:P142" si="58">E599</f>
        <v>91.8</v>
      </c>
      <c r="F142" s="247">
        <f t="shared" si="58"/>
        <v>73.400000000000006</v>
      </c>
      <c r="G142" s="247">
        <f t="shared" si="58"/>
        <v>45.4</v>
      </c>
      <c r="H142" s="247">
        <f t="shared" si="58"/>
        <v>104.5</v>
      </c>
      <c r="I142" s="247">
        <f t="shared" si="58"/>
        <v>67.400000000000006</v>
      </c>
      <c r="J142" s="247">
        <f t="shared" si="58"/>
        <v>26.5</v>
      </c>
      <c r="K142" s="247">
        <f t="shared" si="58"/>
        <v>26.2</v>
      </c>
      <c r="L142" s="247">
        <f t="shared" si="58"/>
        <v>11.8</v>
      </c>
      <c r="M142" s="247">
        <f t="shared" si="58"/>
        <v>26.2</v>
      </c>
      <c r="N142" s="247">
        <f t="shared" si="58"/>
        <v>75.900000000000006</v>
      </c>
      <c r="O142" s="247">
        <f t="shared" si="58"/>
        <v>105.5</v>
      </c>
      <c r="P142" s="247">
        <f t="shared" si="58"/>
        <v>59.5</v>
      </c>
      <c r="Q142" s="247">
        <f>SUM(E142:P142)</f>
        <v>714.1</v>
      </c>
    </row>
    <row r="143" spans="1:17" x14ac:dyDescent="0.2">
      <c r="A143" s="263">
        <f>A142+1</f>
        <v>5</v>
      </c>
      <c r="C143" s="451" t="s">
        <v>221</v>
      </c>
      <c r="E143" s="434">
        <f t="shared" ref="E143:P143" si="59">E605</f>
        <v>32.630000000000003</v>
      </c>
      <c r="F143" s="434">
        <f t="shared" si="59"/>
        <v>26.189999999999998</v>
      </c>
      <c r="G143" s="434">
        <f t="shared" si="59"/>
        <v>16.39</v>
      </c>
      <c r="H143" s="434">
        <f t="shared" si="59"/>
        <v>37.080000000000005</v>
      </c>
      <c r="I143" s="434">
        <f t="shared" si="59"/>
        <v>24.09</v>
      </c>
      <c r="J143" s="434">
        <f t="shared" si="59"/>
        <v>9.6399999999999988</v>
      </c>
      <c r="K143" s="434">
        <f t="shared" si="59"/>
        <v>9.67</v>
      </c>
      <c r="L143" s="434">
        <f t="shared" si="59"/>
        <v>4.63</v>
      </c>
      <c r="M143" s="434">
        <f t="shared" si="59"/>
        <v>9.67</v>
      </c>
      <c r="N143" s="434">
        <f t="shared" si="59"/>
        <v>27.07</v>
      </c>
      <c r="O143" s="434">
        <f t="shared" si="59"/>
        <v>37.43</v>
      </c>
      <c r="P143" s="434">
        <f t="shared" si="59"/>
        <v>21.33</v>
      </c>
      <c r="Q143" s="434">
        <f>SUM(E143:P143)</f>
        <v>255.82</v>
      </c>
    </row>
    <row r="144" spans="1:17" x14ac:dyDescent="0.2">
      <c r="A144" s="263">
        <f>A143+1</f>
        <v>6</v>
      </c>
      <c r="C144" s="451" t="s">
        <v>222</v>
      </c>
      <c r="E144" s="434">
        <f t="shared" ref="E144:P144" si="60">E607</f>
        <v>0</v>
      </c>
      <c r="F144" s="434">
        <f t="shared" si="60"/>
        <v>0</v>
      </c>
      <c r="G144" s="434">
        <f t="shared" si="60"/>
        <v>0</v>
      </c>
      <c r="H144" s="434">
        <f t="shared" si="60"/>
        <v>0</v>
      </c>
      <c r="I144" s="434">
        <f t="shared" si="60"/>
        <v>0</v>
      </c>
      <c r="J144" s="434">
        <f t="shared" si="60"/>
        <v>0</v>
      </c>
      <c r="K144" s="434">
        <f t="shared" si="60"/>
        <v>0</v>
      </c>
      <c r="L144" s="434">
        <f t="shared" si="60"/>
        <v>0</v>
      </c>
      <c r="M144" s="434">
        <f t="shared" si="60"/>
        <v>0</v>
      </c>
      <c r="N144" s="434">
        <f t="shared" si="60"/>
        <v>0</v>
      </c>
      <c r="O144" s="434">
        <f t="shared" si="60"/>
        <v>0</v>
      </c>
      <c r="P144" s="434">
        <f t="shared" si="60"/>
        <v>0</v>
      </c>
      <c r="Q144" s="434">
        <f>SUM(E144:P144)</f>
        <v>0</v>
      </c>
    </row>
    <row r="145" spans="1:17" x14ac:dyDescent="0.2">
      <c r="A145" s="720">
        <f>A144+1</f>
        <v>7</v>
      </c>
      <c r="B145" s="454"/>
      <c r="C145" s="455" t="s">
        <v>577</v>
      </c>
      <c r="D145" s="456"/>
      <c r="E145" s="457">
        <f t="shared" ref="E145:P145" si="61">E609</f>
        <v>32.630000000000003</v>
      </c>
      <c r="F145" s="457">
        <f t="shared" si="61"/>
        <v>26.189999999999998</v>
      </c>
      <c r="G145" s="457">
        <f t="shared" si="61"/>
        <v>16.39</v>
      </c>
      <c r="H145" s="457">
        <f t="shared" si="61"/>
        <v>37.080000000000005</v>
      </c>
      <c r="I145" s="457">
        <f t="shared" si="61"/>
        <v>24.09</v>
      </c>
      <c r="J145" s="457">
        <f t="shared" si="61"/>
        <v>9.6399999999999988</v>
      </c>
      <c r="K145" s="457">
        <f t="shared" si="61"/>
        <v>9.67</v>
      </c>
      <c r="L145" s="457">
        <f t="shared" si="61"/>
        <v>4.63</v>
      </c>
      <c r="M145" s="457">
        <f t="shared" si="61"/>
        <v>9.67</v>
      </c>
      <c r="N145" s="457">
        <f t="shared" si="61"/>
        <v>27.07</v>
      </c>
      <c r="O145" s="457">
        <f t="shared" si="61"/>
        <v>37.43</v>
      </c>
      <c r="P145" s="457">
        <f t="shared" si="61"/>
        <v>21.33</v>
      </c>
      <c r="Q145" s="457">
        <f>SUM(E145:P145)</f>
        <v>255.82</v>
      </c>
    </row>
    <row r="146" spans="1:17" x14ac:dyDescent="0.2">
      <c r="G146" s="294"/>
      <c r="Q146" s="294"/>
    </row>
    <row r="147" spans="1:17" x14ac:dyDescent="0.2">
      <c r="A147" s="263">
        <f>A145+1</f>
        <v>8</v>
      </c>
      <c r="B147" s="221" t="str">
        <f>Input!A29</f>
        <v>LG4</v>
      </c>
      <c r="C147" s="221" t="str">
        <f>'Sch M 2.1'!B28</f>
        <v>LG&amp;E Residential</v>
      </c>
      <c r="G147" s="294"/>
      <c r="Q147" s="294"/>
    </row>
    <row r="148" spans="1:17" x14ac:dyDescent="0.2">
      <c r="A148" s="263">
        <f>A147+1</f>
        <v>9</v>
      </c>
      <c r="C148" s="451" t="s">
        <v>219</v>
      </c>
      <c r="E148" s="242">
        <f t="shared" ref="E148:P148" si="62">E615</f>
        <v>1</v>
      </c>
      <c r="F148" s="242">
        <f t="shared" si="62"/>
        <v>1</v>
      </c>
      <c r="G148" s="242">
        <f t="shared" si="62"/>
        <v>1</v>
      </c>
      <c r="H148" s="242">
        <f t="shared" si="62"/>
        <v>1</v>
      </c>
      <c r="I148" s="242">
        <f t="shared" si="62"/>
        <v>1</v>
      </c>
      <c r="J148" s="242">
        <f t="shared" si="62"/>
        <v>1</v>
      </c>
      <c r="K148" s="242">
        <f t="shared" si="62"/>
        <v>1</v>
      </c>
      <c r="L148" s="242">
        <f t="shared" si="62"/>
        <v>1</v>
      </c>
      <c r="M148" s="242">
        <f t="shared" si="62"/>
        <v>1</v>
      </c>
      <c r="N148" s="242">
        <f t="shared" si="62"/>
        <v>1</v>
      </c>
      <c r="O148" s="242">
        <f t="shared" si="62"/>
        <v>1</v>
      </c>
      <c r="P148" s="242">
        <f t="shared" si="62"/>
        <v>1</v>
      </c>
      <c r="Q148" s="242">
        <f>SUM(E148:P148)</f>
        <v>12</v>
      </c>
    </row>
    <row r="149" spans="1:17" x14ac:dyDescent="0.2">
      <c r="A149" s="263">
        <f>A148+1</f>
        <v>10</v>
      </c>
      <c r="C149" s="451" t="s">
        <v>576</v>
      </c>
      <c r="E149" s="247">
        <f t="shared" ref="E149:P149" si="63">E618</f>
        <v>49.5</v>
      </c>
      <c r="F149" s="247">
        <f t="shared" si="63"/>
        <v>58.7</v>
      </c>
      <c r="G149" s="247">
        <f t="shared" si="63"/>
        <v>42</v>
      </c>
      <c r="H149" s="247">
        <f t="shared" si="63"/>
        <v>20.7</v>
      </c>
      <c r="I149" s="247">
        <f t="shared" si="63"/>
        <v>11.2</v>
      </c>
      <c r="J149" s="247">
        <f t="shared" si="63"/>
        <v>4</v>
      </c>
      <c r="K149" s="247">
        <f t="shared" si="63"/>
        <v>2.6</v>
      </c>
      <c r="L149" s="247">
        <f t="shared" si="63"/>
        <v>2.8</v>
      </c>
      <c r="M149" s="247">
        <f t="shared" si="63"/>
        <v>3</v>
      </c>
      <c r="N149" s="247">
        <f t="shared" si="63"/>
        <v>3.9</v>
      </c>
      <c r="O149" s="247">
        <f t="shared" si="63"/>
        <v>18.899999999999999</v>
      </c>
      <c r="P149" s="247">
        <f t="shared" si="63"/>
        <v>40.299999999999997</v>
      </c>
      <c r="Q149" s="247">
        <f>SUM(E149:P149)</f>
        <v>257.59999999999997</v>
      </c>
    </row>
    <row r="150" spans="1:17" x14ac:dyDescent="0.2">
      <c r="A150" s="263">
        <f>A149+1</f>
        <v>11</v>
      </c>
      <c r="C150" s="451" t="s">
        <v>221</v>
      </c>
      <c r="E150" s="434">
        <f t="shared" ref="E150:P150" si="64">E621</f>
        <v>19.8</v>
      </c>
      <c r="F150" s="434">
        <f t="shared" si="64"/>
        <v>23.48</v>
      </c>
      <c r="G150" s="434">
        <f t="shared" si="64"/>
        <v>16.8</v>
      </c>
      <c r="H150" s="434">
        <f t="shared" si="64"/>
        <v>8.2799999999999994</v>
      </c>
      <c r="I150" s="434">
        <f t="shared" si="64"/>
        <v>4.4800000000000004</v>
      </c>
      <c r="J150" s="434">
        <f t="shared" si="64"/>
        <v>1.6</v>
      </c>
      <c r="K150" s="434">
        <f t="shared" si="64"/>
        <v>1.04</v>
      </c>
      <c r="L150" s="434">
        <f t="shared" si="64"/>
        <v>1.1200000000000001</v>
      </c>
      <c r="M150" s="434">
        <f t="shared" si="64"/>
        <v>1.2</v>
      </c>
      <c r="N150" s="434">
        <f t="shared" si="64"/>
        <v>1.56</v>
      </c>
      <c r="O150" s="434">
        <f t="shared" si="64"/>
        <v>7.56</v>
      </c>
      <c r="P150" s="434">
        <f t="shared" si="64"/>
        <v>16.12</v>
      </c>
      <c r="Q150" s="434">
        <f>SUM(E150:P150)</f>
        <v>103.04000000000002</v>
      </c>
    </row>
    <row r="151" spans="1:17" x14ac:dyDescent="0.2">
      <c r="A151" s="263">
        <f>A150+1</f>
        <v>12</v>
      </c>
      <c r="C151" s="451" t="s">
        <v>222</v>
      </c>
      <c r="E151" s="434">
        <f t="shared" ref="E151:P151" si="65">E623</f>
        <v>0</v>
      </c>
      <c r="F151" s="434">
        <f t="shared" si="65"/>
        <v>0</v>
      </c>
      <c r="G151" s="434">
        <f t="shared" si="65"/>
        <v>0</v>
      </c>
      <c r="H151" s="434">
        <f t="shared" si="65"/>
        <v>0</v>
      </c>
      <c r="I151" s="434">
        <f t="shared" si="65"/>
        <v>0</v>
      </c>
      <c r="J151" s="434">
        <f t="shared" si="65"/>
        <v>0</v>
      </c>
      <c r="K151" s="434">
        <f t="shared" si="65"/>
        <v>0</v>
      </c>
      <c r="L151" s="434">
        <f t="shared" si="65"/>
        <v>0</v>
      </c>
      <c r="M151" s="434">
        <f t="shared" si="65"/>
        <v>0</v>
      </c>
      <c r="N151" s="434">
        <f t="shared" si="65"/>
        <v>0</v>
      </c>
      <c r="O151" s="434">
        <f t="shared" si="65"/>
        <v>0</v>
      </c>
      <c r="P151" s="434">
        <f t="shared" si="65"/>
        <v>0</v>
      </c>
      <c r="Q151" s="434">
        <f>SUM(E151:P151)</f>
        <v>0</v>
      </c>
    </row>
    <row r="152" spans="1:17" x14ac:dyDescent="0.2">
      <c r="A152" s="720">
        <f>A151+1</f>
        <v>13</v>
      </c>
      <c r="B152" s="454"/>
      <c r="C152" s="455" t="s">
        <v>577</v>
      </c>
      <c r="D152" s="456"/>
      <c r="E152" s="457">
        <f t="shared" ref="E152:P152" si="66">E625</f>
        <v>19.8</v>
      </c>
      <c r="F152" s="457">
        <f t="shared" si="66"/>
        <v>23.48</v>
      </c>
      <c r="G152" s="457">
        <f t="shared" si="66"/>
        <v>16.8</v>
      </c>
      <c r="H152" s="457">
        <f t="shared" si="66"/>
        <v>8.2799999999999994</v>
      </c>
      <c r="I152" s="457">
        <f t="shared" si="66"/>
        <v>4.4800000000000004</v>
      </c>
      <c r="J152" s="457">
        <f t="shared" si="66"/>
        <v>1.6</v>
      </c>
      <c r="K152" s="457">
        <f t="shared" si="66"/>
        <v>1.04</v>
      </c>
      <c r="L152" s="457">
        <f t="shared" si="66"/>
        <v>1.1200000000000001</v>
      </c>
      <c r="M152" s="457">
        <f t="shared" si="66"/>
        <v>1.2</v>
      </c>
      <c r="N152" s="457">
        <f t="shared" si="66"/>
        <v>1.56</v>
      </c>
      <c r="O152" s="457">
        <f t="shared" si="66"/>
        <v>7.56</v>
      </c>
      <c r="P152" s="457">
        <f t="shared" si="66"/>
        <v>16.12</v>
      </c>
      <c r="Q152" s="457">
        <f>SUM(E152:P152)</f>
        <v>103.04000000000002</v>
      </c>
    </row>
    <row r="153" spans="1:17" x14ac:dyDescent="0.2">
      <c r="C153" s="462"/>
      <c r="G153" s="294"/>
      <c r="Q153" s="294"/>
    </row>
    <row r="154" spans="1:17" x14ac:dyDescent="0.2">
      <c r="A154" s="263">
        <f>A152+1</f>
        <v>14</v>
      </c>
      <c r="B154" s="221" t="str">
        <f>Input!A30</f>
        <v>GSO</v>
      </c>
      <c r="C154" s="221" t="str">
        <f>'Sch M 2.1'!B29</f>
        <v>General Service - Commercial</v>
      </c>
      <c r="G154" s="294"/>
      <c r="Q154" s="294"/>
    </row>
    <row r="155" spans="1:17" x14ac:dyDescent="0.2">
      <c r="A155" s="263">
        <f>A154+1</f>
        <v>15</v>
      </c>
      <c r="C155" s="451" t="s">
        <v>219</v>
      </c>
      <c r="E155" s="242">
        <f t="shared" ref="E155:P155" si="67">E648</f>
        <v>10207</v>
      </c>
      <c r="F155" s="242">
        <f t="shared" si="67"/>
        <v>10271</v>
      </c>
      <c r="G155" s="242">
        <f t="shared" si="67"/>
        <v>10035</v>
      </c>
      <c r="H155" s="242">
        <f t="shared" si="67"/>
        <v>10003</v>
      </c>
      <c r="I155" s="242">
        <f t="shared" si="67"/>
        <v>9882</v>
      </c>
      <c r="J155" s="242">
        <f t="shared" si="67"/>
        <v>9780</v>
      </c>
      <c r="K155" s="242">
        <f t="shared" si="67"/>
        <v>9783</v>
      </c>
      <c r="L155" s="242">
        <f t="shared" si="67"/>
        <v>9770</v>
      </c>
      <c r="M155" s="242">
        <f t="shared" si="67"/>
        <v>9739</v>
      </c>
      <c r="N155" s="242">
        <f t="shared" si="67"/>
        <v>9772</v>
      </c>
      <c r="O155" s="242">
        <f t="shared" si="67"/>
        <v>9915</v>
      </c>
      <c r="P155" s="242">
        <f t="shared" si="67"/>
        <v>10076</v>
      </c>
      <c r="Q155" s="242">
        <f>SUM(E155:P155)</f>
        <v>119233</v>
      </c>
    </row>
    <row r="156" spans="1:17" x14ac:dyDescent="0.2">
      <c r="A156" s="263">
        <f>A155+1</f>
        <v>16</v>
      </c>
      <c r="C156" s="451" t="s">
        <v>576</v>
      </c>
      <c r="E156" s="247">
        <f t="shared" ref="E156:P156" si="68">E657</f>
        <v>660740</v>
      </c>
      <c r="F156" s="247">
        <f t="shared" si="68"/>
        <v>655060.9</v>
      </c>
      <c r="G156" s="247">
        <f t="shared" si="68"/>
        <v>456847.5</v>
      </c>
      <c r="H156" s="247">
        <f t="shared" si="68"/>
        <v>277301.89999999997</v>
      </c>
      <c r="I156" s="247">
        <f t="shared" si="68"/>
        <v>134480.19999999998</v>
      </c>
      <c r="J156" s="247">
        <f t="shared" si="68"/>
        <v>80718.299999999988</v>
      </c>
      <c r="K156" s="247">
        <f t="shared" si="68"/>
        <v>56728.5</v>
      </c>
      <c r="L156" s="247">
        <f t="shared" si="68"/>
        <v>52785.7</v>
      </c>
      <c r="M156" s="247">
        <f t="shared" si="68"/>
        <v>51801.2</v>
      </c>
      <c r="N156" s="247">
        <f t="shared" si="68"/>
        <v>77144.100000000006</v>
      </c>
      <c r="O156" s="247">
        <f t="shared" si="68"/>
        <v>171035.9</v>
      </c>
      <c r="P156" s="247">
        <f t="shared" si="68"/>
        <v>423570.9</v>
      </c>
      <c r="Q156" s="247">
        <f>SUM(E156:P156)</f>
        <v>3098215.1</v>
      </c>
    </row>
    <row r="157" spans="1:17" x14ac:dyDescent="0.2">
      <c r="A157" s="263">
        <f>A156+1</f>
        <v>17</v>
      </c>
      <c r="C157" s="451" t="s">
        <v>221</v>
      </c>
      <c r="E157" s="434">
        <f>E665+E672</f>
        <v>2500245.7199999997</v>
      </c>
      <c r="F157" s="434">
        <f t="shared" ref="F157:P157" si="69">F665+F672</f>
        <v>2499459.75</v>
      </c>
      <c r="G157" s="434">
        <f t="shared" si="69"/>
        <v>1920848.55</v>
      </c>
      <c r="H157" s="434">
        <f t="shared" si="69"/>
        <v>1375382.1400000001</v>
      </c>
      <c r="I157" s="434">
        <f t="shared" si="69"/>
        <v>926979.36</v>
      </c>
      <c r="J157" s="434">
        <f t="shared" si="69"/>
        <v>755428.14</v>
      </c>
      <c r="K157" s="434">
        <f t="shared" si="69"/>
        <v>682593.82</v>
      </c>
      <c r="L157" s="434">
        <f t="shared" si="69"/>
        <v>669674.99000000011</v>
      </c>
      <c r="M157" s="434">
        <f t="shared" si="69"/>
        <v>665493.79999999993</v>
      </c>
      <c r="N157" s="434">
        <f t="shared" si="69"/>
        <v>746264.51</v>
      </c>
      <c r="O157" s="434">
        <f t="shared" si="69"/>
        <v>1043721.84</v>
      </c>
      <c r="P157" s="434">
        <f t="shared" si="69"/>
        <v>1806654.3900000001</v>
      </c>
      <c r="Q157" s="434">
        <f>SUM(E157:P157)</f>
        <v>15592747.010000002</v>
      </c>
    </row>
    <row r="158" spans="1:17" x14ac:dyDescent="0.2">
      <c r="A158" s="263">
        <f>A157+1</f>
        <v>18</v>
      </c>
      <c r="C158" s="451" t="s">
        <v>222</v>
      </c>
      <c r="E158" s="434">
        <f t="shared" ref="E158:P158" si="70">E667</f>
        <v>1459640.73</v>
      </c>
      <c r="F158" s="434">
        <f t="shared" si="70"/>
        <v>1447095.03</v>
      </c>
      <c r="G158" s="434">
        <f t="shared" si="70"/>
        <v>1009221.81</v>
      </c>
      <c r="H158" s="434">
        <f t="shared" si="70"/>
        <v>612587.63</v>
      </c>
      <c r="I158" s="434">
        <f t="shared" si="70"/>
        <v>297080.21000000002</v>
      </c>
      <c r="J158" s="434">
        <f t="shared" si="70"/>
        <v>178314.8</v>
      </c>
      <c r="K158" s="434">
        <f t="shared" si="70"/>
        <v>125318.93</v>
      </c>
      <c r="L158" s="434">
        <f t="shared" si="70"/>
        <v>116608.89</v>
      </c>
      <c r="M158" s="434">
        <f t="shared" si="70"/>
        <v>114434.03</v>
      </c>
      <c r="N158" s="434">
        <f t="shared" si="70"/>
        <v>170419.03</v>
      </c>
      <c r="O158" s="434">
        <f t="shared" si="70"/>
        <v>377835.41</v>
      </c>
      <c r="P158" s="434">
        <f t="shared" si="70"/>
        <v>935710.48</v>
      </c>
      <c r="Q158" s="434">
        <f>SUM(E158:P158)</f>
        <v>6844266.9800000004</v>
      </c>
    </row>
    <row r="159" spans="1:17" x14ac:dyDescent="0.2">
      <c r="A159" s="720">
        <f>A158+1</f>
        <v>19</v>
      </c>
      <c r="B159" s="454"/>
      <c r="C159" s="455" t="s">
        <v>577</v>
      </c>
      <c r="D159" s="456"/>
      <c r="E159" s="457">
        <f t="shared" ref="E159:P159" si="71">E674</f>
        <v>3959886.4499999997</v>
      </c>
      <c r="F159" s="457">
        <f t="shared" si="71"/>
        <v>3946554.7800000003</v>
      </c>
      <c r="G159" s="457">
        <f t="shared" si="71"/>
        <v>2930070.3600000003</v>
      </c>
      <c r="H159" s="457">
        <f t="shared" si="71"/>
        <v>1987969.77</v>
      </c>
      <c r="I159" s="457">
        <f t="shared" si="71"/>
        <v>1224059.57</v>
      </c>
      <c r="J159" s="457">
        <f t="shared" si="71"/>
        <v>933742.94000000006</v>
      </c>
      <c r="K159" s="457">
        <f t="shared" si="71"/>
        <v>807912.75</v>
      </c>
      <c r="L159" s="457">
        <f t="shared" si="71"/>
        <v>786283.88000000012</v>
      </c>
      <c r="M159" s="457">
        <f t="shared" si="71"/>
        <v>779927.83</v>
      </c>
      <c r="N159" s="457">
        <f t="shared" si="71"/>
        <v>916683.54</v>
      </c>
      <c r="O159" s="457">
        <f t="shared" si="71"/>
        <v>1421557.2499999998</v>
      </c>
      <c r="P159" s="457">
        <f t="shared" si="71"/>
        <v>2742364.87</v>
      </c>
      <c r="Q159" s="457">
        <f>SUM(E159:P159)</f>
        <v>22437013.989999998</v>
      </c>
    </row>
    <row r="160" spans="1:17" x14ac:dyDescent="0.2">
      <c r="G160" s="294"/>
      <c r="Q160" s="294"/>
    </row>
    <row r="161" spans="1:17" x14ac:dyDescent="0.2">
      <c r="A161" s="221"/>
      <c r="D161" s="221"/>
      <c r="F161" s="221"/>
      <c r="G161" s="221"/>
      <c r="H161" s="221"/>
      <c r="I161" s="221"/>
      <c r="J161" s="221"/>
      <c r="K161" s="221"/>
      <c r="L161" s="221"/>
      <c r="M161" s="221"/>
      <c r="N161" s="221"/>
      <c r="O161" s="221"/>
      <c r="P161" s="221"/>
    </row>
    <row r="162" spans="1:17" x14ac:dyDescent="0.2">
      <c r="A162" s="629" t="str">
        <f>$A$107</f>
        <v>[1] Reflects Normalized Volumes.</v>
      </c>
      <c r="D162" s="221"/>
      <c r="F162" s="221"/>
      <c r="G162" s="221"/>
      <c r="H162" s="221"/>
      <c r="I162" s="221"/>
      <c r="J162" s="221"/>
      <c r="K162" s="221"/>
      <c r="L162" s="221"/>
      <c r="M162" s="221"/>
      <c r="N162" s="221"/>
      <c r="O162" s="221"/>
      <c r="P162" s="221"/>
    </row>
    <row r="163" spans="1:17" x14ac:dyDescent="0.2">
      <c r="A163" s="629" t="str">
        <f>$A$108</f>
        <v>[2] See Schedule M-2.2 Pages 8 through 21 for detail.</v>
      </c>
      <c r="D163" s="221"/>
      <c r="F163" s="221"/>
      <c r="G163" s="221"/>
      <c r="H163" s="221"/>
      <c r="I163" s="221"/>
      <c r="J163" s="221"/>
      <c r="K163" s="221"/>
      <c r="L163" s="221"/>
      <c r="M163" s="221"/>
      <c r="N163" s="221"/>
      <c r="O163" s="221"/>
      <c r="P163" s="221"/>
    </row>
    <row r="164" spans="1:17" x14ac:dyDescent="0.2">
      <c r="A164" s="887" t="str">
        <f>CONAME</f>
        <v>Columbia Gas of Kentucky, Inc.</v>
      </c>
      <c r="B164" s="887"/>
      <c r="C164" s="887"/>
      <c r="D164" s="887"/>
      <c r="E164" s="887"/>
      <c r="F164" s="887"/>
      <c r="G164" s="887"/>
      <c r="H164" s="887"/>
      <c r="I164" s="887"/>
      <c r="J164" s="887"/>
      <c r="K164" s="887"/>
      <c r="L164" s="887"/>
      <c r="M164" s="887"/>
      <c r="N164" s="887"/>
      <c r="O164" s="887"/>
      <c r="P164" s="887"/>
      <c r="Q164" s="887"/>
    </row>
    <row r="165" spans="1:17" x14ac:dyDescent="0.2">
      <c r="A165" s="875" t="str">
        <f>case</f>
        <v>Case No. 2016-00162</v>
      </c>
      <c r="B165" s="875"/>
      <c r="C165" s="875"/>
      <c r="D165" s="875"/>
      <c r="E165" s="875"/>
      <c r="F165" s="875"/>
      <c r="G165" s="875"/>
      <c r="H165" s="875"/>
      <c r="I165" s="875"/>
      <c r="J165" s="875"/>
      <c r="K165" s="875"/>
      <c r="L165" s="875"/>
      <c r="M165" s="875"/>
      <c r="N165" s="875"/>
      <c r="O165" s="875"/>
      <c r="P165" s="875"/>
      <c r="Q165" s="875"/>
    </row>
    <row r="166" spans="1:17" x14ac:dyDescent="0.2">
      <c r="A166" s="888" t="s">
        <v>200</v>
      </c>
      <c r="B166" s="888"/>
      <c r="C166" s="888"/>
      <c r="D166" s="888"/>
      <c r="E166" s="888"/>
      <c r="F166" s="888"/>
      <c r="G166" s="888"/>
      <c r="H166" s="888"/>
      <c r="I166" s="888"/>
      <c r="J166" s="888"/>
      <c r="K166" s="888"/>
      <c r="L166" s="888"/>
      <c r="M166" s="888"/>
      <c r="N166" s="888"/>
      <c r="O166" s="888"/>
      <c r="P166" s="888"/>
      <c r="Q166" s="888"/>
    </row>
    <row r="167" spans="1:17" x14ac:dyDescent="0.2">
      <c r="A167" s="887" t="str">
        <f>TYDESC</f>
        <v>For the 12 Months Ended December 31, 2017</v>
      </c>
      <c r="B167" s="887"/>
      <c r="C167" s="887"/>
      <c r="D167" s="887"/>
      <c r="E167" s="887"/>
      <c r="F167" s="887"/>
      <c r="G167" s="887"/>
      <c r="H167" s="887"/>
      <c r="I167" s="887"/>
      <c r="J167" s="887"/>
      <c r="K167" s="887"/>
      <c r="L167" s="887"/>
      <c r="M167" s="887"/>
      <c r="N167" s="887"/>
      <c r="O167" s="887"/>
      <c r="P167" s="887"/>
      <c r="Q167" s="887"/>
    </row>
    <row r="168" spans="1:17" x14ac:dyDescent="0.2">
      <c r="A168" s="885" t="s">
        <v>39</v>
      </c>
      <c r="B168" s="885"/>
      <c r="C168" s="885"/>
      <c r="D168" s="885"/>
      <c r="E168" s="885"/>
      <c r="F168" s="885"/>
      <c r="G168" s="885"/>
      <c r="H168" s="885"/>
      <c r="I168" s="885"/>
      <c r="J168" s="885"/>
      <c r="K168" s="885"/>
      <c r="L168" s="885"/>
      <c r="M168" s="885"/>
      <c r="N168" s="885"/>
      <c r="O168" s="885"/>
      <c r="P168" s="885"/>
      <c r="Q168" s="885"/>
    </row>
    <row r="169" spans="1:17" x14ac:dyDescent="0.2">
      <c r="A169" s="718" t="str">
        <f>$A$52</f>
        <v>Data: __ Base Period _X_ Forecasted Period</v>
      </c>
    </row>
    <row r="170" spans="1:17" x14ac:dyDescent="0.2">
      <c r="A170" s="718" t="str">
        <f>$A$53</f>
        <v>Type of Filing: X Original _ Update _ Revised</v>
      </c>
      <c r="Q170" s="420" t="str">
        <f>$Q$53</f>
        <v>Schedule M-2.3</v>
      </c>
    </row>
    <row r="171" spans="1:17" x14ac:dyDescent="0.2">
      <c r="A171" s="718" t="str">
        <f>$A$54</f>
        <v>Work Paper Reference No(s):</v>
      </c>
      <c r="Q171" s="420" t="s">
        <v>525</v>
      </c>
    </row>
    <row r="172" spans="1:17" x14ac:dyDescent="0.2">
      <c r="A172" s="719" t="str">
        <f>$A$55</f>
        <v>12 Months Forecasted</v>
      </c>
      <c r="Q172" s="420" t="str">
        <f>Witness</f>
        <v>Witness:  M. J. Bell</v>
      </c>
    </row>
    <row r="173" spans="1:17" x14ac:dyDescent="0.2">
      <c r="A173" s="886" t="s">
        <v>294</v>
      </c>
      <c r="B173" s="886"/>
      <c r="C173" s="886"/>
      <c r="D173" s="886"/>
      <c r="E173" s="886"/>
      <c r="F173" s="886"/>
      <c r="G173" s="886"/>
      <c r="H173" s="886"/>
      <c r="I173" s="886"/>
      <c r="J173" s="886"/>
      <c r="K173" s="886"/>
      <c r="L173" s="886"/>
      <c r="M173" s="886"/>
      <c r="N173" s="886"/>
      <c r="O173" s="886"/>
      <c r="P173" s="886"/>
      <c r="Q173" s="886"/>
    </row>
    <row r="174" spans="1:17" x14ac:dyDescent="0.2">
      <c r="C174" s="462"/>
      <c r="G174" s="294"/>
      <c r="Q174" s="294"/>
    </row>
    <row r="175" spans="1:17" x14ac:dyDescent="0.2">
      <c r="A175" s="416" t="s">
        <v>1</v>
      </c>
      <c r="B175" s="226" t="s">
        <v>0</v>
      </c>
      <c r="C175" s="226" t="s">
        <v>41</v>
      </c>
      <c r="D175" s="423" t="s">
        <v>30</v>
      </c>
      <c r="E175" s="424"/>
      <c r="F175" s="425"/>
      <c r="G175" s="424"/>
      <c r="H175" s="426"/>
      <c r="I175" s="424"/>
      <c r="J175" s="424"/>
      <c r="K175" s="424"/>
      <c r="L175" s="424"/>
      <c r="M175" s="424"/>
      <c r="N175" s="424"/>
      <c r="O175" s="231"/>
      <c r="P175" s="231"/>
      <c r="Q175" s="231"/>
    </row>
    <row r="176" spans="1:17" x14ac:dyDescent="0.2">
      <c r="A176" s="285" t="s">
        <v>3</v>
      </c>
      <c r="B176" s="228" t="s">
        <v>40</v>
      </c>
      <c r="C176" s="228" t="s">
        <v>4</v>
      </c>
      <c r="D176" s="427" t="s">
        <v>48</v>
      </c>
      <c r="E176" s="428" t="str">
        <f>B!$D$11</f>
        <v>Jan-17</v>
      </c>
      <c r="F176" s="428" t="str">
        <f>B!$E$11</f>
        <v>Feb-17</v>
      </c>
      <c r="G176" s="428" t="str">
        <f>B!$F$11</f>
        <v>Mar-17</v>
      </c>
      <c r="H176" s="428" t="str">
        <f>B!$G$11</f>
        <v>Apr-17</v>
      </c>
      <c r="I176" s="428" t="str">
        <f>B!$H$11</f>
        <v>May-17</v>
      </c>
      <c r="J176" s="428" t="str">
        <f>B!$I$11</f>
        <v>Jun-17</v>
      </c>
      <c r="K176" s="428" t="str">
        <f>B!$J$11</f>
        <v>Jul-17</v>
      </c>
      <c r="L176" s="428" t="str">
        <f>B!$K$11</f>
        <v>Aug-17</v>
      </c>
      <c r="M176" s="428" t="str">
        <f>B!$L$11</f>
        <v>Sep-17</v>
      </c>
      <c r="N176" s="428" t="str">
        <f>B!$M$11</f>
        <v>Oct-17</v>
      </c>
      <c r="O176" s="428" t="str">
        <f>B!$N$11</f>
        <v>Nov-17</v>
      </c>
      <c r="P176" s="428" t="str">
        <f>B!$O$11</f>
        <v>Dec-17</v>
      </c>
      <c r="Q176" s="429" t="s">
        <v>9</v>
      </c>
    </row>
    <row r="177" spans="1:17" x14ac:dyDescent="0.2">
      <c r="A177" s="416"/>
      <c r="B177" s="231" t="s">
        <v>42</v>
      </c>
      <c r="C177" s="231" t="s">
        <v>43</v>
      </c>
      <c r="D177" s="430" t="s">
        <v>45</v>
      </c>
      <c r="E177" s="431" t="s">
        <v>46</v>
      </c>
      <c r="F177" s="431" t="s">
        <v>49</v>
      </c>
      <c r="G177" s="431" t="s">
        <v>50</v>
      </c>
      <c r="H177" s="431" t="s">
        <v>51</v>
      </c>
      <c r="I177" s="431" t="s">
        <v>52</v>
      </c>
      <c r="J177" s="432" t="s">
        <v>53</v>
      </c>
      <c r="K177" s="432" t="s">
        <v>54</v>
      </c>
      <c r="L177" s="432" t="s">
        <v>55</v>
      </c>
      <c r="M177" s="432" t="s">
        <v>56</v>
      </c>
      <c r="N177" s="432" t="s">
        <v>57</v>
      </c>
      <c r="O177" s="432" t="s">
        <v>58</v>
      </c>
      <c r="P177" s="432" t="s">
        <v>59</v>
      </c>
      <c r="Q177" s="432" t="s">
        <v>203</v>
      </c>
    </row>
    <row r="178" spans="1:17" x14ac:dyDescent="0.2">
      <c r="G178" s="294"/>
      <c r="Q178" s="294"/>
    </row>
    <row r="179" spans="1:17" x14ac:dyDescent="0.2">
      <c r="A179" s="263">
        <v>1</v>
      </c>
      <c r="C179" s="445" t="s">
        <v>94</v>
      </c>
      <c r="G179" s="294"/>
      <c r="Q179" s="294"/>
    </row>
    <row r="180" spans="1:17" x14ac:dyDescent="0.2">
      <c r="C180" s="445"/>
      <c r="G180" s="294"/>
      <c r="Q180" s="294"/>
    </row>
    <row r="181" spans="1:17" x14ac:dyDescent="0.2">
      <c r="A181" s="263">
        <f>A179+1</f>
        <v>2</v>
      </c>
      <c r="B181" s="221" t="str">
        <f>Input!A31</f>
        <v>GSO</v>
      </c>
      <c r="C181" s="221" t="str">
        <f>'Sch M 2.1'!B30</f>
        <v>General Service - Industrial</v>
      </c>
      <c r="G181" s="294"/>
      <c r="Q181" s="294"/>
    </row>
    <row r="182" spans="1:17" x14ac:dyDescent="0.2">
      <c r="A182" s="263">
        <f>A181+1</f>
        <v>3</v>
      </c>
      <c r="C182" s="451" t="s">
        <v>219</v>
      </c>
      <c r="E182" s="242">
        <f t="shared" ref="E182:P182" si="72">E699</f>
        <v>43</v>
      </c>
      <c r="F182" s="242">
        <f t="shared" si="72"/>
        <v>43</v>
      </c>
      <c r="G182" s="242">
        <f t="shared" si="72"/>
        <v>43</v>
      </c>
      <c r="H182" s="242">
        <f t="shared" si="72"/>
        <v>43</v>
      </c>
      <c r="I182" s="242">
        <f t="shared" si="72"/>
        <v>43</v>
      </c>
      <c r="J182" s="242">
        <f t="shared" si="72"/>
        <v>44</v>
      </c>
      <c r="K182" s="242">
        <f t="shared" si="72"/>
        <v>44</v>
      </c>
      <c r="L182" s="242">
        <f t="shared" si="72"/>
        <v>45</v>
      </c>
      <c r="M182" s="242">
        <f t="shared" si="72"/>
        <v>44</v>
      </c>
      <c r="N182" s="242">
        <f t="shared" si="72"/>
        <v>44</v>
      </c>
      <c r="O182" s="242">
        <f t="shared" si="72"/>
        <v>44</v>
      </c>
      <c r="P182" s="242">
        <f t="shared" si="72"/>
        <v>44</v>
      </c>
      <c r="Q182" s="242">
        <f>SUM(E182:P182)</f>
        <v>524</v>
      </c>
    </row>
    <row r="183" spans="1:17" x14ac:dyDescent="0.2">
      <c r="A183" s="263">
        <f>A182+1</f>
        <v>4</v>
      </c>
      <c r="C183" s="451" t="s">
        <v>576</v>
      </c>
      <c r="E183" s="247">
        <f t="shared" ref="E183:P183" si="73">E708</f>
        <v>33000.199999999997</v>
      </c>
      <c r="F183" s="247">
        <f t="shared" si="73"/>
        <v>31999.9</v>
      </c>
      <c r="G183" s="247">
        <f t="shared" si="73"/>
        <v>30900</v>
      </c>
      <c r="H183" s="247">
        <f t="shared" si="73"/>
        <v>29799.9</v>
      </c>
      <c r="I183" s="247">
        <f t="shared" si="73"/>
        <v>28800.3</v>
      </c>
      <c r="J183" s="247">
        <f t="shared" si="73"/>
        <v>27749.9</v>
      </c>
      <c r="K183" s="247">
        <f t="shared" si="73"/>
        <v>27749.9</v>
      </c>
      <c r="L183" s="247">
        <f t="shared" si="73"/>
        <v>28750.199999999997</v>
      </c>
      <c r="M183" s="247">
        <f t="shared" si="73"/>
        <v>28750.199999999997</v>
      </c>
      <c r="N183" s="247">
        <f t="shared" si="73"/>
        <v>30849.9</v>
      </c>
      <c r="O183" s="247">
        <f t="shared" si="73"/>
        <v>30900</v>
      </c>
      <c r="P183" s="247">
        <f t="shared" si="73"/>
        <v>31000.1</v>
      </c>
      <c r="Q183" s="247">
        <f>SUM(E183:P183)</f>
        <v>360250.5</v>
      </c>
    </row>
    <row r="184" spans="1:17" x14ac:dyDescent="0.2">
      <c r="A184" s="263">
        <f>A183+1</f>
        <v>5</v>
      </c>
      <c r="C184" s="451" t="s">
        <v>221</v>
      </c>
      <c r="E184" s="434">
        <f t="shared" ref="E184:P184" si="74">E716+E723</f>
        <v>85390.499999999985</v>
      </c>
      <c r="F184" s="434">
        <f t="shared" si="74"/>
        <v>82621.06</v>
      </c>
      <c r="G184" s="434">
        <f t="shared" si="74"/>
        <v>80146.899999999994</v>
      </c>
      <c r="H184" s="434">
        <f t="shared" si="74"/>
        <v>77226.540000000008</v>
      </c>
      <c r="I184" s="434">
        <f t="shared" si="74"/>
        <v>73886.7</v>
      </c>
      <c r="J184" s="434">
        <f t="shared" si="74"/>
        <v>70951.33</v>
      </c>
      <c r="K184" s="434">
        <f t="shared" si="74"/>
        <v>70949.98000000001</v>
      </c>
      <c r="L184" s="434">
        <f t="shared" si="74"/>
        <v>73712.039999999994</v>
      </c>
      <c r="M184" s="434">
        <f t="shared" si="74"/>
        <v>73653.37999999999</v>
      </c>
      <c r="N184" s="434">
        <f t="shared" si="74"/>
        <v>78994.23000000001</v>
      </c>
      <c r="O184" s="434">
        <f t="shared" si="74"/>
        <v>79543.209999999992</v>
      </c>
      <c r="P184" s="434">
        <f t="shared" si="74"/>
        <v>80121.359999999986</v>
      </c>
      <c r="Q184" s="434">
        <f>SUM(E184:P184)</f>
        <v>927197.23</v>
      </c>
    </row>
    <row r="185" spans="1:17" x14ac:dyDescent="0.2">
      <c r="A185" s="263">
        <f>A184+1</f>
        <v>6</v>
      </c>
      <c r="C185" s="451" t="s">
        <v>222</v>
      </c>
      <c r="E185" s="434">
        <f t="shared" ref="E185:P185" si="75">E718</f>
        <v>72900.740000000005</v>
      </c>
      <c r="F185" s="434">
        <f t="shared" si="75"/>
        <v>70690.98</v>
      </c>
      <c r="G185" s="434">
        <f t="shared" si="75"/>
        <v>68261.19</v>
      </c>
      <c r="H185" s="434">
        <f t="shared" si="75"/>
        <v>65830.960000000006</v>
      </c>
      <c r="I185" s="434">
        <f t="shared" si="75"/>
        <v>63622.74</v>
      </c>
      <c r="J185" s="434">
        <f t="shared" si="75"/>
        <v>61302.3</v>
      </c>
      <c r="K185" s="434">
        <f t="shared" si="75"/>
        <v>61302.3</v>
      </c>
      <c r="L185" s="434">
        <f t="shared" si="75"/>
        <v>63512.07</v>
      </c>
      <c r="M185" s="434">
        <f t="shared" si="75"/>
        <v>63512.07</v>
      </c>
      <c r="N185" s="434">
        <f t="shared" si="75"/>
        <v>68150.509999999995</v>
      </c>
      <c r="O185" s="434">
        <f t="shared" si="75"/>
        <v>68261.19</v>
      </c>
      <c r="P185" s="434">
        <f t="shared" si="75"/>
        <v>68482.320000000007</v>
      </c>
      <c r="Q185" s="434">
        <f>SUM(E185:P185)</f>
        <v>795829.36999999988</v>
      </c>
    </row>
    <row r="186" spans="1:17" x14ac:dyDescent="0.2">
      <c r="A186" s="720">
        <f>A185+1</f>
        <v>7</v>
      </c>
      <c r="B186" s="454"/>
      <c r="C186" s="455" t="s">
        <v>577</v>
      </c>
      <c r="D186" s="456"/>
      <c r="E186" s="457">
        <f t="shared" ref="E186:P186" si="76">E725</f>
        <v>158291.24</v>
      </c>
      <c r="F186" s="457">
        <f t="shared" si="76"/>
        <v>153312.03999999998</v>
      </c>
      <c r="G186" s="457">
        <f t="shared" si="76"/>
        <v>148408.09</v>
      </c>
      <c r="H186" s="457">
        <f t="shared" si="76"/>
        <v>143057.5</v>
      </c>
      <c r="I186" s="457">
        <f t="shared" si="76"/>
        <v>137509.44</v>
      </c>
      <c r="J186" s="457">
        <f t="shared" si="76"/>
        <v>132253.63</v>
      </c>
      <c r="K186" s="457">
        <f t="shared" si="76"/>
        <v>132252.28000000003</v>
      </c>
      <c r="L186" s="457">
        <f t="shared" si="76"/>
        <v>137224.11000000002</v>
      </c>
      <c r="M186" s="457">
        <f t="shared" si="76"/>
        <v>137165.45000000001</v>
      </c>
      <c r="N186" s="457">
        <f t="shared" si="76"/>
        <v>147144.74000000002</v>
      </c>
      <c r="O186" s="457">
        <f t="shared" si="76"/>
        <v>147804.4</v>
      </c>
      <c r="P186" s="457">
        <f t="shared" si="76"/>
        <v>148603.68</v>
      </c>
      <c r="Q186" s="457">
        <f>SUM(E186:P186)</f>
        <v>1723026.5999999999</v>
      </c>
    </row>
    <row r="187" spans="1:17" x14ac:dyDescent="0.2">
      <c r="G187" s="294"/>
      <c r="Q187" s="294"/>
    </row>
    <row r="188" spans="1:17" x14ac:dyDescent="0.2">
      <c r="A188" s="263">
        <f>A186+1</f>
        <v>8</v>
      </c>
      <c r="B188" s="221" t="str">
        <f>Input!A36</f>
        <v xml:space="preserve">IS </v>
      </c>
      <c r="C188" s="221" t="str">
        <f>'Sch M 2.1'!B31</f>
        <v>Interruptible Service - Industrial</v>
      </c>
      <c r="G188" s="294"/>
      <c r="Q188" s="294"/>
    </row>
    <row r="189" spans="1:17" x14ac:dyDescent="0.2">
      <c r="A189" s="263">
        <f>A188+1</f>
        <v>9</v>
      </c>
      <c r="C189" s="451" t="s">
        <v>219</v>
      </c>
      <c r="E189" s="242">
        <f t="shared" ref="E189:P189" si="77">E749</f>
        <v>0</v>
      </c>
      <c r="F189" s="242">
        <f t="shared" si="77"/>
        <v>0</v>
      </c>
      <c r="G189" s="242">
        <f t="shared" si="77"/>
        <v>0</v>
      </c>
      <c r="H189" s="242">
        <f t="shared" si="77"/>
        <v>0</v>
      </c>
      <c r="I189" s="242">
        <f t="shared" si="77"/>
        <v>0</v>
      </c>
      <c r="J189" s="242">
        <f t="shared" si="77"/>
        <v>0</v>
      </c>
      <c r="K189" s="242">
        <f t="shared" si="77"/>
        <v>0</v>
      </c>
      <c r="L189" s="242">
        <f t="shared" si="77"/>
        <v>0</v>
      </c>
      <c r="M189" s="242">
        <f t="shared" si="77"/>
        <v>0</v>
      </c>
      <c r="N189" s="242">
        <f t="shared" si="77"/>
        <v>0</v>
      </c>
      <c r="O189" s="242">
        <f t="shared" si="77"/>
        <v>0</v>
      </c>
      <c r="P189" s="242">
        <f t="shared" si="77"/>
        <v>0</v>
      </c>
      <c r="Q189" s="242">
        <f>SUM(E189:P189)</f>
        <v>0</v>
      </c>
    </row>
    <row r="190" spans="1:17" x14ac:dyDescent="0.2">
      <c r="A190" s="263">
        <f>A189+1</f>
        <v>10</v>
      </c>
      <c r="C190" s="451" t="s">
        <v>576</v>
      </c>
      <c r="E190" s="247">
        <f t="shared" ref="E190:P190" si="78">E756</f>
        <v>0</v>
      </c>
      <c r="F190" s="247">
        <f t="shared" si="78"/>
        <v>0</v>
      </c>
      <c r="G190" s="247">
        <f t="shared" si="78"/>
        <v>0</v>
      </c>
      <c r="H190" s="247">
        <f t="shared" si="78"/>
        <v>0</v>
      </c>
      <c r="I190" s="247">
        <f t="shared" si="78"/>
        <v>0</v>
      </c>
      <c r="J190" s="247">
        <f t="shared" si="78"/>
        <v>0</v>
      </c>
      <c r="K190" s="247">
        <f t="shared" si="78"/>
        <v>0</v>
      </c>
      <c r="L190" s="247">
        <f t="shared" si="78"/>
        <v>0</v>
      </c>
      <c r="M190" s="247">
        <f t="shared" si="78"/>
        <v>0</v>
      </c>
      <c r="N190" s="247">
        <f t="shared" si="78"/>
        <v>0</v>
      </c>
      <c r="O190" s="247">
        <f t="shared" si="78"/>
        <v>0</v>
      </c>
      <c r="P190" s="247">
        <f t="shared" si="78"/>
        <v>0</v>
      </c>
      <c r="Q190" s="247">
        <f>SUM(E190:P190)</f>
        <v>0</v>
      </c>
    </row>
    <row r="191" spans="1:17" x14ac:dyDescent="0.2">
      <c r="A191" s="263">
        <f>A190+1</f>
        <v>11</v>
      </c>
      <c r="C191" s="451" t="s">
        <v>221</v>
      </c>
      <c r="E191" s="434">
        <f>E762+E769</f>
        <v>0</v>
      </c>
      <c r="F191" s="434">
        <f t="shared" ref="F191:P191" si="79">F762+F769</f>
        <v>0</v>
      </c>
      <c r="G191" s="434">
        <f t="shared" si="79"/>
        <v>0</v>
      </c>
      <c r="H191" s="434">
        <f t="shared" si="79"/>
        <v>0</v>
      </c>
      <c r="I191" s="434">
        <f t="shared" si="79"/>
        <v>0</v>
      </c>
      <c r="J191" s="434">
        <f t="shared" si="79"/>
        <v>0</v>
      </c>
      <c r="K191" s="434">
        <f t="shared" si="79"/>
        <v>0</v>
      </c>
      <c r="L191" s="434">
        <f t="shared" si="79"/>
        <v>0</v>
      </c>
      <c r="M191" s="434">
        <f t="shared" si="79"/>
        <v>0</v>
      </c>
      <c r="N191" s="434">
        <f t="shared" si="79"/>
        <v>0</v>
      </c>
      <c r="O191" s="434">
        <f t="shared" si="79"/>
        <v>0</v>
      </c>
      <c r="P191" s="434">
        <f t="shared" si="79"/>
        <v>0</v>
      </c>
      <c r="Q191" s="434">
        <f>SUM(E191:P191)</f>
        <v>0</v>
      </c>
    </row>
    <row r="192" spans="1:17" x14ac:dyDescent="0.2">
      <c r="A192" s="263">
        <f>A191+1</f>
        <v>12</v>
      </c>
      <c r="C192" s="451" t="s">
        <v>222</v>
      </c>
      <c r="E192" s="434">
        <f t="shared" ref="E192:P192" si="80">E764</f>
        <v>0</v>
      </c>
      <c r="F192" s="434">
        <f t="shared" si="80"/>
        <v>0</v>
      </c>
      <c r="G192" s="434">
        <f t="shared" si="80"/>
        <v>0</v>
      </c>
      <c r="H192" s="434">
        <f t="shared" si="80"/>
        <v>0</v>
      </c>
      <c r="I192" s="434">
        <f t="shared" si="80"/>
        <v>0</v>
      </c>
      <c r="J192" s="434">
        <f t="shared" si="80"/>
        <v>0</v>
      </c>
      <c r="K192" s="434">
        <f t="shared" si="80"/>
        <v>0</v>
      </c>
      <c r="L192" s="434">
        <f t="shared" si="80"/>
        <v>0</v>
      </c>
      <c r="M192" s="434">
        <f t="shared" si="80"/>
        <v>0</v>
      </c>
      <c r="N192" s="434">
        <f t="shared" si="80"/>
        <v>0</v>
      </c>
      <c r="O192" s="434">
        <f t="shared" si="80"/>
        <v>0</v>
      </c>
      <c r="P192" s="434">
        <f t="shared" si="80"/>
        <v>0</v>
      </c>
      <c r="Q192" s="434">
        <f>SUM(E192:P192)</f>
        <v>0</v>
      </c>
    </row>
    <row r="193" spans="1:17" x14ac:dyDescent="0.2">
      <c r="A193" s="720">
        <f>A192+1</f>
        <v>13</v>
      </c>
      <c r="B193" s="454"/>
      <c r="C193" s="455" t="s">
        <v>577</v>
      </c>
      <c r="D193" s="456"/>
      <c r="E193" s="457">
        <f t="shared" ref="E193:P193" si="81">E771</f>
        <v>0</v>
      </c>
      <c r="F193" s="457">
        <f t="shared" si="81"/>
        <v>0</v>
      </c>
      <c r="G193" s="457">
        <f t="shared" si="81"/>
        <v>0</v>
      </c>
      <c r="H193" s="457">
        <f t="shared" si="81"/>
        <v>0</v>
      </c>
      <c r="I193" s="457">
        <f t="shared" si="81"/>
        <v>0</v>
      </c>
      <c r="J193" s="457">
        <f t="shared" si="81"/>
        <v>0</v>
      </c>
      <c r="K193" s="457">
        <f t="shared" si="81"/>
        <v>0</v>
      </c>
      <c r="L193" s="457">
        <f t="shared" si="81"/>
        <v>0</v>
      </c>
      <c r="M193" s="457">
        <f t="shared" si="81"/>
        <v>0</v>
      </c>
      <c r="N193" s="457">
        <f t="shared" si="81"/>
        <v>0</v>
      </c>
      <c r="O193" s="457">
        <f t="shared" si="81"/>
        <v>0</v>
      </c>
      <c r="P193" s="457">
        <f t="shared" si="81"/>
        <v>0</v>
      </c>
      <c r="Q193" s="457">
        <f>SUM(E193:P193)</f>
        <v>0</v>
      </c>
    </row>
    <row r="194" spans="1:17" x14ac:dyDescent="0.2">
      <c r="G194" s="294"/>
      <c r="Q194" s="294"/>
    </row>
    <row r="195" spans="1:17" x14ac:dyDescent="0.2">
      <c r="A195" s="263">
        <f>A193+1</f>
        <v>14</v>
      </c>
      <c r="B195" s="221" t="str">
        <f>Input!A37</f>
        <v>IUS</v>
      </c>
      <c r="C195" s="221" t="str">
        <f>'Sch M 2.1'!B32</f>
        <v>Intrastate Utility Service - Wholesale</v>
      </c>
      <c r="G195" s="294"/>
      <c r="Q195" s="294"/>
    </row>
    <row r="196" spans="1:17" x14ac:dyDescent="0.2">
      <c r="A196" s="263">
        <f>A195+1</f>
        <v>15</v>
      </c>
      <c r="C196" s="451" t="s">
        <v>219</v>
      </c>
      <c r="E196" s="242">
        <f t="shared" ref="E196:P196" si="82">E778</f>
        <v>2</v>
      </c>
      <c r="F196" s="242">
        <f t="shared" si="82"/>
        <v>2</v>
      </c>
      <c r="G196" s="242">
        <f t="shared" si="82"/>
        <v>2</v>
      </c>
      <c r="H196" s="242">
        <f t="shared" si="82"/>
        <v>2</v>
      </c>
      <c r="I196" s="242">
        <f t="shared" si="82"/>
        <v>2</v>
      </c>
      <c r="J196" s="242">
        <f t="shared" si="82"/>
        <v>2</v>
      </c>
      <c r="K196" s="242">
        <f t="shared" si="82"/>
        <v>2</v>
      </c>
      <c r="L196" s="242">
        <f t="shared" si="82"/>
        <v>2</v>
      </c>
      <c r="M196" s="242">
        <f t="shared" si="82"/>
        <v>2</v>
      </c>
      <c r="N196" s="242">
        <f t="shared" si="82"/>
        <v>2</v>
      </c>
      <c r="O196" s="242">
        <f t="shared" si="82"/>
        <v>2</v>
      </c>
      <c r="P196" s="242">
        <f t="shared" si="82"/>
        <v>2</v>
      </c>
      <c r="Q196" s="242">
        <f>SUM(E196:P196)</f>
        <v>24</v>
      </c>
    </row>
    <row r="197" spans="1:17" x14ac:dyDescent="0.2">
      <c r="A197" s="263">
        <f>A196+1</f>
        <v>16</v>
      </c>
      <c r="C197" s="451" t="s">
        <v>576</v>
      </c>
      <c r="E197" s="247">
        <f t="shared" ref="E197:P197" si="83">E782</f>
        <v>3136.7</v>
      </c>
      <c r="F197" s="247">
        <f t="shared" si="83"/>
        <v>2307.1999999999998</v>
      </c>
      <c r="G197" s="247">
        <f t="shared" si="83"/>
        <v>1098.5999999999999</v>
      </c>
      <c r="H197" s="247">
        <f t="shared" si="83"/>
        <v>641.70000000000005</v>
      </c>
      <c r="I197" s="247">
        <f t="shared" si="83"/>
        <v>362.9</v>
      </c>
      <c r="J197" s="247">
        <f t="shared" si="83"/>
        <v>221.4</v>
      </c>
      <c r="K197" s="247">
        <f t="shared" si="83"/>
        <v>245</v>
      </c>
      <c r="L197" s="247">
        <f t="shared" si="83"/>
        <v>196.3</v>
      </c>
      <c r="M197" s="247">
        <f t="shared" si="83"/>
        <v>196.6</v>
      </c>
      <c r="N197" s="247">
        <f t="shared" si="83"/>
        <v>705.2</v>
      </c>
      <c r="O197" s="247">
        <f t="shared" si="83"/>
        <v>1014.3</v>
      </c>
      <c r="P197" s="247">
        <f t="shared" si="83"/>
        <v>1194.8</v>
      </c>
      <c r="Q197" s="247">
        <f>SUM(E197:P197)</f>
        <v>11320.699999999999</v>
      </c>
    </row>
    <row r="198" spans="1:17" x14ac:dyDescent="0.2">
      <c r="A198" s="263">
        <f>A197+1</f>
        <v>17</v>
      </c>
      <c r="C198" s="451" t="s">
        <v>221</v>
      </c>
      <c r="E198" s="434">
        <f t="shared" ref="E198:P198" si="84">E785+E792</f>
        <v>5549.79</v>
      </c>
      <c r="F198" s="434">
        <f t="shared" si="84"/>
        <v>4425.41</v>
      </c>
      <c r="G198" s="434">
        <f t="shared" si="84"/>
        <v>2787.15</v>
      </c>
      <c r="H198" s="434">
        <f t="shared" si="84"/>
        <v>2167.8199999999997</v>
      </c>
      <c r="I198" s="434">
        <f t="shared" si="84"/>
        <v>1789.92</v>
      </c>
      <c r="J198" s="434">
        <f t="shared" si="84"/>
        <v>1598.11</v>
      </c>
      <c r="K198" s="434">
        <f t="shared" si="84"/>
        <v>1630.1</v>
      </c>
      <c r="L198" s="434">
        <f t="shared" si="84"/>
        <v>1564.08</v>
      </c>
      <c r="M198" s="434">
        <f t="shared" si="84"/>
        <v>1564.49</v>
      </c>
      <c r="N198" s="434">
        <f t="shared" si="84"/>
        <v>2253.9</v>
      </c>
      <c r="O198" s="434">
        <f t="shared" si="84"/>
        <v>2672.88</v>
      </c>
      <c r="P198" s="434">
        <f t="shared" si="84"/>
        <v>2917.5499999999997</v>
      </c>
      <c r="Q198" s="434">
        <f>SUM(E198:P198)</f>
        <v>30921.200000000001</v>
      </c>
    </row>
    <row r="199" spans="1:17" x14ac:dyDescent="0.2">
      <c r="A199" s="263">
        <f>A198+1</f>
        <v>18</v>
      </c>
      <c r="C199" s="451" t="s">
        <v>222</v>
      </c>
      <c r="E199" s="434">
        <f t="shared" ref="E199:P199" si="85">E787</f>
        <v>6929.28</v>
      </c>
      <c r="F199" s="434">
        <f t="shared" si="85"/>
        <v>5096.84</v>
      </c>
      <c r="G199" s="434">
        <f t="shared" si="85"/>
        <v>2426.92</v>
      </c>
      <c r="H199" s="434">
        <f t="shared" si="85"/>
        <v>1417.58</v>
      </c>
      <c r="I199" s="434">
        <f t="shared" si="85"/>
        <v>801.68</v>
      </c>
      <c r="J199" s="434">
        <f t="shared" si="85"/>
        <v>489.09</v>
      </c>
      <c r="K199" s="434">
        <f t="shared" si="85"/>
        <v>541.23</v>
      </c>
      <c r="L199" s="434">
        <f t="shared" si="85"/>
        <v>433.65</v>
      </c>
      <c r="M199" s="434">
        <f t="shared" si="85"/>
        <v>434.31</v>
      </c>
      <c r="N199" s="434">
        <f t="shared" si="85"/>
        <v>1557.86</v>
      </c>
      <c r="O199" s="434">
        <f t="shared" si="85"/>
        <v>2240.69</v>
      </c>
      <c r="P199" s="434">
        <f t="shared" si="85"/>
        <v>2639.43</v>
      </c>
      <c r="Q199" s="434">
        <f>SUM(E199:P199)</f>
        <v>25008.560000000001</v>
      </c>
    </row>
    <row r="200" spans="1:17" x14ac:dyDescent="0.2">
      <c r="A200" s="720">
        <f>A199+1</f>
        <v>19</v>
      </c>
      <c r="B200" s="454"/>
      <c r="C200" s="455" t="s">
        <v>577</v>
      </c>
      <c r="D200" s="456"/>
      <c r="E200" s="457">
        <f t="shared" ref="E200:P200" si="86">E794</f>
        <v>12479.07</v>
      </c>
      <c r="F200" s="457">
        <f t="shared" si="86"/>
        <v>9522.25</v>
      </c>
      <c r="G200" s="457">
        <f t="shared" si="86"/>
        <v>5214.0700000000006</v>
      </c>
      <c r="H200" s="457">
        <f t="shared" si="86"/>
        <v>3585.3999999999996</v>
      </c>
      <c r="I200" s="457">
        <f t="shared" si="86"/>
        <v>2591.6</v>
      </c>
      <c r="J200" s="457">
        <f t="shared" si="86"/>
        <v>2087.2000000000003</v>
      </c>
      <c r="K200" s="457">
        <f t="shared" si="86"/>
        <v>2171.33</v>
      </c>
      <c r="L200" s="457">
        <f t="shared" si="86"/>
        <v>1997.73</v>
      </c>
      <c r="M200" s="457">
        <f t="shared" si="86"/>
        <v>1998.8</v>
      </c>
      <c r="N200" s="457">
        <f t="shared" si="86"/>
        <v>3811.76</v>
      </c>
      <c r="O200" s="457">
        <f t="shared" si="86"/>
        <v>4913.5700000000006</v>
      </c>
      <c r="P200" s="457">
        <f t="shared" si="86"/>
        <v>5556.9800000000005</v>
      </c>
      <c r="Q200" s="457">
        <f>SUM(E200:P200)</f>
        <v>55929.760000000009</v>
      </c>
    </row>
    <row r="201" spans="1:17" x14ac:dyDescent="0.2">
      <c r="A201" s="622"/>
      <c r="B201" s="305"/>
      <c r="C201" s="462"/>
      <c r="D201" s="304"/>
      <c r="E201" s="422"/>
      <c r="F201" s="422"/>
      <c r="G201" s="422"/>
      <c r="H201" s="422"/>
      <c r="I201" s="422"/>
      <c r="J201" s="422"/>
      <c r="K201" s="422"/>
      <c r="L201" s="422"/>
      <c r="M201" s="422"/>
      <c r="N201" s="422"/>
      <c r="O201" s="422"/>
      <c r="P201" s="422"/>
      <c r="Q201" s="422"/>
    </row>
    <row r="202" spans="1:17" x14ac:dyDescent="0.2">
      <c r="G202" s="294"/>
      <c r="Q202" s="294"/>
    </row>
    <row r="203" spans="1:17" x14ac:dyDescent="0.2">
      <c r="A203" s="629" t="str">
        <f>$A$107</f>
        <v>[1] Reflects Normalized Volumes.</v>
      </c>
      <c r="G203" s="294"/>
      <c r="Q203" s="294"/>
    </row>
    <row r="204" spans="1:17" x14ac:dyDescent="0.2">
      <c r="A204" s="629" t="str">
        <f>$A$108</f>
        <v>[2] See Schedule M-2.2 Pages 8 through 21 for detail.</v>
      </c>
      <c r="G204" s="294"/>
      <c r="Q204" s="294"/>
    </row>
    <row r="205" spans="1:17" x14ac:dyDescent="0.2">
      <c r="A205" s="887" t="str">
        <f>CONAME</f>
        <v>Columbia Gas of Kentucky, Inc.</v>
      </c>
      <c r="B205" s="887"/>
      <c r="C205" s="887"/>
      <c r="D205" s="887"/>
      <c r="E205" s="887"/>
      <c r="F205" s="887"/>
      <c r="G205" s="887"/>
      <c r="H205" s="887"/>
      <c r="I205" s="887"/>
      <c r="J205" s="887"/>
      <c r="K205" s="887"/>
      <c r="L205" s="887"/>
      <c r="M205" s="887"/>
      <c r="N205" s="887"/>
      <c r="O205" s="887"/>
      <c r="P205" s="887"/>
      <c r="Q205" s="887"/>
    </row>
    <row r="206" spans="1:17" x14ac:dyDescent="0.2">
      <c r="A206" s="875" t="str">
        <f>case</f>
        <v>Case No. 2016-00162</v>
      </c>
      <c r="B206" s="875"/>
      <c r="C206" s="875"/>
      <c r="D206" s="875"/>
      <c r="E206" s="875"/>
      <c r="F206" s="875"/>
      <c r="G206" s="875"/>
      <c r="H206" s="875"/>
      <c r="I206" s="875"/>
      <c r="J206" s="875"/>
      <c r="K206" s="875"/>
      <c r="L206" s="875"/>
      <c r="M206" s="875"/>
      <c r="N206" s="875"/>
      <c r="O206" s="875"/>
      <c r="P206" s="875"/>
      <c r="Q206" s="875"/>
    </row>
    <row r="207" spans="1:17" x14ac:dyDescent="0.2">
      <c r="A207" s="888" t="s">
        <v>200</v>
      </c>
      <c r="B207" s="888"/>
      <c r="C207" s="888"/>
      <c r="D207" s="888"/>
      <c r="E207" s="888"/>
      <c r="F207" s="888"/>
      <c r="G207" s="888"/>
      <c r="H207" s="888"/>
      <c r="I207" s="888"/>
      <c r="J207" s="888"/>
      <c r="K207" s="888"/>
      <c r="L207" s="888"/>
      <c r="M207" s="888"/>
      <c r="N207" s="888"/>
      <c r="O207" s="888"/>
      <c r="P207" s="888"/>
      <c r="Q207" s="888"/>
    </row>
    <row r="208" spans="1:17" x14ac:dyDescent="0.2">
      <c r="A208" s="887" t="str">
        <f>TYDESC</f>
        <v>For the 12 Months Ended December 31, 2017</v>
      </c>
      <c r="B208" s="887"/>
      <c r="C208" s="887"/>
      <c r="D208" s="887"/>
      <c r="E208" s="887"/>
      <c r="F208" s="887"/>
      <c r="G208" s="887"/>
      <c r="H208" s="887"/>
      <c r="I208" s="887"/>
      <c r="J208" s="887"/>
      <c r="K208" s="887"/>
      <c r="L208" s="887"/>
      <c r="M208" s="887"/>
      <c r="N208" s="887"/>
      <c r="O208" s="887"/>
      <c r="P208" s="887"/>
      <c r="Q208" s="887"/>
    </row>
    <row r="209" spans="1:17" x14ac:dyDescent="0.2">
      <c r="A209" s="885" t="s">
        <v>39</v>
      </c>
      <c r="B209" s="885"/>
      <c r="C209" s="885"/>
      <c r="D209" s="885"/>
      <c r="E209" s="885"/>
      <c r="F209" s="885"/>
      <c r="G209" s="885"/>
      <c r="H209" s="885"/>
      <c r="I209" s="885"/>
      <c r="J209" s="885"/>
      <c r="K209" s="885"/>
      <c r="L209" s="885"/>
      <c r="M209" s="885"/>
      <c r="N209" s="885"/>
      <c r="O209" s="885"/>
      <c r="P209" s="885"/>
      <c r="Q209" s="885"/>
    </row>
    <row r="210" spans="1:17" x14ac:dyDescent="0.2">
      <c r="A210" s="718" t="str">
        <f>$A$52</f>
        <v>Data: __ Base Period _X_ Forecasted Period</v>
      </c>
    </row>
    <row r="211" spans="1:17" x14ac:dyDescent="0.2">
      <c r="A211" s="718" t="str">
        <f>$A$53</f>
        <v>Type of Filing: X Original _ Update _ Revised</v>
      </c>
      <c r="Q211" s="420" t="str">
        <f>$Q$53</f>
        <v>Schedule M-2.3</v>
      </c>
    </row>
    <row r="212" spans="1:17" x14ac:dyDescent="0.2">
      <c r="A212" s="718" t="str">
        <f>$A$54</f>
        <v>Work Paper Reference No(s):</v>
      </c>
      <c r="Q212" s="420" t="s">
        <v>508</v>
      </c>
    </row>
    <row r="213" spans="1:17" x14ac:dyDescent="0.2">
      <c r="A213" s="719" t="str">
        <f>$A$55</f>
        <v>12 Months Forecasted</v>
      </c>
      <c r="Q213" s="420" t="str">
        <f>Witness</f>
        <v>Witness:  M. J. Bell</v>
      </c>
    </row>
    <row r="214" spans="1:17" x14ac:dyDescent="0.2">
      <c r="A214" s="886" t="s">
        <v>294</v>
      </c>
      <c r="B214" s="886"/>
      <c r="C214" s="886"/>
      <c r="D214" s="886"/>
      <c r="E214" s="886"/>
      <c r="F214" s="886"/>
      <c r="G214" s="886"/>
      <c r="H214" s="886"/>
      <c r="I214" s="886"/>
      <c r="J214" s="886"/>
      <c r="K214" s="886"/>
      <c r="L214" s="886"/>
      <c r="M214" s="886"/>
      <c r="N214" s="886"/>
      <c r="O214" s="886"/>
      <c r="P214" s="886"/>
      <c r="Q214" s="886"/>
    </row>
    <row r="215" spans="1:17" x14ac:dyDescent="0.2">
      <c r="A215" s="232"/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</row>
    <row r="216" spans="1:17" x14ac:dyDescent="0.2">
      <c r="A216" s="416" t="s">
        <v>1</v>
      </c>
      <c r="B216" s="226" t="s">
        <v>0</v>
      </c>
      <c r="C216" s="226" t="s">
        <v>41</v>
      </c>
      <c r="D216" s="423" t="s">
        <v>30</v>
      </c>
      <c r="E216" s="424"/>
      <c r="F216" s="425"/>
      <c r="G216" s="424"/>
      <c r="H216" s="426"/>
      <c r="I216" s="424"/>
      <c r="J216" s="424"/>
      <c r="K216" s="424"/>
      <c r="L216" s="424"/>
      <c r="M216" s="424"/>
      <c r="N216" s="424"/>
      <c r="O216" s="231"/>
      <c r="P216" s="231"/>
      <c r="Q216" s="231"/>
    </row>
    <row r="217" spans="1:17" x14ac:dyDescent="0.2">
      <c r="A217" s="285" t="s">
        <v>3</v>
      </c>
      <c r="B217" s="228" t="s">
        <v>40</v>
      </c>
      <c r="C217" s="228" t="s">
        <v>4</v>
      </c>
      <c r="D217" s="427" t="s">
        <v>48</v>
      </c>
      <c r="E217" s="428" t="str">
        <f>B!$D$11</f>
        <v>Jan-17</v>
      </c>
      <c r="F217" s="428" t="str">
        <f>B!$E$11</f>
        <v>Feb-17</v>
      </c>
      <c r="G217" s="428" t="str">
        <f>B!$F$11</f>
        <v>Mar-17</v>
      </c>
      <c r="H217" s="428" t="str">
        <f>B!$G$11</f>
        <v>Apr-17</v>
      </c>
      <c r="I217" s="428" t="str">
        <f>B!$H$11</f>
        <v>May-17</v>
      </c>
      <c r="J217" s="428" t="str">
        <f>B!$I$11</f>
        <v>Jun-17</v>
      </c>
      <c r="K217" s="428" t="str">
        <f>B!$J$11</f>
        <v>Jul-17</v>
      </c>
      <c r="L217" s="428" t="str">
        <f>B!$K$11</f>
        <v>Aug-17</v>
      </c>
      <c r="M217" s="428" t="str">
        <f>B!$L$11</f>
        <v>Sep-17</v>
      </c>
      <c r="N217" s="428" t="str">
        <f>B!$M$11</f>
        <v>Oct-17</v>
      </c>
      <c r="O217" s="428" t="str">
        <f>B!$N$11</f>
        <v>Nov-17</v>
      </c>
      <c r="P217" s="428" t="str">
        <f>B!$O$11</f>
        <v>Dec-17</v>
      </c>
      <c r="Q217" s="429" t="s">
        <v>9</v>
      </c>
    </row>
    <row r="218" spans="1:17" x14ac:dyDescent="0.2">
      <c r="A218" s="416"/>
      <c r="B218" s="231" t="s">
        <v>42</v>
      </c>
      <c r="C218" s="231" t="s">
        <v>43</v>
      </c>
      <c r="D218" s="430" t="s">
        <v>45</v>
      </c>
      <c r="E218" s="431" t="s">
        <v>46</v>
      </c>
      <c r="F218" s="431" t="s">
        <v>49</v>
      </c>
      <c r="G218" s="431" t="s">
        <v>50</v>
      </c>
      <c r="H218" s="431" t="s">
        <v>51</v>
      </c>
      <c r="I218" s="431" t="s">
        <v>52</v>
      </c>
      <c r="J218" s="432" t="s">
        <v>53</v>
      </c>
      <c r="K218" s="432" t="s">
        <v>54</v>
      </c>
      <c r="L218" s="432" t="s">
        <v>55</v>
      </c>
      <c r="M218" s="432" t="s">
        <v>56</v>
      </c>
      <c r="N218" s="432" t="s">
        <v>57</v>
      </c>
      <c r="O218" s="432" t="s">
        <v>58</v>
      </c>
      <c r="P218" s="432" t="s">
        <v>59</v>
      </c>
      <c r="Q218" s="432" t="s">
        <v>203</v>
      </c>
    </row>
    <row r="219" spans="1:17" x14ac:dyDescent="0.2">
      <c r="A219" s="416"/>
      <c r="B219" s="231"/>
      <c r="C219" s="231"/>
      <c r="D219" s="430"/>
      <c r="E219" s="431"/>
      <c r="F219" s="431"/>
      <c r="G219" s="431"/>
      <c r="H219" s="431"/>
      <c r="I219" s="431"/>
      <c r="J219" s="432"/>
      <c r="K219" s="432"/>
      <c r="L219" s="432"/>
      <c r="M219" s="432"/>
      <c r="N219" s="432"/>
      <c r="O219" s="432"/>
      <c r="P219" s="432"/>
      <c r="Q219" s="432"/>
    </row>
    <row r="220" spans="1:17" x14ac:dyDescent="0.2">
      <c r="A220" s="263">
        <v>1</v>
      </c>
      <c r="C220" s="445" t="s">
        <v>95</v>
      </c>
    </row>
    <row r="222" spans="1:17" x14ac:dyDescent="0.2">
      <c r="A222" s="263">
        <f>A220+1</f>
        <v>2</v>
      </c>
      <c r="B222" s="221" t="str">
        <f>Input!A41</f>
        <v>GTR</v>
      </c>
      <c r="C222" s="221" t="str">
        <f>'Sch M 2.1'!B36</f>
        <v xml:space="preserve">GTS Choice - Residential </v>
      </c>
      <c r="G222" s="294"/>
      <c r="Q222" s="294"/>
    </row>
    <row r="223" spans="1:17" x14ac:dyDescent="0.2">
      <c r="A223" s="263">
        <f>A222+1</f>
        <v>3</v>
      </c>
      <c r="C223" s="451" t="s">
        <v>219</v>
      </c>
      <c r="E223" s="242">
        <f t="shared" ref="E223:P223" si="87">E820</f>
        <v>23720</v>
      </c>
      <c r="F223" s="242">
        <f t="shared" si="87"/>
        <v>23785</v>
      </c>
      <c r="G223" s="242">
        <f t="shared" si="87"/>
        <v>23786</v>
      </c>
      <c r="H223" s="242">
        <f t="shared" si="87"/>
        <v>23694</v>
      </c>
      <c r="I223" s="242">
        <f t="shared" si="87"/>
        <v>23612</v>
      </c>
      <c r="J223" s="242">
        <f t="shared" si="87"/>
        <v>23386</v>
      </c>
      <c r="K223" s="242">
        <f t="shared" si="87"/>
        <v>23238</v>
      </c>
      <c r="L223" s="242">
        <f t="shared" si="87"/>
        <v>23223</v>
      </c>
      <c r="M223" s="242">
        <f t="shared" si="87"/>
        <v>23179</v>
      </c>
      <c r="N223" s="242">
        <f t="shared" si="87"/>
        <v>23188</v>
      </c>
      <c r="O223" s="242">
        <f t="shared" si="87"/>
        <v>23458</v>
      </c>
      <c r="P223" s="242">
        <f t="shared" si="87"/>
        <v>23677</v>
      </c>
      <c r="Q223" s="242">
        <f>SUM(E223:P223)</f>
        <v>281946</v>
      </c>
    </row>
    <row r="224" spans="1:17" x14ac:dyDescent="0.2">
      <c r="A224" s="263">
        <f>A223+1</f>
        <v>4</v>
      </c>
      <c r="C224" s="451" t="s">
        <v>576</v>
      </c>
      <c r="E224" s="247">
        <f t="shared" ref="E224:P224" si="88">E824</f>
        <v>364000</v>
      </c>
      <c r="F224" s="247">
        <f t="shared" si="88"/>
        <v>353000</v>
      </c>
      <c r="G224" s="247">
        <f t="shared" si="88"/>
        <v>265000</v>
      </c>
      <c r="H224" s="247">
        <f t="shared" si="88"/>
        <v>151000</v>
      </c>
      <c r="I224" s="247">
        <f t="shared" si="88"/>
        <v>71000</v>
      </c>
      <c r="J224" s="247">
        <f t="shared" si="88"/>
        <v>34000</v>
      </c>
      <c r="K224" s="247">
        <f t="shared" si="88"/>
        <v>24000</v>
      </c>
      <c r="L224" s="247">
        <f t="shared" si="88"/>
        <v>23000</v>
      </c>
      <c r="M224" s="247">
        <f t="shared" si="88"/>
        <v>25000</v>
      </c>
      <c r="N224" s="247">
        <f t="shared" si="88"/>
        <v>39000</v>
      </c>
      <c r="O224" s="247">
        <f t="shared" si="88"/>
        <v>111000</v>
      </c>
      <c r="P224" s="247">
        <f t="shared" si="88"/>
        <v>247000</v>
      </c>
      <c r="Q224" s="247">
        <f>SUM(E224:P224)</f>
        <v>1707000</v>
      </c>
    </row>
    <row r="225" spans="1:17" x14ac:dyDescent="0.2">
      <c r="A225" s="263">
        <f>A224+1</f>
        <v>5</v>
      </c>
      <c r="C225" s="451" t="s">
        <v>221</v>
      </c>
      <c r="E225" s="434">
        <f>E827+E836</f>
        <v>1914082.8</v>
      </c>
      <c r="F225" s="434">
        <f t="shared" ref="F225:P225" si="89">F827+F836</f>
        <v>1872219.9</v>
      </c>
      <c r="G225" s="434">
        <f t="shared" si="89"/>
        <v>1526708.34</v>
      </c>
      <c r="H225" s="434">
        <f t="shared" si="89"/>
        <v>1077206.8600000001</v>
      </c>
      <c r="I225" s="434">
        <f t="shared" si="89"/>
        <v>761410.78</v>
      </c>
      <c r="J225" s="434">
        <f t="shared" si="89"/>
        <v>611510.84</v>
      </c>
      <c r="K225" s="434">
        <f t="shared" si="89"/>
        <v>569220.72</v>
      </c>
      <c r="L225" s="434">
        <f t="shared" si="89"/>
        <v>564987.62</v>
      </c>
      <c r="M225" s="434">
        <f t="shared" si="89"/>
        <v>571941.26</v>
      </c>
      <c r="N225" s="434">
        <f t="shared" si="89"/>
        <v>627096.22</v>
      </c>
      <c r="O225" s="434">
        <f t="shared" si="89"/>
        <v>915323.02</v>
      </c>
      <c r="P225" s="434">
        <f t="shared" si="89"/>
        <v>1453803.3800000001</v>
      </c>
      <c r="Q225" s="434">
        <f>SUM(E225:P225)</f>
        <v>12465511.74</v>
      </c>
    </row>
    <row r="226" spans="1:17" x14ac:dyDescent="0.2">
      <c r="A226" s="263">
        <f>A225+1</f>
        <v>6</v>
      </c>
      <c r="C226" s="451" t="s">
        <v>222</v>
      </c>
      <c r="E226" s="434">
        <f t="shared" ref="E226:P226" si="90">E829</f>
        <v>0</v>
      </c>
      <c r="F226" s="434">
        <f t="shared" si="90"/>
        <v>0</v>
      </c>
      <c r="G226" s="434">
        <f t="shared" si="90"/>
        <v>0</v>
      </c>
      <c r="H226" s="434">
        <f t="shared" si="90"/>
        <v>0</v>
      </c>
      <c r="I226" s="434">
        <f t="shared" si="90"/>
        <v>0</v>
      </c>
      <c r="J226" s="434">
        <f t="shared" si="90"/>
        <v>0</v>
      </c>
      <c r="K226" s="434">
        <f t="shared" si="90"/>
        <v>0</v>
      </c>
      <c r="L226" s="434">
        <f t="shared" si="90"/>
        <v>0</v>
      </c>
      <c r="M226" s="434">
        <f t="shared" si="90"/>
        <v>0</v>
      </c>
      <c r="N226" s="434">
        <f t="shared" si="90"/>
        <v>0</v>
      </c>
      <c r="O226" s="434">
        <f t="shared" si="90"/>
        <v>0</v>
      </c>
      <c r="P226" s="434">
        <f t="shared" si="90"/>
        <v>0</v>
      </c>
      <c r="Q226" s="434">
        <f>SUM(E226:P226)</f>
        <v>0</v>
      </c>
    </row>
    <row r="227" spans="1:17" x14ac:dyDescent="0.2">
      <c r="A227" s="720">
        <f>A226+1</f>
        <v>7</v>
      </c>
      <c r="B227" s="454"/>
      <c r="C227" s="455" t="s">
        <v>577</v>
      </c>
      <c r="D227" s="456"/>
      <c r="E227" s="457">
        <f t="shared" ref="E227:P227" si="91">E838</f>
        <v>1914082.8</v>
      </c>
      <c r="F227" s="457">
        <f t="shared" si="91"/>
        <v>1872219.9</v>
      </c>
      <c r="G227" s="457">
        <f t="shared" si="91"/>
        <v>1526708.34</v>
      </c>
      <c r="H227" s="457">
        <f t="shared" si="91"/>
        <v>1077206.8600000001</v>
      </c>
      <c r="I227" s="457">
        <f t="shared" si="91"/>
        <v>761410.78</v>
      </c>
      <c r="J227" s="457">
        <f t="shared" si="91"/>
        <v>611510.84</v>
      </c>
      <c r="K227" s="457">
        <f t="shared" si="91"/>
        <v>569220.72</v>
      </c>
      <c r="L227" s="457">
        <f t="shared" si="91"/>
        <v>564987.62</v>
      </c>
      <c r="M227" s="457">
        <f t="shared" si="91"/>
        <v>571941.26</v>
      </c>
      <c r="N227" s="457">
        <f t="shared" si="91"/>
        <v>627096.22</v>
      </c>
      <c r="O227" s="457">
        <f t="shared" si="91"/>
        <v>915323.02</v>
      </c>
      <c r="P227" s="457">
        <f t="shared" si="91"/>
        <v>1453803.3800000001</v>
      </c>
      <c r="Q227" s="457">
        <f>SUM(E227:P227)</f>
        <v>12465511.74</v>
      </c>
    </row>
    <row r="228" spans="1:17" x14ac:dyDescent="0.2">
      <c r="C228" s="462"/>
      <c r="G228" s="294"/>
      <c r="Q228" s="294"/>
    </row>
    <row r="229" spans="1:17" x14ac:dyDescent="0.2">
      <c r="A229" s="263">
        <f>A227+1</f>
        <v>8</v>
      </c>
      <c r="B229" s="221" t="str">
        <f>Input!A42</f>
        <v>GTO</v>
      </c>
      <c r="C229" s="221" t="str">
        <f>'Sch M 2.1'!B37</f>
        <v>GTS Choice - Commercial</v>
      </c>
      <c r="G229" s="294"/>
      <c r="Q229" s="294"/>
    </row>
    <row r="230" spans="1:17" x14ac:dyDescent="0.2">
      <c r="A230" s="263">
        <f>A229+1</f>
        <v>9</v>
      </c>
      <c r="C230" s="451" t="s">
        <v>219</v>
      </c>
      <c r="E230" s="242">
        <f t="shared" ref="E230:P230" si="92">E845</f>
        <v>3837</v>
      </c>
      <c r="F230" s="242">
        <f t="shared" si="92"/>
        <v>3809</v>
      </c>
      <c r="G230" s="242">
        <f t="shared" si="92"/>
        <v>4093</v>
      </c>
      <c r="H230" s="242">
        <f t="shared" si="92"/>
        <v>4081</v>
      </c>
      <c r="I230" s="242">
        <f t="shared" si="92"/>
        <v>4058</v>
      </c>
      <c r="J230" s="242">
        <f t="shared" si="92"/>
        <v>4042</v>
      </c>
      <c r="K230" s="242">
        <f t="shared" si="92"/>
        <v>4016</v>
      </c>
      <c r="L230" s="242">
        <f t="shared" si="92"/>
        <v>3956</v>
      </c>
      <c r="M230" s="242">
        <f t="shared" si="92"/>
        <v>3924</v>
      </c>
      <c r="N230" s="242">
        <f t="shared" si="92"/>
        <v>3899</v>
      </c>
      <c r="O230" s="242">
        <f t="shared" si="92"/>
        <v>3877</v>
      </c>
      <c r="P230" s="242">
        <f t="shared" si="92"/>
        <v>3853</v>
      </c>
      <c r="Q230" s="242">
        <f>SUM(E230:P230)</f>
        <v>47445</v>
      </c>
    </row>
    <row r="231" spans="1:17" x14ac:dyDescent="0.2">
      <c r="A231" s="263">
        <f>A230+1</f>
        <v>10</v>
      </c>
      <c r="C231" s="451" t="s">
        <v>576</v>
      </c>
      <c r="E231" s="247">
        <f t="shared" ref="E231:P231" si="93">E854</f>
        <v>322000.8</v>
      </c>
      <c r="F231" s="247">
        <f t="shared" si="93"/>
        <v>312002.39999999997</v>
      </c>
      <c r="G231" s="247">
        <f t="shared" si="93"/>
        <v>236001.1</v>
      </c>
      <c r="H231" s="247">
        <f t="shared" si="93"/>
        <v>155003.9</v>
      </c>
      <c r="I231" s="247">
        <f t="shared" si="93"/>
        <v>96998.6</v>
      </c>
      <c r="J231" s="247">
        <f t="shared" si="93"/>
        <v>74000.099999999991</v>
      </c>
      <c r="K231" s="247">
        <f t="shared" si="93"/>
        <v>65999</v>
      </c>
      <c r="L231" s="247">
        <f t="shared" si="93"/>
        <v>64001.100000000006</v>
      </c>
      <c r="M231" s="247">
        <f t="shared" si="93"/>
        <v>68998</v>
      </c>
      <c r="N231" s="247">
        <f t="shared" si="93"/>
        <v>90994.6</v>
      </c>
      <c r="O231" s="247">
        <f t="shared" si="93"/>
        <v>139994.69999999998</v>
      </c>
      <c r="P231" s="247">
        <f t="shared" si="93"/>
        <v>233996.5</v>
      </c>
      <c r="Q231" s="247">
        <f>SUM(E231:P231)</f>
        <v>1859990.8000000003</v>
      </c>
    </row>
    <row r="232" spans="1:17" x14ac:dyDescent="0.2">
      <c r="A232" s="263">
        <f>A231+1</f>
        <v>11</v>
      </c>
      <c r="C232" s="451" t="s">
        <v>221</v>
      </c>
      <c r="E232" s="434">
        <f t="shared" ref="E232:P232" si="94">E862</f>
        <v>1137521.9300000002</v>
      </c>
      <c r="F232" s="434">
        <f t="shared" si="94"/>
        <v>1112184.06</v>
      </c>
      <c r="G232" s="434">
        <f t="shared" si="94"/>
        <v>920332.97</v>
      </c>
      <c r="H232" s="434">
        <f t="shared" si="94"/>
        <v>680858.04</v>
      </c>
      <c r="I232" s="434">
        <f t="shared" si="94"/>
        <v>503673.01</v>
      </c>
      <c r="J232" s="434">
        <f t="shared" si="94"/>
        <v>429731.25999999995</v>
      </c>
      <c r="K232" s="434">
        <f t="shared" si="94"/>
        <v>405038.27</v>
      </c>
      <c r="L232" s="434">
        <f t="shared" si="94"/>
        <v>396113.27</v>
      </c>
      <c r="M232" s="434">
        <f t="shared" si="94"/>
        <v>408977.97</v>
      </c>
      <c r="N232" s="434">
        <f t="shared" si="94"/>
        <v>472278.62999999995</v>
      </c>
      <c r="O232" s="434">
        <f t="shared" si="94"/>
        <v>618662.77</v>
      </c>
      <c r="P232" s="434">
        <f t="shared" si="94"/>
        <v>889773.55999999994</v>
      </c>
      <c r="Q232" s="434">
        <f>SUM(E232:P232)</f>
        <v>7975145.7399999974</v>
      </c>
    </row>
    <row r="233" spans="1:17" x14ac:dyDescent="0.2">
      <c r="A233" s="263">
        <f>A232+1</f>
        <v>12</v>
      </c>
      <c r="C233" s="451" t="s">
        <v>222</v>
      </c>
      <c r="E233" s="434">
        <f t="shared" ref="E233:P233" si="95">E864</f>
        <v>0</v>
      </c>
      <c r="F233" s="434">
        <f t="shared" si="95"/>
        <v>0</v>
      </c>
      <c r="G233" s="434">
        <f t="shared" si="95"/>
        <v>0</v>
      </c>
      <c r="H233" s="434">
        <f t="shared" si="95"/>
        <v>0</v>
      </c>
      <c r="I233" s="434">
        <f t="shared" si="95"/>
        <v>0</v>
      </c>
      <c r="J233" s="434">
        <f t="shared" si="95"/>
        <v>0</v>
      </c>
      <c r="K233" s="434">
        <f t="shared" si="95"/>
        <v>0</v>
      </c>
      <c r="L233" s="434">
        <f t="shared" si="95"/>
        <v>0</v>
      </c>
      <c r="M233" s="434">
        <f t="shared" si="95"/>
        <v>0</v>
      </c>
      <c r="N233" s="434">
        <f t="shared" si="95"/>
        <v>0</v>
      </c>
      <c r="O233" s="434">
        <f t="shared" si="95"/>
        <v>0</v>
      </c>
      <c r="P233" s="434">
        <f t="shared" si="95"/>
        <v>0</v>
      </c>
      <c r="Q233" s="434">
        <f>SUM(E233:P233)</f>
        <v>0</v>
      </c>
    </row>
    <row r="234" spans="1:17" x14ac:dyDescent="0.2">
      <c r="A234" s="720">
        <f>A233+1</f>
        <v>13</v>
      </c>
      <c r="B234" s="454"/>
      <c r="C234" s="455" t="s">
        <v>577</v>
      </c>
      <c r="D234" s="456"/>
      <c r="E234" s="457">
        <f t="shared" ref="E234:P234" si="96">E866</f>
        <v>1137521.9300000002</v>
      </c>
      <c r="F234" s="457">
        <f t="shared" si="96"/>
        <v>1112184.06</v>
      </c>
      <c r="G234" s="457">
        <f t="shared" si="96"/>
        <v>920332.97</v>
      </c>
      <c r="H234" s="457">
        <f t="shared" si="96"/>
        <v>680858.04</v>
      </c>
      <c r="I234" s="457">
        <f t="shared" si="96"/>
        <v>503673.01</v>
      </c>
      <c r="J234" s="457">
        <f t="shared" si="96"/>
        <v>429731.25999999995</v>
      </c>
      <c r="K234" s="457">
        <f t="shared" si="96"/>
        <v>405038.27</v>
      </c>
      <c r="L234" s="457">
        <f t="shared" si="96"/>
        <v>396113.27</v>
      </c>
      <c r="M234" s="457">
        <f t="shared" si="96"/>
        <v>408977.97</v>
      </c>
      <c r="N234" s="457">
        <f t="shared" si="96"/>
        <v>472278.62999999995</v>
      </c>
      <c r="O234" s="457">
        <f t="shared" si="96"/>
        <v>618662.77</v>
      </c>
      <c r="P234" s="457">
        <f t="shared" si="96"/>
        <v>889773.55999999994</v>
      </c>
      <c r="Q234" s="457">
        <f>SUM(E234:P234)</f>
        <v>7975145.7399999974</v>
      </c>
    </row>
    <row r="235" spans="1:17" x14ac:dyDescent="0.2">
      <c r="C235" s="462"/>
      <c r="G235" s="294"/>
      <c r="Q235" s="294"/>
    </row>
    <row r="236" spans="1:17" x14ac:dyDescent="0.2">
      <c r="A236" s="263">
        <f>A234+1</f>
        <v>14</v>
      </c>
      <c r="B236" s="221" t="str">
        <f>Input!A43</f>
        <v>GTO</v>
      </c>
      <c r="C236" s="221" t="str">
        <f>'Sch M 2.1'!B38</f>
        <v>GTS Choice - Industrial</v>
      </c>
      <c r="E236" s="242"/>
      <c r="G236" s="294"/>
      <c r="Q236" s="294"/>
    </row>
    <row r="237" spans="1:17" x14ac:dyDescent="0.2">
      <c r="A237" s="263">
        <f>A236+1</f>
        <v>15</v>
      </c>
      <c r="C237" s="451" t="s">
        <v>219</v>
      </c>
      <c r="E237" s="242">
        <f t="shared" ref="E237:P237" si="97">E889</f>
        <v>13</v>
      </c>
      <c r="F237" s="242">
        <f t="shared" si="97"/>
        <v>13</v>
      </c>
      <c r="G237" s="242">
        <f t="shared" si="97"/>
        <v>12</v>
      </c>
      <c r="H237" s="242">
        <f t="shared" si="97"/>
        <v>13</v>
      </c>
      <c r="I237" s="242">
        <f t="shared" si="97"/>
        <v>12</v>
      </c>
      <c r="J237" s="242">
        <f t="shared" si="97"/>
        <v>12</v>
      </c>
      <c r="K237" s="242">
        <f t="shared" si="97"/>
        <v>12</v>
      </c>
      <c r="L237" s="242">
        <f t="shared" si="97"/>
        <v>12</v>
      </c>
      <c r="M237" s="242">
        <f t="shared" si="97"/>
        <v>12</v>
      </c>
      <c r="N237" s="242">
        <f t="shared" si="97"/>
        <v>12</v>
      </c>
      <c r="O237" s="242">
        <f t="shared" si="97"/>
        <v>13</v>
      </c>
      <c r="P237" s="242">
        <f t="shared" si="97"/>
        <v>13</v>
      </c>
      <c r="Q237" s="242">
        <f>SUM(E237:P237)</f>
        <v>149</v>
      </c>
    </row>
    <row r="238" spans="1:17" x14ac:dyDescent="0.2">
      <c r="A238" s="263">
        <f>A237+1</f>
        <v>16</v>
      </c>
      <c r="C238" s="451" t="s">
        <v>576</v>
      </c>
      <c r="E238" s="247">
        <f t="shared" ref="E238:P238" si="98">E898</f>
        <v>6000.0999999999995</v>
      </c>
      <c r="F238" s="247">
        <f t="shared" si="98"/>
        <v>5999.9</v>
      </c>
      <c r="G238" s="247">
        <f t="shared" si="98"/>
        <v>5999.9</v>
      </c>
      <c r="H238" s="247">
        <f t="shared" si="98"/>
        <v>5999.9</v>
      </c>
      <c r="I238" s="247">
        <f t="shared" si="98"/>
        <v>6000</v>
      </c>
      <c r="J238" s="247">
        <f t="shared" si="98"/>
        <v>6000.1</v>
      </c>
      <c r="K238" s="247">
        <f t="shared" si="98"/>
        <v>5999.9</v>
      </c>
      <c r="L238" s="247">
        <f t="shared" si="98"/>
        <v>6000</v>
      </c>
      <c r="M238" s="247">
        <f t="shared" si="98"/>
        <v>6000</v>
      </c>
      <c r="N238" s="247">
        <f t="shared" si="98"/>
        <v>6000.1</v>
      </c>
      <c r="O238" s="247">
        <f t="shared" si="98"/>
        <v>6000</v>
      </c>
      <c r="P238" s="247">
        <f t="shared" si="98"/>
        <v>6000</v>
      </c>
      <c r="Q238" s="247">
        <f>SUM(E238:P238)</f>
        <v>71999.899999999994</v>
      </c>
    </row>
    <row r="239" spans="1:17" x14ac:dyDescent="0.2">
      <c r="A239" s="263">
        <f>A238+1</f>
        <v>17</v>
      </c>
      <c r="C239" s="451" t="s">
        <v>221</v>
      </c>
      <c r="E239" s="434">
        <f t="shared" ref="E239:P239" si="99">E906</f>
        <v>16487.93</v>
      </c>
      <c r="F239" s="434">
        <f t="shared" si="99"/>
        <v>16537.060000000001</v>
      </c>
      <c r="G239" s="434">
        <f t="shared" si="99"/>
        <v>16357.57</v>
      </c>
      <c r="H239" s="434">
        <f t="shared" si="99"/>
        <v>16103.86</v>
      </c>
      <c r="I239" s="434">
        <f t="shared" si="99"/>
        <v>15869.400000000001</v>
      </c>
      <c r="J239" s="434">
        <f t="shared" si="99"/>
        <v>15737.65</v>
      </c>
      <c r="K239" s="434">
        <f t="shared" si="99"/>
        <v>15712.880000000001</v>
      </c>
      <c r="L239" s="434">
        <f t="shared" si="99"/>
        <v>15658.990000000002</v>
      </c>
      <c r="M239" s="434">
        <f t="shared" si="99"/>
        <v>15661.75</v>
      </c>
      <c r="N239" s="434">
        <f t="shared" si="99"/>
        <v>16007.490000000002</v>
      </c>
      <c r="O239" s="434">
        <f t="shared" si="99"/>
        <v>16257.39</v>
      </c>
      <c r="P239" s="434">
        <f t="shared" si="99"/>
        <v>16324.840000000002</v>
      </c>
      <c r="Q239" s="434">
        <f>SUM(E239:P239)</f>
        <v>192716.81000000003</v>
      </c>
    </row>
    <row r="240" spans="1:17" x14ac:dyDescent="0.2">
      <c r="A240" s="263">
        <f>A239+1</f>
        <v>18</v>
      </c>
      <c r="C240" s="451" t="s">
        <v>222</v>
      </c>
      <c r="E240" s="434">
        <f t="shared" ref="E240:P240" si="100">E908</f>
        <v>0</v>
      </c>
      <c r="F240" s="434">
        <f t="shared" si="100"/>
        <v>0</v>
      </c>
      <c r="G240" s="434">
        <f t="shared" si="100"/>
        <v>0</v>
      </c>
      <c r="H240" s="434">
        <f t="shared" si="100"/>
        <v>0</v>
      </c>
      <c r="I240" s="434">
        <f t="shared" si="100"/>
        <v>0</v>
      </c>
      <c r="J240" s="434">
        <f t="shared" si="100"/>
        <v>0</v>
      </c>
      <c r="K240" s="434">
        <f t="shared" si="100"/>
        <v>0</v>
      </c>
      <c r="L240" s="434">
        <f t="shared" si="100"/>
        <v>0</v>
      </c>
      <c r="M240" s="434">
        <f t="shared" si="100"/>
        <v>0</v>
      </c>
      <c r="N240" s="434">
        <f t="shared" si="100"/>
        <v>0</v>
      </c>
      <c r="O240" s="434">
        <f t="shared" si="100"/>
        <v>0</v>
      </c>
      <c r="P240" s="434">
        <f t="shared" si="100"/>
        <v>0</v>
      </c>
      <c r="Q240" s="434">
        <f>SUM(E240:P240)</f>
        <v>0</v>
      </c>
    </row>
    <row r="241" spans="1:17" x14ac:dyDescent="0.2">
      <c r="A241" s="720">
        <f>A240+1</f>
        <v>19</v>
      </c>
      <c r="B241" s="454"/>
      <c r="C241" s="455" t="s">
        <v>577</v>
      </c>
      <c r="D241" s="456"/>
      <c r="E241" s="457">
        <f t="shared" ref="E241:P241" si="101">E910</f>
        <v>16487.93</v>
      </c>
      <c r="F241" s="457">
        <f t="shared" si="101"/>
        <v>16537.060000000001</v>
      </c>
      <c r="G241" s="457">
        <f t="shared" si="101"/>
        <v>16357.57</v>
      </c>
      <c r="H241" s="457">
        <f t="shared" si="101"/>
        <v>16103.86</v>
      </c>
      <c r="I241" s="457">
        <f t="shared" si="101"/>
        <v>15869.400000000001</v>
      </c>
      <c r="J241" s="457">
        <f t="shared" si="101"/>
        <v>15737.65</v>
      </c>
      <c r="K241" s="457">
        <f t="shared" si="101"/>
        <v>15712.880000000001</v>
      </c>
      <c r="L241" s="457">
        <f t="shared" si="101"/>
        <v>15658.990000000002</v>
      </c>
      <c r="M241" s="457">
        <f t="shared" si="101"/>
        <v>15661.75</v>
      </c>
      <c r="N241" s="457">
        <f t="shared" si="101"/>
        <v>16007.490000000002</v>
      </c>
      <c r="O241" s="457">
        <f t="shared" si="101"/>
        <v>16257.39</v>
      </c>
      <c r="P241" s="457">
        <f t="shared" si="101"/>
        <v>16324.840000000002</v>
      </c>
      <c r="Q241" s="457">
        <f>SUM(E241:P241)</f>
        <v>192716.81000000003</v>
      </c>
    </row>
    <row r="243" spans="1:17" x14ac:dyDescent="0.2">
      <c r="A243" s="263">
        <f>A241+1</f>
        <v>20</v>
      </c>
      <c r="B243" s="221" t="str">
        <f>Input!A44</f>
        <v>DS</v>
      </c>
      <c r="C243" s="221" t="str">
        <f>'Sch M 2.1'!B39</f>
        <v>GTS Delivery Service - Commercial</v>
      </c>
      <c r="G243" s="294"/>
      <c r="Q243" s="294"/>
    </row>
    <row r="244" spans="1:17" x14ac:dyDescent="0.2">
      <c r="A244" s="263">
        <f>A243+1</f>
        <v>21</v>
      </c>
      <c r="C244" s="451" t="s">
        <v>219</v>
      </c>
      <c r="E244" s="242">
        <f t="shared" ref="E244:P244" si="102">E933</f>
        <v>41</v>
      </c>
      <c r="F244" s="242">
        <f t="shared" si="102"/>
        <v>32</v>
      </c>
      <c r="G244" s="242">
        <f t="shared" si="102"/>
        <v>32</v>
      </c>
      <c r="H244" s="242">
        <f t="shared" si="102"/>
        <v>32</v>
      </c>
      <c r="I244" s="242">
        <f t="shared" si="102"/>
        <v>32</v>
      </c>
      <c r="J244" s="242">
        <f t="shared" si="102"/>
        <v>32</v>
      </c>
      <c r="K244" s="242">
        <f t="shared" si="102"/>
        <v>34</v>
      </c>
      <c r="L244" s="242">
        <f t="shared" si="102"/>
        <v>33</v>
      </c>
      <c r="M244" s="242">
        <f t="shared" si="102"/>
        <v>33</v>
      </c>
      <c r="N244" s="242">
        <f t="shared" si="102"/>
        <v>33</v>
      </c>
      <c r="O244" s="242">
        <f t="shared" si="102"/>
        <v>34</v>
      </c>
      <c r="P244" s="242">
        <f t="shared" si="102"/>
        <v>60</v>
      </c>
      <c r="Q244" s="242">
        <f>SUM(E244:P244)</f>
        <v>428</v>
      </c>
    </row>
    <row r="245" spans="1:17" x14ac:dyDescent="0.2">
      <c r="A245" s="263">
        <f>A244+1</f>
        <v>22</v>
      </c>
      <c r="C245" s="451" t="s">
        <v>576</v>
      </c>
      <c r="E245" s="247">
        <f t="shared" ref="E245:P245" si="103">E941</f>
        <v>188859</v>
      </c>
      <c r="F245" s="247">
        <f t="shared" si="103"/>
        <v>169110.1</v>
      </c>
      <c r="G245" s="247">
        <f t="shared" si="103"/>
        <v>147265.60000000001</v>
      </c>
      <c r="H245" s="247">
        <f t="shared" si="103"/>
        <v>103565.2</v>
      </c>
      <c r="I245" s="247">
        <f t="shared" si="103"/>
        <v>83423.100000000006</v>
      </c>
      <c r="J245" s="247">
        <f t="shared" si="103"/>
        <v>69626.2</v>
      </c>
      <c r="K245" s="247">
        <f t="shared" si="103"/>
        <v>68394.7</v>
      </c>
      <c r="L245" s="247">
        <f t="shared" si="103"/>
        <v>69858.100000000006</v>
      </c>
      <c r="M245" s="247">
        <f t="shared" si="103"/>
        <v>76451.3</v>
      </c>
      <c r="N245" s="247">
        <f t="shared" si="103"/>
        <v>101603.3</v>
      </c>
      <c r="O245" s="247">
        <f t="shared" si="103"/>
        <v>139898.5</v>
      </c>
      <c r="P245" s="247">
        <f t="shared" si="103"/>
        <v>162514.9</v>
      </c>
      <c r="Q245" s="247">
        <f>SUM(E245:P245)</f>
        <v>1380569.9999999998</v>
      </c>
    </row>
    <row r="246" spans="1:17" x14ac:dyDescent="0.2">
      <c r="A246" s="263">
        <f>A245+1</f>
        <v>23</v>
      </c>
      <c r="C246" s="451" t="s">
        <v>221</v>
      </c>
      <c r="E246" s="434">
        <f t="shared" ref="E246:P246" si="104">E947</f>
        <v>229952.87</v>
      </c>
      <c r="F246" s="434">
        <f t="shared" si="104"/>
        <v>199016.91</v>
      </c>
      <c r="G246" s="434">
        <f t="shared" si="104"/>
        <v>179352.49</v>
      </c>
      <c r="H246" s="434">
        <f t="shared" si="104"/>
        <v>140013.39000000001</v>
      </c>
      <c r="I246" s="434">
        <f t="shared" si="104"/>
        <v>121881.47</v>
      </c>
      <c r="J246" s="434">
        <f t="shared" si="104"/>
        <v>109461.51000000001</v>
      </c>
      <c r="K246" s="434">
        <f t="shared" si="104"/>
        <v>111276.91</v>
      </c>
      <c r="L246" s="434">
        <f t="shared" si="104"/>
        <v>111132.26000000001</v>
      </c>
      <c r="M246" s="434">
        <f t="shared" si="104"/>
        <v>117067.46</v>
      </c>
      <c r="N246" s="434">
        <f t="shared" si="104"/>
        <v>139709.28999999998</v>
      </c>
      <c r="O246" s="434">
        <f t="shared" si="104"/>
        <v>175644.63</v>
      </c>
      <c r="P246" s="434">
        <f t="shared" si="104"/>
        <v>234015.91</v>
      </c>
      <c r="Q246" s="434">
        <f>SUM(E246:P246)</f>
        <v>1868525.0999999999</v>
      </c>
    </row>
    <row r="247" spans="1:17" x14ac:dyDescent="0.2">
      <c r="A247" s="263">
        <f>A246+1</f>
        <v>24</v>
      </c>
      <c r="C247" s="451" t="s">
        <v>222</v>
      </c>
      <c r="E247" s="434">
        <f t="shared" ref="E247:P247" si="105">E949</f>
        <v>0</v>
      </c>
      <c r="F247" s="434">
        <f t="shared" si="105"/>
        <v>0</v>
      </c>
      <c r="G247" s="434">
        <f t="shared" si="105"/>
        <v>0</v>
      </c>
      <c r="H247" s="434">
        <f t="shared" si="105"/>
        <v>0</v>
      </c>
      <c r="I247" s="434">
        <f t="shared" si="105"/>
        <v>0</v>
      </c>
      <c r="J247" s="434">
        <f t="shared" si="105"/>
        <v>0</v>
      </c>
      <c r="K247" s="434">
        <f t="shared" si="105"/>
        <v>0</v>
      </c>
      <c r="L247" s="434">
        <f t="shared" si="105"/>
        <v>0</v>
      </c>
      <c r="M247" s="434">
        <f t="shared" si="105"/>
        <v>0</v>
      </c>
      <c r="N247" s="434">
        <f t="shared" si="105"/>
        <v>0</v>
      </c>
      <c r="O247" s="434">
        <f t="shared" si="105"/>
        <v>0</v>
      </c>
      <c r="P247" s="434">
        <f t="shared" si="105"/>
        <v>0</v>
      </c>
      <c r="Q247" s="434">
        <f>SUM(E247:P247)</f>
        <v>0</v>
      </c>
    </row>
    <row r="248" spans="1:17" x14ac:dyDescent="0.2">
      <c r="A248" s="720">
        <f>A247+1</f>
        <v>25</v>
      </c>
      <c r="B248" s="454"/>
      <c r="C248" s="455" t="s">
        <v>577</v>
      </c>
      <c r="D248" s="456"/>
      <c r="E248" s="457">
        <f t="shared" ref="E248:P248" si="106">E951</f>
        <v>229952.87</v>
      </c>
      <c r="F248" s="457">
        <f t="shared" si="106"/>
        <v>199016.91</v>
      </c>
      <c r="G248" s="457">
        <f t="shared" si="106"/>
        <v>179352.49</v>
      </c>
      <c r="H248" s="457">
        <f t="shared" si="106"/>
        <v>140013.39000000001</v>
      </c>
      <c r="I248" s="457">
        <f t="shared" si="106"/>
        <v>121881.47</v>
      </c>
      <c r="J248" s="457">
        <f t="shared" si="106"/>
        <v>109461.51000000001</v>
      </c>
      <c r="K248" s="457">
        <f t="shared" si="106"/>
        <v>111276.91</v>
      </c>
      <c r="L248" s="457">
        <f t="shared" si="106"/>
        <v>111132.26000000001</v>
      </c>
      <c r="M248" s="457">
        <f t="shared" si="106"/>
        <v>117067.46</v>
      </c>
      <c r="N248" s="457">
        <f t="shared" si="106"/>
        <v>139709.28999999998</v>
      </c>
      <c r="O248" s="457">
        <f t="shared" si="106"/>
        <v>175644.63</v>
      </c>
      <c r="P248" s="457">
        <f t="shared" si="106"/>
        <v>234015.91</v>
      </c>
      <c r="Q248" s="457">
        <f>SUM(E248:P248)</f>
        <v>1868525.0999999999</v>
      </c>
    </row>
    <row r="249" spans="1:17" x14ac:dyDescent="0.2">
      <c r="A249" s="622"/>
      <c r="C249" s="462"/>
      <c r="G249" s="294"/>
      <c r="Q249" s="294"/>
    </row>
    <row r="250" spans="1:17" x14ac:dyDescent="0.2">
      <c r="A250" s="263">
        <f>A248+1</f>
        <v>26</v>
      </c>
      <c r="B250" s="221" t="str">
        <f>Input!A45</f>
        <v>DS</v>
      </c>
      <c r="C250" s="221" t="str">
        <f>'Sch M 2.1'!B40</f>
        <v>GTS Delivery Service - Industrial</v>
      </c>
      <c r="G250" s="294"/>
      <c r="Q250" s="294"/>
    </row>
    <row r="251" spans="1:17" x14ac:dyDescent="0.2">
      <c r="A251" s="263">
        <f>A250+1</f>
        <v>27</v>
      </c>
      <c r="C251" s="451" t="s">
        <v>219</v>
      </c>
      <c r="E251" s="242">
        <f t="shared" ref="E251:P251" si="107">E958</f>
        <v>39</v>
      </c>
      <c r="F251" s="242">
        <f t="shared" si="107"/>
        <v>39</v>
      </c>
      <c r="G251" s="242">
        <f t="shared" si="107"/>
        <v>39</v>
      </c>
      <c r="H251" s="242">
        <f t="shared" si="107"/>
        <v>39</v>
      </c>
      <c r="I251" s="242">
        <f t="shared" si="107"/>
        <v>39</v>
      </c>
      <c r="J251" s="242">
        <f t="shared" si="107"/>
        <v>39</v>
      </c>
      <c r="K251" s="242">
        <f t="shared" si="107"/>
        <v>39</v>
      </c>
      <c r="L251" s="242">
        <f t="shared" si="107"/>
        <v>39</v>
      </c>
      <c r="M251" s="242">
        <f t="shared" si="107"/>
        <v>39</v>
      </c>
      <c r="N251" s="242">
        <f t="shared" si="107"/>
        <v>39</v>
      </c>
      <c r="O251" s="242">
        <f t="shared" si="107"/>
        <v>39</v>
      </c>
      <c r="P251" s="242">
        <f t="shared" si="107"/>
        <v>39</v>
      </c>
      <c r="Q251" s="242">
        <f>SUM(E251:P251)</f>
        <v>468</v>
      </c>
    </row>
    <row r="252" spans="1:17" x14ac:dyDescent="0.2">
      <c r="A252" s="263">
        <f>A251+1</f>
        <v>28</v>
      </c>
      <c r="C252" s="451" t="s">
        <v>576</v>
      </c>
      <c r="E252" s="247">
        <f t="shared" ref="E252:P252" si="108">E966</f>
        <v>674909.5</v>
      </c>
      <c r="F252" s="247">
        <f t="shared" si="108"/>
        <v>602578.5</v>
      </c>
      <c r="G252" s="247">
        <f t="shared" si="108"/>
        <v>525440.69999999995</v>
      </c>
      <c r="H252" s="247">
        <f t="shared" si="108"/>
        <v>427583.6</v>
      </c>
      <c r="I252" s="247">
        <f t="shared" si="108"/>
        <v>368992.8</v>
      </c>
      <c r="J252" s="247">
        <f t="shared" si="108"/>
        <v>339504.1</v>
      </c>
      <c r="K252" s="247">
        <f t="shared" si="108"/>
        <v>295115.5</v>
      </c>
      <c r="L252" s="247">
        <f t="shared" si="108"/>
        <v>342173.2</v>
      </c>
      <c r="M252" s="247">
        <f t="shared" si="108"/>
        <v>361661.7</v>
      </c>
      <c r="N252" s="247">
        <f t="shared" si="108"/>
        <v>454356.4</v>
      </c>
      <c r="O252" s="247">
        <f t="shared" si="108"/>
        <v>551432</v>
      </c>
      <c r="P252" s="247">
        <f t="shared" si="108"/>
        <v>573549.4</v>
      </c>
      <c r="Q252" s="247">
        <f>SUM(E252:P252)</f>
        <v>5517297.4000000004</v>
      </c>
    </row>
    <row r="253" spans="1:17" x14ac:dyDescent="0.2">
      <c r="A253" s="263">
        <f>A252+1</f>
        <v>29</v>
      </c>
      <c r="C253" s="451" t="s">
        <v>221</v>
      </c>
      <c r="E253" s="434">
        <f t="shared" ref="E253:P253" si="109">E972</f>
        <v>532759.84</v>
      </c>
      <c r="F253" s="434">
        <f t="shared" si="109"/>
        <v>487049.71</v>
      </c>
      <c r="G253" s="434">
        <f t="shared" si="109"/>
        <v>438663.77</v>
      </c>
      <c r="H253" s="434">
        <f t="shared" si="109"/>
        <v>383732.14</v>
      </c>
      <c r="I253" s="434">
        <f t="shared" si="109"/>
        <v>349565.33</v>
      </c>
      <c r="J253" s="434">
        <f t="shared" si="109"/>
        <v>332514.32</v>
      </c>
      <c r="K253" s="434">
        <f t="shared" si="109"/>
        <v>300533.39</v>
      </c>
      <c r="L253" s="434">
        <f t="shared" si="109"/>
        <v>333678.59000000003</v>
      </c>
      <c r="M253" s="434">
        <f t="shared" si="109"/>
        <v>348332.45</v>
      </c>
      <c r="N253" s="434">
        <f t="shared" si="109"/>
        <v>404943.32</v>
      </c>
      <c r="O253" s="434">
        <f t="shared" si="109"/>
        <v>458892.86</v>
      </c>
      <c r="P253" s="434">
        <f t="shared" si="109"/>
        <v>472610.73</v>
      </c>
      <c r="Q253" s="434">
        <f>SUM(E253:P253)</f>
        <v>4843276.4499999993</v>
      </c>
    </row>
    <row r="254" spans="1:17" x14ac:dyDescent="0.2">
      <c r="A254" s="263">
        <f>A253+1</f>
        <v>30</v>
      </c>
      <c r="C254" s="451" t="s">
        <v>222</v>
      </c>
      <c r="E254" s="434">
        <f t="shared" ref="E254:P254" si="110">E974</f>
        <v>0</v>
      </c>
      <c r="F254" s="434">
        <f t="shared" si="110"/>
        <v>0</v>
      </c>
      <c r="G254" s="434">
        <f t="shared" si="110"/>
        <v>0</v>
      </c>
      <c r="H254" s="434">
        <f t="shared" si="110"/>
        <v>0</v>
      </c>
      <c r="I254" s="434">
        <f t="shared" si="110"/>
        <v>0</v>
      </c>
      <c r="J254" s="434">
        <f t="shared" si="110"/>
        <v>0</v>
      </c>
      <c r="K254" s="434">
        <f t="shared" si="110"/>
        <v>0</v>
      </c>
      <c r="L254" s="434">
        <f t="shared" si="110"/>
        <v>0</v>
      </c>
      <c r="M254" s="434">
        <f t="shared" si="110"/>
        <v>0</v>
      </c>
      <c r="N254" s="434">
        <f t="shared" si="110"/>
        <v>0</v>
      </c>
      <c r="O254" s="434">
        <f t="shared" si="110"/>
        <v>0</v>
      </c>
      <c r="P254" s="434">
        <f t="shared" si="110"/>
        <v>0</v>
      </c>
      <c r="Q254" s="434">
        <f>SUM(E254:P254)</f>
        <v>0</v>
      </c>
    </row>
    <row r="255" spans="1:17" x14ac:dyDescent="0.2">
      <c r="A255" s="720">
        <f>A254+1</f>
        <v>31</v>
      </c>
      <c r="B255" s="454"/>
      <c r="C255" s="455" t="s">
        <v>577</v>
      </c>
      <c r="D255" s="456"/>
      <c r="E255" s="457">
        <f t="shared" ref="E255:P255" si="111">E976</f>
        <v>532759.84</v>
      </c>
      <c r="F255" s="457">
        <f t="shared" si="111"/>
        <v>487049.71</v>
      </c>
      <c r="G255" s="457">
        <f t="shared" si="111"/>
        <v>438663.77</v>
      </c>
      <c r="H255" s="457">
        <f t="shared" si="111"/>
        <v>383732.14</v>
      </c>
      <c r="I255" s="457">
        <f t="shared" si="111"/>
        <v>349565.33</v>
      </c>
      <c r="J255" s="457">
        <f t="shared" si="111"/>
        <v>332514.32</v>
      </c>
      <c r="K255" s="457">
        <f t="shared" si="111"/>
        <v>300533.39</v>
      </c>
      <c r="L255" s="457">
        <f t="shared" si="111"/>
        <v>333678.59000000003</v>
      </c>
      <c r="M255" s="457">
        <f t="shared" si="111"/>
        <v>348332.45</v>
      </c>
      <c r="N255" s="457">
        <f t="shared" si="111"/>
        <v>404943.32</v>
      </c>
      <c r="O255" s="457">
        <f t="shared" si="111"/>
        <v>458892.86</v>
      </c>
      <c r="P255" s="457">
        <f t="shared" si="111"/>
        <v>472610.73</v>
      </c>
      <c r="Q255" s="457">
        <f>SUM(E255:P255)</f>
        <v>4843276.4499999993</v>
      </c>
    </row>
    <row r="256" spans="1:17" x14ac:dyDescent="0.2">
      <c r="G256" s="294"/>
      <c r="Q256" s="294"/>
    </row>
    <row r="257" spans="1:17" x14ac:dyDescent="0.2">
      <c r="A257" s="263">
        <f>A255+1</f>
        <v>32</v>
      </c>
      <c r="B257" s="221" t="str">
        <f>Input!A46</f>
        <v>GDS</v>
      </c>
      <c r="C257" s="221" t="str">
        <f>'Sch M 2.1'!B41</f>
        <v>GTS Grandfathered Delivery Service - Commercial</v>
      </c>
      <c r="G257" s="294"/>
      <c r="Q257" s="294"/>
    </row>
    <row r="258" spans="1:17" x14ac:dyDescent="0.2">
      <c r="A258" s="263">
        <f>A257+1</f>
        <v>33</v>
      </c>
      <c r="C258" s="451" t="s">
        <v>219</v>
      </c>
      <c r="E258" s="242">
        <f t="shared" ref="E258:P258" si="112">E999</f>
        <v>12</v>
      </c>
      <c r="F258" s="242">
        <f t="shared" si="112"/>
        <v>12</v>
      </c>
      <c r="G258" s="242">
        <f t="shared" si="112"/>
        <v>12</v>
      </c>
      <c r="H258" s="242">
        <f t="shared" si="112"/>
        <v>12</v>
      </c>
      <c r="I258" s="242">
        <f t="shared" si="112"/>
        <v>12</v>
      </c>
      <c r="J258" s="242">
        <f t="shared" si="112"/>
        <v>12</v>
      </c>
      <c r="K258" s="242">
        <f t="shared" si="112"/>
        <v>12</v>
      </c>
      <c r="L258" s="242">
        <f t="shared" si="112"/>
        <v>12</v>
      </c>
      <c r="M258" s="242">
        <f t="shared" si="112"/>
        <v>12</v>
      </c>
      <c r="N258" s="242">
        <f t="shared" si="112"/>
        <v>12</v>
      </c>
      <c r="O258" s="242">
        <f t="shared" si="112"/>
        <v>13</v>
      </c>
      <c r="P258" s="242">
        <f t="shared" si="112"/>
        <v>12</v>
      </c>
      <c r="Q258" s="242">
        <f>SUM(E258:P258)</f>
        <v>145</v>
      </c>
    </row>
    <row r="259" spans="1:17" x14ac:dyDescent="0.2">
      <c r="A259" s="263">
        <f>A258+1</f>
        <v>34</v>
      </c>
      <c r="C259" s="451" t="s">
        <v>576</v>
      </c>
      <c r="E259" s="247">
        <f t="shared" ref="E259:P259" si="113">E1009</f>
        <v>25802.9</v>
      </c>
      <c r="F259" s="247">
        <f t="shared" si="113"/>
        <v>25486</v>
      </c>
      <c r="G259" s="247">
        <f t="shared" si="113"/>
        <v>22066.6</v>
      </c>
      <c r="H259" s="247">
        <f t="shared" si="113"/>
        <v>16282.900000000001</v>
      </c>
      <c r="I259" s="247">
        <f t="shared" si="113"/>
        <v>15072.900000000001</v>
      </c>
      <c r="J259" s="247">
        <f t="shared" si="113"/>
        <v>10869.6</v>
      </c>
      <c r="K259" s="247">
        <f t="shared" si="113"/>
        <v>12145.5</v>
      </c>
      <c r="L259" s="247">
        <f t="shared" si="113"/>
        <v>10637.9</v>
      </c>
      <c r="M259" s="247">
        <f t="shared" si="113"/>
        <v>11242.7</v>
      </c>
      <c r="N259" s="247">
        <f t="shared" si="113"/>
        <v>14420.7</v>
      </c>
      <c r="O259" s="247">
        <f t="shared" si="113"/>
        <v>18455.5</v>
      </c>
      <c r="P259" s="247">
        <f t="shared" si="113"/>
        <v>21147.3</v>
      </c>
      <c r="Q259" s="247">
        <f>SUM(E259:P259)</f>
        <v>203630.5</v>
      </c>
    </row>
    <row r="260" spans="1:17" x14ac:dyDescent="0.2">
      <c r="A260" s="263">
        <f>A259+1</f>
        <v>35</v>
      </c>
      <c r="C260" s="451" t="s">
        <v>221</v>
      </c>
      <c r="E260" s="434">
        <f t="shared" ref="E260:P260" si="114">E1017</f>
        <v>64359.47</v>
      </c>
      <c r="F260" s="434">
        <f t="shared" si="114"/>
        <v>63580.62</v>
      </c>
      <c r="G260" s="434">
        <f t="shared" si="114"/>
        <v>55658.45</v>
      </c>
      <c r="H260" s="434">
        <f t="shared" si="114"/>
        <v>42038</v>
      </c>
      <c r="I260" s="434">
        <f t="shared" si="114"/>
        <v>39231.58</v>
      </c>
      <c r="J260" s="434">
        <f t="shared" si="114"/>
        <v>29080.539999999997</v>
      </c>
      <c r="K260" s="434">
        <f t="shared" si="114"/>
        <v>32129.120000000003</v>
      </c>
      <c r="L260" s="434">
        <f t="shared" si="114"/>
        <v>28386.04</v>
      </c>
      <c r="M260" s="434">
        <f t="shared" si="114"/>
        <v>29979.340000000004</v>
      </c>
      <c r="N260" s="434">
        <f t="shared" si="114"/>
        <v>37632.81</v>
      </c>
      <c r="O260" s="434">
        <f t="shared" si="114"/>
        <v>47031.979999999996</v>
      </c>
      <c r="P260" s="434">
        <f t="shared" si="114"/>
        <v>53522.66</v>
      </c>
      <c r="Q260" s="434">
        <f>SUM(E260:P260)</f>
        <v>522630.61</v>
      </c>
    </row>
    <row r="261" spans="1:17" x14ac:dyDescent="0.2">
      <c r="A261" s="263">
        <f>A260+1</f>
        <v>36</v>
      </c>
      <c r="C261" s="451" t="s">
        <v>222</v>
      </c>
      <c r="E261" s="434">
        <f t="shared" ref="E261:P261" si="115">E1019</f>
        <v>0</v>
      </c>
      <c r="F261" s="434">
        <f t="shared" si="115"/>
        <v>0</v>
      </c>
      <c r="G261" s="434">
        <f t="shared" si="115"/>
        <v>0</v>
      </c>
      <c r="H261" s="434">
        <f t="shared" si="115"/>
        <v>0</v>
      </c>
      <c r="I261" s="434">
        <f t="shared" si="115"/>
        <v>0</v>
      </c>
      <c r="J261" s="434">
        <f t="shared" si="115"/>
        <v>0</v>
      </c>
      <c r="K261" s="434">
        <f t="shared" si="115"/>
        <v>0</v>
      </c>
      <c r="L261" s="434">
        <f t="shared" si="115"/>
        <v>0</v>
      </c>
      <c r="M261" s="434">
        <f t="shared" si="115"/>
        <v>0</v>
      </c>
      <c r="N261" s="434">
        <f t="shared" si="115"/>
        <v>0</v>
      </c>
      <c r="O261" s="434">
        <f t="shared" si="115"/>
        <v>0</v>
      </c>
      <c r="P261" s="434">
        <f t="shared" si="115"/>
        <v>0</v>
      </c>
      <c r="Q261" s="434">
        <f>SUM(E261:P261)</f>
        <v>0</v>
      </c>
    </row>
    <row r="262" spans="1:17" x14ac:dyDescent="0.2">
      <c r="A262" s="720">
        <f>A261+1</f>
        <v>37</v>
      </c>
      <c r="B262" s="454"/>
      <c r="C262" s="455" t="s">
        <v>577</v>
      </c>
      <c r="D262" s="456"/>
      <c r="E262" s="457">
        <f t="shared" ref="E262:P262" si="116">E1021</f>
        <v>64359.47</v>
      </c>
      <c r="F262" s="457">
        <f t="shared" si="116"/>
        <v>63580.62</v>
      </c>
      <c r="G262" s="457">
        <f t="shared" si="116"/>
        <v>55658.45</v>
      </c>
      <c r="H262" s="457">
        <f t="shared" si="116"/>
        <v>42038</v>
      </c>
      <c r="I262" s="457">
        <f t="shared" si="116"/>
        <v>39231.58</v>
      </c>
      <c r="J262" s="457">
        <f t="shared" si="116"/>
        <v>29080.539999999997</v>
      </c>
      <c r="K262" s="457">
        <f t="shared" si="116"/>
        <v>32129.120000000003</v>
      </c>
      <c r="L262" s="457">
        <f t="shared" si="116"/>
        <v>28386.04</v>
      </c>
      <c r="M262" s="457">
        <f t="shared" si="116"/>
        <v>29979.340000000004</v>
      </c>
      <c r="N262" s="457">
        <f t="shared" si="116"/>
        <v>37632.81</v>
      </c>
      <c r="O262" s="457">
        <f t="shared" si="116"/>
        <v>47031.979999999996</v>
      </c>
      <c r="P262" s="457">
        <f t="shared" si="116"/>
        <v>53522.66</v>
      </c>
      <c r="Q262" s="457">
        <f>SUM(E262:P262)</f>
        <v>522630.61</v>
      </c>
    </row>
    <row r="263" spans="1:17" x14ac:dyDescent="0.2">
      <c r="G263" s="294"/>
      <c r="Q263" s="294"/>
    </row>
    <row r="264" spans="1:17" x14ac:dyDescent="0.2">
      <c r="A264" s="221"/>
      <c r="D264" s="221"/>
      <c r="F264" s="221"/>
      <c r="G264" s="221"/>
      <c r="H264" s="221"/>
      <c r="I264" s="221"/>
      <c r="J264" s="221"/>
      <c r="K264" s="221"/>
      <c r="L264" s="221"/>
      <c r="M264" s="221"/>
      <c r="N264" s="221"/>
      <c r="O264" s="221"/>
      <c r="P264" s="221"/>
    </row>
    <row r="265" spans="1:17" x14ac:dyDescent="0.2">
      <c r="A265" s="629" t="str">
        <f>$A$107</f>
        <v>[1] Reflects Normalized Volumes.</v>
      </c>
      <c r="D265" s="221"/>
      <c r="F265" s="221"/>
      <c r="G265" s="221"/>
      <c r="H265" s="221"/>
      <c r="I265" s="221"/>
      <c r="J265" s="221"/>
      <c r="K265" s="221"/>
      <c r="L265" s="221"/>
      <c r="M265" s="221"/>
      <c r="N265" s="221"/>
      <c r="O265" s="221"/>
      <c r="P265" s="221"/>
    </row>
    <row r="266" spans="1:17" x14ac:dyDescent="0.2">
      <c r="A266" s="629" t="str">
        <f>$A$108</f>
        <v>[2] See Schedule M-2.2 Pages 8 through 21 for detail.</v>
      </c>
      <c r="D266" s="221"/>
      <c r="F266" s="221"/>
      <c r="G266" s="221"/>
      <c r="H266" s="221"/>
      <c r="I266" s="221"/>
      <c r="J266" s="221"/>
      <c r="K266" s="221"/>
      <c r="L266" s="221"/>
      <c r="M266" s="221"/>
      <c r="N266" s="221"/>
      <c r="O266" s="221"/>
      <c r="P266" s="221"/>
    </row>
    <row r="267" spans="1:17" x14ac:dyDescent="0.2">
      <c r="A267" s="887" t="str">
        <f>CONAME</f>
        <v>Columbia Gas of Kentucky, Inc.</v>
      </c>
      <c r="B267" s="887"/>
      <c r="C267" s="887"/>
      <c r="D267" s="887"/>
      <c r="E267" s="887"/>
      <c r="F267" s="887"/>
      <c r="G267" s="887"/>
      <c r="H267" s="887"/>
      <c r="I267" s="887"/>
      <c r="J267" s="887"/>
      <c r="K267" s="887"/>
      <c r="L267" s="887"/>
      <c r="M267" s="887"/>
      <c r="N267" s="887"/>
      <c r="O267" s="887"/>
      <c r="P267" s="887"/>
      <c r="Q267" s="887"/>
    </row>
    <row r="268" spans="1:17" x14ac:dyDescent="0.2">
      <c r="A268" s="875" t="str">
        <f>case</f>
        <v>Case No. 2016-00162</v>
      </c>
      <c r="B268" s="875"/>
      <c r="C268" s="875"/>
      <c r="D268" s="875"/>
      <c r="E268" s="875"/>
      <c r="F268" s="875"/>
      <c r="G268" s="875"/>
      <c r="H268" s="875"/>
      <c r="I268" s="875"/>
      <c r="J268" s="875"/>
      <c r="K268" s="875"/>
      <c r="L268" s="875"/>
      <c r="M268" s="875"/>
      <c r="N268" s="875"/>
      <c r="O268" s="875"/>
      <c r="P268" s="875"/>
      <c r="Q268" s="875"/>
    </row>
    <row r="269" spans="1:17" x14ac:dyDescent="0.2">
      <c r="A269" s="888" t="s">
        <v>200</v>
      </c>
      <c r="B269" s="888"/>
      <c r="C269" s="888"/>
      <c r="D269" s="888"/>
      <c r="E269" s="888"/>
      <c r="F269" s="888"/>
      <c r="G269" s="888"/>
      <c r="H269" s="888"/>
      <c r="I269" s="888"/>
      <c r="J269" s="888"/>
      <c r="K269" s="888"/>
      <c r="L269" s="888"/>
      <c r="M269" s="888"/>
      <c r="N269" s="888"/>
      <c r="O269" s="888"/>
      <c r="P269" s="888"/>
      <c r="Q269" s="888"/>
    </row>
    <row r="270" spans="1:17" x14ac:dyDescent="0.2">
      <c r="A270" s="887" t="str">
        <f>TYDESC</f>
        <v>For the 12 Months Ended December 31, 2017</v>
      </c>
      <c r="B270" s="887"/>
      <c r="C270" s="887"/>
      <c r="D270" s="887"/>
      <c r="E270" s="887"/>
      <c r="F270" s="887"/>
      <c r="G270" s="887"/>
      <c r="H270" s="887"/>
      <c r="I270" s="887"/>
      <c r="J270" s="887"/>
      <c r="K270" s="887"/>
      <c r="L270" s="887"/>
      <c r="M270" s="887"/>
      <c r="N270" s="887"/>
      <c r="O270" s="887"/>
      <c r="P270" s="887"/>
      <c r="Q270" s="887"/>
    </row>
    <row r="271" spans="1:17" x14ac:dyDescent="0.2">
      <c r="A271" s="885" t="s">
        <v>39</v>
      </c>
      <c r="B271" s="885"/>
      <c r="C271" s="885"/>
      <c r="D271" s="885"/>
      <c r="E271" s="885"/>
      <c r="F271" s="885"/>
      <c r="G271" s="885"/>
      <c r="H271" s="885"/>
      <c r="I271" s="885"/>
      <c r="J271" s="885"/>
      <c r="K271" s="885"/>
      <c r="L271" s="885"/>
      <c r="M271" s="885"/>
      <c r="N271" s="885"/>
      <c r="O271" s="885"/>
      <c r="P271" s="885"/>
      <c r="Q271" s="885"/>
    </row>
    <row r="272" spans="1:17" x14ac:dyDescent="0.2">
      <c r="A272" s="718" t="str">
        <f>$A$52</f>
        <v>Data: __ Base Period _X_ Forecasted Period</v>
      </c>
    </row>
    <row r="273" spans="1:17" x14ac:dyDescent="0.2">
      <c r="A273" s="718" t="str">
        <f>$A$53</f>
        <v>Type of Filing: X Original _ Update _ Revised</v>
      </c>
      <c r="Q273" s="420" t="str">
        <f>$Q$53</f>
        <v>Schedule M-2.3</v>
      </c>
    </row>
    <row r="274" spans="1:17" x14ac:dyDescent="0.2">
      <c r="A274" s="718" t="str">
        <f>$A$54</f>
        <v>Work Paper Reference No(s):</v>
      </c>
      <c r="Q274" s="420" t="s">
        <v>509</v>
      </c>
    </row>
    <row r="275" spans="1:17" x14ac:dyDescent="0.2">
      <c r="A275" s="719" t="str">
        <f>$A$55</f>
        <v>12 Months Forecasted</v>
      </c>
      <c r="Q275" s="420" t="str">
        <f>Witness</f>
        <v>Witness:  M. J. Bell</v>
      </c>
    </row>
    <row r="276" spans="1:17" x14ac:dyDescent="0.2">
      <c r="A276" s="886" t="s">
        <v>294</v>
      </c>
      <c r="B276" s="886"/>
      <c r="C276" s="886"/>
      <c r="D276" s="886"/>
      <c r="E276" s="886"/>
      <c r="F276" s="886"/>
      <c r="G276" s="886"/>
      <c r="H276" s="886"/>
      <c r="I276" s="886"/>
      <c r="J276" s="886"/>
      <c r="K276" s="886"/>
      <c r="L276" s="886"/>
      <c r="M276" s="886"/>
      <c r="N276" s="886"/>
      <c r="O276" s="886"/>
      <c r="P276" s="886"/>
      <c r="Q276" s="886"/>
    </row>
    <row r="277" spans="1:17" x14ac:dyDescent="0.2">
      <c r="A277" s="227"/>
      <c r="B277" s="305"/>
      <c r="C277" s="305"/>
      <c r="D277" s="304"/>
      <c r="E277" s="305"/>
      <c r="F277" s="422"/>
      <c r="G277" s="442"/>
      <c r="H277" s="422"/>
      <c r="I277" s="443"/>
      <c r="J277" s="422"/>
      <c r="K277" s="422"/>
      <c r="L277" s="422"/>
      <c r="M277" s="422"/>
      <c r="N277" s="422"/>
      <c r="O277" s="422"/>
      <c r="P277" s="422"/>
      <c r="Q277" s="305"/>
    </row>
    <row r="278" spans="1:17" x14ac:dyDescent="0.2">
      <c r="A278" s="416" t="s">
        <v>1</v>
      </c>
      <c r="B278" s="226" t="s">
        <v>0</v>
      </c>
      <c r="C278" s="226" t="s">
        <v>41</v>
      </c>
      <c r="D278" s="423" t="s">
        <v>30</v>
      </c>
      <c r="E278" s="424"/>
      <c r="F278" s="425"/>
      <c r="G278" s="424"/>
      <c r="H278" s="426"/>
      <c r="I278" s="424"/>
      <c r="J278" s="424"/>
      <c r="K278" s="424"/>
      <c r="L278" s="424"/>
      <c r="M278" s="424"/>
      <c r="N278" s="424"/>
      <c r="O278" s="231"/>
      <c r="P278" s="231"/>
      <c r="Q278" s="231"/>
    </row>
    <row r="279" spans="1:17" x14ac:dyDescent="0.2">
      <c r="A279" s="285" t="s">
        <v>3</v>
      </c>
      <c r="B279" s="228" t="s">
        <v>40</v>
      </c>
      <c r="C279" s="228" t="s">
        <v>4</v>
      </c>
      <c r="D279" s="427" t="s">
        <v>48</v>
      </c>
      <c r="E279" s="428" t="str">
        <f>B!$D$11</f>
        <v>Jan-17</v>
      </c>
      <c r="F279" s="428" t="str">
        <f>B!$E$11</f>
        <v>Feb-17</v>
      </c>
      <c r="G279" s="428" t="str">
        <f>B!$F$11</f>
        <v>Mar-17</v>
      </c>
      <c r="H279" s="428" t="str">
        <f>B!$G$11</f>
        <v>Apr-17</v>
      </c>
      <c r="I279" s="428" t="str">
        <f>B!$H$11</f>
        <v>May-17</v>
      </c>
      <c r="J279" s="428" t="str">
        <f>B!$I$11</f>
        <v>Jun-17</v>
      </c>
      <c r="K279" s="428" t="str">
        <f>B!$J$11</f>
        <v>Jul-17</v>
      </c>
      <c r="L279" s="428" t="str">
        <f>B!$K$11</f>
        <v>Aug-17</v>
      </c>
      <c r="M279" s="428" t="str">
        <f>B!$L$11</f>
        <v>Sep-17</v>
      </c>
      <c r="N279" s="428" t="str">
        <f>B!$M$11</f>
        <v>Oct-17</v>
      </c>
      <c r="O279" s="428" t="str">
        <f>B!$N$11</f>
        <v>Nov-17</v>
      </c>
      <c r="P279" s="428" t="str">
        <f>B!$O$11</f>
        <v>Dec-17</v>
      </c>
      <c r="Q279" s="429" t="s">
        <v>9</v>
      </c>
    </row>
    <row r="280" spans="1:17" x14ac:dyDescent="0.2">
      <c r="A280" s="416"/>
      <c r="B280" s="231" t="s">
        <v>42</v>
      </c>
      <c r="C280" s="231" t="s">
        <v>43</v>
      </c>
      <c r="D280" s="430" t="s">
        <v>45</v>
      </c>
      <c r="E280" s="431" t="s">
        <v>46</v>
      </c>
      <c r="F280" s="431" t="s">
        <v>49</v>
      </c>
      <c r="G280" s="431" t="s">
        <v>50</v>
      </c>
      <c r="H280" s="431" t="s">
        <v>51</v>
      </c>
      <c r="I280" s="431" t="s">
        <v>52</v>
      </c>
      <c r="J280" s="432" t="s">
        <v>53</v>
      </c>
      <c r="K280" s="432" t="s">
        <v>54</v>
      </c>
      <c r="L280" s="432" t="s">
        <v>55</v>
      </c>
      <c r="M280" s="432" t="s">
        <v>56</v>
      </c>
      <c r="N280" s="432" t="s">
        <v>57</v>
      </c>
      <c r="O280" s="432" t="s">
        <v>58</v>
      </c>
      <c r="P280" s="432" t="s">
        <v>59</v>
      </c>
      <c r="Q280" s="432" t="s">
        <v>203</v>
      </c>
    </row>
    <row r="281" spans="1:17" x14ac:dyDescent="0.2">
      <c r="E281" s="231"/>
      <c r="F281" s="432"/>
      <c r="G281" s="444"/>
      <c r="H281" s="432"/>
      <c r="I281" s="431"/>
      <c r="J281" s="432"/>
      <c r="K281" s="432"/>
      <c r="L281" s="432"/>
      <c r="M281" s="432"/>
      <c r="N281" s="432"/>
      <c r="O281" s="432"/>
      <c r="P281" s="432"/>
      <c r="Q281" s="231"/>
    </row>
    <row r="283" spans="1:17" x14ac:dyDescent="0.2">
      <c r="A283" s="263">
        <v>1</v>
      </c>
      <c r="C283" s="445" t="s">
        <v>95</v>
      </c>
    </row>
    <row r="285" spans="1:17" x14ac:dyDescent="0.2">
      <c r="A285" s="263">
        <f>A283+1</f>
        <v>2</v>
      </c>
      <c r="B285" s="221" t="str">
        <f>Input!A47</f>
        <v>GDS</v>
      </c>
      <c r="C285" s="221" t="str">
        <f>'Sch M 2.1'!B42</f>
        <v>GTS Grandfathered Delivery Service - Industrial</v>
      </c>
      <c r="G285" s="294"/>
      <c r="Q285" s="294"/>
    </row>
    <row r="286" spans="1:17" x14ac:dyDescent="0.2">
      <c r="A286" s="263">
        <f>A285+1</f>
        <v>3</v>
      </c>
      <c r="C286" s="451" t="s">
        <v>219</v>
      </c>
      <c r="E286" s="242">
        <f t="shared" ref="E286:P286" si="117">E1027</f>
        <v>15</v>
      </c>
      <c r="F286" s="242">
        <f t="shared" si="117"/>
        <v>15</v>
      </c>
      <c r="G286" s="242">
        <f t="shared" si="117"/>
        <v>15</v>
      </c>
      <c r="H286" s="242">
        <f t="shared" si="117"/>
        <v>15</v>
      </c>
      <c r="I286" s="242">
        <f t="shared" si="117"/>
        <v>15</v>
      </c>
      <c r="J286" s="242">
        <f t="shared" si="117"/>
        <v>15</v>
      </c>
      <c r="K286" s="242">
        <f t="shared" si="117"/>
        <v>15</v>
      </c>
      <c r="L286" s="242">
        <f t="shared" si="117"/>
        <v>15</v>
      </c>
      <c r="M286" s="242">
        <f t="shared" si="117"/>
        <v>15</v>
      </c>
      <c r="N286" s="242">
        <f t="shared" si="117"/>
        <v>15</v>
      </c>
      <c r="O286" s="242">
        <f t="shared" si="117"/>
        <v>15</v>
      </c>
      <c r="P286" s="242">
        <f t="shared" si="117"/>
        <v>15</v>
      </c>
      <c r="Q286" s="242">
        <f>SUM(E286:P286)</f>
        <v>180</v>
      </c>
    </row>
    <row r="287" spans="1:17" x14ac:dyDescent="0.2">
      <c r="A287" s="263">
        <f>A286+1</f>
        <v>4</v>
      </c>
      <c r="C287" s="451" t="s">
        <v>576</v>
      </c>
      <c r="E287" s="247">
        <f t="shared" ref="E287:P287" si="118">E1037</f>
        <v>17844.3</v>
      </c>
      <c r="F287" s="247">
        <f t="shared" si="118"/>
        <v>16829.3</v>
      </c>
      <c r="G287" s="247">
        <f t="shared" si="118"/>
        <v>19051.3</v>
      </c>
      <c r="H287" s="247">
        <f t="shared" si="118"/>
        <v>14067.2</v>
      </c>
      <c r="I287" s="247">
        <f t="shared" si="118"/>
        <v>13118.3</v>
      </c>
      <c r="J287" s="247">
        <f t="shared" si="118"/>
        <v>8875.7000000000007</v>
      </c>
      <c r="K287" s="247">
        <f t="shared" si="118"/>
        <v>8048.4</v>
      </c>
      <c r="L287" s="247">
        <f t="shared" si="118"/>
        <v>9066.7999999999993</v>
      </c>
      <c r="M287" s="247">
        <f t="shared" si="118"/>
        <v>9786.2999999999993</v>
      </c>
      <c r="N287" s="247">
        <f t="shared" si="118"/>
        <v>10096.700000000001</v>
      </c>
      <c r="O287" s="247">
        <f t="shared" si="118"/>
        <v>12703</v>
      </c>
      <c r="P287" s="247">
        <f t="shared" si="118"/>
        <v>14980.599999999999</v>
      </c>
      <c r="Q287" s="247">
        <f>SUM(E287:P287)</f>
        <v>154467.9</v>
      </c>
    </row>
    <row r="288" spans="1:17" x14ac:dyDescent="0.2">
      <c r="A288" s="263">
        <f>A287+1</f>
        <v>5</v>
      </c>
      <c r="C288" s="451" t="s">
        <v>221</v>
      </c>
      <c r="E288" s="434">
        <f t="shared" ref="E288:P288" si="119">E1045</f>
        <v>45600.160000000003</v>
      </c>
      <c r="F288" s="434">
        <f t="shared" si="119"/>
        <v>43323.7</v>
      </c>
      <c r="G288" s="434">
        <f t="shared" si="119"/>
        <v>49005.4</v>
      </c>
      <c r="H288" s="434">
        <f t="shared" si="119"/>
        <v>37081.019999999997</v>
      </c>
      <c r="I288" s="434">
        <f t="shared" si="119"/>
        <v>34362.880000000005</v>
      </c>
      <c r="J288" s="434">
        <f t="shared" si="119"/>
        <v>23562.84</v>
      </c>
      <c r="K288" s="434">
        <f t="shared" si="119"/>
        <v>21650.03</v>
      </c>
      <c r="L288" s="434">
        <f t="shared" si="119"/>
        <v>24283.789999999997</v>
      </c>
      <c r="M288" s="434">
        <f t="shared" si="119"/>
        <v>25932.02</v>
      </c>
      <c r="N288" s="434">
        <f t="shared" si="119"/>
        <v>26818.23</v>
      </c>
      <c r="O288" s="434">
        <f t="shared" si="119"/>
        <v>33354.47</v>
      </c>
      <c r="P288" s="434">
        <f t="shared" si="119"/>
        <v>39040.839999999997</v>
      </c>
      <c r="Q288" s="434">
        <f>SUM(E288:P288)</f>
        <v>404015.38</v>
      </c>
    </row>
    <row r="289" spans="1:17" x14ac:dyDescent="0.2">
      <c r="A289" s="263">
        <f>A288+1</f>
        <v>6</v>
      </c>
      <c r="C289" s="451" t="s">
        <v>222</v>
      </c>
      <c r="E289" s="434">
        <f t="shared" ref="E289:P289" si="120">E1047</f>
        <v>0</v>
      </c>
      <c r="F289" s="434">
        <f t="shared" si="120"/>
        <v>0</v>
      </c>
      <c r="G289" s="434">
        <f t="shared" si="120"/>
        <v>0</v>
      </c>
      <c r="H289" s="434">
        <f t="shared" si="120"/>
        <v>0</v>
      </c>
      <c r="I289" s="434">
        <f t="shared" si="120"/>
        <v>0</v>
      </c>
      <c r="J289" s="434">
        <f t="shared" si="120"/>
        <v>0</v>
      </c>
      <c r="K289" s="434">
        <f t="shared" si="120"/>
        <v>0</v>
      </c>
      <c r="L289" s="434">
        <f t="shared" si="120"/>
        <v>0</v>
      </c>
      <c r="M289" s="434">
        <f t="shared" si="120"/>
        <v>0</v>
      </c>
      <c r="N289" s="434">
        <f t="shared" si="120"/>
        <v>0</v>
      </c>
      <c r="O289" s="434">
        <f t="shared" si="120"/>
        <v>0</v>
      </c>
      <c r="P289" s="434">
        <f t="shared" si="120"/>
        <v>0</v>
      </c>
      <c r="Q289" s="434">
        <f>SUM(E289:P289)</f>
        <v>0</v>
      </c>
    </row>
    <row r="290" spans="1:17" x14ac:dyDescent="0.2">
      <c r="A290" s="720">
        <f>A289+1</f>
        <v>7</v>
      </c>
      <c r="B290" s="454"/>
      <c r="C290" s="455" t="s">
        <v>577</v>
      </c>
      <c r="D290" s="456"/>
      <c r="E290" s="457">
        <f t="shared" ref="E290:P290" si="121">E1049</f>
        <v>45600.160000000003</v>
      </c>
      <c r="F290" s="457">
        <f t="shared" si="121"/>
        <v>43323.7</v>
      </c>
      <c r="G290" s="457">
        <f t="shared" si="121"/>
        <v>49005.4</v>
      </c>
      <c r="H290" s="457">
        <f t="shared" si="121"/>
        <v>37081.019999999997</v>
      </c>
      <c r="I290" s="457">
        <f t="shared" si="121"/>
        <v>34362.880000000005</v>
      </c>
      <c r="J290" s="457">
        <f t="shared" si="121"/>
        <v>23562.84</v>
      </c>
      <c r="K290" s="457">
        <f t="shared" si="121"/>
        <v>21650.03</v>
      </c>
      <c r="L290" s="457">
        <f t="shared" si="121"/>
        <v>24283.789999999997</v>
      </c>
      <c r="M290" s="457">
        <f t="shared" si="121"/>
        <v>25932.02</v>
      </c>
      <c r="N290" s="457">
        <f t="shared" si="121"/>
        <v>26818.23</v>
      </c>
      <c r="O290" s="457">
        <f t="shared" si="121"/>
        <v>33354.47</v>
      </c>
      <c r="P290" s="457">
        <f t="shared" si="121"/>
        <v>39040.839999999997</v>
      </c>
      <c r="Q290" s="457">
        <f>SUM(E290:P290)</f>
        <v>404015.38</v>
      </c>
    </row>
    <row r="291" spans="1:17" x14ac:dyDescent="0.2">
      <c r="A291" s="622"/>
      <c r="B291" s="305"/>
      <c r="C291" s="462"/>
      <c r="D291" s="304"/>
      <c r="E291" s="493"/>
      <c r="F291" s="493"/>
      <c r="G291" s="493"/>
      <c r="H291" s="493"/>
      <c r="I291" s="493"/>
      <c r="J291" s="493"/>
      <c r="K291" s="493"/>
      <c r="L291" s="493"/>
      <c r="M291" s="493"/>
      <c r="N291" s="493"/>
      <c r="O291" s="493"/>
      <c r="P291" s="493"/>
      <c r="Q291" s="493"/>
    </row>
    <row r="292" spans="1:17" x14ac:dyDescent="0.2">
      <c r="A292" s="263">
        <f>A290+1</f>
        <v>8</v>
      </c>
      <c r="B292" s="221" t="str">
        <f>Input!A48</f>
        <v>DS3</v>
      </c>
      <c r="C292" s="221" t="str">
        <f>'Sch M 2.1'!B43</f>
        <v>GTS Main Line Service - Industrial</v>
      </c>
      <c r="G292" s="294"/>
      <c r="Q292" s="294"/>
    </row>
    <row r="293" spans="1:17" x14ac:dyDescent="0.2">
      <c r="A293" s="263">
        <f>A292+1</f>
        <v>9</v>
      </c>
      <c r="C293" s="451" t="s">
        <v>219</v>
      </c>
      <c r="E293" s="242">
        <f t="shared" ref="E293:P293" si="122">E1072</f>
        <v>3</v>
      </c>
      <c r="F293" s="242">
        <f t="shared" si="122"/>
        <v>3</v>
      </c>
      <c r="G293" s="242">
        <f t="shared" si="122"/>
        <v>3</v>
      </c>
      <c r="H293" s="242">
        <f t="shared" si="122"/>
        <v>3</v>
      </c>
      <c r="I293" s="242">
        <f t="shared" si="122"/>
        <v>3</v>
      </c>
      <c r="J293" s="242">
        <f t="shared" si="122"/>
        <v>3</v>
      </c>
      <c r="K293" s="242">
        <f t="shared" si="122"/>
        <v>3</v>
      </c>
      <c r="L293" s="242">
        <f t="shared" si="122"/>
        <v>3</v>
      </c>
      <c r="M293" s="242">
        <f t="shared" si="122"/>
        <v>3</v>
      </c>
      <c r="N293" s="242">
        <f t="shared" si="122"/>
        <v>3</v>
      </c>
      <c r="O293" s="242">
        <f t="shared" si="122"/>
        <v>3</v>
      </c>
      <c r="P293" s="242">
        <f t="shared" si="122"/>
        <v>3</v>
      </c>
      <c r="Q293" s="242">
        <f>SUM(E293:P293)</f>
        <v>36</v>
      </c>
    </row>
    <row r="294" spans="1:17" x14ac:dyDescent="0.2">
      <c r="A294" s="263">
        <f>A293+1</f>
        <v>10</v>
      </c>
      <c r="C294" s="451" t="s">
        <v>576</v>
      </c>
      <c r="E294" s="247">
        <f t="shared" ref="E294:P294" si="123">E1076</f>
        <v>58289</v>
      </c>
      <c r="F294" s="247">
        <f t="shared" si="123"/>
        <v>56724</v>
      </c>
      <c r="G294" s="247">
        <f t="shared" si="123"/>
        <v>56724</v>
      </c>
      <c r="H294" s="247">
        <f t="shared" si="123"/>
        <v>57213</v>
      </c>
      <c r="I294" s="247">
        <f t="shared" si="123"/>
        <v>57995</v>
      </c>
      <c r="J294" s="247">
        <f t="shared" si="123"/>
        <v>58484</v>
      </c>
      <c r="K294" s="247">
        <f t="shared" si="123"/>
        <v>55942</v>
      </c>
      <c r="L294" s="247">
        <f t="shared" si="123"/>
        <v>54866</v>
      </c>
      <c r="M294" s="247">
        <f t="shared" si="123"/>
        <v>55746</v>
      </c>
      <c r="N294" s="247">
        <f t="shared" si="123"/>
        <v>58093</v>
      </c>
      <c r="O294" s="247">
        <f t="shared" si="123"/>
        <v>57604</v>
      </c>
      <c r="P294" s="247">
        <f t="shared" si="123"/>
        <v>53301</v>
      </c>
      <c r="Q294" s="247">
        <f>SUM(E294:P294)</f>
        <v>680981</v>
      </c>
    </row>
    <row r="295" spans="1:17" x14ac:dyDescent="0.2">
      <c r="A295" s="263">
        <f>A294+1</f>
        <v>11</v>
      </c>
      <c r="C295" s="451" t="s">
        <v>221</v>
      </c>
      <c r="E295" s="434">
        <f t="shared" ref="E295:P295" si="124">E1079</f>
        <v>5768.9</v>
      </c>
      <c r="F295" s="434">
        <f t="shared" si="124"/>
        <v>5634.62</v>
      </c>
      <c r="G295" s="434">
        <f t="shared" si="124"/>
        <v>5634.62</v>
      </c>
      <c r="H295" s="434">
        <f t="shared" si="124"/>
        <v>5676.58</v>
      </c>
      <c r="I295" s="434">
        <f t="shared" si="124"/>
        <v>5743.67</v>
      </c>
      <c r="J295" s="434">
        <f t="shared" si="124"/>
        <v>5785.63</v>
      </c>
      <c r="K295" s="434">
        <f t="shared" si="124"/>
        <v>5567.5199999999995</v>
      </c>
      <c r="L295" s="434">
        <f t="shared" si="124"/>
        <v>5475.2</v>
      </c>
      <c r="M295" s="434">
        <f t="shared" si="124"/>
        <v>5550.71</v>
      </c>
      <c r="N295" s="434">
        <f t="shared" si="124"/>
        <v>5752.08</v>
      </c>
      <c r="O295" s="434">
        <f t="shared" si="124"/>
        <v>5710.12</v>
      </c>
      <c r="P295" s="434">
        <f t="shared" si="124"/>
        <v>5340.9299999999994</v>
      </c>
      <c r="Q295" s="434">
        <f>SUM(E295:P295)</f>
        <v>67640.579999999987</v>
      </c>
    </row>
    <row r="296" spans="1:17" x14ac:dyDescent="0.2">
      <c r="A296" s="263">
        <f>A295+1</f>
        <v>12</v>
      </c>
      <c r="C296" s="451" t="s">
        <v>222</v>
      </c>
      <c r="E296" s="434">
        <f t="shared" ref="E296:P296" si="125">E1081</f>
        <v>0</v>
      </c>
      <c r="F296" s="434">
        <f t="shared" si="125"/>
        <v>0</v>
      </c>
      <c r="G296" s="434">
        <f t="shared" si="125"/>
        <v>0</v>
      </c>
      <c r="H296" s="434">
        <f t="shared" si="125"/>
        <v>0</v>
      </c>
      <c r="I296" s="434">
        <f t="shared" si="125"/>
        <v>0</v>
      </c>
      <c r="J296" s="434">
        <f t="shared" si="125"/>
        <v>0</v>
      </c>
      <c r="K296" s="434">
        <f t="shared" si="125"/>
        <v>0</v>
      </c>
      <c r="L296" s="434">
        <f t="shared" si="125"/>
        <v>0</v>
      </c>
      <c r="M296" s="434">
        <f t="shared" si="125"/>
        <v>0</v>
      </c>
      <c r="N296" s="434">
        <f t="shared" si="125"/>
        <v>0</v>
      </c>
      <c r="O296" s="434">
        <f t="shared" si="125"/>
        <v>0</v>
      </c>
      <c r="P296" s="434">
        <f t="shared" si="125"/>
        <v>0</v>
      </c>
      <c r="Q296" s="434">
        <f>SUM(E296:P296)</f>
        <v>0</v>
      </c>
    </row>
    <row r="297" spans="1:17" x14ac:dyDescent="0.2">
      <c r="A297" s="720">
        <f>A296+1</f>
        <v>13</v>
      </c>
      <c r="B297" s="454"/>
      <c r="C297" s="455" t="s">
        <v>577</v>
      </c>
      <c r="D297" s="456"/>
      <c r="E297" s="457">
        <f t="shared" ref="E297:P297" si="126">E1083</f>
        <v>5768.9</v>
      </c>
      <c r="F297" s="457">
        <f t="shared" si="126"/>
        <v>5634.62</v>
      </c>
      <c r="G297" s="457">
        <f t="shared" si="126"/>
        <v>5634.62</v>
      </c>
      <c r="H297" s="457">
        <f t="shared" si="126"/>
        <v>5676.58</v>
      </c>
      <c r="I297" s="457">
        <f t="shared" si="126"/>
        <v>5743.67</v>
      </c>
      <c r="J297" s="457">
        <f t="shared" si="126"/>
        <v>5785.63</v>
      </c>
      <c r="K297" s="457">
        <f t="shared" si="126"/>
        <v>5567.5199999999995</v>
      </c>
      <c r="L297" s="457">
        <f t="shared" si="126"/>
        <v>5475.2</v>
      </c>
      <c r="M297" s="457">
        <f t="shared" si="126"/>
        <v>5550.71</v>
      </c>
      <c r="N297" s="457">
        <f t="shared" si="126"/>
        <v>5752.08</v>
      </c>
      <c r="O297" s="457">
        <f t="shared" si="126"/>
        <v>5710.12</v>
      </c>
      <c r="P297" s="457">
        <f t="shared" si="126"/>
        <v>5340.9299999999994</v>
      </c>
      <c r="Q297" s="457">
        <f>SUM(E297:P297)</f>
        <v>67640.579999999987</v>
      </c>
    </row>
    <row r="299" spans="1:17" x14ac:dyDescent="0.2">
      <c r="A299" s="263">
        <f>A297+1</f>
        <v>14</v>
      </c>
      <c r="B299" s="221" t="str">
        <f>Input!A49</f>
        <v>FX1</v>
      </c>
      <c r="C299" s="221" t="str">
        <f>'Sch M 2.1'!B44</f>
        <v>GTS Flex Rate - Commercial</v>
      </c>
      <c r="G299" s="294"/>
      <c r="Q299" s="294"/>
    </row>
    <row r="300" spans="1:17" x14ac:dyDescent="0.2">
      <c r="A300" s="263">
        <f>A299+1</f>
        <v>15</v>
      </c>
      <c r="C300" s="451" t="s">
        <v>219</v>
      </c>
      <c r="E300" s="242">
        <f t="shared" ref="E300:P300" si="127">E1090</f>
        <v>1</v>
      </c>
      <c r="F300" s="242">
        <f t="shared" si="127"/>
        <v>1</v>
      </c>
      <c r="G300" s="242">
        <f t="shared" si="127"/>
        <v>1</v>
      </c>
      <c r="H300" s="242">
        <f t="shared" si="127"/>
        <v>1</v>
      </c>
      <c r="I300" s="242">
        <f t="shared" si="127"/>
        <v>1</v>
      </c>
      <c r="J300" s="242">
        <f t="shared" si="127"/>
        <v>1</v>
      </c>
      <c r="K300" s="242">
        <f t="shared" si="127"/>
        <v>1</v>
      </c>
      <c r="L300" s="242">
        <f t="shared" si="127"/>
        <v>1</v>
      </c>
      <c r="M300" s="242">
        <f t="shared" si="127"/>
        <v>1</v>
      </c>
      <c r="N300" s="242">
        <f t="shared" si="127"/>
        <v>1</v>
      </c>
      <c r="O300" s="242">
        <f t="shared" si="127"/>
        <v>1</v>
      </c>
      <c r="P300" s="242">
        <f t="shared" si="127"/>
        <v>1</v>
      </c>
      <c r="Q300" s="242">
        <f>SUM(E300:P300)</f>
        <v>12</v>
      </c>
    </row>
    <row r="301" spans="1:17" x14ac:dyDescent="0.2">
      <c r="A301" s="263">
        <f>A300+1</f>
        <v>16</v>
      </c>
      <c r="C301" s="451" t="s">
        <v>576</v>
      </c>
      <c r="E301" s="247">
        <f t="shared" ref="E301:P301" si="128">E1094</f>
        <v>74328</v>
      </c>
      <c r="F301" s="247">
        <f t="shared" si="128"/>
        <v>58680</v>
      </c>
      <c r="G301" s="247">
        <f t="shared" si="128"/>
        <v>70416</v>
      </c>
      <c r="H301" s="247">
        <f t="shared" si="128"/>
        <v>34230</v>
      </c>
      <c r="I301" s="247">
        <f t="shared" si="128"/>
        <v>29340</v>
      </c>
      <c r="J301" s="247">
        <f t="shared" si="128"/>
        <v>29340</v>
      </c>
      <c r="K301" s="247">
        <f t="shared" si="128"/>
        <v>29340</v>
      </c>
      <c r="L301" s="247">
        <f t="shared" si="128"/>
        <v>29340</v>
      </c>
      <c r="M301" s="247">
        <f t="shared" si="128"/>
        <v>34230</v>
      </c>
      <c r="N301" s="247">
        <f t="shared" si="128"/>
        <v>39120</v>
      </c>
      <c r="O301" s="247">
        <f t="shared" si="128"/>
        <v>49878</v>
      </c>
      <c r="P301" s="247">
        <f t="shared" si="128"/>
        <v>63570</v>
      </c>
      <c r="Q301" s="247">
        <f>SUM(E301:P301)</f>
        <v>541812</v>
      </c>
    </row>
    <row r="302" spans="1:17" x14ac:dyDescent="0.2">
      <c r="A302" s="263">
        <f>A301+1</f>
        <v>17</v>
      </c>
      <c r="C302" s="451" t="s">
        <v>221</v>
      </c>
      <c r="E302" s="434">
        <f t="shared" ref="E302:P302" si="129">E1097</f>
        <v>30050.87</v>
      </c>
      <c r="F302" s="434">
        <f t="shared" si="129"/>
        <v>23948.15</v>
      </c>
      <c r="G302" s="434">
        <f t="shared" si="129"/>
        <v>28525.190000000002</v>
      </c>
      <c r="H302" s="434">
        <f t="shared" si="129"/>
        <v>14412.650000000001</v>
      </c>
      <c r="I302" s="434">
        <f t="shared" si="129"/>
        <v>12505.550000000001</v>
      </c>
      <c r="J302" s="434">
        <f t="shared" si="129"/>
        <v>12505.550000000001</v>
      </c>
      <c r="K302" s="434">
        <f t="shared" si="129"/>
        <v>12505.550000000001</v>
      </c>
      <c r="L302" s="434">
        <f t="shared" si="129"/>
        <v>12505.550000000001</v>
      </c>
      <c r="M302" s="434">
        <f t="shared" si="129"/>
        <v>14412.650000000001</v>
      </c>
      <c r="N302" s="434">
        <f t="shared" si="129"/>
        <v>16319.75</v>
      </c>
      <c r="O302" s="434">
        <f t="shared" si="129"/>
        <v>20515.37</v>
      </c>
      <c r="P302" s="434">
        <f t="shared" si="129"/>
        <v>25855.25</v>
      </c>
      <c r="Q302" s="434">
        <f>SUM(E302:P302)</f>
        <v>224062.07999999999</v>
      </c>
    </row>
    <row r="303" spans="1:17" x14ac:dyDescent="0.2">
      <c r="A303" s="263">
        <f>A302+1</f>
        <v>18</v>
      </c>
      <c r="C303" s="451" t="s">
        <v>222</v>
      </c>
      <c r="E303" s="434">
        <f t="shared" ref="E303:P303" si="130">E1099</f>
        <v>0</v>
      </c>
      <c r="F303" s="434">
        <f t="shared" si="130"/>
        <v>0</v>
      </c>
      <c r="G303" s="434">
        <f t="shared" si="130"/>
        <v>0</v>
      </c>
      <c r="H303" s="434">
        <f t="shared" si="130"/>
        <v>0</v>
      </c>
      <c r="I303" s="434">
        <f t="shared" si="130"/>
        <v>0</v>
      </c>
      <c r="J303" s="434">
        <f t="shared" si="130"/>
        <v>0</v>
      </c>
      <c r="K303" s="434">
        <f t="shared" si="130"/>
        <v>0</v>
      </c>
      <c r="L303" s="434">
        <f t="shared" si="130"/>
        <v>0</v>
      </c>
      <c r="M303" s="434">
        <f t="shared" si="130"/>
        <v>0</v>
      </c>
      <c r="N303" s="434">
        <f t="shared" si="130"/>
        <v>0</v>
      </c>
      <c r="O303" s="434">
        <f t="shared" si="130"/>
        <v>0</v>
      </c>
      <c r="P303" s="434">
        <f t="shared" si="130"/>
        <v>0</v>
      </c>
      <c r="Q303" s="434">
        <f>SUM(E303:P303)</f>
        <v>0</v>
      </c>
    </row>
    <row r="304" spans="1:17" x14ac:dyDescent="0.2">
      <c r="A304" s="720">
        <f>A303+1</f>
        <v>19</v>
      </c>
      <c r="B304" s="454"/>
      <c r="C304" s="455" t="s">
        <v>577</v>
      </c>
      <c r="D304" s="456"/>
      <c r="E304" s="457">
        <f t="shared" ref="E304:P304" si="131">E1101</f>
        <v>30050.87</v>
      </c>
      <c r="F304" s="457">
        <f t="shared" si="131"/>
        <v>23948.15</v>
      </c>
      <c r="G304" s="457">
        <f t="shared" si="131"/>
        <v>28525.190000000002</v>
      </c>
      <c r="H304" s="457">
        <f t="shared" si="131"/>
        <v>14412.650000000001</v>
      </c>
      <c r="I304" s="457">
        <f t="shared" si="131"/>
        <v>12505.550000000001</v>
      </c>
      <c r="J304" s="457">
        <f t="shared" si="131"/>
        <v>12505.550000000001</v>
      </c>
      <c r="K304" s="457">
        <f t="shared" si="131"/>
        <v>12505.550000000001</v>
      </c>
      <c r="L304" s="457">
        <f t="shared" si="131"/>
        <v>12505.550000000001</v>
      </c>
      <c r="M304" s="457">
        <f t="shared" si="131"/>
        <v>14412.650000000001</v>
      </c>
      <c r="N304" s="457">
        <f t="shared" si="131"/>
        <v>16319.75</v>
      </c>
      <c r="O304" s="457">
        <f t="shared" si="131"/>
        <v>20515.37</v>
      </c>
      <c r="P304" s="457">
        <f t="shared" si="131"/>
        <v>25855.25</v>
      </c>
      <c r="Q304" s="457">
        <f>SUM(E304:P304)</f>
        <v>224062.07999999999</v>
      </c>
    </row>
    <row r="305" spans="1:18" x14ac:dyDescent="0.2">
      <c r="A305" s="622"/>
      <c r="B305" s="305"/>
      <c r="C305" s="462"/>
      <c r="D305" s="304"/>
      <c r="E305" s="422"/>
      <c r="F305" s="422"/>
      <c r="G305" s="422"/>
      <c r="H305" s="422"/>
      <c r="I305" s="422"/>
      <c r="J305" s="422"/>
      <c r="K305" s="422"/>
      <c r="L305" s="422"/>
      <c r="M305" s="422"/>
      <c r="N305" s="422"/>
      <c r="O305" s="422"/>
      <c r="P305" s="422"/>
      <c r="Q305" s="422"/>
    </row>
    <row r="306" spans="1:18" x14ac:dyDescent="0.2">
      <c r="A306" s="263">
        <f>A283+1</f>
        <v>2</v>
      </c>
      <c r="B306" s="221" t="str">
        <f>Input!A50</f>
        <v>FX2</v>
      </c>
      <c r="C306" s="221" t="str">
        <f>'Sch M 2.1'!B45</f>
        <v>GTS Flex Rate - Commercial</v>
      </c>
      <c r="G306" s="294"/>
      <c r="Q306" s="294"/>
    </row>
    <row r="307" spans="1:18" x14ac:dyDescent="0.2">
      <c r="A307" s="263">
        <f>A306+1</f>
        <v>3</v>
      </c>
      <c r="C307" s="451" t="s">
        <v>219</v>
      </c>
      <c r="E307" s="242">
        <f t="shared" ref="E307:P307" si="132">E1108</f>
        <v>1</v>
      </c>
      <c r="F307" s="242">
        <f t="shared" si="132"/>
        <v>1</v>
      </c>
      <c r="G307" s="242">
        <f t="shared" si="132"/>
        <v>1</v>
      </c>
      <c r="H307" s="242">
        <f t="shared" si="132"/>
        <v>1</v>
      </c>
      <c r="I307" s="242">
        <f t="shared" si="132"/>
        <v>1</v>
      </c>
      <c r="J307" s="242">
        <f t="shared" si="132"/>
        <v>1</v>
      </c>
      <c r="K307" s="242">
        <f t="shared" si="132"/>
        <v>1</v>
      </c>
      <c r="L307" s="242">
        <f t="shared" si="132"/>
        <v>1</v>
      </c>
      <c r="M307" s="242">
        <f t="shared" si="132"/>
        <v>1</v>
      </c>
      <c r="N307" s="242">
        <f t="shared" si="132"/>
        <v>1</v>
      </c>
      <c r="O307" s="242">
        <f t="shared" si="132"/>
        <v>1</v>
      </c>
      <c r="P307" s="242">
        <f t="shared" si="132"/>
        <v>1</v>
      </c>
      <c r="Q307" s="242">
        <f>SUM(E307:P307)</f>
        <v>12</v>
      </c>
    </row>
    <row r="308" spans="1:18" x14ac:dyDescent="0.2">
      <c r="A308" s="263">
        <f>A307+1</f>
        <v>4</v>
      </c>
      <c r="C308" s="451" t="s">
        <v>576</v>
      </c>
      <c r="E308" s="247">
        <f t="shared" ref="E308:P308" si="133">E1112</f>
        <v>44010</v>
      </c>
      <c r="F308" s="247">
        <f t="shared" si="133"/>
        <v>56724</v>
      </c>
      <c r="G308" s="247">
        <f t="shared" si="133"/>
        <v>33252</v>
      </c>
      <c r="H308" s="247">
        <f t="shared" si="133"/>
        <v>47922</v>
      </c>
      <c r="I308" s="247">
        <f t="shared" si="133"/>
        <v>37164</v>
      </c>
      <c r="J308" s="247">
        <f t="shared" si="133"/>
        <v>37164</v>
      </c>
      <c r="K308" s="247">
        <f t="shared" si="133"/>
        <v>39120</v>
      </c>
      <c r="L308" s="247">
        <f t="shared" si="133"/>
        <v>37164</v>
      </c>
      <c r="M308" s="247">
        <f t="shared" si="133"/>
        <v>41076</v>
      </c>
      <c r="N308" s="247">
        <f t="shared" si="133"/>
        <v>50856</v>
      </c>
      <c r="O308" s="247">
        <f t="shared" si="133"/>
        <v>54768</v>
      </c>
      <c r="P308" s="247">
        <f t="shared" si="133"/>
        <v>54768</v>
      </c>
      <c r="Q308" s="247">
        <f>SUM(E308:P308)</f>
        <v>533988</v>
      </c>
    </row>
    <row r="309" spans="1:18" x14ac:dyDescent="0.2">
      <c r="A309" s="263">
        <f>A308+1</f>
        <v>5</v>
      </c>
      <c r="C309" s="451" t="s">
        <v>221</v>
      </c>
      <c r="E309" s="434">
        <f t="shared" ref="E309:P309" si="134">E1115</f>
        <v>18226.850000000002</v>
      </c>
      <c r="F309" s="434">
        <f t="shared" si="134"/>
        <v>23185.31</v>
      </c>
      <c r="G309" s="434">
        <f t="shared" si="134"/>
        <v>14031.230000000001</v>
      </c>
      <c r="H309" s="434">
        <f t="shared" si="134"/>
        <v>19752.530000000002</v>
      </c>
      <c r="I309" s="434">
        <f t="shared" si="134"/>
        <v>15556.91</v>
      </c>
      <c r="J309" s="434">
        <f t="shared" si="134"/>
        <v>15556.91</v>
      </c>
      <c r="K309" s="434">
        <f t="shared" si="134"/>
        <v>16319.75</v>
      </c>
      <c r="L309" s="434">
        <f t="shared" si="134"/>
        <v>15556.91</v>
      </c>
      <c r="M309" s="434">
        <f t="shared" si="134"/>
        <v>17082.59</v>
      </c>
      <c r="N309" s="434">
        <f t="shared" si="134"/>
        <v>20896.79</v>
      </c>
      <c r="O309" s="434">
        <f t="shared" si="134"/>
        <v>22422.47</v>
      </c>
      <c r="P309" s="434">
        <f t="shared" si="134"/>
        <v>22422.47</v>
      </c>
      <c r="Q309" s="434">
        <f>SUM(E309:P309)</f>
        <v>221010.72000000003</v>
      </c>
    </row>
    <row r="310" spans="1:18" x14ac:dyDescent="0.2">
      <c r="A310" s="263">
        <f>A309+1</f>
        <v>6</v>
      </c>
      <c r="C310" s="451" t="s">
        <v>222</v>
      </c>
      <c r="E310" s="434">
        <f t="shared" ref="E310:P310" si="135">E1117</f>
        <v>0</v>
      </c>
      <c r="F310" s="434">
        <f t="shared" si="135"/>
        <v>0</v>
      </c>
      <c r="G310" s="434">
        <f t="shared" si="135"/>
        <v>0</v>
      </c>
      <c r="H310" s="434">
        <f t="shared" si="135"/>
        <v>0</v>
      </c>
      <c r="I310" s="434">
        <f t="shared" si="135"/>
        <v>0</v>
      </c>
      <c r="J310" s="434">
        <f t="shared" si="135"/>
        <v>0</v>
      </c>
      <c r="K310" s="434">
        <f t="shared" si="135"/>
        <v>0</v>
      </c>
      <c r="L310" s="434">
        <f t="shared" si="135"/>
        <v>0</v>
      </c>
      <c r="M310" s="434">
        <f t="shared" si="135"/>
        <v>0</v>
      </c>
      <c r="N310" s="434">
        <f t="shared" si="135"/>
        <v>0</v>
      </c>
      <c r="O310" s="434">
        <f t="shared" si="135"/>
        <v>0</v>
      </c>
      <c r="P310" s="434">
        <f t="shared" si="135"/>
        <v>0</v>
      </c>
      <c r="Q310" s="434">
        <f>SUM(E310:P310)</f>
        <v>0</v>
      </c>
    </row>
    <row r="311" spans="1:18" x14ac:dyDescent="0.2">
      <c r="A311" s="720">
        <f>A310+1</f>
        <v>7</v>
      </c>
      <c r="B311" s="454"/>
      <c r="C311" s="455" t="s">
        <v>577</v>
      </c>
      <c r="D311" s="456"/>
      <c r="E311" s="457">
        <f t="shared" ref="E311:P311" si="136">E1119</f>
        <v>18226.850000000002</v>
      </c>
      <c r="F311" s="457">
        <f t="shared" si="136"/>
        <v>23185.31</v>
      </c>
      <c r="G311" s="457">
        <f t="shared" si="136"/>
        <v>14031.230000000001</v>
      </c>
      <c r="H311" s="457">
        <f t="shared" si="136"/>
        <v>19752.530000000002</v>
      </c>
      <c r="I311" s="457">
        <f t="shared" si="136"/>
        <v>15556.91</v>
      </c>
      <c r="J311" s="457">
        <f t="shared" si="136"/>
        <v>15556.91</v>
      </c>
      <c r="K311" s="457">
        <f t="shared" si="136"/>
        <v>16319.75</v>
      </c>
      <c r="L311" s="457">
        <f t="shared" si="136"/>
        <v>15556.91</v>
      </c>
      <c r="M311" s="457">
        <f t="shared" si="136"/>
        <v>17082.59</v>
      </c>
      <c r="N311" s="457">
        <f t="shared" si="136"/>
        <v>20896.79</v>
      </c>
      <c r="O311" s="457">
        <f t="shared" si="136"/>
        <v>22422.47</v>
      </c>
      <c r="P311" s="457">
        <f t="shared" si="136"/>
        <v>22422.47</v>
      </c>
      <c r="Q311" s="457">
        <f>SUM(E311:P311)</f>
        <v>221010.72000000003</v>
      </c>
    </row>
    <row r="313" spans="1:18" x14ac:dyDescent="0.2">
      <c r="A313" s="263">
        <f>A311+1</f>
        <v>8</v>
      </c>
      <c r="B313" s="221" t="str">
        <f>Input!A51</f>
        <v>FX5</v>
      </c>
      <c r="C313" s="221" t="str">
        <f>'Sch M 2.1'!B46</f>
        <v>GTS Flex Rate - Industrial</v>
      </c>
      <c r="G313" s="294"/>
      <c r="Q313" s="294"/>
    </row>
    <row r="314" spans="1:18" x14ac:dyDescent="0.2">
      <c r="A314" s="263">
        <f>A313+1</f>
        <v>9</v>
      </c>
      <c r="C314" s="451" t="s">
        <v>219</v>
      </c>
      <c r="E314" s="242">
        <f t="shared" ref="E314:P314" si="137">E1142</f>
        <v>3</v>
      </c>
      <c r="F314" s="242">
        <f t="shared" si="137"/>
        <v>3</v>
      </c>
      <c r="G314" s="242">
        <f t="shared" si="137"/>
        <v>3</v>
      </c>
      <c r="H314" s="242">
        <f t="shared" si="137"/>
        <v>3</v>
      </c>
      <c r="I314" s="242">
        <f t="shared" si="137"/>
        <v>3</v>
      </c>
      <c r="J314" s="242">
        <f t="shared" si="137"/>
        <v>3</v>
      </c>
      <c r="K314" s="242">
        <f t="shared" si="137"/>
        <v>3</v>
      </c>
      <c r="L314" s="242">
        <f t="shared" si="137"/>
        <v>3</v>
      </c>
      <c r="M314" s="242">
        <f t="shared" si="137"/>
        <v>3</v>
      </c>
      <c r="N314" s="242">
        <f t="shared" si="137"/>
        <v>3</v>
      </c>
      <c r="O314" s="242">
        <f t="shared" si="137"/>
        <v>3</v>
      </c>
      <c r="P314" s="242">
        <f t="shared" si="137"/>
        <v>3</v>
      </c>
      <c r="Q314" s="242">
        <f>SUM(E314:P314)</f>
        <v>36</v>
      </c>
    </row>
    <row r="315" spans="1:18" x14ac:dyDescent="0.2">
      <c r="A315" s="263">
        <f>A314+1</f>
        <v>10</v>
      </c>
      <c r="C315" s="451" t="s">
        <v>576</v>
      </c>
      <c r="E315" s="247">
        <f t="shared" ref="E315:P315" si="138">E1146</f>
        <v>411738</v>
      </c>
      <c r="F315" s="247">
        <f t="shared" si="138"/>
        <v>369684</v>
      </c>
      <c r="G315" s="247">
        <f t="shared" si="138"/>
        <v>397068</v>
      </c>
      <c r="H315" s="247">
        <f t="shared" si="138"/>
        <v>381420</v>
      </c>
      <c r="I315" s="247">
        <f t="shared" si="138"/>
        <v>392178</v>
      </c>
      <c r="J315" s="247">
        <f t="shared" si="138"/>
        <v>381420</v>
      </c>
      <c r="K315" s="247">
        <f t="shared" si="138"/>
        <v>392178</v>
      </c>
      <c r="L315" s="247">
        <f t="shared" si="138"/>
        <v>392178</v>
      </c>
      <c r="M315" s="247">
        <f t="shared" si="138"/>
        <v>381420</v>
      </c>
      <c r="N315" s="247">
        <f t="shared" si="138"/>
        <v>397068</v>
      </c>
      <c r="O315" s="247">
        <f t="shared" si="138"/>
        <v>391200</v>
      </c>
      <c r="P315" s="247">
        <f t="shared" si="138"/>
        <v>401958</v>
      </c>
      <c r="Q315" s="247">
        <f>SUM(E315:P315)</f>
        <v>4689510</v>
      </c>
    </row>
    <row r="316" spans="1:18" x14ac:dyDescent="0.2">
      <c r="A316" s="263">
        <f>A315+1</f>
        <v>11</v>
      </c>
      <c r="C316" s="451" t="s">
        <v>221</v>
      </c>
      <c r="E316" s="434">
        <f t="shared" ref="E316:P316" si="139">E1149</f>
        <v>36094.82</v>
      </c>
      <c r="F316" s="434">
        <f t="shared" si="139"/>
        <v>32486.59</v>
      </c>
      <c r="G316" s="434">
        <f t="shared" si="139"/>
        <v>34836.129999999997</v>
      </c>
      <c r="H316" s="434">
        <f t="shared" si="139"/>
        <v>33493.54</v>
      </c>
      <c r="I316" s="434">
        <f t="shared" si="139"/>
        <v>34416.57</v>
      </c>
      <c r="J316" s="434">
        <f t="shared" si="139"/>
        <v>33493.54</v>
      </c>
      <c r="K316" s="434">
        <f t="shared" si="139"/>
        <v>34416.57</v>
      </c>
      <c r="L316" s="434">
        <f t="shared" si="139"/>
        <v>34416.57</v>
      </c>
      <c r="M316" s="434">
        <f t="shared" si="139"/>
        <v>33493.54</v>
      </c>
      <c r="N316" s="434">
        <f t="shared" si="139"/>
        <v>34836.129999999997</v>
      </c>
      <c r="O316" s="434">
        <f t="shared" si="139"/>
        <v>34332.659999999996</v>
      </c>
      <c r="P316" s="434">
        <f t="shared" si="139"/>
        <v>35255.699999999997</v>
      </c>
      <c r="Q316" s="434">
        <f>SUM(E316:P316)</f>
        <v>411572.36</v>
      </c>
    </row>
    <row r="317" spans="1:18" x14ac:dyDescent="0.2">
      <c r="A317" s="263">
        <f>A316+1</f>
        <v>12</v>
      </c>
      <c r="C317" s="451" t="s">
        <v>222</v>
      </c>
      <c r="E317" s="434">
        <f t="shared" ref="E317:P317" si="140">E1151</f>
        <v>0</v>
      </c>
      <c r="F317" s="434">
        <f t="shared" si="140"/>
        <v>0</v>
      </c>
      <c r="G317" s="434">
        <f t="shared" si="140"/>
        <v>0</v>
      </c>
      <c r="H317" s="434">
        <f t="shared" si="140"/>
        <v>0</v>
      </c>
      <c r="I317" s="434">
        <f t="shared" si="140"/>
        <v>0</v>
      </c>
      <c r="J317" s="434">
        <f t="shared" si="140"/>
        <v>0</v>
      </c>
      <c r="K317" s="434">
        <f t="shared" si="140"/>
        <v>0</v>
      </c>
      <c r="L317" s="434">
        <f t="shared" si="140"/>
        <v>0</v>
      </c>
      <c r="M317" s="434">
        <f t="shared" si="140"/>
        <v>0</v>
      </c>
      <c r="N317" s="434">
        <f t="shared" si="140"/>
        <v>0</v>
      </c>
      <c r="O317" s="434">
        <f t="shared" si="140"/>
        <v>0</v>
      </c>
      <c r="P317" s="434">
        <f t="shared" si="140"/>
        <v>0</v>
      </c>
      <c r="Q317" s="434">
        <f>SUM(E317:P317)</f>
        <v>0</v>
      </c>
    </row>
    <row r="318" spans="1:18" x14ac:dyDescent="0.2">
      <c r="A318" s="720">
        <f>A317+1</f>
        <v>13</v>
      </c>
      <c r="B318" s="454"/>
      <c r="C318" s="455" t="s">
        <v>577</v>
      </c>
      <c r="D318" s="456"/>
      <c r="E318" s="457">
        <f t="shared" ref="E318:P318" si="141">E1153</f>
        <v>36094.82</v>
      </c>
      <c r="F318" s="457">
        <f t="shared" si="141"/>
        <v>32486.59</v>
      </c>
      <c r="G318" s="457">
        <f t="shared" si="141"/>
        <v>34836.129999999997</v>
      </c>
      <c r="H318" s="457">
        <f t="shared" si="141"/>
        <v>33493.54</v>
      </c>
      <c r="I318" s="457">
        <f t="shared" si="141"/>
        <v>34416.57</v>
      </c>
      <c r="J318" s="457">
        <f t="shared" si="141"/>
        <v>33493.54</v>
      </c>
      <c r="K318" s="457">
        <f t="shared" si="141"/>
        <v>34416.57</v>
      </c>
      <c r="L318" s="457">
        <f t="shared" si="141"/>
        <v>34416.57</v>
      </c>
      <c r="M318" s="457">
        <f t="shared" si="141"/>
        <v>33493.54</v>
      </c>
      <c r="N318" s="457">
        <f t="shared" si="141"/>
        <v>34836.129999999997</v>
      </c>
      <c r="O318" s="457">
        <f t="shared" si="141"/>
        <v>34332.659999999996</v>
      </c>
      <c r="P318" s="457">
        <f t="shared" si="141"/>
        <v>35255.699999999997</v>
      </c>
      <c r="Q318" s="457">
        <f>SUM(E318:P318)</f>
        <v>411572.36</v>
      </c>
    </row>
    <row r="319" spans="1:18" x14ac:dyDescent="0.2">
      <c r="G319" s="294"/>
      <c r="Q319" s="294"/>
    </row>
    <row r="320" spans="1:18" x14ac:dyDescent="0.2">
      <c r="A320" s="263">
        <f>A318+1</f>
        <v>14</v>
      </c>
      <c r="B320" s="221" t="str">
        <f>Input!A52</f>
        <v>FX7</v>
      </c>
      <c r="C320" s="221" t="str">
        <f>'Sch M 2.1'!B47</f>
        <v>GTS Flex Rate - Industrial</v>
      </c>
      <c r="D320" s="290"/>
      <c r="E320" s="224"/>
      <c r="F320" s="292"/>
      <c r="G320" s="292"/>
      <c r="H320" s="292"/>
      <c r="I320" s="297"/>
      <c r="J320" s="292"/>
      <c r="K320" s="292"/>
      <c r="L320" s="292"/>
      <c r="M320" s="292"/>
      <c r="N320" s="292"/>
      <c r="O320" s="292"/>
      <c r="P320" s="292"/>
      <c r="Q320" s="292"/>
      <c r="R320" s="224"/>
    </row>
    <row r="321" spans="1:18" x14ac:dyDescent="0.2">
      <c r="A321" s="263">
        <f>A320+1</f>
        <v>15</v>
      </c>
      <c r="C321" s="451" t="s">
        <v>219</v>
      </c>
      <c r="D321" s="290"/>
      <c r="E321" s="290">
        <f t="shared" ref="E321:P321" si="142">E1160</f>
        <v>1</v>
      </c>
      <c r="F321" s="290">
        <f t="shared" si="142"/>
        <v>1</v>
      </c>
      <c r="G321" s="290">
        <f t="shared" si="142"/>
        <v>1</v>
      </c>
      <c r="H321" s="290">
        <f t="shared" si="142"/>
        <v>1</v>
      </c>
      <c r="I321" s="290">
        <f t="shared" si="142"/>
        <v>1</v>
      </c>
      <c r="J321" s="290">
        <f t="shared" si="142"/>
        <v>1</v>
      </c>
      <c r="K321" s="290">
        <f t="shared" si="142"/>
        <v>1</v>
      </c>
      <c r="L321" s="290">
        <f t="shared" si="142"/>
        <v>1</v>
      </c>
      <c r="M321" s="290">
        <f t="shared" si="142"/>
        <v>1</v>
      </c>
      <c r="N321" s="290">
        <f t="shared" si="142"/>
        <v>1</v>
      </c>
      <c r="O321" s="290">
        <f t="shared" si="142"/>
        <v>1</v>
      </c>
      <c r="P321" s="290">
        <f t="shared" si="142"/>
        <v>1</v>
      </c>
      <c r="Q321" s="242">
        <f>SUM(E321:P321)</f>
        <v>12</v>
      </c>
      <c r="R321" s="224"/>
    </row>
    <row r="322" spans="1:18" x14ac:dyDescent="0.2">
      <c r="A322" s="263">
        <f>A321+1</f>
        <v>16</v>
      </c>
      <c r="C322" s="451" t="s">
        <v>576</v>
      </c>
      <c r="D322" s="290"/>
      <c r="E322" s="297">
        <f t="shared" ref="E322:P322" si="143">E1167</f>
        <v>43107</v>
      </c>
      <c r="F322" s="297">
        <f t="shared" si="143"/>
        <v>25808</v>
      </c>
      <c r="G322" s="297">
        <f t="shared" si="143"/>
        <v>29340</v>
      </c>
      <c r="H322" s="297">
        <f t="shared" si="143"/>
        <v>29340</v>
      </c>
      <c r="I322" s="297">
        <f t="shared" si="143"/>
        <v>29340</v>
      </c>
      <c r="J322" s="297">
        <f t="shared" si="143"/>
        <v>29340</v>
      </c>
      <c r="K322" s="297">
        <f t="shared" si="143"/>
        <v>29340</v>
      </c>
      <c r="L322" s="297">
        <f t="shared" si="143"/>
        <v>29340</v>
      </c>
      <c r="M322" s="297">
        <f t="shared" si="143"/>
        <v>44010</v>
      </c>
      <c r="N322" s="297">
        <f t="shared" si="143"/>
        <v>44010</v>
      </c>
      <c r="O322" s="297">
        <f t="shared" si="143"/>
        <v>38685</v>
      </c>
      <c r="P322" s="297">
        <f t="shared" si="143"/>
        <v>39099</v>
      </c>
      <c r="Q322" s="247">
        <f>SUM(E322:P322)</f>
        <v>410759</v>
      </c>
      <c r="R322" s="224"/>
    </row>
    <row r="323" spans="1:18" x14ac:dyDescent="0.2">
      <c r="A323" s="263">
        <f>A322+1</f>
        <v>17</v>
      </c>
      <c r="C323" s="451" t="s">
        <v>221</v>
      </c>
      <c r="D323" s="290"/>
      <c r="E323" s="434">
        <f t="shared" ref="E323:P323" si="144">E1173</f>
        <v>18201.84</v>
      </c>
      <c r="F323" s="434">
        <f t="shared" si="144"/>
        <v>13531.11</v>
      </c>
      <c r="G323" s="434">
        <f t="shared" si="144"/>
        <v>14484.75</v>
      </c>
      <c r="H323" s="434">
        <f t="shared" si="144"/>
        <v>14484.75</v>
      </c>
      <c r="I323" s="434">
        <f t="shared" si="144"/>
        <v>14484.75</v>
      </c>
      <c r="J323" s="434">
        <f t="shared" si="144"/>
        <v>14484.75</v>
      </c>
      <c r="K323" s="434">
        <f t="shared" si="144"/>
        <v>14484.75</v>
      </c>
      <c r="L323" s="434">
        <f t="shared" si="144"/>
        <v>14484.75</v>
      </c>
      <c r="M323" s="434">
        <f t="shared" si="144"/>
        <v>18445.650000000001</v>
      </c>
      <c r="N323" s="434">
        <f t="shared" si="144"/>
        <v>18445.650000000001</v>
      </c>
      <c r="O323" s="434">
        <f t="shared" si="144"/>
        <v>17007.900000000001</v>
      </c>
      <c r="P323" s="434">
        <f t="shared" si="144"/>
        <v>17119.68</v>
      </c>
      <c r="Q323" s="434">
        <f>SUM(E323:P323)</f>
        <v>189660.33</v>
      </c>
      <c r="R323" s="224"/>
    </row>
    <row r="324" spans="1:18" x14ac:dyDescent="0.2">
      <c r="A324" s="263">
        <f>A323+1</f>
        <v>18</v>
      </c>
      <c r="C324" s="451" t="s">
        <v>222</v>
      </c>
      <c r="D324" s="290"/>
      <c r="E324" s="434">
        <f t="shared" ref="E324:P324" si="145">E1175</f>
        <v>0</v>
      </c>
      <c r="F324" s="434">
        <f t="shared" si="145"/>
        <v>0</v>
      </c>
      <c r="G324" s="434">
        <f t="shared" si="145"/>
        <v>0</v>
      </c>
      <c r="H324" s="434">
        <f t="shared" si="145"/>
        <v>0</v>
      </c>
      <c r="I324" s="434">
        <f t="shared" si="145"/>
        <v>0</v>
      </c>
      <c r="J324" s="434">
        <f t="shared" si="145"/>
        <v>0</v>
      </c>
      <c r="K324" s="434">
        <f t="shared" si="145"/>
        <v>0</v>
      </c>
      <c r="L324" s="434">
        <f t="shared" si="145"/>
        <v>0</v>
      </c>
      <c r="M324" s="434">
        <f t="shared" si="145"/>
        <v>0</v>
      </c>
      <c r="N324" s="434">
        <f t="shared" si="145"/>
        <v>0</v>
      </c>
      <c r="O324" s="434">
        <f t="shared" si="145"/>
        <v>0</v>
      </c>
      <c r="P324" s="434">
        <f t="shared" si="145"/>
        <v>0</v>
      </c>
      <c r="Q324" s="434">
        <f>SUM(E324:P324)</f>
        <v>0</v>
      </c>
      <c r="R324" s="224"/>
    </row>
    <row r="325" spans="1:18" x14ac:dyDescent="0.2">
      <c r="A325" s="720">
        <f>A324+1</f>
        <v>19</v>
      </c>
      <c r="B325" s="454"/>
      <c r="C325" s="455" t="s">
        <v>577</v>
      </c>
      <c r="D325" s="468"/>
      <c r="E325" s="457">
        <f t="shared" ref="E325:P325" si="146">E1177</f>
        <v>18201.84</v>
      </c>
      <c r="F325" s="457">
        <f t="shared" si="146"/>
        <v>13531.11</v>
      </c>
      <c r="G325" s="457">
        <f t="shared" si="146"/>
        <v>14484.75</v>
      </c>
      <c r="H325" s="457">
        <f t="shared" si="146"/>
        <v>14484.75</v>
      </c>
      <c r="I325" s="457">
        <f t="shared" si="146"/>
        <v>14484.75</v>
      </c>
      <c r="J325" s="457">
        <f t="shared" si="146"/>
        <v>14484.75</v>
      </c>
      <c r="K325" s="457">
        <f t="shared" si="146"/>
        <v>14484.75</v>
      </c>
      <c r="L325" s="457">
        <f t="shared" si="146"/>
        <v>14484.75</v>
      </c>
      <c r="M325" s="457">
        <f t="shared" si="146"/>
        <v>18445.650000000001</v>
      </c>
      <c r="N325" s="457">
        <f t="shared" si="146"/>
        <v>18445.650000000001</v>
      </c>
      <c r="O325" s="457">
        <f t="shared" si="146"/>
        <v>17007.900000000001</v>
      </c>
      <c r="P325" s="457">
        <f t="shared" si="146"/>
        <v>17119.68</v>
      </c>
      <c r="Q325" s="457">
        <f>SUM(E325:P325)</f>
        <v>189660.33</v>
      </c>
      <c r="R325" s="224"/>
    </row>
    <row r="326" spans="1:18" x14ac:dyDescent="0.2">
      <c r="D326" s="290"/>
      <c r="E326" s="224"/>
      <c r="F326" s="292"/>
      <c r="G326" s="292"/>
      <c r="H326" s="292"/>
      <c r="I326" s="297"/>
      <c r="J326" s="292"/>
      <c r="K326" s="292"/>
      <c r="L326" s="292"/>
      <c r="M326" s="292"/>
      <c r="N326" s="292"/>
      <c r="O326" s="292"/>
      <c r="P326" s="292"/>
      <c r="Q326" s="292"/>
      <c r="R326" s="224"/>
    </row>
    <row r="327" spans="1:18" x14ac:dyDescent="0.2">
      <c r="R327" s="224"/>
    </row>
    <row r="328" spans="1:18" x14ac:dyDescent="0.2">
      <c r="A328" s="629" t="str">
        <f>$A$107</f>
        <v>[1] Reflects Normalized Volumes.</v>
      </c>
      <c r="R328" s="224"/>
    </row>
    <row r="329" spans="1:18" x14ac:dyDescent="0.2">
      <c r="A329" s="629" t="str">
        <f>$A$108</f>
        <v>[2] See Schedule M-2.2 Pages 8 through 21 for detail.</v>
      </c>
      <c r="R329" s="224"/>
    </row>
    <row r="330" spans="1:18" x14ac:dyDescent="0.2">
      <c r="A330" s="887" t="str">
        <f>CONAME</f>
        <v>Columbia Gas of Kentucky, Inc.</v>
      </c>
      <c r="B330" s="887"/>
      <c r="C330" s="887"/>
      <c r="D330" s="887"/>
      <c r="E330" s="887"/>
      <c r="F330" s="887"/>
      <c r="G330" s="887"/>
      <c r="H330" s="887"/>
      <c r="I330" s="887"/>
      <c r="J330" s="887"/>
      <c r="K330" s="887"/>
      <c r="L330" s="887"/>
      <c r="M330" s="887"/>
      <c r="N330" s="887"/>
      <c r="O330" s="887"/>
      <c r="P330" s="887"/>
      <c r="Q330" s="887"/>
      <c r="R330" s="224"/>
    </row>
    <row r="331" spans="1:18" x14ac:dyDescent="0.2">
      <c r="A331" s="875" t="str">
        <f>case</f>
        <v>Case No. 2016-00162</v>
      </c>
      <c r="B331" s="875"/>
      <c r="C331" s="875"/>
      <c r="D331" s="875"/>
      <c r="E331" s="875"/>
      <c r="F331" s="875"/>
      <c r="G331" s="875"/>
      <c r="H331" s="875"/>
      <c r="I331" s="875"/>
      <c r="J331" s="875"/>
      <c r="K331" s="875"/>
      <c r="L331" s="875"/>
      <c r="M331" s="875"/>
      <c r="N331" s="875"/>
      <c r="O331" s="875"/>
      <c r="P331" s="875"/>
      <c r="Q331" s="875"/>
      <c r="R331" s="224"/>
    </row>
    <row r="332" spans="1:18" x14ac:dyDescent="0.2">
      <c r="A332" s="888" t="s">
        <v>200</v>
      </c>
      <c r="B332" s="888"/>
      <c r="C332" s="888"/>
      <c r="D332" s="888"/>
      <c r="E332" s="888"/>
      <c r="F332" s="888"/>
      <c r="G332" s="888"/>
      <c r="H332" s="888"/>
      <c r="I332" s="888"/>
      <c r="J332" s="888"/>
      <c r="K332" s="888"/>
      <c r="L332" s="888"/>
      <c r="M332" s="888"/>
      <c r="N332" s="888"/>
      <c r="O332" s="888"/>
      <c r="P332" s="888"/>
      <c r="Q332" s="888"/>
      <c r="R332" s="224"/>
    </row>
    <row r="333" spans="1:18" x14ac:dyDescent="0.2">
      <c r="A333" s="887" t="str">
        <f>TYDESC</f>
        <v>For the 12 Months Ended December 31, 2017</v>
      </c>
      <c r="B333" s="887"/>
      <c r="C333" s="887"/>
      <c r="D333" s="887"/>
      <c r="E333" s="887"/>
      <c r="F333" s="887"/>
      <c r="G333" s="887"/>
      <c r="H333" s="887"/>
      <c r="I333" s="887"/>
      <c r="J333" s="887"/>
      <c r="K333" s="887"/>
      <c r="L333" s="887"/>
      <c r="M333" s="887"/>
      <c r="N333" s="887"/>
      <c r="O333" s="887"/>
      <c r="P333" s="887"/>
      <c r="Q333" s="887"/>
      <c r="R333" s="224"/>
    </row>
    <row r="334" spans="1:18" x14ac:dyDescent="0.2">
      <c r="A334" s="885" t="s">
        <v>39</v>
      </c>
      <c r="B334" s="885"/>
      <c r="C334" s="885"/>
      <c r="D334" s="885"/>
      <c r="E334" s="885"/>
      <c r="F334" s="885"/>
      <c r="G334" s="885"/>
      <c r="H334" s="885"/>
      <c r="I334" s="885"/>
      <c r="J334" s="885"/>
      <c r="K334" s="885"/>
      <c r="L334" s="885"/>
      <c r="M334" s="885"/>
      <c r="N334" s="885"/>
      <c r="O334" s="885"/>
      <c r="P334" s="885"/>
      <c r="Q334" s="885"/>
      <c r="R334" s="224"/>
    </row>
    <row r="335" spans="1:18" x14ac:dyDescent="0.2">
      <c r="A335" s="718" t="str">
        <f>$A$52</f>
        <v>Data: __ Base Period _X_ Forecasted Period</v>
      </c>
      <c r="R335" s="224"/>
    </row>
    <row r="336" spans="1:18" x14ac:dyDescent="0.2">
      <c r="A336" s="718" t="str">
        <f>$A$53</f>
        <v>Type of Filing: X Original _ Update _ Revised</v>
      </c>
      <c r="Q336" s="420" t="str">
        <f>$Q$53</f>
        <v>Schedule M-2.3</v>
      </c>
      <c r="R336" s="224"/>
    </row>
    <row r="337" spans="1:18" x14ac:dyDescent="0.2">
      <c r="A337" s="718" t="str">
        <f>$A$54</f>
        <v>Work Paper Reference No(s):</v>
      </c>
      <c r="Q337" s="420" t="s">
        <v>524</v>
      </c>
      <c r="R337" s="224"/>
    </row>
    <row r="338" spans="1:18" x14ac:dyDescent="0.2">
      <c r="A338" s="719" t="str">
        <f>$A$55</f>
        <v>12 Months Forecasted</v>
      </c>
      <c r="Q338" s="420" t="str">
        <f>Witness</f>
        <v>Witness:  M. J. Bell</v>
      </c>
      <c r="R338" s="224"/>
    </row>
    <row r="339" spans="1:18" x14ac:dyDescent="0.2">
      <c r="A339" s="886" t="s">
        <v>294</v>
      </c>
      <c r="B339" s="886"/>
      <c r="C339" s="886"/>
      <c r="D339" s="886"/>
      <c r="E339" s="886"/>
      <c r="F339" s="886"/>
      <c r="G339" s="886"/>
      <c r="H339" s="886"/>
      <c r="I339" s="886"/>
      <c r="J339" s="886"/>
      <c r="K339" s="886"/>
      <c r="L339" s="886"/>
      <c r="M339" s="886"/>
      <c r="N339" s="886"/>
      <c r="O339" s="886"/>
      <c r="P339" s="886"/>
      <c r="Q339" s="886"/>
      <c r="R339" s="224"/>
    </row>
    <row r="340" spans="1:18" x14ac:dyDescent="0.2">
      <c r="A340" s="227"/>
      <c r="B340" s="305"/>
      <c r="C340" s="305"/>
      <c r="D340" s="304"/>
      <c r="E340" s="305"/>
      <c r="F340" s="422"/>
      <c r="G340" s="442"/>
      <c r="H340" s="422"/>
      <c r="I340" s="443"/>
      <c r="J340" s="422"/>
      <c r="K340" s="422"/>
      <c r="L340" s="422"/>
      <c r="M340" s="422"/>
      <c r="N340" s="422"/>
      <c r="O340" s="422"/>
      <c r="R340" s="224"/>
    </row>
    <row r="341" spans="1:18" x14ac:dyDescent="0.2">
      <c r="A341" s="416" t="s">
        <v>1</v>
      </c>
      <c r="B341" s="226" t="s">
        <v>0</v>
      </c>
      <c r="C341" s="226" t="s">
        <v>41</v>
      </c>
      <c r="D341" s="423" t="s">
        <v>30</v>
      </c>
      <c r="E341" s="424"/>
      <c r="F341" s="425"/>
      <c r="G341" s="424"/>
      <c r="H341" s="426"/>
      <c r="I341" s="424"/>
      <c r="J341" s="424"/>
      <c r="K341" s="424"/>
      <c r="L341" s="424"/>
      <c r="M341" s="424"/>
      <c r="N341" s="424"/>
      <c r="O341" s="231"/>
      <c r="P341" s="231"/>
      <c r="Q341" s="231"/>
      <c r="R341" s="224"/>
    </row>
    <row r="342" spans="1:18" x14ac:dyDescent="0.2">
      <c r="A342" s="285" t="s">
        <v>3</v>
      </c>
      <c r="B342" s="228" t="s">
        <v>40</v>
      </c>
      <c r="C342" s="228" t="s">
        <v>4</v>
      </c>
      <c r="D342" s="427" t="s">
        <v>48</v>
      </c>
      <c r="E342" s="428" t="str">
        <f>B!$D$11</f>
        <v>Jan-17</v>
      </c>
      <c r="F342" s="428" t="str">
        <f>B!$E$11</f>
        <v>Feb-17</v>
      </c>
      <c r="G342" s="428" t="str">
        <f>B!$F$11</f>
        <v>Mar-17</v>
      </c>
      <c r="H342" s="428" t="str">
        <f>B!$G$11</f>
        <v>Apr-17</v>
      </c>
      <c r="I342" s="428" t="str">
        <f>B!$H$11</f>
        <v>May-17</v>
      </c>
      <c r="J342" s="428" t="str">
        <f>B!$I$11</f>
        <v>Jun-17</v>
      </c>
      <c r="K342" s="428" t="str">
        <f>B!$J$11</f>
        <v>Jul-17</v>
      </c>
      <c r="L342" s="428" t="str">
        <f>B!$K$11</f>
        <v>Aug-17</v>
      </c>
      <c r="M342" s="428" t="str">
        <f>B!$L$11</f>
        <v>Sep-17</v>
      </c>
      <c r="N342" s="428" t="str">
        <f>B!$M$11</f>
        <v>Oct-17</v>
      </c>
      <c r="O342" s="428" t="str">
        <f>B!$N$11</f>
        <v>Nov-17</v>
      </c>
      <c r="P342" s="428" t="str">
        <f>B!$O$11</f>
        <v>Dec-17</v>
      </c>
      <c r="Q342" s="429" t="s">
        <v>9</v>
      </c>
      <c r="R342" s="224"/>
    </row>
    <row r="343" spans="1:18" x14ac:dyDescent="0.2">
      <c r="A343" s="416"/>
      <c r="B343" s="231" t="s">
        <v>42</v>
      </c>
      <c r="C343" s="231" t="s">
        <v>43</v>
      </c>
      <c r="D343" s="430" t="s">
        <v>45</v>
      </c>
      <c r="E343" s="431" t="s">
        <v>46</v>
      </c>
      <c r="F343" s="431" t="s">
        <v>49</v>
      </c>
      <c r="G343" s="431" t="s">
        <v>50</v>
      </c>
      <c r="H343" s="431" t="s">
        <v>51</v>
      </c>
      <c r="I343" s="431" t="s">
        <v>52</v>
      </c>
      <c r="J343" s="432" t="s">
        <v>53</v>
      </c>
      <c r="K343" s="432" t="s">
        <v>54</v>
      </c>
      <c r="L343" s="432" t="s">
        <v>55</v>
      </c>
      <c r="M343" s="432" t="s">
        <v>56</v>
      </c>
      <c r="N343" s="432" t="s">
        <v>57</v>
      </c>
      <c r="O343" s="432" t="s">
        <v>58</v>
      </c>
      <c r="P343" s="432" t="s">
        <v>59</v>
      </c>
      <c r="Q343" s="432" t="s">
        <v>203</v>
      </c>
      <c r="R343" s="224"/>
    </row>
    <row r="344" spans="1:18" x14ac:dyDescent="0.2">
      <c r="R344" s="224"/>
    </row>
    <row r="345" spans="1:18" x14ac:dyDescent="0.2">
      <c r="A345" s="263">
        <v>1</v>
      </c>
      <c r="C345" s="445" t="s">
        <v>95</v>
      </c>
      <c r="R345" s="224"/>
    </row>
    <row r="346" spans="1:18" x14ac:dyDescent="0.2">
      <c r="D346" s="290"/>
      <c r="E346" s="224"/>
      <c r="F346" s="292"/>
      <c r="G346" s="292"/>
      <c r="H346" s="292"/>
      <c r="I346" s="297"/>
      <c r="J346" s="292"/>
      <c r="K346" s="292"/>
      <c r="L346" s="292"/>
      <c r="M346" s="292"/>
      <c r="N346" s="292"/>
      <c r="O346" s="292"/>
      <c r="R346" s="224"/>
    </row>
    <row r="347" spans="1:18" x14ac:dyDescent="0.2">
      <c r="A347" s="263">
        <f>A345+1</f>
        <v>2</v>
      </c>
      <c r="B347" s="221" t="str">
        <f>Input!A53</f>
        <v>SAS</v>
      </c>
      <c r="C347" s="221" t="str">
        <f>'Sch M 2.1'!B48</f>
        <v>GTS Special Agency Service</v>
      </c>
      <c r="D347" s="290"/>
      <c r="E347" s="224"/>
      <c r="F347" s="292"/>
      <c r="G347" s="292"/>
      <c r="H347" s="292"/>
      <c r="I347" s="297"/>
      <c r="J347" s="292"/>
      <c r="K347" s="292"/>
      <c r="L347" s="292"/>
      <c r="M347" s="292"/>
      <c r="N347" s="292"/>
      <c r="O347" s="292"/>
      <c r="P347" s="292"/>
      <c r="Q347" s="292"/>
      <c r="R347" s="224"/>
    </row>
    <row r="348" spans="1:18" x14ac:dyDescent="0.2">
      <c r="A348" s="263">
        <f>A347+1</f>
        <v>3</v>
      </c>
      <c r="C348" s="451" t="s">
        <v>219</v>
      </c>
      <c r="D348" s="290"/>
      <c r="E348" s="290">
        <f t="shared" ref="E348:P348" si="147">E1201</f>
        <v>0</v>
      </c>
      <c r="F348" s="290">
        <f t="shared" si="147"/>
        <v>0</v>
      </c>
      <c r="G348" s="290">
        <f t="shared" si="147"/>
        <v>0</v>
      </c>
      <c r="H348" s="290">
        <f t="shared" si="147"/>
        <v>0</v>
      </c>
      <c r="I348" s="290">
        <f t="shared" si="147"/>
        <v>0</v>
      </c>
      <c r="J348" s="290">
        <f t="shared" si="147"/>
        <v>0</v>
      </c>
      <c r="K348" s="290">
        <f t="shared" si="147"/>
        <v>0</v>
      </c>
      <c r="L348" s="290">
        <f t="shared" si="147"/>
        <v>0</v>
      </c>
      <c r="M348" s="290">
        <f t="shared" si="147"/>
        <v>0</v>
      </c>
      <c r="N348" s="290">
        <f t="shared" si="147"/>
        <v>0</v>
      </c>
      <c r="O348" s="290">
        <f t="shared" si="147"/>
        <v>0</v>
      </c>
      <c r="P348" s="290">
        <f t="shared" si="147"/>
        <v>0</v>
      </c>
      <c r="Q348" s="242">
        <f>SUM(E348:P348)</f>
        <v>0</v>
      </c>
      <c r="R348" s="224"/>
    </row>
    <row r="349" spans="1:18" x14ac:dyDescent="0.2">
      <c r="A349" s="263">
        <f>A348+1</f>
        <v>4</v>
      </c>
      <c r="C349" s="451" t="s">
        <v>576</v>
      </c>
      <c r="D349" s="290"/>
      <c r="E349" s="297">
        <f t="shared" ref="E349:P349" si="148">E1209</f>
        <v>0</v>
      </c>
      <c r="F349" s="297">
        <f t="shared" si="148"/>
        <v>0</v>
      </c>
      <c r="G349" s="297">
        <f t="shared" si="148"/>
        <v>0</v>
      </c>
      <c r="H349" s="297">
        <f t="shared" si="148"/>
        <v>0</v>
      </c>
      <c r="I349" s="297">
        <f t="shared" si="148"/>
        <v>0</v>
      </c>
      <c r="J349" s="297">
        <f t="shared" si="148"/>
        <v>0</v>
      </c>
      <c r="K349" s="297">
        <f t="shared" si="148"/>
        <v>0</v>
      </c>
      <c r="L349" s="297">
        <f t="shared" si="148"/>
        <v>0</v>
      </c>
      <c r="M349" s="297">
        <f t="shared" si="148"/>
        <v>0</v>
      </c>
      <c r="N349" s="297">
        <f t="shared" si="148"/>
        <v>0</v>
      </c>
      <c r="O349" s="297">
        <f t="shared" si="148"/>
        <v>0</v>
      </c>
      <c r="P349" s="297">
        <f t="shared" si="148"/>
        <v>0</v>
      </c>
      <c r="Q349" s="247">
        <f>SUM(E349:P349)</f>
        <v>0</v>
      </c>
      <c r="R349" s="224"/>
    </row>
    <row r="350" spans="1:18" x14ac:dyDescent="0.2">
      <c r="A350" s="263">
        <f>A349+1</f>
        <v>5</v>
      </c>
      <c r="C350" s="451" t="s">
        <v>221</v>
      </c>
      <c r="D350" s="290"/>
      <c r="E350" s="434">
        <f t="shared" ref="E350:P350" si="149">E1215</f>
        <v>0</v>
      </c>
      <c r="F350" s="434">
        <f t="shared" si="149"/>
        <v>0</v>
      </c>
      <c r="G350" s="434">
        <f t="shared" si="149"/>
        <v>0</v>
      </c>
      <c r="H350" s="434">
        <f t="shared" si="149"/>
        <v>0</v>
      </c>
      <c r="I350" s="434">
        <f t="shared" si="149"/>
        <v>0</v>
      </c>
      <c r="J350" s="434">
        <f t="shared" si="149"/>
        <v>0</v>
      </c>
      <c r="K350" s="434">
        <f t="shared" si="149"/>
        <v>0</v>
      </c>
      <c r="L350" s="434">
        <f t="shared" si="149"/>
        <v>0</v>
      </c>
      <c r="M350" s="434">
        <f t="shared" si="149"/>
        <v>0</v>
      </c>
      <c r="N350" s="434">
        <f t="shared" si="149"/>
        <v>0</v>
      </c>
      <c r="O350" s="434">
        <f t="shared" si="149"/>
        <v>0</v>
      </c>
      <c r="P350" s="434">
        <f t="shared" si="149"/>
        <v>0</v>
      </c>
      <c r="Q350" s="434">
        <f>SUM(E350:P350)</f>
        <v>0</v>
      </c>
      <c r="R350" s="224"/>
    </row>
    <row r="351" spans="1:18" x14ac:dyDescent="0.2">
      <c r="A351" s="263">
        <f>A350+1</f>
        <v>6</v>
      </c>
      <c r="C351" s="451" t="s">
        <v>222</v>
      </c>
      <c r="D351" s="290"/>
      <c r="E351" s="434">
        <f t="shared" ref="E351:P351" si="150">E1217</f>
        <v>0</v>
      </c>
      <c r="F351" s="434">
        <f t="shared" si="150"/>
        <v>0</v>
      </c>
      <c r="G351" s="434">
        <f t="shared" si="150"/>
        <v>0</v>
      </c>
      <c r="H351" s="434">
        <f t="shared" si="150"/>
        <v>0</v>
      </c>
      <c r="I351" s="434">
        <f t="shared" si="150"/>
        <v>0</v>
      </c>
      <c r="J351" s="434">
        <f t="shared" si="150"/>
        <v>0</v>
      </c>
      <c r="K351" s="434">
        <f t="shared" si="150"/>
        <v>0</v>
      </c>
      <c r="L351" s="434">
        <f t="shared" si="150"/>
        <v>0</v>
      </c>
      <c r="M351" s="434">
        <f t="shared" si="150"/>
        <v>0</v>
      </c>
      <c r="N351" s="434">
        <f t="shared" si="150"/>
        <v>0</v>
      </c>
      <c r="O351" s="434">
        <f t="shared" si="150"/>
        <v>0</v>
      </c>
      <c r="P351" s="434">
        <f t="shared" si="150"/>
        <v>0</v>
      </c>
      <c r="Q351" s="434">
        <f>SUM(E351:P351)</f>
        <v>0</v>
      </c>
      <c r="R351" s="224"/>
    </row>
    <row r="352" spans="1:18" x14ac:dyDescent="0.2">
      <c r="A352" s="720">
        <f>A351+1</f>
        <v>7</v>
      </c>
      <c r="B352" s="454"/>
      <c r="C352" s="455" t="s">
        <v>577</v>
      </c>
      <c r="D352" s="468"/>
      <c r="E352" s="457">
        <f t="shared" ref="E352:P352" si="151">E1219</f>
        <v>0</v>
      </c>
      <c r="F352" s="457">
        <f t="shared" si="151"/>
        <v>0</v>
      </c>
      <c r="G352" s="457">
        <f t="shared" si="151"/>
        <v>0</v>
      </c>
      <c r="H352" s="457">
        <f t="shared" si="151"/>
        <v>0</v>
      </c>
      <c r="I352" s="457">
        <f t="shared" si="151"/>
        <v>0</v>
      </c>
      <c r="J352" s="457">
        <f t="shared" si="151"/>
        <v>0</v>
      </c>
      <c r="K352" s="457">
        <f t="shared" si="151"/>
        <v>0</v>
      </c>
      <c r="L352" s="457">
        <f t="shared" si="151"/>
        <v>0</v>
      </c>
      <c r="M352" s="457">
        <f t="shared" si="151"/>
        <v>0</v>
      </c>
      <c r="N352" s="457">
        <f t="shared" si="151"/>
        <v>0</v>
      </c>
      <c r="O352" s="457">
        <f t="shared" si="151"/>
        <v>0</v>
      </c>
      <c r="P352" s="457">
        <f t="shared" si="151"/>
        <v>0</v>
      </c>
      <c r="Q352" s="457">
        <f>SUM(E352:P352)</f>
        <v>0</v>
      </c>
      <c r="R352" s="224"/>
    </row>
    <row r="353" spans="1:18" x14ac:dyDescent="0.2">
      <c r="A353" s="221"/>
      <c r="D353" s="221"/>
      <c r="F353" s="221"/>
      <c r="G353" s="221"/>
      <c r="H353" s="221"/>
      <c r="I353" s="221"/>
      <c r="J353" s="221"/>
      <c r="K353" s="221"/>
      <c r="L353" s="221"/>
      <c r="M353" s="221"/>
      <c r="N353" s="221"/>
      <c r="O353" s="221"/>
      <c r="P353" s="221"/>
      <c r="R353" s="224"/>
    </row>
    <row r="354" spans="1:18" x14ac:dyDescent="0.2">
      <c r="A354" s="263">
        <f>A352+1</f>
        <v>8</v>
      </c>
      <c r="B354" s="221" t="str">
        <f>Input!A54</f>
        <v>SC3</v>
      </c>
      <c r="C354" s="221" t="str">
        <f>'Sch M 2.1'!B49</f>
        <v>GTS Special Rate - Industrial</v>
      </c>
      <c r="D354" s="438"/>
      <c r="E354" s="469"/>
      <c r="F354" s="470"/>
      <c r="G354" s="470"/>
      <c r="H354" s="470"/>
      <c r="I354" s="471"/>
      <c r="J354" s="470"/>
      <c r="K354" s="470"/>
      <c r="L354" s="470"/>
      <c r="M354" s="470"/>
      <c r="N354" s="470"/>
      <c r="O354" s="470"/>
      <c r="P354" s="470"/>
      <c r="Q354" s="470"/>
    </row>
    <row r="355" spans="1:18" x14ac:dyDescent="0.2">
      <c r="A355" s="263">
        <f>A354+1</f>
        <v>9</v>
      </c>
      <c r="C355" s="451" t="s">
        <v>219</v>
      </c>
      <c r="D355" s="438"/>
      <c r="E355" s="242">
        <f t="shared" ref="E355:P355" si="152">E1226</f>
        <v>1</v>
      </c>
      <c r="F355" s="242">
        <f t="shared" si="152"/>
        <v>1</v>
      </c>
      <c r="G355" s="242">
        <f t="shared" si="152"/>
        <v>1</v>
      </c>
      <c r="H355" s="242">
        <f t="shared" si="152"/>
        <v>1</v>
      </c>
      <c r="I355" s="242">
        <f t="shared" si="152"/>
        <v>1</v>
      </c>
      <c r="J355" s="242">
        <f t="shared" si="152"/>
        <v>1</v>
      </c>
      <c r="K355" s="242">
        <f t="shared" si="152"/>
        <v>1</v>
      </c>
      <c r="L355" s="242">
        <f t="shared" si="152"/>
        <v>1</v>
      </c>
      <c r="M355" s="242">
        <f t="shared" si="152"/>
        <v>1</v>
      </c>
      <c r="N355" s="242">
        <f t="shared" si="152"/>
        <v>1</v>
      </c>
      <c r="O355" s="242">
        <f t="shared" si="152"/>
        <v>1</v>
      </c>
      <c r="P355" s="242">
        <f t="shared" si="152"/>
        <v>1</v>
      </c>
      <c r="Q355" s="242">
        <f>SUM(E355:P355)</f>
        <v>12</v>
      </c>
    </row>
    <row r="356" spans="1:18" x14ac:dyDescent="0.2">
      <c r="A356" s="263">
        <f>A355+1</f>
        <v>10</v>
      </c>
      <c r="C356" s="451" t="s">
        <v>576</v>
      </c>
      <c r="D356" s="438"/>
      <c r="E356" s="247">
        <f t="shared" ref="E356:P356" si="153">E1233</f>
        <v>170000</v>
      </c>
      <c r="F356" s="247">
        <f t="shared" si="153"/>
        <v>170000</v>
      </c>
      <c r="G356" s="247">
        <f t="shared" si="153"/>
        <v>140000</v>
      </c>
      <c r="H356" s="247">
        <f t="shared" si="153"/>
        <v>140000</v>
      </c>
      <c r="I356" s="247">
        <f t="shared" si="153"/>
        <v>130000</v>
      </c>
      <c r="J356" s="247">
        <f t="shared" si="153"/>
        <v>130000</v>
      </c>
      <c r="K356" s="247">
        <f t="shared" si="153"/>
        <v>130000</v>
      </c>
      <c r="L356" s="247">
        <f t="shared" si="153"/>
        <v>130000</v>
      </c>
      <c r="M356" s="247">
        <f t="shared" si="153"/>
        <v>130000</v>
      </c>
      <c r="N356" s="247">
        <f t="shared" si="153"/>
        <v>130000</v>
      </c>
      <c r="O356" s="247">
        <f t="shared" si="153"/>
        <v>140000</v>
      </c>
      <c r="P356" s="247">
        <f t="shared" si="153"/>
        <v>170000</v>
      </c>
      <c r="Q356" s="247">
        <f>SUM(E356:P356)</f>
        <v>1710000</v>
      </c>
    </row>
    <row r="357" spans="1:18" x14ac:dyDescent="0.2">
      <c r="A357" s="263">
        <f>A356+1</f>
        <v>11</v>
      </c>
      <c r="C357" s="451" t="s">
        <v>221</v>
      </c>
      <c r="D357" s="438"/>
      <c r="E357" s="434">
        <f t="shared" ref="E357:P357" si="154">E1239</f>
        <v>47762.95</v>
      </c>
      <c r="F357" s="434">
        <f t="shared" si="154"/>
        <v>47762.95</v>
      </c>
      <c r="G357" s="434">
        <f t="shared" si="154"/>
        <v>41662.949999999997</v>
      </c>
      <c r="H357" s="434">
        <f t="shared" si="154"/>
        <v>41662.949999999997</v>
      </c>
      <c r="I357" s="434">
        <f t="shared" si="154"/>
        <v>38762.949999999997</v>
      </c>
      <c r="J357" s="434">
        <f t="shared" si="154"/>
        <v>38762.949999999997</v>
      </c>
      <c r="K357" s="434">
        <f t="shared" si="154"/>
        <v>38762.949999999997</v>
      </c>
      <c r="L357" s="434">
        <f t="shared" si="154"/>
        <v>38762.949999999997</v>
      </c>
      <c r="M357" s="434">
        <f t="shared" si="154"/>
        <v>38762.949999999997</v>
      </c>
      <c r="N357" s="434">
        <f t="shared" si="154"/>
        <v>38762.949999999997</v>
      </c>
      <c r="O357" s="434">
        <f t="shared" si="154"/>
        <v>41662.949999999997</v>
      </c>
      <c r="P357" s="434">
        <f t="shared" si="154"/>
        <v>47762.95</v>
      </c>
      <c r="Q357" s="434">
        <f>SUM(E357:P357)</f>
        <v>500855.40000000008</v>
      </c>
    </row>
    <row r="358" spans="1:18" x14ac:dyDescent="0.2">
      <c r="A358" s="263">
        <f>A357+1</f>
        <v>12</v>
      </c>
      <c r="C358" s="451" t="s">
        <v>222</v>
      </c>
      <c r="D358" s="438"/>
      <c r="E358" s="434">
        <f t="shared" ref="E358:P358" si="155">E1241</f>
        <v>0</v>
      </c>
      <c r="F358" s="434">
        <f t="shared" si="155"/>
        <v>0</v>
      </c>
      <c r="G358" s="434">
        <f t="shared" si="155"/>
        <v>0</v>
      </c>
      <c r="H358" s="434">
        <f t="shared" si="155"/>
        <v>0</v>
      </c>
      <c r="I358" s="434">
        <f t="shared" si="155"/>
        <v>0</v>
      </c>
      <c r="J358" s="434">
        <f t="shared" si="155"/>
        <v>0</v>
      </c>
      <c r="K358" s="434">
        <f t="shared" si="155"/>
        <v>0</v>
      </c>
      <c r="L358" s="434">
        <f t="shared" si="155"/>
        <v>0</v>
      </c>
      <c r="M358" s="434">
        <f t="shared" si="155"/>
        <v>0</v>
      </c>
      <c r="N358" s="434">
        <f t="shared" si="155"/>
        <v>0</v>
      </c>
      <c r="O358" s="434">
        <f t="shared" si="155"/>
        <v>0</v>
      </c>
      <c r="P358" s="434">
        <f t="shared" si="155"/>
        <v>0</v>
      </c>
      <c r="Q358" s="434">
        <f>SUM(E358:P358)</f>
        <v>0</v>
      </c>
    </row>
    <row r="359" spans="1:18" x14ac:dyDescent="0.2">
      <c r="A359" s="720">
        <f>A358+1</f>
        <v>13</v>
      </c>
      <c r="B359" s="454"/>
      <c r="C359" s="455" t="s">
        <v>577</v>
      </c>
      <c r="D359" s="472"/>
      <c r="E359" s="457">
        <f t="shared" ref="E359:P359" si="156">E1243</f>
        <v>47762.95</v>
      </c>
      <c r="F359" s="457">
        <f t="shared" si="156"/>
        <v>47762.95</v>
      </c>
      <c r="G359" s="457">
        <f t="shared" si="156"/>
        <v>41662.949999999997</v>
      </c>
      <c r="H359" s="457">
        <f t="shared" si="156"/>
        <v>41662.949999999997</v>
      </c>
      <c r="I359" s="457">
        <f t="shared" si="156"/>
        <v>38762.949999999997</v>
      </c>
      <c r="J359" s="457">
        <f t="shared" si="156"/>
        <v>38762.949999999997</v>
      </c>
      <c r="K359" s="457">
        <f t="shared" si="156"/>
        <v>38762.949999999997</v>
      </c>
      <c r="L359" s="457">
        <f t="shared" si="156"/>
        <v>38762.949999999997</v>
      </c>
      <c r="M359" s="457">
        <f t="shared" si="156"/>
        <v>38762.949999999997</v>
      </c>
      <c r="N359" s="457">
        <f t="shared" si="156"/>
        <v>38762.949999999997</v>
      </c>
      <c r="O359" s="457">
        <f t="shared" si="156"/>
        <v>41662.949999999997</v>
      </c>
      <c r="P359" s="457">
        <f t="shared" si="156"/>
        <v>47762.95</v>
      </c>
      <c r="Q359" s="457">
        <f>SUM(E359:P359)</f>
        <v>500855.40000000008</v>
      </c>
    </row>
    <row r="360" spans="1:18" x14ac:dyDescent="0.2">
      <c r="D360" s="438"/>
      <c r="E360" s="469"/>
      <c r="F360" s="470"/>
      <c r="G360" s="470"/>
      <c r="H360" s="470"/>
      <c r="I360" s="471"/>
      <c r="J360" s="470"/>
      <c r="K360" s="470"/>
      <c r="L360" s="470"/>
      <c r="M360" s="470"/>
      <c r="N360" s="470"/>
      <c r="O360" s="470"/>
      <c r="P360" s="470"/>
      <c r="Q360" s="470"/>
    </row>
    <row r="361" spans="1:18" x14ac:dyDescent="0.2">
      <c r="A361" s="263">
        <f>A359+1</f>
        <v>14</v>
      </c>
      <c r="B361" s="221" t="s">
        <v>106</v>
      </c>
      <c r="E361" s="434">
        <f>E69+E76+E83+E90+E97+E104+E131+E138+E145+E152+E159+E186+E193+E200+E227+E234+E241+E248+E255+E262+E290+E297+E304+E311+E318+E325+E352+E359</f>
        <v>18468156.590000004</v>
      </c>
      <c r="F361" s="434">
        <f t="shared" ref="F361:P361" si="157">F69+F76+F83+F90+F97+F104+F131+F138+F145+F152+F159+F186+F193+F200+F227+F234+F241+F248+F255+F262+F290+F297+F304+F311+F318+F325+F352+F359</f>
        <v>18042770.109999999</v>
      </c>
      <c r="G361" s="434">
        <f t="shared" si="157"/>
        <v>14414234.940000001</v>
      </c>
      <c r="H361" s="434">
        <f t="shared" si="157"/>
        <v>10082261.809999997</v>
      </c>
      <c r="I361" s="434">
        <f t="shared" si="157"/>
        <v>6937928.1499999994</v>
      </c>
      <c r="J361" s="434">
        <f t="shared" si="157"/>
        <v>5509585.1300000008</v>
      </c>
      <c r="K361" s="434">
        <f t="shared" si="157"/>
        <v>5056247.2799999993</v>
      </c>
      <c r="L361" s="434">
        <f t="shared" si="157"/>
        <v>5046449.9300000006</v>
      </c>
      <c r="M361" s="434">
        <f t="shared" si="157"/>
        <v>5095544.5100000007</v>
      </c>
      <c r="N361" s="434">
        <f t="shared" si="157"/>
        <v>5783476.2000000011</v>
      </c>
      <c r="O361" s="434">
        <f t="shared" si="157"/>
        <v>8503071.2599999998</v>
      </c>
      <c r="P361" s="434">
        <f t="shared" si="157"/>
        <v>13818765.51</v>
      </c>
      <c r="Q361" s="434">
        <f>SUM(E361:P361)</f>
        <v>116758491.42000002</v>
      </c>
    </row>
    <row r="362" spans="1:18" x14ac:dyDescent="0.2">
      <c r="K362" s="292"/>
    </row>
    <row r="363" spans="1:18" x14ac:dyDescent="0.2">
      <c r="A363" s="263">
        <f>A361+1</f>
        <v>15</v>
      </c>
      <c r="C363" s="445" t="s">
        <v>102</v>
      </c>
      <c r="K363" s="292"/>
    </row>
    <row r="364" spans="1:18" x14ac:dyDescent="0.2">
      <c r="K364" s="292"/>
    </row>
    <row r="365" spans="1:18" x14ac:dyDescent="0.2">
      <c r="A365" s="263">
        <f>A363+1</f>
        <v>16</v>
      </c>
      <c r="C365" s="221" t="s">
        <v>179</v>
      </c>
      <c r="E365" s="434">
        <f>'Sch M 2.2'!E369+ROUND('Late Payment MPB-2'!$F$59/12,0)</f>
        <v>67004</v>
      </c>
      <c r="F365" s="434">
        <f>'Sch M 2.2'!F369+ROUND('Late Payment MPB-2'!$F$59/12,0)</f>
        <v>90004</v>
      </c>
      <c r="G365" s="434">
        <f>'Sch M 2.2'!G369+ROUND('Late Payment MPB-2'!$F$59/12,0)</f>
        <v>89004</v>
      </c>
      <c r="H365" s="434">
        <f>'Sch M 2.2'!H369+ROUND('Late Payment MPB-2'!$F$59/12,0)</f>
        <v>85004</v>
      </c>
      <c r="I365" s="434">
        <f>'Sch M 2.2'!I369+ROUND('Late Payment MPB-2'!$F$59/12,0)</f>
        <v>51004</v>
      </c>
      <c r="J365" s="434">
        <f>'Sch M 2.2'!J369+ROUND('Late Payment MPB-2'!$F$59/12,0)</f>
        <v>36004</v>
      </c>
      <c r="K365" s="434">
        <f>'Sch M 2.2'!K369+ROUND('Late Payment MPB-2'!$F$59/12,0)</f>
        <v>31004</v>
      </c>
      <c r="L365" s="434">
        <f>'Sch M 2.2'!L369+ROUND('Late Payment MPB-2'!$F$59/12,0)</f>
        <v>30004</v>
      </c>
      <c r="M365" s="434">
        <f>'Sch M 2.2'!M369+ROUND('Late Payment MPB-2'!$F$59/12,0)</f>
        <v>33004</v>
      </c>
      <c r="N365" s="434">
        <f>'Sch M 2.2'!N369+ROUND('Late Payment MPB-2'!$F$59/12,0)</f>
        <v>22004</v>
      </c>
      <c r="O365" s="434">
        <f>'Sch M 2.2'!O369+ROUND('Late Payment MPB-2'!$F$59/12,0)</f>
        <v>29004</v>
      </c>
      <c r="P365" s="434">
        <f>'Sch M 2.2'!P369+ROUND('Late Payment MPB-2'!$F$59/12,0)</f>
        <v>45004</v>
      </c>
      <c r="Q365" s="434">
        <f>SUM(E365:P365)</f>
        <v>608048</v>
      </c>
    </row>
    <row r="366" spans="1:18" x14ac:dyDescent="0.2">
      <c r="A366" s="263">
        <f>A365+1</f>
        <v>17</v>
      </c>
      <c r="C366" s="221" t="s">
        <v>103</v>
      </c>
      <c r="E366" s="434">
        <f>'Sch M 2.2'!E370</f>
        <v>8000</v>
      </c>
      <c r="F366" s="434">
        <f>'Sch M 2.2'!F370</f>
        <v>9000</v>
      </c>
      <c r="G366" s="434">
        <f>'Sch M 2.2'!G370</f>
        <v>11000</v>
      </c>
      <c r="H366" s="434">
        <f>'Sch M 2.2'!H370</f>
        <v>13000</v>
      </c>
      <c r="I366" s="434">
        <f>'Sch M 2.2'!I370</f>
        <v>10000</v>
      </c>
      <c r="J366" s="434">
        <f>'Sch M 2.2'!J370</f>
        <v>11000</v>
      </c>
      <c r="K366" s="434">
        <f>'Sch M 2.2'!K370</f>
        <v>9000</v>
      </c>
      <c r="L366" s="434">
        <f>'Sch M 2.2'!L370</f>
        <v>8000</v>
      </c>
      <c r="M366" s="434">
        <f>'Sch M 2.2'!M370</f>
        <v>9000</v>
      </c>
      <c r="N366" s="434">
        <f>'Sch M 2.2'!N370</f>
        <v>19000</v>
      </c>
      <c r="O366" s="434">
        <f>'Sch M 2.2'!O370</f>
        <v>20000</v>
      </c>
      <c r="P366" s="434">
        <f>'Sch M 2.2'!P370</f>
        <v>10000</v>
      </c>
      <c r="Q366" s="434">
        <f>SUM(E366:P366)</f>
        <v>137000</v>
      </c>
    </row>
    <row r="367" spans="1:18" x14ac:dyDescent="0.2">
      <c r="A367" s="263">
        <f>A366+1</f>
        <v>18</v>
      </c>
      <c r="C367" s="221" t="s">
        <v>316</v>
      </c>
      <c r="E367" s="434">
        <f>'Sch M 2.2'!E371</f>
        <v>6000</v>
      </c>
      <c r="F367" s="434">
        <f>'Sch M 2.2'!F371</f>
        <v>6000</v>
      </c>
      <c r="G367" s="434">
        <f>'Sch M 2.2'!G371</f>
        <v>6000</v>
      </c>
      <c r="H367" s="434">
        <f>'Sch M 2.2'!H371</f>
        <v>6000</v>
      </c>
      <c r="I367" s="434">
        <f>'Sch M 2.2'!I371</f>
        <v>6000</v>
      </c>
      <c r="J367" s="434">
        <f>'Sch M 2.2'!J371</f>
        <v>6000</v>
      </c>
      <c r="K367" s="434">
        <f>'Sch M 2.2'!K371</f>
        <v>6000</v>
      </c>
      <c r="L367" s="434">
        <f>'Sch M 2.2'!L371</f>
        <v>6000</v>
      </c>
      <c r="M367" s="434">
        <f>'Sch M 2.2'!M371</f>
        <v>6000</v>
      </c>
      <c r="N367" s="434">
        <f>'Sch M 2.2'!N371</f>
        <v>6000</v>
      </c>
      <c r="O367" s="434">
        <f>'Sch M 2.2'!O371</f>
        <v>6000</v>
      </c>
      <c r="P367" s="434">
        <f>'Sch M 2.2'!P371</f>
        <v>6000</v>
      </c>
      <c r="Q367" s="434">
        <f>SUM(E367:P367)</f>
        <v>72000</v>
      </c>
    </row>
    <row r="368" spans="1:18" x14ac:dyDescent="0.2">
      <c r="A368" s="263">
        <f>A367+1</f>
        <v>19</v>
      </c>
      <c r="C368" s="221" t="s">
        <v>104</v>
      </c>
      <c r="E368" s="434">
        <f>'Sch M 2.2'!E372</f>
        <v>0</v>
      </c>
      <c r="F368" s="434">
        <f>'Sch M 2.2'!F372</f>
        <v>0</v>
      </c>
      <c r="G368" s="434">
        <f>'Sch M 2.2'!G372</f>
        <v>0</v>
      </c>
      <c r="H368" s="434">
        <f>'Sch M 2.2'!H372</f>
        <v>0</v>
      </c>
      <c r="I368" s="434">
        <f>'Sch M 2.2'!I372</f>
        <v>0</v>
      </c>
      <c r="J368" s="434">
        <f>'Sch M 2.2'!J372</f>
        <v>0</v>
      </c>
      <c r="K368" s="434">
        <f>'Sch M 2.2'!K372</f>
        <v>0</v>
      </c>
      <c r="L368" s="434">
        <f>'Sch M 2.2'!L372</f>
        <v>0</v>
      </c>
      <c r="M368" s="434">
        <f>'Sch M 2.2'!M372</f>
        <v>0</v>
      </c>
      <c r="N368" s="434">
        <f>'Sch M 2.2'!N372</f>
        <v>0</v>
      </c>
      <c r="O368" s="434">
        <f>'Sch M 2.2'!O372</f>
        <v>0</v>
      </c>
      <c r="P368" s="434">
        <f>'Sch M 2.2'!P372</f>
        <v>0</v>
      </c>
      <c r="Q368" s="434">
        <f>SUM(E368:P368)</f>
        <v>0</v>
      </c>
    </row>
    <row r="369" spans="1:17" x14ac:dyDescent="0.2">
      <c r="A369" s="263">
        <f>A368+1</f>
        <v>20</v>
      </c>
      <c r="C369" s="221" t="s">
        <v>105</v>
      </c>
      <c r="E369" s="434">
        <f>'Sch M 2.2'!E373</f>
        <v>66000</v>
      </c>
      <c r="F369" s="434">
        <f>'Sch M 2.2'!F373</f>
        <v>58000</v>
      </c>
      <c r="G369" s="434">
        <f>'Sch M 2.2'!G373</f>
        <v>61000</v>
      </c>
      <c r="H369" s="434">
        <f>'Sch M 2.2'!H373</f>
        <v>85000</v>
      </c>
      <c r="I369" s="434">
        <f>'Sch M 2.2'!I373</f>
        <v>24000</v>
      </c>
      <c r="J369" s="434">
        <f>'Sch M 2.2'!J373</f>
        <v>19000</v>
      </c>
      <c r="K369" s="434">
        <f>'Sch M 2.2'!K373</f>
        <v>16000</v>
      </c>
      <c r="L369" s="434">
        <f>'Sch M 2.2'!L373</f>
        <v>15000</v>
      </c>
      <c r="M369" s="434">
        <f>'Sch M 2.2'!M373</f>
        <v>16000</v>
      </c>
      <c r="N369" s="434">
        <f>'Sch M 2.2'!N373</f>
        <v>18000</v>
      </c>
      <c r="O369" s="434">
        <f>'Sch M 2.2'!O373</f>
        <v>25000</v>
      </c>
      <c r="P369" s="434">
        <f>'Sch M 2.2'!P373</f>
        <v>112000</v>
      </c>
      <c r="Q369" s="434">
        <f>SUM(E369:P369)</f>
        <v>515000</v>
      </c>
    </row>
    <row r="370" spans="1:17" x14ac:dyDescent="0.2">
      <c r="K370" s="292"/>
    </row>
    <row r="371" spans="1:17" x14ac:dyDescent="0.2">
      <c r="A371" s="263">
        <f>A369+1</f>
        <v>21</v>
      </c>
      <c r="B371" s="221" t="s">
        <v>107</v>
      </c>
      <c r="E371" s="434">
        <f t="shared" ref="E371:P371" si="158">SUM(E365:E370)</f>
        <v>147004</v>
      </c>
      <c r="F371" s="434">
        <f t="shared" si="158"/>
        <v>163004</v>
      </c>
      <c r="G371" s="434">
        <f t="shared" si="158"/>
        <v>167004</v>
      </c>
      <c r="H371" s="434">
        <f t="shared" si="158"/>
        <v>189004</v>
      </c>
      <c r="I371" s="434">
        <f t="shared" si="158"/>
        <v>91004</v>
      </c>
      <c r="J371" s="434">
        <f t="shared" si="158"/>
        <v>72004</v>
      </c>
      <c r="K371" s="434">
        <f t="shared" si="158"/>
        <v>62004</v>
      </c>
      <c r="L371" s="434">
        <f t="shared" si="158"/>
        <v>59004</v>
      </c>
      <c r="M371" s="434">
        <f t="shared" si="158"/>
        <v>64004</v>
      </c>
      <c r="N371" s="434">
        <f t="shared" si="158"/>
        <v>65004</v>
      </c>
      <c r="O371" s="434">
        <f t="shared" si="158"/>
        <v>80004</v>
      </c>
      <c r="P371" s="434">
        <f t="shared" si="158"/>
        <v>173004</v>
      </c>
      <c r="Q371" s="434">
        <f>SUM(E371:P371)</f>
        <v>1332048</v>
      </c>
    </row>
    <row r="372" spans="1:17" x14ac:dyDescent="0.2">
      <c r="C372" s="445"/>
      <c r="K372" s="292"/>
    </row>
    <row r="373" spans="1:17" x14ac:dyDescent="0.2">
      <c r="A373" s="720">
        <f>A371+1</f>
        <v>22</v>
      </c>
      <c r="B373" s="454" t="s">
        <v>108</v>
      </c>
      <c r="C373" s="454"/>
      <c r="D373" s="456"/>
      <c r="E373" s="457">
        <f t="shared" ref="E373:Q373" si="159">E361+E371</f>
        <v>18615160.590000004</v>
      </c>
      <c r="F373" s="457">
        <f t="shared" si="159"/>
        <v>18205774.109999999</v>
      </c>
      <c r="G373" s="457">
        <f t="shared" si="159"/>
        <v>14581238.940000001</v>
      </c>
      <c r="H373" s="457">
        <f t="shared" si="159"/>
        <v>10271265.809999997</v>
      </c>
      <c r="I373" s="457">
        <f t="shared" si="159"/>
        <v>7028932.1499999994</v>
      </c>
      <c r="J373" s="457">
        <f t="shared" si="159"/>
        <v>5581589.1300000008</v>
      </c>
      <c r="K373" s="457">
        <f t="shared" si="159"/>
        <v>5118251.2799999993</v>
      </c>
      <c r="L373" s="457">
        <f t="shared" si="159"/>
        <v>5105453.9300000006</v>
      </c>
      <c r="M373" s="457">
        <f t="shared" si="159"/>
        <v>5159548.5100000007</v>
      </c>
      <c r="N373" s="457">
        <f t="shared" si="159"/>
        <v>5848480.2000000011</v>
      </c>
      <c r="O373" s="457">
        <f t="shared" si="159"/>
        <v>8583075.2599999998</v>
      </c>
      <c r="P373" s="457">
        <f t="shared" si="159"/>
        <v>13991769.51</v>
      </c>
      <c r="Q373" s="457">
        <f t="shared" si="159"/>
        <v>118090539.42000002</v>
      </c>
    </row>
    <row r="374" spans="1:17" x14ac:dyDescent="0.2">
      <c r="K374" s="292"/>
      <c r="P374" s="422"/>
      <c r="Q374" s="422"/>
    </row>
    <row r="375" spans="1:17" x14ac:dyDescent="0.2">
      <c r="A375" s="629" t="str">
        <f>$A$265</f>
        <v>[1] Reflects Normalized Volumes.</v>
      </c>
      <c r="P375" s="422"/>
      <c r="Q375" s="422"/>
    </row>
    <row r="376" spans="1:17" x14ac:dyDescent="0.2">
      <c r="A376" s="629" t="str">
        <f>$A$266</f>
        <v>[2] See Schedule M-2.2 Pages 8 through 21 for detail.</v>
      </c>
      <c r="B376" s="224"/>
      <c r="C376" s="224"/>
      <c r="P376" s="422"/>
      <c r="Q376" s="422"/>
    </row>
    <row r="377" spans="1:17" x14ac:dyDescent="0.2">
      <c r="A377" s="887" t="str">
        <f>CONAME</f>
        <v>Columbia Gas of Kentucky, Inc.</v>
      </c>
      <c r="B377" s="887"/>
      <c r="C377" s="887"/>
      <c r="D377" s="887"/>
      <c r="E377" s="887"/>
      <c r="F377" s="887"/>
      <c r="G377" s="887"/>
      <c r="H377" s="887"/>
      <c r="I377" s="887"/>
      <c r="J377" s="887"/>
      <c r="K377" s="887"/>
      <c r="L377" s="887"/>
      <c r="M377" s="887"/>
      <c r="N377" s="887"/>
      <c r="O377" s="887"/>
      <c r="P377" s="887"/>
      <c r="Q377" s="887"/>
    </row>
    <row r="378" spans="1:17" x14ac:dyDescent="0.2">
      <c r="A378" s="875" t="str">
        <f>case</f>
        <v>Case No. 2016-00162</v>
      </c>
      <c r="B378" s="875"/>
      <c r="C378" s="875"/>
      <c r="D378" s="875"/>
      <c r="E378" s="875"/>
      <c r="F378" s="875"/>
      <c r="G378" s="875"/>
      <c r="H378" s="875"/>
      <c r="I378" s="875"/>
      <c r="J378" s="875"/>
      <c r="K378" s="875"/>
      <c r="L378" s="875"/>
      <c r="M378" s="875"/>
      <c r="N378" s="875"/>
      <c r="O378" s="875"/>
      <c r="P378" s="875"/>
      <c r="Q378" s="875"/>
    </row>
    <row r="379" spans="1:17" x14ac:dyDescent="0.2">
      <c r="A379" s="888" t="s">
        <v>200</v>
      </c>
      <c r="B379" s="888"/>
      <c r="C379" s="888"/>
      <c r="D379" s="888"/>
      <c r="E379" s="888"/>
      <c r="F379" s="888"/>
      <c r="G379" s="888"/>
      <c r="H379" s="888"/>
      <c r="I379" s="888"/>
      <c r="J379" s="888"/>
      <c r="K379" s="888"/>
      <c r="L379" s="888"/>
      <c r="M379" s="888"/>
      <c r="N379" s="888"/>
      <c r="O379" s="888"/>
      <c r="P379" s="888"/>
      <c r="Q379" s="888"/>
    </row>
    <row r="380" spans="1:17" x14ac:dyDescent="0.2">
      <c r="A380" s="887" t="str">
        <f>TYDESC</f>
        <v>For the 12 Months Ended December 31, 2017</v>
      </c>
      <c r="B380" s="887"/>
      <c r="C380" s="887"/>
      <c r="D380" s="887"/>
      <c r="E380" s="887"/>
      <c r="F380" s="887"/>
      <c r="G380" s="887"/>
      <c r="H380" s="887"/>
      <c r="I380" s="887"/>
      <c r="J380" s="887"/>
      <c r="K380" s="887"/>
      <c r="L380" s="887"/>
      <c r="M380" s="887"/>
      <c r="N380" s="887"/>
      <c r="O380" s="887"/>
      <c r="P380" s="887"/>
      <c r="Q380" s="887"/>
    </row>
    <row r="381" spans="1:17" x14ac:dyDescent="0.2">
      <c r="A381" s="885" t="s">
        <v>39</v>
      </c>
      <c r="B381" s="885"/>
      <c r="C381" s="885"/>
      <c r="D381" s="885"/>
      <c r="E381" s="885"/>
      <c r="F381" s="885"/>
      <c r="G381" s="885"/>
      <c r="H381" s="885"/>
      <c r="I381" s="885"/>
      <c r="J381" s="885"/>
      <c r="K381" s="885"/>
      <c r="L381" s="885"/>
      <c r="M381" s="885"/>
      <c r="N381" s="885"/>
      <c r="O381" s="885"/>
      <c r="P381" s="885"/>
      <c r="Q381" s="885"/>
    </row>
    <row r="382" spans="1:17" x14ac:dyDescent="0.2">
      <c r="A382" s="718" t="str">
        <f>$A$52</f>
        <v>Data: __ Base Period _X_ Forecasted Period</v>
      </c>
    </row>
    <row r="383" spans="1:17" x14ac:dyDescent="0.2">
      <c r="A383" s="718" t="str">
        <f>$A$53</f>
        <v>Type of Filing: X Original _ Update _ Revised</v>
      </c>
      <c r="Q383" s="420" t="str">
        <f>$Q$53</f>
        <v>Schedule M-2.3</v>
      </c>
    </row>
    <row r="384" spans="1:17" x14ac:dyDescent="0.2">
      <c r="A384" s="718" t="str">
        <f>$A$54</f>
        <v>Work Paper Reference No(s):</v>
      </c>
      <c r="Q384" s="420" t="s">
        <v>510</v>
      </c>
    </row>
    <row r="385" spans="1:17" x14ac:dyDescent="0.2">
      <c r="A385" s="719" t="str">
        <f>$A$55</f>
        <v>12 Months Forecasted</v>
      </c>
      <c r="Q385" s="420" t="str">
        <f>Witness</f>
        <v>Witness:  M. J. Bell</v>
      </c>
    </row>
    <row r="386" spans="1:17" x14ac:dyDescent="0.2">
      <c r="A386" s="886" t="s">
        <v>294</v>
      </c>
      <c r="B386" s="886"/>
      <c r="C386" s="886"/>
      <c r="D386" s="886"/>
      <c r="E386" s="886"/>
      <c r="F386" s="886"/>
      <c r="G386" s="886"/>
      <c r="H386" s="886"/>
      <c r="I386" s="886"/>
      <c r="J386" s="886"/>
      <c r="K386" s="886"/>
      <c r="L386" s="886"/>
      <c r="M386" s="886"/>
      <c r="N386" s="886"/>
      <c r="O386" s="886"/>
      <c r="P386" s="886"/>
      <c r="Q386" s="886"/>
    </row>
    <row r="387" spans="1:17" x14ac:dyDescent="0.2">
      <c r="A387" s="227"/>
      <c r="B387" s="305"/>
      <c r="C387" s="305"/>
      <c r="D387" s="304"/>
      <c r="E387" s="305"/>
      <c r="F387" s="422"/>
      <c r="G387" s="442"/>
      <c r="H387" s="422"/>
      <c r="I387" s="443"/>
      <c r="J387" s="422"/>
      <c r="K387" s="422"/>
      <c r="L387" s="422"/>
      <c r="M387" s="422"/>
      <c r="N387" s="422"/>
      <c r="O387" s="422"/>
      <c r="P387" s="422"/>
      <c r="Q387" s="305"/>
    </row>
    <row r="388" spans="1:17" x14ac:dyDescent="0.2">
      <c r="A388" s="416" t="s">
        <v>1</v>
      </c>
      <c r="B388" s="226" t="s">
        <v>0</v>
      </c>
      <c r="C388" s="226" t="s">
        <v>41</v>
      </c>
      <c r="D388" s="423" t="s">
        <v>30</v>
      </c>
      <c r="E388" s="226"/>
      <c r="F388" s="424"/>
      <c r="G388" s="425"/>
      <c r="H388" s="424"/>
      <c r="I388" s="426"/>
      <c r="J388" s="424"/>
      <c r="K388" s="424"/>
      <c r="L388" s="424"/>
      <c r="M388" s="424"/>
      <c r="N388" s="424"/>
      <c r="O388" s="424"/>
      <c r="P388" s="424"/>
      <c r="Q388" s="231"/>
    </row>
    <row r="389" spans="1:17" x14ac:dyDescent="0.2">
      <c r="A389" s="285" t="s">
        <v>3</v>
      </c>
      <c r="B389" s="228" t="s">
        <v>40</v>
      </c>
      <c r="C389" s="228" t="s">
        <v>4</v>
      </c>
      <c r="D389" s="427" t="s">
        <v>48</v>
      </c>
      <c r="E389" s="428" t="str">
        <f>B!$D$11</f>
        <v>Jan-17</v>
      </c>
      <c r="F389" s="428" t="str">
        <f>B!$E$11</f>
        <v>Feb-17</v>
      </c>
      <c r="G389" s="428" t="str">
        <f>B!$F$11</f>
        <v>Mar-17</v>
      </c>
      <c r="H389" s="428" t="str">
        <f>B!$G$11</f>
        <v>Apr-17</v>
      </c>
      <c r="I389" s="428" t="str">
        <f>B!$H$11</f>
        <v>May-17</v>
      </c>
      <c r="J389" s="428" t="str">
        <f>B!$I$11</f>
        <v>Jun-17</v>
      </c>
      <c r="K389" s="428" t="str">
        <f>B!$J$11</f>
        <v>Jul-17</v>
      </c>
      <c r="L389" s="428" t="str">
        <f>B!$K$11</f>
        <v>Aug-17</v>
      </c>
      <c r="M389" s="428" t="str">
        <f>B!$L$11</f>
        <v>Sep-17</v>
      </c>
      <c r="N389" s="428" t="str">
        <f>B!$M$11</f>
        <v>Oct-17</v>
      </c>
      <c r="O389" s="428" t="str">
        <f>B!$N$11</f>
        <v>Nov-17</v>
      </c>
      <c r="P389" s="428" t="str">
        <f>B!$O$11</f>
        <v>Dec-17</v>
      </c>
      <c r="Q389" s="429" t="s">
        <v>9</v>
      </c>
    </row>
    <row r="390" spans="1:17" x14ac:dyDescent="0.2">
      <c r="A390" s="416"/>
      <c r="B390" s="231" t="s">
        <v>42</v>
      </c>
      <c r="C390" s="231" t="s">
        <v>43</v>
      </c>
      <c r="D390" s="430" t="s">
        <v>45</v>
      </c>
      <c r="E390" s="431" t="s">
        <v>46</v>
      </c>
      <c r="F390" s="431" t="s">
        <v>49</v>
      </c>
      <c r="G390" s="431" t="s">
        <v>50</v>
      </c>
      <c r="H390" s="431" t="s">
        <v>51</v>
      </c>
      <c r="I390" s="431" t="s">
        <v>52</v>
      </c>
      <c r="J390" s="432" t="s">
        <v>53</v>
      </c>
      <c r="K390" s="432" t="s">
        <v>54</v>
      </c>
      <c r="L390" s="432" t="s">
        <v>55</v>
      </c>
      <c r="M390" s="432" t="s">
        <v>56</v>
      </c>
      <c r="N390" s="432" t="s">
        <v>57</v>
      </c>
      <c r="O390" s="432" t="s">
        <v>58</v>
      </c>
      <c r="P390" s="432" t="s">
        <v>59</v>
      </c>
      <c r="Q390" s="432" t="s">
        <v>203</v>
      </c>
    </row>
    <row r="391" spans="1:17" x14ac:dyDescent="0.2">
      <c r="E391" s="231"/>
      <c r="F391" s="432"/>
      <c r="G391" s="444"/>
      <c r="H391" s="432"/>
      <c r="I391" s="431"/>
      <c r="J391" s="432"/>
      <c r="K391" s="432"/>
      <c r="L391" s="432"/>
      <c r="M391" s="432"/>
      <c r="N391" s="432"/>
      <c r="O391" s="432"/>
      <c r="P391" s="432"/>
      <c r="Q391" s="231"/>
    </row>
    <row r="393" spans="1:17" x14ac:dyDescent="0.2">
      <c r="A393" s="263">
        <v>1</v>
      </c>
      <c r="B393" s="221" t="str">
        <f>B64</f>
        <v>GSR</v>
      </c>
      <c r="C393" s="221" t="str">
        <f>C64</f>
        <v>General Service - Residential</v>
      </c>
    </row>
    <row r="395" spans="1:17" x14ac:dyDescent="0.2">
      <c r="A395" s="263">
        <f>A393+1</f>
        <v>2</v>
      </c>
      <c r="C395" s="225" t="s">
        <v>109</v>
      </c>
      <c r="I395" s="297"/>
      <c r="J395" s="292"/>
    </row>
    <row r="396" spans="1:17" x14ac:dyDescent="0.2">
      <c r="I396" s="297"/>
      <c r="J396" s="292"/>
    </row>
    <row r="397" spans="1:17" x14ac:dyDescent="0.2">
      <c r="A397" s="263">
        <f>A395+1</f>
        <v>3</v>
      </c>
      <c r="C397" s="221" t="s">
        <v>202</v>
      </c>
      <c r="D397" s="478"/>
      <c r="E397" s="479">
        <f>B!D17</f>
        <v>99289</v>
      </c>
      <c r="F397" s="479">
        <f>B!E17</f>
        <v>99473</v>
      </c>
      <c r="G397" s="479">
        <f>B!F17</f>
        <v>99542</v>
      </c>
      <c r="H397" s="479">
        <f>B!G17</f>
        <v>99522</v>
      </c>
      <c r="I397" s="479">
        <f>B!H17</f>
        <v>99040</v>
      </c>
      <c r="J397" s="479">
        <f>B!I17</f>
        <v>98094</v>
      </c>
      <c r="K397" s="479">
        <f>B!J17</f>
        <v>97239</v>
      </c>
      <c r="L397" s="479">
        <f>B!K17</f>
        <v>97617</v>
      </c>
      <c r="M397" s="479">
        <f>B!L17</f>
        <v>96979</v>
      </c>
      <c r="N397" s="479">
        <f>B!M17</f>
        <v>96955</v>
      </c>
      <c r="O397" s="479">
        <f>B!N17</f>
        <v>97991</v>
      </c>
      <c r="P397" s="479">
        <f>B!O17</f>
        <v>98925</v>
      </c>
      <c r="Q397" s="480">
        <f>SUM(E397:P397)</f>
        <v>1180666</v>
      </c>
    </row>
    <row r="398" spans="1:17" x14ac:dyDescent="0.2">
      <c r="A398" s="263">
        <f>A397+1</f>
        <v>4</v>
      </c>
      <c r="C398" s="221" t="s">
        <v>210</v>
      </c>
      <c r="D398" s="792">
        <f>Input!U19</f>
        <v>19.75</v>
      </c>
      <c r="E398" s="434">
        <f t="shared" ref="E398:P398" si="160">ROUND(E397*$D$398,2)</f>
        <v>1960957.75</v>
      </c>
      <c r="F398" s="434">
        <f t="shared" si="160"/>
        <v>1964591.75</v>
      </c>
      <c r="G398" s="434">
        <f t="shared" si="160"/>
        <v>1965954.5</v>
      </c>
      <c r="H398" s="434">
        <f t="shared" si="160"/>
        <v>1965559.5</v>
      </c>
      <c r="I398" s="434">
        <f t="shared" si="160"/>
        <v>1956040</v>
      </c>
      <c r="J398" s="434">
        <f t="shared" si="160"/>
        <v>1937356.5</v>
      </c>
      <c r="K398" s="434">
        <f t="shared" si="160"/>
        <v>1920470.25</v>
      </c>
      <c r="L398" s="434">
        <f t="shared" si="160"/>
        <v>1927935.75</v>
      </c>
      <c r="M398" s="434">
        <f t="shared" si="160"/>
        <v>1915335.25</v>
      </c>
      <c r="N398" s="434">
        <f t="shared" si="160"/>
        <v>1914861.25</v>
      </c>
      <c r="O398" s="434">
        <f t="shared" si="160"/>
        <v>1935322.25</v>
      </c>
      <c r="P398" s="434">
        <f t="shared" si="160"/>
        <v>1953768.75</v>
      </c>
      <c r="Q398" s="434">
        <f>SUM(E398:P398)</f>
        <v>23318153.5</v>
      </c>
    </row>
    <row r="399" spans="1:17" x14ac:dyDescent="0.2">
      <c r="A399" s="263">
        <f>A398+1</f>
        <v>5</v>
      </c>
      <c r="C399" s="221" t="s">
        <v>211</v>
      </c>
      <c r="D399" s="792">
        <f>Input!W19</f>
        <v>0</v>
      </c>
      <c r="E399" s="434">
        <f t="shared" ref="E399:P399" si="161">ROUND(E397*$D$399,2)</f>
        <v>0</v>
      </c>
      <c r="F399" s="434">
        <f t="shared" si="161"/>
        <v>0</v>
      </c>
      <c r="G399" s="434">
        <f t="shared" si="161"/>
        <v>0</v>
      </c>
      <c r="H399" s="434">
        <f t="shared" si="161"/>
        <v>0</v>
      </c>
      <c r="I399" s="434">
        <f t="shared" si="161"/>
        <v>0</v>
      </c>
      <c r="J399" s="434">
        <f t="shared" si="161"/>
        <v>0</v>
      </c>
      <c r="K399" s="434">
        <f t="shared" si="161"/>
        <v>0</v>
      </c>
      <c r="L399" s="434">
        <f t="shared" si="161"/>
        <v>0</v>
      </c>
      <c r="M399" s="434">
        <f t="shared" si="161"/>
        <v>0</v>
      </c>
      <c r="N399" s="434">
        <f t="shared" si="161"/>
        <v>0</v>
      </c>
      <c r="O399" s="434">
        <f t="shared" si="161"/>
        <v>0</v>
      </c>
      <c r="P399" s="434">
        <f t="shared" si="161"/>
        <v>0</v>
      </c>
      <c r="Q399" s="434">
        <f>SUM(E399:P399)</f>
        <v>0</v>
      </c>
    </row>
    <row r="400" spans="1:17" x14ac:dyDescent="0.2">
      <c r="D400" s="481"/>
      <c r="E400" s="482"/>
      <c r="I400" s="297"/>
      <c r="J400" s="292"/>
    </row>
    <row r="401" spans="1:17" x14ac:dyDescent="0.2">
      <c r="A401" s="263">
        <f>A399+1</f>
        <v>6</v>
      </c>
      <c r="C401" s="242" t="s">
        <v>209</v>
      </c>
      <c r="D401" s="481"/>
      <c r="E401" s="483">
        <f>'C'!D17</f>
        <v>1331907.1000000001</v>
      </c>
      <c r="F401" s="483">
        <f>'C'!E17</f>
        <v>1291151.8</v>
      </c>
      <c r="G401" s="483">
        <f>'C'!F17</f>
        <v>968403</v>
      </c>
      <c r="H401" s="483">
        <f>'C'!G17</f>
        <v>552553.4</v>
      </c>
      <c r="I401" s="483">
        <f>'C'!H17</f>
        <v>259776.40000000002</v>
      </c>
      <c r="J401" s="483">
        <f>'C'!I17</f>
        <v>123911.3</v>
      </c>
      <c r="K401" s="483">
        <f>'C'!J17</f>
        <v>88930</v>
      </c>
      <c r="L401" s="483">
        <f>'C'!K17</f>
        <v>85940.7</v>
      </c>
      <c r="M401" s="483">
        <f>'C'!L17</f>
        <v>88922.9</v>
      </c>
      <c r="N401" s="483">
        <f>'C'!M17</f>
        <v>141784.29999999999</v>
      </c>
      <c r="O401" s="483">
        <f>'C'!N17</f>
        <v>408542.4</v>
      </c>
      <c r="P401" s="483">
        <f>'C'!O17</f>
        <v>906257.2</v>
      </c>
      <c r="Q401" s="484">
        <f>SUM(E401:P401)</f>
        <v>6248080.5000000009</v>
      </c>
    </row>
    <row r="402" spans="1:17" x14ac:dyDescent="0.2">
      <c r="A402" s="263">
        <f>A401+1</f>
        <v>7</v>
      </c>
      <c r="C402" s="305" t="s">
        <v>578</v>
      </c>
      <c r="D402" s="793">
        <f>Input!P19</f>
        <v>3.8668</v>
      </c>
      <c r="E402" s="434">
        <f t="shared" ref="E402:P402" si="162">ROUND(E401*$D$402,2)</f>
        <v>5150218.37</v>
      </c>
      <c r="F402" s="434">
        <f t="shared" si="162"/>
        <v>4992625.78</v>
      </c>
      <c r="G402" s="434">
        <f t="shared" si="162"/>
        <v>3744620.72</v>
      </c>
      <c r="H402" s="434">
        <f t="shared" si="162"/>
        <v>2136613.4900000002</v>
      </c>
      <c r="I402" s="434">
        <f t="shared" si="162"/>
        <v>1004503.38</v>
      </c>
      <c r="J402" s="434">
        <f t="shared" si="162"/>
        <v>479140.21</v>
      </c>
      <c r="K402" s="434">
        <f t="shared" si="162"/>
        <v>343874.52</v>
      </c>
      <c r="L402" s="434">
        <f t="shared" si="162"/>
        <v>332315.5</v>
      </c>
      <c r="M402" s="434">
        <f t="shared" si="162"/>
        <v>343847.07</v>
      </c>
      <c r="N402" s="434">
        <f t="shared" si="162"/>
        <v>548251.53</v>
      </c>
      <c r="O402" s="434">
        <f t="shared" si="162"/>
        <v>1579751.75</v>
      </c>
      <c r="P402" s="434">
        <f t="shared" si="162"/>
        <v>3504315.34</v>
      </c>
      <c r="Q402" s="434">
        <f>SUM(E402:P402)</f>
        <v>24160077.660000004</v>
      </c>
    </row>
    <row r="403" spans="1:17" x14ac:dyDescent="0.2">
      <c r="C403" s="305"/>
      <c r="D403" s="486"/>
      <c r="E403" s="487"/>
      <c r="F403" s="487"/>
      <c r="G403" s="487"/>
      <c r="H403" s="487"/>
      <c r="I403" s="487"/>
      <c r="J403" s="487"/>
      <c r="K403" s="487"/>
      <c r="L403" s="487"/>
      <c r="M403" s="487"/>
      <c r="N403" s="487"/>
      <c r="O403" s="487"/>
      <c r="P403" s="487"/>
      <c r="Q403" s="488"/>
    </row>
    <row r="404" spans="1:17" x14ac:dyDescent="0.2">
      <c r="A404" s="263">
        <f>A402+1</f>
        <v>8</v>
      </c>
      <c r="C404" s="221" t="s">
        <v>204</v>
      </c>
      <c r="D404" s="486"/>
      <c r="E404" s="434">
        <f t="shared" ref="E404:P404" si="163">E398+E399+E402</f>
        <v>7111176.1200000001</v>
      </c>
      <c r="F404" s="434">
        <f t="shared" si="163"/>
        <v>6957217.5300000003</v>
      </c>
      <c r="G404" s="434">
        <f t="shared" si="163"/>
        <v>5710575.2200000007</v>
      </c>
      <c r="H404" s="434">
        <f t="shared" si="163"/>
        <v>4102172.99</v>
      </c>
      <c r="I404" s="434">
        <f t="shared" si="163"/>
        <v>2960543.38</v>
      </c>
      <c r="J404" s="434">
        <f t="shared" si="163"/>
        <v>2416496.71</v>
      </c>
      <c r="K404" s="434">
        <f t="shared" si="163"/>
        <v>2264344.77</v>
      </c>
      <c r="L404" s="434">
        <f t="shared" si="163"/>
        <v>2260251.25</v>
      </c>
      <c r="M404" s="434">
        <f t="shared" si="163"/>
        <v>2259182.3199999998</v>
      </c>
      <c r="N404" s="434">
        <f t="shared" si="163"/>
        <v>2463112.7800000003</v>
      </c>
      <c r="O404" s="434">
        <f t="shared" si="163"/>
        <v>3515074</v>
      </c>
      <c r="P404" s="434">
        <f t="shared" si="163"/>
        <v>5458084.0899999999</v>
      </c>
      <c r="Q404" s="434">
        <f>SUM(E404:P404)</f>
        <v>47478231.159999996</v>
      </c>
    </row>
    <row r="405" spans="1:17" x14ac:dyDescent="0.2">
      <c r="C405" s="242"/>
      <c r="D405" s="486"/>
      <c r="E405" s="478"/>
      <c r="F405" s="478"/>
      <c r="G405" s="478"/>
      <c r="H405" s="478"/>
      <c r="I405" s="489"/>
      <c r="J405" s="489"/>
      <c r="K405" s="478"/>
      <c r="L405" s="478"/>
      <c r="M405" s="478"/>
      <c r="N405" s="478"/>
      <c r="O405" s="478"/>
      <c r="P405" s="478"/>
      <c r="Q405" s="478"/>
    </row>
    <row r="406" spans="1:17" x14ac:dyDescent="0.2">
      <c r="A406" s="263">
        <f>A404+1</f>
        <v>9</v>
      </c>
      <c r="C406" s="242" t="s">
        <v>579</v>
      </c>
      <c r="D406" s="793">
        <f>EGC</f>
        <v>2.2090999999999998</v>
      </c>
      <c r="E406" s="434">
        <f t="shared" ref="E406:P406" si="164">ROUND(E401*$D$406,2)</f>
        <v>2942315.97</v>
      </c>
      <c r="F406" s="434">
        <f t="shared" si="164"/>
        <v>2852283.44</v>
      </c>
      <c r="G406" s="434">
        <f t="shared" si="164"/>
        <v>2139299.0699999998</v>
      </c>
      <c r="H406" s="434">
        <f t="shared" si="164"/>
        <v>1220645.72</v>
      </c>
      <c r="I406" s="434">
        <f t="shared" si="164"/>
        <v>573872.05000000005</v>
      </c>
      <c r="J406" s="434">
        <f t="shared" si="164"/>
        <v>273732.45</v>
      </c>
      <c r="K406" s="434">
        <f t="shared" si="164"/>
        <v>196455.26</v>
      </c>
      <c r="L406" s="434">
        <f t="shared" si="164"/>
        <v>189851.6</v>
      </c>
      <c r="M406" s="434">
        <f t="shared" si="164"/>
        <v>196439.58</v>
      </c>
      <c r="N406" s="434">
        <f t="shared" si="164"/>
        <v>313215.7</v>
      </c>
      <c r="O406" s="434">
        <f t="shared" si="164"/>
        <v>902511.02</v>
      </c>
      <c r="P406" s="434">
        <f t="shared" si="164"/>
        <v>2002012.78</v>
      </c>
      <c r="Q406" s="434">
        <f>SUM(E406:P406)</f>
        <v>13802634.639999999</v>
      </c>
    </row>
    <row r="407" spans="1:17" x14ac:dyDescent="0.2">
      <c r="C407" s="438"/>
      <c r="D407" s="481"/>
      <c r="E407" s="722"/>
      <c r="F407" s="722"/>
      <c r="G407" s="722"/>
      <c r="H407" s="722"/>
      <c r="I407" s="722"/>
      <c r="J407" s="722"/>
      <c r="K407" s="722"/>
      <c r="L407" s="722"/>
      <c r="M407" s="722"/>
      <c r="N407" s="722"/>
      <c r="O407" s="722"/>
      <c r="P407" s="722"/>
      <c r="Q407" s="722"/>
    </row>
    <row r="408" spans="1:17" x14ac:dyDescent="0.2">
      <c r="A408" s="720">
        <f>A406+1</f>
        <v>10</v>
      </c>
      <c r="B408" s="454"/>
      <c r="C408" s="456" t="s">
        <v>206</v>
      </c>
      <c r="D408" s="723"/>
      <c r="E408" s="457">
        <f t="shared" ref="E408:P408" si="165">E404+E406</f>
        <v>10053492.09</v>
      </c>
      <c r="F408" s="457">
        <f t="shared" si="165"/>
        <v>9809500.9700000007</v>
      </c>
      <c r="G408" s="457">
        <f t="shared" si="165"/>
        <v>7849874.290000001</v>
      </c>
      <c r="H408" s="457">
        <f t="shared" si="165"/>
        <v>5322818.71</v>
      </c>
      <c r="I408" s="457">
        <f t="shared" si="165"/>
        <v>3534415.4299999997</v>
      </c>
      <c r="J408" s="457">
        <f t="shared" si="165"/>
        <v>2690229.16</v>
      </c>
      <c r="K408" s="457">
        <f t="shared" si="165"/>
        <v>2460800.0300000003</v>
      </c>
      <c r="L408" s="457">
        <f t="shared" si="165"/>
        <v>2450102.85</v>
      </c>
      <c r="M408" s="457">
        <f t="shared" si="165"/>
        <v>2455621.9</v>
      </c>
      <c r="N408" s="457">
        <f t="shared" si="165"/>
        <v>2776328.4800000004</v>
      </c>
      <c r="O408" s="457">
        <f t="shared" si="165"/>
        <v>4417585.0199999996</v>
      </c>
      <c r="P408" s="457">
        <f t="shared" si="165"/>
        <v>7460096.8700000001</v>
      </c>
      <c r="Q408" s="457">
        <f>SUM(E408:P408)</f>
        <v>61280865.800000004</v>
      </c>
    </row>
    <row r="409" spans="1:17" x14ac:dyDescent="0.2">
      <c r="C409" s="242"/>
      <c r="D409" s="481"/>
      <c r="E409" s="478"/>
      <c r="F409" s="478"/>
      <c r="G409" s="478"/>
      <c r="H409" s="478"/>
      <c r="I409" s="478"/>
      <c r="J409" s="478"/>
      <c r="K409" s="478"/>
      <c r="L409" s="478"/>
      <c r="M409" s="478"/>
      <c r="N409" s="478"/>
      <c r="O409" s="478"/>
      <c r="P409" s="478"/>
      <c r="Q409" s="478"/>
    </row>
    <row r="410" spans="1:17" x14ac:dyDescent="0.2">
      <c r="A410" s="263">
        <f>A408+1</f>
        <v>11</v>
      </c>
      <c r="C410" s="242" t="s">
        <v>196</v>
      </c>
      <c r="D410" s="494"/>
      <c r="E410" s="434"/>
      <c r="F410" s="434"/>
      <c r="G410" s="434"/>
      <c r="H410" s="434"/>
      <c r="I410" s="434"/>
      <c r="J410" s="434"/>
      <c r="K410" s="434"/>
      <c r="L410" s="434"/>
      <c r="M410" s="434"/>
      <c r="N410" s="434"/>
      <c r="O410" s="434"/>
      <c r="P410" s="434"/>
      <c r="Q410" s="434"/>
    </row>
    <row r="411" spans="1:17" x14ac:dyDescent="0.2">
      <c r="A411" s="263">
        <f>A410+1</f>
        <v>12</v>
      </c>
      <c r="C411" s="221" t="s">
        <v>213</v>
      </c>
      <c r="D411" s="793">
        <f>Input!X19</f>
        <v>0.69</v>
      </c>
      <c r="E411" s="434">
        <f t="shared" ref="E411:P411" si="166">ROUND(E397*$D$411,2)</f>
        <v>68509.41</v>
      </c>
      <c r="F411" s="434">
        <f t="shared" si="166"/>
        <v>68636.37</v>
      </c>
      <c r="G411" s="434">
        <f t="shared" si="166"/>
        <v>68683.98</v>
      </c>
      <c r="H411" s="434">
        <f t="shared" si="166"/>
        <v>68670.179999999993</v>
      </c>
      <c r="I411" s="434">
        <f t="shared" si="166"/>
        <v>68337.600000000006</v>
      </c>
      <c r="J411" s="434">
        <f t="shared" si="166"/>
        <v>67684.86</v>
      </c>
      <c r="K411" s="434">
        <f t="shared" si="166"/>
        <v>67094.91</v>
      </c>
      <c r="L411" s="434">
        <f t="shared" si="166"/>
        <v>67355.73</v>
      </c>
      <c r="M411" s="434">
        <f t="shared" si="166"/>
        <v>66915.509999999995</v>
      </c>
      <c r="N411" s="434">
        <f t="shared" si="166"/>
        <v>66898.95</v>
      </c>
      <c r="O411" s="434">
        <f t="shared" si="166"/>
        <v>67613.789999999994</v>
      </c>
      <c r="P411" s="434">
        <f t="shared" si="166"/>
        <v>68258.25</v>
      </c>
      <c r="Q411" s="434">
        <f>SUM(E411:P411)</f>
        <v>814659.54</v>
      </c>
    </row>
    <row r="412" spans="1:17" x14ac:dyDescent="0.2">
      <c r="A412" s="263">
        <f>A411+1</f>
        <v>13</v>
      </c>
      <c r="C412" s="242" t="s">
        <v>580</v>
      </c>
      <c r="D412" s="793">
        <f>Input!AA19</f>
        <v>2.5999999999999999E-2</v>
      </c>
      <c r="E412" s="290">
        <f t="shared" ref="E412:P412" si="167">ROUND(E401*$D$412,2)</f>
        <v>34629.58</v>
      </c>
      <c r="F412" s="290">
        <f t="shared" si="167"/>
        <v>33569.949999999997</v>
      </c>
      <c r="G412" s="290">
        <f t="shared" si="167"/>
        <v>25178.48</v>
      </c>
      <c r="H412" s="290">
        <f t="shared" si="167"/>
        <v>14366.39</v>
      </c>
      <c r="I412" s="290">
        <f t="shared" si="167"/>
        <v>6754.19</v>
      </c>
      <c r="J412" s="290">
        <f t="shared" si="167"/>
        <v>3221.69</v>
      </c>
      <c r="K412" s="290">
        <f t="shared" si="167"/>
        <v>2312.1799999999998</v>
      </c>
      <c r="L412" s="290">
        <f t="shared" si="167"/>
        <v>2234.46</v>
      </c>
      <c r="M412" s="290">
        <f t="shared" si="167"/>
        <v>2312</v>
      </c>
      <c r="N412" s="290">
        <f t="shared" si="167"/>
        <v>3686.39</v>
      </c>
      <c r="O412" s="290">
        <f t="shared" si="167"/>
        <v>10622.1</v>
      </c>
      <c r="P412" s="290">
        <f t="shared" si="167"/>
        <v>23562.69</v>
      </c>
      <c r="Q412" s="436">
        <f>SUM(E412:P412)</f>
        <v>162450.1</v>
      </c>
    </row>
    <row r="413" spans="1:17" x14ac:dyDescent="0.2">
      <c r="A413" s="263">
        <f>A412+1</f>
        <v>14</v>
      </c>
      <c r="C413" s="224" t="s">
        <v>581</v>
      </c>
      <c r="D413" s="793">
        <f>Input!Y19</f>
        <v>5.9700000000000003E-2</v>
      </c>
      <c r="E413" s="438">
        <f t="shared" ref="E413:P413" si="168">ROUND(E401*$D$413,2)</f>
        <v>79514.850000000006</v>
      </c>
      <c r="F413" s="438">
        <f t="shared" si="168"/>
        <v>77081.759999999995</v>
      </c>
      <c r="G413" s="438">
        <f t="shared" si="168"/>
        <v>57813.66</v>
      </c>
      <c r="H413" s="438">
        <f t="shared" si="168"/>
        <v>32987.440000000002</v>
      </c>
      <c r="I413" s="438">
        <f t="shared" si="168"/>
        <v>15508.65</v>
      </c>
      <c r="J413" s="438">
        <f t="shared" si="168"/>
        <v>7397.5</v>
      </c>
      <c r="K413" s="438">
        <f t="shared" si="168"/>
        <v>5309.12</v>
      </c>
      <c r="L413" s="438">
        <f t="shared" si="168"/>
        <v>5130.66</v>
      </c>
      <c r="M413" s="438">
        <f t="shared" si="168"/>
        <v>5308.7</v>
      </c>
      <c r="N413" s="438">
        <f t="shared" si="168"/>
        <v>8464.52</v>
      </c>
      <c r="O413" s="438">
        <f t="shared" si="168"/>
        <v>24389.98</v>
      </c>
      <c r="P413" s="438">
        <f t="shared" si="168"/>
        <v>54103.55</v>
      </c>
      <c r="Q413" s="438">
        <f>SUM(E413:P413)</f>
        <v>373010.38999999996</v>
      </c>
    </row>
    <row r="414" spans="1:17" x14ac:dyDescent="0.2">
      <c r="A414" s="263">
        <f>A413+1</f>
        <v>15</v>
      </c>
      <c r="C414" s="221" t="s">
        <v>216</v>
      </c>
      <c r="D414" s="478"/>
      <c r="E414" s="434">
        <f t="shared" ref="E414:P414" si="169">SUM(E411:E413)</f>
        <v>182653.84000000003</v>
      </c>
      <c r="F414" s="434">
        <f t="shared" si="169"/>
        <v>179288.08</v>
      </c>
      <c r="G414" s="434">
        <f t="shared" si="169"/>
        <v>151676.12</v>
      </c>
      <c r="H414" s="434">
        <f t="shared" si="169"/>
        <v>116024.01</v>
      </c>
      <c r="I414" s="434">
        <f t="shared" si="169"/>
        <v>90600.44</v>
      </c>
      <c r="J414" s="434">
        <f t="shared" si="169"/>
        <v>78304.05</v>
      </c>
      <c r="K414" s="434">
        <f t="shared" si="169"/>
        <v>74716.209999999992</v>
      </c>
      <c r="L414" s="434">
        <f t="shared" si="169"/>
        <v>74720.850000000006</v>
      </c>
      <c r="M414" s="434">
        <f t="shared" si="169"/>
        <v>74536.209999999992</v>
      </c>
      <c r="N414" s="434">
        <f t="shared" si="169"/>
        <v>79049.86</v>
      </c>
      <c r="O414" s="434">
        <f t="shared" si="169"/>
        <v>102625.87</v>
      </c>
      <c r="P414" s="434">
        <f t="shared" si="169"/>
        <v>145924.49</v>
      </c>
      <c r="Q414" s="434">
        <f>SUM(E414:P414)</f>
        <v>1350120.03</v>
      </c>
    </row>
    <row r="415" spans="1:17" x14ac:dyDescent="0.2">
      <c r="D415" s="478"/>
      <c r="E415" s="478"/>
      <c r="F415" s="489"/>
      <c r="G415" s="489"/>
      <c r="H415" s="489"/>
      <c r="I415" s="489"/>
      <c r="J415" s="489"/>
      <c r="K415" s="489"/>
      <c r="L415" s="478"/>
      <c r="M415" s="478"/>
      <c r="N415" s="478"/>
      <c r="O415" s="478"/>
      <c r="P415" s="478"/>
      <c r="Q415" s="478"/>
    </row>
    <row r="416" spans="1:17" ht="10.8" thickBot="1" x14ac:dyDescent="0.25">
      <c r="A416" s="724">
        <f>A414+1</f>
        <v>16</v>
      </c>
      <c r="B416" s="496"/>
      <c r="C416" s="725" t="s">
        <v>205</v>
      </c>
      <c r="D416" s="726"/>
      <c r="E416" s="499">
        <f t="shared" ref="E416:P416" si="170">E408+E414</f>
        <v>10236145.93</v>
      </c>
      <c r="F416" s="499">
        <f t="shared" si="170"/>
        <v>9988789.0500000007</v>
      </c>
      <c r="G416" s="499">
        <f t="shared" si="170"/>
        <v>8001550.4100000011</v>
      </c>
      <c r="H416" s="499">
        <f t="shared" si="170"/>
        <v>5438842.7199999997</v>
      </c>
      <c r="I416" s="499">
        <f t="shared" si="170"/>
        <v>3625015.8699999996</v>
      </c>
      <c r="J416" s="499">
        <f t="shared" si="170"/>
        <v>2768533.21</v>
      </c>
      <c r="K416" s="499">
        <f t="shared" si="170"/>
        <v>2535516.2400000002</v>
      </c>
      <c r="L416" s="499">
        <f t="shared" si="170"/>
        <v>2524823.7000000002</v>
      </c>
      <c r="M416" s="499">
        <f t="shared" si="170"/>
        <v>2530158.11</v>
      </c>
      <c r="N416" s="499">
        <f t="shared" si="170"/>
        <v>2855378.3400000003</v>
      </c>
      <c r="O416" s="499">
        <f t="shared" si="170"/>
        <v>4520210.8899999997</v>
      </c>
      <c r="P416" s="499">
        <f t="shared" si="170"/>
        <v>7606021.3600000003</v>
      </c>
      <c r="Q416" s="499">
        <f>SUM(E416:P416)</f>
        <v>62630985.830000006</v>
      </c>
    </row>
    <row r="417" spans="1:17" ht="10.8" thickTop="1" x14ac:dyDescent="0.2">
      <c r="A417" s="622"/>
      <c r="B417" s="305"/>
      <c r="C417" s="796"/>
      <c r="D417" s="797"/>
      <c r="E417" s="493"/>
      <c r="F417" s="493"/>
      <c r="G417" s="493"/>
      <c r="H417" s="493"/>
      <c r="I417" s="493"/>
      <c r="J417" s="493"/>
      <c r="K417" s="493"/>
      <c r="L417" s="493"/>
      <c r="M417" s="493"/>
      <c r="N417" s="493"/>
      <c r="O417" s="493"/>
      <c r="P417" s="493"/>
      <c r="Q417" s="493"/>
    </row>
    <row r="418" spans="1:17" x14ac:dyDescent="0.2">
      <c r="E418" s="478"/>
      <c r="F418" s="478"/>
      <c r="G418" s="478"/>
      <c r="H418" s="478"/>
      <c r="I418" s="478"/>
      <c r="J418" s="478"/>
      <c r="K418" s="478"/>
      <c r="L418" s="478"/>
      <c r="M418" s="478"/>
      <c r="N418" s="478"/>
      <c r="O418" s="478"/>
      <c r="P418" s="478"/>
      <c r="Q418" s="478"/>
    </row>
    <row r="419" spans="1:17" x14ac:dyDescent="0.2">
      <c r="A419" s="263">
        <f>A416+1</f>
        <v>17</v>
      </c>
      <c r="B419" s="221" t="str">
        <f>B71</f>
        <v>G1C</v>
      </c>
      <c r="C419" s="221" t="str">
        <f>C71</f>
        <v>LG&amp;E Commercial</v>
      </c>
    </row>
    <row r="421" spans="1:17" x14ac:dyDescent="0.2">
      <c r="A421" s="263">
        <f>A419+1</f>
        <v>18</v>
      </c>
      <c r="C421" s="225" t="s">
        <v>111</v>
      </c>
    </row>
    <row r="422" spans="1:17" x14ac:dyDescent="0.2">
      <c r="F422" s="292"/>
      <c r="G422" s="476"/>
      <c r="H422" s="292"/>
      <c r="I422" s="297"/>
      <c r="J422" s="292"/>
      <c r="K422" s="292"/>
    </row>
    <row r="423" spans="1:17" x14ac:dyDescent="0.2">
      <c r="A423" s="263">
        <f>A421+1</f>
        <v>19</v>
      </c>
      <c r="C423" s="221" t="s">
        <v>202</v>
      </c>
      <c r="E423" s="479">
        <f>B!D22</f>
        <v>3</v>
      </c>
      <c r="F423" s="479">
        <f>B!E22</f>
        <v>3</v>
      </c>
      <c r="G423" s="479">
        <f>B!F22</f>
        <v>4</v>
      </c>
      <c r="H423" s="479">
        <f>B!G22</f>
        <v>4</v>
      </c>
      <c r="I423" s="479">
        <f>B!H22</f>
        <v>4</v>
      </c>
      <c r="J423" s="479">
        <f>B!I22</f>
        <v>4</v>
      </c>
      <c r="K423" s="479">
        <f>B!J22</f>
        <v>4</v>
      </c>
      <c r="L423" s="479">
        <f>B!K22</f>
        <v>3</v>
      </c>
      <c r="M423" s="479">
        <f>B!L22</f>
        <v>3</v>
      </c>
      <c r="N423" s="479">
        <f>B!M22</f>
        <v>3</v>
      </c>
      <c r="O423" s="479">
        <f>B!N22</f>
        <v>3</v>
      </c>
      <c r="P423" s="479">
        <f>B!O22</f>
        <v>3</v>
      </c>
      <c r="Q423" s="512">
        <f>SUM(E423:P423)</f>
        <v>41</v>
      </c>
    </row>
    <row r="424" spans="1:17" x14ac:dyDescent="0.2">
      <c r="A424" s="263">
        <f>A423+1</f>
        <v>20</v>
      </c>
      <c r="C424" s="221" t="s">
        <v>210</v>
      </c>
      <c r="D424" s="792">
        <f>Input!U20</f>
        <v>56.92</v>
      </c>
      <c r="E424" s="434">
        <f t="shared" ref="E424:P424" si="171">ROUND(E423*$D$424,2)</f>
        <v>170.76</v>
      </c>
      <c r="F424" s="434">
        <f t="shared" si="171"/>
        <v>170.76</v>
      </c>
      <c r="G424" s="434">
        <f t="shared" si="171"/>
        <v>227.68</v>
      </c>
      <c r="H424" s="434">
        <f t="shared" si="171"/>
        <v>227.68</v>
      </c>
      <c r="I424" s="434">
        <f t="shared" si="171"/>
        <v>227.68</v>
      </c>
      <c r="J424" s="434">
        <f t="shared" si="171"/>
        <v>227.68</v>
      </c>
      <c r="K424" s="434">
        <f t="shared" si="171"/>
        <v>227.68</v>
      </c>
      <c r="L424" s="434">
        <f t="shared" si="171"/>
        <v>170.76</v>
      </c>
      <c r="M424" s="434">
        <f t="shared" si="171"/>
        <v>170.76</v>
      </c>
      <c r="N424" s="434">
        <f t="shared" si="171"/>
        <v>170.76</v>
      </c>
      <c r="O424" s="434">
        <f t="shared" si="171"/>
        <v>170.76</v>
      </c>
      <c r="P424" s="434">
        <f t="shared" si="171"/>
        <v>170.76</v>
      </c>
      <c r="Q424" s="434">
        <f>SUM(E424:P424)</f>
        <v>2333.7200000000003</v>
      </c>
    </row>
    <row r="425" spans="1:17" x14ac:dyDescent="0.2">
      <c r="D425" s="290"/>
      <c r="F425" s="292"/>
      <c r="G425" s="476"/>
      <c r="H425" s="292"/>
      <c r="I425" s="297"/>
      <c r="J425" s="292"/>
      <c r="K425" s="292"/>
    </row>
    <row r="426" spans="1:17" x14ac:dyDescent="0.2">
      <c r="A426" s="263">
        <f>A424+1</f>
        <v>21</v>
      </c>
      <c r="C426" s="221" t="s">
        <v>209</v>
      </c>
      <c r="D426" s="519"/>
      <c r="E426" s="483">
        <f>'C'!D22</f>
        <v>307.2</v>
      </c>
      <c r="F426" s="483">
        <f>'C'!E22</f>
        <v>374.8</v>
      </c>
      <c r="G426" s="483">
        <f>'C'!F22</f>
        <v>373.1</v>
      </c>
      <c r="H426" s="483">
        <f>'C'!G22</f>
        <v>173.3</v>
      </c>
      <c r="I426" s="483">
        <f>'C'!H22</f>
        <v>68.900000000000006</v>
      </c>
      <c r="J426" s="483">
        <f>'C'!I22</f>
        <v>18</v>
      </c>
      <c r="K426" s="483">
        <f>'C'!J22</f>
        <v>29.1</v>
      </c>
      <c r="L426" s="483">
        <f>'C'!K22</f>
        <v>16.7</v>
      </c>
      <c r="M426" s="483">
        <f>'C'!L22</f>
        <v>8.8000000000000007</v>
      </c>
      <c r="N426" s="483">
        <f>'C'!M22</f>
        <v>22.2</v>
      </c>
      <c r="O426" s="483">
        <f>'C'!N22</f>
        <v>83.3</v>
      </c>
      <c r="P426" s="483">
        <f>'C'!O22</f>
        <v>222.4</v>
      </c>
      <c r="Q426" s="513">
        <f>SUM(E426:P426)</f>
        <v>1697.8</v>
      </c>
    </row>
    <row r="427" spans="1:17" x14ac:dyDescent="0.2">
      <c r="A427" s="263">
        <f>A426+1</f>
        <v>22</v>
      </c>
      <c r="C427" s="242" t="s">
        <v>212</v>
      </c>
      <c r="D427" s="793">
        <f>Input!P20</f>
        <v>2.1558000000000002</v>
      </c>
      <c r="E427" s="434">
        <f t="shared" ref="E427:P427" si="172">ROUND(E426*$D$427,2)</f>
        <v>662.26</v>
      </c>
      <c r="F427" s="434">
        <f t="shared" si="172"/>
        <v>807.99</v>
      </c>
      <c r="G427" s="434">
        <f t="shared" si="172"/>
        <v>804.33</v>
      </c>
      <c r="H427" s="434">
        <f t="shared" si="172"/>
        <v>373.6</v>
      </c>
      <c r="I427" s="434">
        <f t="shared" si="172"/>
        <v>148.53</v>
      </c>
      <c r="J427" s="434">
        <f t="shared" si="172"/>
        <v>38.799999999999997</v>
      </c>
      <c r="K427" s="434">
        <f t="shared" si="172"/>
        <v>62.73</v>
      </c>
      <c r="L427" s="434">
        <f t="shared" si="172"/>
        <v>36</v>
      </c>
      <c r="M427" s="434">
        <f t="shared" si="172"/>
        <v>18.97</v>
      </c>
      <c r="N427" s="434">
        <f t="shared" si="172"/>
        <v>47.86</v>
      </c>
      <c r="O427" s="434">
        <f t="shared" si="172"/>
        <v>179.58</v>
      </c>
      <c r="P427" s="434">
        <f t="shared" si="172"/>
        <v>479.45</v>
      </c>
      <c r="Q427" s="434">
        <f>SUM(E427:P427)</f>
        <v>3660.1</v>
      </c>
    </row>
    <row r="428" spans="1:17" x14ac:dyDescent="0.2">
      <c r="D428" s="290"/>
      <c r="Q428" s="524"/>
    </row>
    <row r="429" spans="1:17" x14ac:dyDescent="0.2">
      <c r="A429" s="622">
        <f>A427+1</f>
        <v>23</v>
      </c>
      <c r="B429" s="305"/>
      <c r="C429" s="305" t="s">
        <v>204</v>
      </c>
      <c r="D429" s="290"/>
      <c r="E429" s="434">
        <f t="shared" ref="E429:P429" si="173">E424+E427</f>
        <v>833.02</v>
      </c>
      <c r="F429" s="434">
        <f t="shared" si="173"/>
        <v>978.75</v>
      </c>
      <c r="G429" s="434">
        <f t="shared" si="173"/>
        <v>1032.01</v>
      </c>
      <c r="H429" s="434">
        <f t="shared" si="173"/>
        <v>601.28</v>
      </c>
      <c r="I429" s="434">
        <f t="shared" si="173"/>
        <v>376.21000000000004</v>
      </c>
      <c r="J429" s="434">
        <f t="shared" si="173"/>
        <v>266.48</v>
      </c>
      <c r="K429" s="434">
        <f t="shared" si="173"/>
        <v>290.41000000000003</v>
      </c>
      <c r="L429" s="434">
        <f t="shared" si="173"/>
        <v>206.76</v>
      </c>
      <c r="M429" s="434">
        <f t="shared" si="173"/>
        <v>189.73</v>
      </c>
      <c r="N429" s="434">
        <f t="shared" si="173"/>
        <v>218.62</v>
      </c>
      <c r="O429" s="434">
        <f t="shared" si="173"/>
        <v>350.34000000000003</v>
      </c>
      <c r="P429" s="434">
        <f t="shared" si="173"/>
        <v>650.21</v>
      </c>
      <c r="Q429" s="434">
        <f>SUM(E429:P429)</f>
        <v>5993.82</v>
      </c>
    </row>
    <row r="430" spans="1:17" x14ac:dyDescent="0.2">
      <c r="D430" s="290"/>
      <c r="Q430" s="419"/>
    </row>
    <row r="431" spans="1:17" x14ac:dyDescent="0.2">
      <c r="A431" s="263">
        <f>A429+1</f>
        <v>24</v>
      </c>
      <c r="C431" s="221" t="s">
        <v>208</v>
      </c>
      <c r="D431" s="793">
        <f>EGC</f>
        <v>2.2090999999999998</v>
      </c>
      <c r="E431" s="434">
        <f t="shared" ref="E431:P431" si="174">ROUND(E426*$D$431,2)</f>
        <v>678.64</v>
      </c>
      <c r="F431" s="434">
        <f t="shared" si="174"/>
        <v>827.97</v>
      </c>
      <c r="G431" s="434">
        <f t="shared" si="174"/>
        <v>824.22</v>
      </c>
      <c r="H431" s="434">
        <f t="shared" si="174"/>
        <v>382.84</v>
      </c>
      <c r="I431" s="434">
        <f t="shared" si="174"/>
        <v>152.21</v>
      </c>
      <c r="J431" s="434">
        <f t="shared" si="174"/>
        <v>39.76</v>
      </c>
      <c r="K431" s="434">
        <f t="shared" si="174"/>
        <v>64.28</v>
      </c>
      <c r="L431" s="434">
        <f t="shared" si="174"/>
        <v>36.89</v>
      </c>
      <c r="M431" s="434">
        <f t="shared" si="174"/>
        <v>19.440000000000001</v>
      </c>
      <c r="N431" s="434">
        <f t="shared" si="174"/>
        <v>49.04</v>
      </c>
      <c r="O431" s="434">
        <f t="shared" si="174"/>
        <v>184.02</v>
      </c>
      <c r="P431" s="434">
        <f t="shared" si="174"/>
        <v>491.3</v>
      </c>
      <c r="Q431" s="434">
        <f>SUM(E431:P431)</f>
        <v>3750.6100000000006</v>
      </c>
    </row>
    <row r="433" spans="1:17" ht="10.8" thickBot="1" x14ac:dyDescent="0.25">
      <c r="A433" s="724">
        <f>A431+1</f>
        <v>25</v>
      </c>
      <c r="B433" s="496"/>
      <c r="C433" s="725" t="s">
        <v>205</v>
      </c>
      <c r="D433" s="726"/>
      <c r="E433" s="499">
        <f t="shared" ref="E433:P433" si="175">E429+E431</f>
        <v>1511.6599999999999</v>
      </c>
      <c r="F433" s="499">
        <f t="shared" si="175"/>
        <v>1806.72</v>
      </c>
      <c r="G433" s="499">
        <f t="shared" si="175"/>
        <v>1856.23</v>
      </c>
      <c r="H433" s="499">
        <f t="shared" si="175"/>
        <v>984.11999999999989</v>
      </c>
      <c r="I433" s="499">
        <f t="shared" si="175"/>
        <v>528.42000000000007</v>
      </c>
      <c r="J433" s="499">
        <f t="shared" si="175"/>
        <v>306.24</v>
      </c>
      <c r="K433" s="499">
        <f t="shared" si="175"/>
        <v>354.69000000000005</v>
      </c>
      <c r="L433" s="499">
        <f t="shared" si="175"/>
        <v>243.64999999999998</v>
      </c>
      <c r="M433" s="499">
        <f t="shared" si="175"/>
        <v>209.17</v>
      </c>
      <c r="N433" s="499">
        <f t="shared" si="175"/>
        <v>267.66000000000003</v>
      </c>
      <c r="O433" s="499">
        <f t="shared" si="175"/>
        <v>534.36</v>
      </c>
      <c r="P433" s="499">
        <f t="shared" si="175"/>
        <v>1141.51</v>
      </c>
      <c r="Q433" s="499">
        <f>SUM(E433:P433)</f>
        <v>9744.43</v>
      </c>
    </row>
    <row r="434" spans="1:17" ht="10.8" thickTop="1" x14ac:dyDescent="0.2">
      <c r="A434" s="622"/>
      <c r="B434" s="305"/>
      <c r="C434" s="305"/>
      <c r="D434" s="304"/>
      <c r="E434" s="500"/>
      <c r="F434" s="500"/>
      <c r="G434" s="500"/>
      <c r="H434" s="500"/>
      <c r="I434" s="500"/>
      <c r="J434" s="500"/>
      <c r="K434" s="500"/>
      <c r="L434" s="500"/>
      <c r="M434" s="500"/>
      <c r="N434" s="500"/>
      <c r="O434" s="500"/>
      <c r="P434" s="500"/>
      <c r="Q434" s="458"/>
    </row>
    <row r="435" spans="1:17" x14ac:dyDescent="0.2">
      <c r="A435" s="622"/>
      <c r="B435" s="305"/>
      <c r="C435" s="305"/>
      <c r="D435" s="304"/>
      <c r="E435" s="500"/>
      <c r="F435" s="500"/>
      <c r="G435" s="500"/>
      <c r="H435" s="500"/>
      <c r="I435" s="500"/>
      <c r="J435" s="500"/>
      <c r="K435" s="500"/>
      <c r="L435" s="500"/>
      <c r="M435" s="500"/>
      <c r="N435" s="500"/>
      <c r="O435" s="500"/>
      <c r="P435" s="500"/>
      <c r="Q435" s="458"/>
    </row>
    <row r="436" spans="1:17" x14ac:dyDescent="0.2">
      <c r="A436" s="629" t="str">
        <f>$A$265</f>
        <v>[1] Reflects Normalized Volumes.</v>
      </c>
    </row>
    <row r="437" spans="1:17" x14ac:dyDescent="0.2">
      <c r="A437" s="629" t="str">
        <f>"[2] Reflects Gas Cost Adjustment Rate"&amp;CONCATENATE(" as of ",EGCDATE)&amp;"."</f>
        <v>[2] Reflects Gas Cost Adjustment Rate as of March 1, 2016.</v>
      </c>
      <c r="B437" s="224"/>
      <c r="C437" s="224"/>
      <c r="D437" s="290"/>
      <c r="E437" s="224"/>
      <c r="F437" s="292"/>
      <c r="G437" s="476"/>
      <c r="H437" s="292"/>
      <c r="I437" s="297"/>
      <c r="J437" s="292"/>
      <c r="K437" s="292"/>
      <c r="L437" s="292"/>
      <c r="M437" s="292"/>
      <c r="N437" s="292"/>
      <c r="O437" s="292"/>
      <c r="P437" s="292"/>
      <c r="Q437" s="224"/>
    </row>
    <row r="438" spans="1:17" s="224" customFormat="1" x14ac:dyDescent="0.2">
      <c r="A438" s="889" t="str">
        <f>CONAME</f>
        <v>Columbia Gas of Kentucky, Inc.</v>
      </c>
      <c r="B438" s="889"/>
      <c r="C438" s="889"/>
      <c r="D438" s="889"/>
      <c r="E438" s="889"/>
      <c r="F438" s="889"/>
      <c r="G438" s="889"/>
      <c r="H438" s="889"/>
      <c r="I438" s="889"/>
      <c r="J438" s="889"/>
      <c r="K438" s="889"/>
      <c r="L438" s="889"/>
      <c r="M438" s="889"/>
      <c r="N438" s="889"/>
      <c r="O438" s="889"/>
      <c r="P438" s="889"/>
      <c r="Q438" s="889"/>
    </row>
    <row r="439" spans="1:17" s="224" customFormat="1" x14ac:dyDescent="0.2">
      <c r="A439" s="872" t="str">
        <f>case</f>
        <v>Case No. 2016-00162</v>
      </c>
      <c r="B439" s="872"/>
      <c r="C439" s="872"/>
      <c r="D439" s="872"/>
      <c r="E439" s="872"/>
      <c r="F439" s="872"/>
      <c r="G439" s="872"/>
      <c r="H439" s="872"/>
      <c r="I439" s="872"/>
      <c r="J439" s="872"/>
      <c r="K439" s="872"/>
      <c r="L439" s="872"/>
      <c r="M439" s="872"/>
      <c r="N439" s="872"/>
      <c r="O439" s="872"/>
      <c r="P439" s="872"/>
      <c r="Q439" s="872"/>
    </row>
    <row r="440" spans="1:17" s="224" customFormat="1" x14ac:dyDescent="0.2">
      <c r="A440" s="892" t="s">
        <v>200</v>
      </c>
      <c r="B440" s="892"/>
      <c r="C440" s="892"/>
      <c r="D440" s="892"/>
      <c r="E440" s="892"/>
      <c r="F440" s="892"/>
      <c r="G440" s="892"/>
      <c r="H440" s="892"/>
      <c r="I440" s="892"/>
      <c r="J440" s="892"/>
      <c r="K440" s="892"/>
      <c r="L440" s="892"/>
      <c r="M440" s="892"/>
      <c r="N440" s="892"/>
      <c r="O440" s="892"/>
      <c r="P440" s="892"/>
      <c r="Q440" s="892"/>
    </row>
    <row r="441" spans="1:17" s="224" customFormat="1" x14ac:dyDescent="0.2">
      <c r="A441" s="889" t="str">
        <f>TYDESC</f>
        <v>For the 12 Months Ended December 31, 2017</v>
      </c>
      <c r="B441" s="889"/>
      <c r="C441" s="889"/>
      <c r="D441" s="889"/>
      <c r="E441" s="889"/>
      <c r="F441" s="889"/>
      <c r="G441" s="889"/>
      <c r="H441" s="889"/>
      <c r="I441" s="889"/>
      <c r="J441" s="889"/>
      <c r="K441" s="889"/>
      <c r="L441" s="889"/>
      <c r="M441" s="889"/>
      <c r="N441" s="889"/>
      <c r="O441" s="889"/>
      <c r="P441" s="889"/>
      <c r="Q441" s="889"/>
    </row>
    <row r="442" spans="1:17" s="224" customFormat="1" x14ac:dyDescent="0.2">
      <c r="A442" s="890" t="s">
        <v>39</v>
      </c>
      <c r="B442" s="890"/>
      <c r="C442" s="890"/>
      <c r="D442" s="890"/>
      <c r="E442" s="890"/>
      <c r="F442" s="890"/>
      <c r="G442" s="890"/>
      <c r="H442" s="890"/>
      <c r="I442" s="890"/>
      <c r="J442" s="890"/>
      <c r="K442" s="890"/>
      <c r="L442" s="890"/>
      <c r="M442" s="890"/>
      <c r="N442" s="890"/>
      <c r="O442" s="890"/>
      <c r="P442" s="890"/>
      <c r="Q442" s="890"/>
    </row>
    <row r="443" spans="1:17" s="224" customFormat="1" x14ac:dyDescent="0.2">
      <c r="A443" s="718" t="str">
        <f>$A$52</f>
        <v>Data: __ Base Period _X_ Forecasted Period</v>
      </c>
      <c r="B443" s="266"/>
      <c r="D443" s="290"/>
      <c r="F443" s="292"/>
      <c r="G443" s="476"/>
      <c r="H443" s="292"/>
      <c r="I443" s="297"/>
      <c r="J443" s="292"/>
      <c r="K443" s="292"/>
      <c r="L443" s="292"/>
      <c r="M443" s="292"/>
      <c r="N443" s="292"/>
      <c r="O443" s="292"/>
      <c r="P443" s="292"/>
    </row>
    <row r="444" spans="1:17" s="224" customFormat="1" x14ac:dyDescent="0.2">
      <c r="A444" s="718" t="str">
        <f>$A$53</f>
        <v>Type of Filing: X Original _ Update _ Revised</v>
      </c>
      <c r="B444" s="266"/>
      <c r="D444" s="290"/>
      <c r="F444" s="292"/>
      <c r="G444" s="476"/>
      <c r="H444" s="292"/>
      <c r="I444" s="297"/>
      <c r="J444" s="292"/>
      <c r="K444" s="292"/>
      <c r="L444" s="292"/>
      <c r="M444" s="292"/>
      <c r="N444" s="292"/>
      <c r="O444" s="292"/>
      <c r="P444" s="292"/>
      <c r="Q444" s="727" t="str">
        <f>$Q$53</f>
        <v>Schedule M-2.3</v>
      </c>
    </row>
    <row r="445" spans="1:17" s="224" customFormat="1" x14ac:dyDescent="0.2">
      <c r="A445" s="718" t="str">
        <f>$A$54</f>
        <v>Work Paper Reference No(s):</v>
      </c>
      <c r="B445" s="266"/>
      <c r="D445" s="290"/>
      <c r="F445" s="292"/>
      <c r="G445" s="476"/>
      <c r="H445" s="292"/>
      <c r="I445" s="297"/>
      <c r="J445" s="292"/>
      <c r="K445" s="292"/>
      <c r="L445" s="292"/>
      <c r="M445" s="292"/>
      <c r="N445" s="292"/>
      <c r="O445" s="292"/>
      <c r="P445" s="292"/>
      <c r="Q445" s="727" t="s">
        <v>523</v>
      </c>
    </row>
    <row r="446" spans="1:17" s="224" customFormat="1" x14ac:dyDescent="0.2">
      <c r="A446" s="719" t="str">
        <f>$A$55</f>
        <v>12 Months Forecasted</v>
      </c>
      <c r="B446" s="421"/>
      <c r="D446" s="290"/>
      <c r="F446" s="292"/>
      <c r="G446" s="476"/>
      <c r="H446" s="292"/>
      <c r="I446" s="297"/>
      <c r="J446" s="292"/>
      <c r="K446" s="292"/>
      <c r="L446" s="292"/>
      <c r="M446" s="292"/>
      <c r="N446" s="292"/>
      <c r="O446" s="292"/>
      <c r="P446" s="292"/>
      <c r="Q446" s="727" t="str">
        <f>Witness</f>
        <v>Witness:  M. J. Bell</v>
      </c>
    </row>
    <row r="447" spans="1:17" s="224" customFormat="1" x14ac:dyDescent="0.2">
      <c r="A447" s="891" t="s">
        <v>294</v>
      </c>
      <c r="B447" s="891"/>
      <c r="C447" s="891"/>
      <c r="D447" s="891"/>
      <c r="E447" s="891"/>
      <c r="F447" s="891"/>
      <c r="G447" s="891"/>
      <c r="H447" s="891"/>
      <c r="I447" s="891"/>
      <c r="J447" s="891"/>
      <c r="K447" s="891"/>
      <c r="L447" s="891"/>
      <c r="M447" s="891"/>
      <c r="N447" s="891"/>
      <c r="O447" s="891"/>
      <c r="P447" s="891"/>
      <c r="Q447" s="891"/>
    </row>
    <row r="448" spans="1:17" s="224" customFormat="1" x14ac:dyDescent="0.2">
      <c r="A448" s="227"/>
      <c r="B448" s="306"/>
      <c r="C448" s="306"/>
      <c r="D448" s="308"/>
      <c r="E448" s="306"/>
      <c r="F448" s="502"/>
      <c r="G448" s="503"/>
      <c r="H448" s="502"/>
      <c r="I448" s="504"/>
      <c r="J448" s="502"/>
      <c r="K448" s="502"/>
      <c r="L448" s="502"/>
      <c r="M448" s="502"/>
      <c r="N448" s="502"/>
      <c r="O448" s="502"/>
      <c r="P448" s="502"/>
      <c r="Q448" s="306"/>
    </row>
    <row r="449" spans="1:17" s="224" customFormat="1" x14ac:dyDescent="0.2">
      <c r="A449" s="416" t="s">
        <v>1</v>
      </c>
      <c r="B449" s="416" t="s">
        <v>0</v>
      </c>
      <c r="C449" s="416" t="s">
        <v>41</v>
      </c>
      <c r="D449" s="423" t="s">
        <v>30</v>
      </c>
      <c r="E449" s="416"/>
      <c r="F449" s="729"/>
      <c r="G449" s="732"/>
      <c r="H449" s="729"/>
      <c r="I449" s="733"/>
      <c r="J449" s="729"/>
      <c r="K449" s="729"/>
      <c r="L449" s="729"/>
      <c r="M449" s="729"/>
      <c r="N449" s="729"/>
      <c r="O449" s="729"/>
      <c r="P449" s="729"/>
      <c r="Q449" s="232"/>
    </row>
    <row r="450" spans="1:17" s="224" customFormat="1" x14ac:dyDescent="0.2">
      <c r="A450" s="285" t="s">
        <v>3</v>
      </c>
      <c r="B450" s="285" t="s">
        <v>40</v>
      </c>
      <c r="C450" s="285" t="s">
        <v>4</v>
      </c>
      <c r="D450" s="427" t="s">
        <v>48</v>
      </c>
      <c r="E450" s="428" t="str">
        <f>B!$D$11</f>
        <v>Jan-17</v>
      </c>
      <c r="F450" s="428" t="str">
        <f>B!$E$11</f>
        <v>Feb-17</v>
      </c>
      <c r="G450" s="428" t="str">
        <f>B!$F$11</f>
        <v>Mar-17</v>
      </c>
      <c r="H450" s="428" t="str">
        <f>B!$G$11</f>
        <v>Apr-17</v>
      </c>
      <c r="I450" s="428" t="str">
        <f>B!$H$11</f>
        <v>May-17</v>
      </c>
      <c r="J450" s="428" t="str">
        <f>B!$I$11</f>
        <v>Jun-17</v>
      </c>
      <c r="K450" s="428" t="str">
        <f>B!$J$11</f>
        <v>Jul-17</v>
      </c>
      <c r="L450" s="428" t="str">
        <f>B!$K$11</f>
        <v>Aug-17</v>
      </c>
      <c r="M450" s="428" t="str">
        <f>B!$L$11</f>
        <v>Sep-17</v>
      </c>
      <c r="N450" s="428" t="str">
        <f>B!$M$11</f>
        <v>Oct-17</v>
      </c>
      <c r="O450" s="428" t="str">
        <f>B!$N$11</f>
        <v>Nov-17</v>
      </c>
      <c r="P450" s="428" t="str">
        <f>B!$O$11</f>
        <v>Dec-17</v>
      </c>
      <c r="Q450" s="428" t="s">
        <v>9</v>
      </c>
    </row>
    <row r="451" spans="1:17" s="224" customFormat="1" x14ac:dyDescent="0.2">
      <c r="A451" s="416"/>
      <c r="B451" s="231" t="s">
        <v>42</v>
      </c>
      <c r="C451" s="231" t="s">
        <v>43</v>
      </c>
      <c r="D451" s="430" t="s">
        <v>45</v>
      </c>
      <c r="E451" s="431" t="s">
        <v>46</v>
      </c>
      <c r="F451" s="431" t="s">
        <v>49</v>
      </c>
      <c r="G451" s="431" t="s">
        <v>50</v>
      </c>
      <c r="H451" s="431" t="s">
        <v>51</v>
      </c>
      <c r="I451" s="431" t="s">
        <v>52</v>
      </c>
      <c r="J451" s="432" t="s">
        <v>53</v>
      </c>
      <c r="K451" s="432" t="s">
        <v>54</v>
      </c>
      <c r="L451" s="432" t="s">
        <v>55</v>
      </c>
      <c r="M451" s="432" t="s">
        <v>56</v>
      </c>
      <c r="N451" s="432" t="s">
        <v>57</v>
      </c>
      <c r="O451" s="432" t="s">
        <v>58</v>
      </c>
      <c r="P451" s="432" t="s">
        <v>59</v>
      </c>
      <c r="Q451" s="432" t="s">
        <v>203</v>
      </c>
    </row>
    <row r="452" spans="1:17" s="224" customFormat="1" x14ac:dyDescent="0.2">
      <c r="A452" s="263"/>
      <c r="D452" s="290"/>
      <c r="E452" s="232"/>
      <c r="F452" s="734"/>
      <c r="G452" s="730"/>
      <c r="H452" s="734"/>
      <c r="I452" s="731"/>
      <c r="J452" s="734"/>
      <c r="K452" s="734"/>
      <c r="L452" s="734"/>
      <c r="M452" s="734"/>
      <c r="N452" s="734"/>
      <c r="O452" s="734"/>
      <c r="P452" s="734"/>
      <c r="Q452" s="232"/>
    </row>
    <row r="453" spans="1:17" s="224" customFormat="1" x14ac:dyDescent="0.2">
      <c r="A453" s="263"/>
      <c r="D453" s="290"/>
      <c r="F453" s="292"/>
      <c r="G453" s="476"/>
      <c r="H453" s="292"/>
      <c r="I453" s="297"/>
      <c r="J453" s="292"/>
      <c r="K453" s="292"/>
      <c r="L453" s="292"/>
      <c r="M453" s="292"/>
      <c r="N453" s="292"/>
      <c r="O453" s="292"/>
      <c r="P453" s="292"/>
    </row>
    <row r="454" spans="1:17" s="224" customFormat="1" x14ac:dyDescent="0.2">
      <c r="A454" s="263">
        <v>1</v>
      </c>
      <c r="B454" s="224" t="str">
        <f>B78</f>
        <v>G1R</v>
      </c>
      <c r="C454" s="224" t="str">
        <f>C78</f>
        <v>LG&amp;E Residential</v>
      </c>
      <c r="D454" s="290"/>
      <c r="F454" s="292"/>
      <c r="G454" s="476"/>
      <c r="H454" s="292"/>
      <c r="I454" s="297"/>
      <c r="J454" s="292"/>
      <c r="K454" s="292"/>
      <c r="L454" s="292"/>
      <c r="M454" s="292"/>
      <c r="N454" s="292"/>
      <c r="O454" s="292"/>
      <c r="P454" s="292"/>
    </row>
    <row r="455" spans="1:17" s="224" customFormat="1" x14ac:dyDescent="0.2">
      <c r="A455" s="263"/>
      <c r="D455" s="290"/>
      <c r="F455" s="292"/>
      <c r="G455" s="476"/>
      <c r="H455" s="292"/>
      <c r="I455" s="297"/>
      <c r="J455" s="292"/>
      <c r="K455" s="292"/>
      <c r="L455" s="292"/>
      <c r="M455" s="292"/>
      <c r="N455" s="292"/>
      <c r="O455" s="292"/>
      <c r="P455" s="292"/>
    </row>
    <row r="456" spans="1:17" s="224" customFormat="1" x14ac:dyDescent="0.2">
      <c r="A456" s="263">
        <f>A454+1</f>
        <v>2</v>
      </c>
      <c r="C456" s="266" t="s">
        <v>109</v>
      </c>
      <c r="D456" s="290"/>
      <c r="F456" s="292"/>
      <c r="G456" s="476"/>
      <c r="H456" s="292"/>
      <c r="I456" s="297"/>
      <c r="J456" s="292"/>
      <c r="K456" s="292"/>
      <c r="L456" s="292"/>
      <c r="M456" s="292"/>
      <c r="N456" s="292"/>
      <c r="O456" s="292"/>
      <c r="P456" s="292"/>
    </row>
    <row r="457" spans="1:17" s="224" customFormat="1" x14ac:dyDescent="0.2">
      <c r="A457" s="263"/>
      <c r="D457" s="290"/>
      <c r="F457" s="292"/>
      <c r="G457" s="476"/>
      <c r="H457" s="292"/>
      <c r="I457" s="297"/>
      <c r="J457" s="292"/>
      <c r="K457" s="292"/>
      <c r="L457" s="292"/>
      <c r="M457" s="292"/>
      <c r="N457" s="292"/>
      <c r="O457" s="292"/>
      <c r="P457" s="292"/>
    </row>
    <row r="458" spans="1:17" s="224" customFormat="1" x14ac:dyDescent="0.2">
      <c r="A458" s="263">
        <f>A456+1</f>
        <v>3</v>
      </c>
      <c r="C458" s="224" t="s">
        <v>202</v>
      </c>
      <c r="D458" s="290"/>
      <c r="E458" s="479">
        <f>B!D27</f>
        <v>16</v>
      </c>
      <c r="F458" s="479">
        <f>B!E27</f>
        <v>16</v>
      </c>
      <c r="G458" s="479">
        <f>B!F27</f>
        <v>16</v>
      </c>
      <c r="H458" s="479">
        <f>B!G27</f>
        <v>16</v>
      </c>
      <c r="I458" s="479">
        <f>B!H27</f>
        <v>16</v>
      </c>
      <c r="J458" s="479">
        <f>B!I27</f>
        <v>16</v>
      </c>
      <c r="K458" s="479">
        <f>B!J27</f>
        <v>16</v>
      </c>
      <c r="L458" s="479">
        <f>B!K27</f>
        <v>16</v>
      </c>
      <c r="M458" s="479">
        <f>B!L27</f>
        <v>16</v>
      </c>
      <c r="N458" s="479">
        <f>B!M27</f>
        <v>16</v>
      </c>
      <c r="O458" s="479">
        <f>B!N27</f>
        <v>16</v>
      </c>
      <c r="P458" s="479">
        <f>B!O27</f>
        <v>16</v>
      </c>
      <c r="Q458" s="535">
        <f>SUM(E458:P458)</f>
        <v>192</v>
      </c>
    </row>
    <row r="459" spans="1:17" s="224" customFormat="1" x14ac:dyDescent="0.2">
      <c r="A459" s="263">
        <f>A458+1</f>
        <v>4</v>
      </c>
      <c r="C459" s="224" t="s">
        <v>210</v>
      </c>
      <c r="D459" s="792">
        <f>Input!U21</f>
        <v>17.27</v>
      </c>
      <c r="E459" s="434">
        <f t="shared" ref="E459:P459" si="176">ROUND(E458*$D$459,2)</f>
        <v>276.32</v>
      </c>
      <c r="F459" s="434">
        <f t="shared" si="176"/>
        <v>276.32</v>
      </c>
      <c r="G459" s="434">
        <f t="shared" si="176"/>
        <v>276.32</v>
      </c>
      <c r="H459" s="434">
        <f t="shared" si="176"/>
        <v>276.32</v>
      </c>
      <c r="I459" s="434">
        <f t="shared" si="176"/>
        <v>276.32</v>
      </c>
      <c r="J459" s="434">
        <f t="shared" si="176"/>
        <v>276.32</v>
      </c>
      <c r="K459" s="434">
        <f t="shared" si="176"/>
        <v>276.32</v>
      </c>
      <c r="L459" s="434">
        <f t="shared" si="176"/>
        <v>276.32</v>
      </c>
      <c r="M459" s="434">
        <f t="shared" si="176"/>
        <v>276.32</v>
      </c>
      <c r="N459" s="434">
        <f t="shared" si="176"/>
        <v>276.32</v>
      </c>
      <c r="O459" s="434">
        <f t="shared" si="176"/>
        <v>276.32</v>
      </c>
      <c r="P459" s="434">
        <f t="shared" si="176"/>
        <v>276.32</v>
      </c>
      <c r="Q459" s="434">
        <f>SUM(E459:P459)</f>
        <v>3315.8400000000006</v>
      </c>
    </row>
    <row r="460" spans="1:17" s="224" customFormat="1" x14ac:dyDescent="0.2">
      <c r="A460" s="263"/>
      <c r="D460" s="290"/>
      <c r="F460" s="292"/>
      <c r="G460" s="476"/>
      <c r="H460" s="292"/>
      <c r="I460" s="297"/>
      <c r="J460" s="292"/>
      <c r="K460" s="292"/>
      <c r="L460" s="292"/>
      <c r="M460" s="292"/>
      <c r="N460" s="292"/>
      <c r="O460" s="292"/>
      <c r="P460" s="292"/>
    </row>
    <row r="461" spans="1:17" s="224" customFormat="1" x14ac:dyDescent="0.2">
      <c r="A461" s="263">
        <f>A459+1</f>
        <v>5</v>
      </c>
      <c r="C461" s="224" t="s">
        <v>209</v>
      </c>
      <c r="D461" s="519"/>
      <c r="E461" s="483">
        <f>'C'!D27</f>
        <v>458.3</v>
      </c>
      <c r="F461" s="483">
        <f>'C'!E27</f>
        <v>345.9</v>
      </c>
      <c r="G461" s="483">
        <f>'C'!F27</f>
        <v>279.39999999999998</v>
      </c>
      <c r="H461" s="483">
        <f>'C'!G27</f>
        <v>174.8</v>
      </c>
      <c r="I461" s="483">
        <f>'C'!H27</f>
        <v>81.099999999999994</v>
      </c>
      <c r="J461" s="483">
        <f>'C'!I27</f>
        <v>33.4</v>
      </c>
      <c r="K461" s="483">
        <f>'C'!J27</f>
        <v>24.1</v>
      </c>
      <c r="L461" s="483">
        <f>'C'!K27</f>
        <v>27.6</v>
      </c>
      <c r="M461" s="483">
        <f>'C'!L27</f>
        <v>28.4</v>
      </c>
      <c r="N461" s="483">
        <f>'C'!M27</f>
        <v>68</v>
      </c>
      <c r="O461" s="483">
        <f>'C'!N27</f>
        <v>159.19999999999999</v>
      </c>
      <c r="P461" s="483">
        <f>'C'!O27</f>
        <v>338.7</v>
      </c>
      <c r="Q461" s="735">
        <f>SUM(E461:P461)</f>
        <v>2018.8999999999999</v>
      </c>
    </row>
    <row r="462" spans="1:17" s="224" customFormat="1" x14ac:dyDescent="0.2">
      <c r="A462" s="263">
        <f>A461+1</f>
        <v>6</v>
      </c>
      <c r="C462" s="290" t="s">
        <v>212</v>
      </c>
      <c r="D462" s="793">
        <f>Input!P21</f>
        <v>2.96</v>
      </c>
      <c r="E462" s="434">
        <f t="shared" ref="E462:P462" si="177">ROUND(E461*$D$462,2)</f>
        <v>1356.57</v>
      </c>
      <c r="F462" s="434">
        <f t="shared" si="177"/>
        <v>1023.86</v>
      </c>
      <c r="G462" s="434">
        <f t="shared" si="177"/>
        <v>827.02</v>
      </c>
      <c r="H462" s="434">
        <f t="shared" si="177"/>
        <v>517.41</v>
      </c>
      <c r="I462" s="434">
        <f t="shared" si="177"/>
        <v>240.06</v>
      </c>
      <c r="J462" s="434">
        <f t="shared" si="177"/>
        <v>98.86</v>
      </c>
      <c r="K462" s="434">
        <f t="shared" si="177"/>
        <v>71.34</v>
      </c>
      <c r="L462" s="434">
        <f t="shared" si="177"/>
        <v>81.7</v>
      </c>
      <c r="M462" s="434">
        <f t="shared" si="177"/>
        <v>84.06</v>
      </c>
      <c r="N462" s="434">
        <f t="shared" si="177"/>
        <v>201.28</v>
      </c>
      <c r="O462" s="434">
        <f t="shared" si="177"/>
        <v>471.23</v>
      </c>
      <c r="P462" s="434">
        <f t="shared" si="177"/>
        <v>1002.55</v>
      </c>
      <c r="Q462" s="434">
        <f>SUM(E462:P462)</f>
        <v>5975.94</v>
      </c>
    </row>
    <row r="463" spans="1:17" s="224" customFormat="1" x14ac:dyDescent="0.2">
      <c r="A463" s="263"/>
      <c r="D463" s="290"/>
      <c r="F463" s="292"/>
      <c r="G463" s="476"/>
      <c r="H463" s="292"/>
      <c r="I463" s="297"/>
      <c r="J463" s="292"/>
      <c r="K463" s="292"/>
      <c r="L463" s="292"/>
      <c r="M463" s="292"/>
      <c r="N463" s="292"/>
      <c r="O463" s="292"/>
      <c r="P463" s="292"/>
      <c r="Q463" s="543"/>
    </row>
    <row r="464" spans="1:17" s="224" customFormat="1" x14ac:dyDescent="0.2">
      <c r="A464" s="622">
        <f>A462+1</f>
        <v>7</v>
      </c>
      <c r="B464" s="306"/>
      <c r="C464" s="306" t="s">
        <v>204</v>
      </c>
      <c r="D464" s="290"/>
      <c r="E464" s="434">
        <f t="shared" ref="E464:P464" si="178">E459+E462</f>
        <v>1632.8899999999999</v>
      </c>
      <c r="F464" s="434">
        <f t="shared" si="178"/>
        <v>1300.18</v>
      </c>
      <c r="G464" s="434">
        <f t="shared" si="178"/>
        <v>1103.3399999999999</v>
      </c>
      <c r="H464" s="434">
        <f t="shared" si="178"/>
        <v>793.73</v>
      </c>
      <c r="I464" s="434">
        <f t="shared" si="178"/>
        <v>516.38</v>
      </c>
      <c r="J464" s="434">
        <f t="shared" si="178"/>
        <v>375.18</v>
      </c>
      <c r="K464" s="434">
        <f t="shared" si="178"/>
        <v>347.65999999999997</v>
      </c>
      <c r="L464" s="434">
        <f t="shared" si="178"/>
        <v>358.02</v>
      </c>
      <c r="M464" s="434">
        <f t="shared" si="178"/>
        <v>360.38</v>
      </c>
      <c r="N464" s="434">
        <f t="shared" si="178"/>
        <v>477.6</v>
      </c>
      <c r="O464" s="434">
        <f t="shared" si="178"/>
        <v>747.55</v>
      </c>
      <c r="P464" s="434">
        <f t="shared" si="178"/>
        <v>1278.8699999999999</v>
      </c>
      <c r="Q464" s="434">
        <f>SUM(E464:P464)</f>
        <v>9291.7799999999988</v>
      </c>
    </row>
    <row r="465" spans="1:17" s="224" customFormat="1" x14ac:dyDescent="0.2">
      <c r="A465" s="263"/>
      <c r="D465" s="290"/>
      <c r="F465" s="292"/>
      <c r="G465" s="476"/>
      <c r="H465" s="292"/>
      <c r="I465" s="297"/>
      <c r="J465" s="292"/>
      <c r="K465" s="292"/>
      <c r="L465" s="292"/>
      <c r="M465" s="292"/>
      <c r="N465" s="292"/>
      <c r="O465" s="292"/>
      <c r="P465" s="292"/>
      <c r="Q465" s="476"/>
    </row>
    <row r="466" spans="1:17" s="224" customFormat="1" x14ac:dyDescent="0.2">
      <c r="A466" s="263">
        <f>A464+1</f>
        <v>8</v>
      </c>
      <c r="C466" s="224" t="s">
        <v>208</v>
      </c>
      <c r="D466" s="793">
        <f>EGC</f>
        <v>2.2090999999999998</v>
      </c>
      <c r="E466" s="434">
        <f t="shared" ref="E466:P466" si="179">ROUND(E461*$D$466,2)</f>
        <v>1012.43</v>
      </c>
      <c r="F466" s="434">
        <f t="shared" si="179"/>
        <v>764.13</v>
      </c>
      <c r="G466" s="434">
        <f t="shared" si="179"/>
        <v>617.22</v>
      </c>
      <c r="H466" s="434">
        <f t="shared" si="179"/>
        <v>386.15</v>
      </c>
      <c r="I466" s="434">
        <f t="shared" si="179"/>
        <v>179.16</v>
      </c>
      <c r="J466" s="434">
        <f t="shared" si="179"/>
        <v>73.78</v>
      </c>
      <c r="K466" s="434">
        <f t="shared" si="179"/>
        <v>53.24</v>
      </c>
      <c r="L466" s="434">
        <f t="shared" si="179"/>
        <v>60.97</v>
      </c>
      <c r="M466" s="434">
        <f t="shared" si="179"/>
        <v>62.74</v>
      </c>
      <c r="N466" s="434">
        <f t="shared" si="179"/>
        <v>150.22</v>
      </c>
      <c r="O466" s="434">
        <f t="shared" si="179"/>
        <v>351.69</v>
      </c>
      <c r="P466" s="434">
        <f t="shared" si="179"/>
        <v>748.22</v>
      </c>
      <c r="Q466" s="434">
        <f>SUM(E466:P466)</f>
        <v>4459.9499999999989</v>
      </c>
    </row>
    <row r="467" spans="1:17" s="224" customFormat="1" x14ac:dyDescent="0.2">
      <c r="A467" s="263"/>
      <c r="D467" s="290"/>
      <c r="F467" s="292"/>
      <c r="G467" s="476"/>
      <c r="H467" s="292"/>
      <c r="I467" s="297"/>
      <c r="J467" s="292"/>
      <c r="K467" s="292"/>
      <c r="L467" s="292"/>
      <c r="M467" s="292"/>
      <c r="N467" s="292"/>
      <c r="O467" s="292"/>
      <c r="P467" s="292"/>
    </row>
    <row r="468" spans="1:17" s="224" customFormat="1" ht="10.8" thickBot="1" x14ac:dyDescent="0.25">
      <c r="A468" s="724">
        <f>A466+1</f>
        <v>9</v>
      </c>
      <c r="B468" s="496"/>
      <c r="C468" s="725" t="s">
        <v>205</v>
      </c>
      <c r="D468" s="726"/>
      <c r="E468" s="499">
        <f t="shared" ref="E468:P468" si="180">E464+E466</f>
        <v>2645.3199999999997</v>
      </c>
      <c r="F468" s="499">
        <f t="shared" si="180"/>
        <v>2064.31</v>
      </c>
      <c r="G468" s="499">
        <f t="shared" si="180"/>
        <v>1720.56</v>
      </c>
      <c r="H468" s="499">
        <f t="shared" si="180"/>
        <v>1179.8800000000001</v>
      </c>
      <c r="I468" s="499">
        <f t="shared" si="180"/>
        <v>695.54</v>
      </c>
      <c r="J468" s="499">
        <f t="shared" si="180"/>
        <v>448.96000000000004</v>
      </c>
      <c r="K468" s="499">
        <f t="shared" si="180"/>
        <v>400.9</v>
      </c>
      <c r="L468" s="499">
        <f t="shared" si="180"/>
        <v>418.99</v>
      </c>
      <c r="M468" s="499">
        <f t="shared" si="180"/>
        <v>423.12</v>
      </c>
      <c r="N468" s="499">
        <f t="shared" si="180"/>
        <v>627.82000000000005</v>
      </c>
      <c r="O468" s="499">
        <f t="shared" si="180"/>
        <v>1099.24</v>
      </c>
      <c r="P468" s="499">
        <f t="shared" si="180"/>
        <v>2027.09</v>
      </c>
      <c r="Q468" s="499">
        <f>SUM(E468:P468)</f>
        <v>13751.73</v>
      </c>
    </row>
    <row r="469" spans="1:17" s="224" customFormat="1" ht="10.8" thickTop="1" x14ac:dyDescent="0.2">
      <c r="A469" s="622"/>
      <c r="B469" s="306"/>
      <c r="C469" s="306"/>
      <c r="D469" s="308"/>
      <c r="E469" s="614"/>
      <c r="F469" s="614"/>
      <c r="G469" s="614"/>
      <c r="H469" s="614"/>
      <c r="I469" s="614"/>
      <c r="J469" s="614"/>
      <c r="K469" s="614"/>
      <c r="L469" s="614"/>
      <c r="M469" s="614"/>
      <c r="N469" s="614"/>
      <c r="O469" s="614"/>
      <c r="P469" s="614"/>
      <c r="Q469" s="736"/>
    </row>
    <row r="470" spans="1:17" s="224" customFormat="1" x14ac:dyDescent="0.2">
      <c r="A470" s="622"/>
      <c r="B470" s="306"/>
      <c r="C470" s="306"/>
      <c r="D470" s="308"/>
      <c r="E470" s="614"/>
      <c r="F470" s="614"/>
      <c r="G470" s="614"/>
      <c r="H470" s="614"/>
      <c r="I470" s="614"/>
      <c r="J470" s="614"/>
      <c r="K470" s="614"/>
      <c r="L470" s="614"/>
      <c r="M470" s="614"/>
      <c r="N470" s="614"/>
      <c r="O470" s="614"/>
      <c r="P470" s="614"/>
      <c r="Q470" s="736"/>
    </row>
    <row r="471" spans="1:17" s="224" customFormat="1" x14ac:dyDescent="0.2">
      <c r="A471" s="263">
        <f>A468+1</f>
        <v>10</v>
      </c>
      <c r="B471" s="224" t="str">
        <f>B85</f>
        <v>IN3</v>
      </c>
      <c r="C471" s="224" t="str">
        <f>C85</f>
        <v>Inland Gas General Service - Residential</v>
      </c>
      <c r="D471" s="290"/>
      <c r="F471" s="292"/>
      <c r="G471" s="476"/>
      <c r="H471" s="292"/>
      <c r="I471" s="297"/>
      <c r="J471" s="292"/>
      <c r="K471" s="292"/>
      <c r="L471" s="292"/>
      <c r="M471" s="292"/>
      <c r="N471" s="292"/>
      <c r="O471" s="292"/>
      <c r="P471" s="292"/>
    </row>
    <row r="472" spans="1:17" s="224" customFormat="1" x14ac:dyDescent="0.2">
      <c r="A472" s="263"/>
      <c r="D472" s="290"/>
      <c r="F472" s="292"/>
      <c r="G472" s="476"/>
      <c r="H472" s="292"/>
      <c r="I472" s="297"/>
      <c r="J472" s="292"/>
      <c r="K472" s="292"/>
      <c r="L472" s="292"/>
      <c r="M472" s="292"/>
      <c r="N472" s="292"/>
      <c r="O472" s="292"/>
      <c r="P472" s="292"/>
    </row>
    <row r="473" spans="1:17" s="224" customFormat="1" x14ac:dyDescent="0.2">
      <c r="A473" s="263">
        <f>A471+1</f>
        <v>11</v>
      </c>
      <c r="C473" s="266" t="s">
        <v>109</v>
      </c>
      <c r="D473" s="290"/>
      <c r="F473" s="292"/>
      <c r="G473" s="476"/>
      <c r="H473" s="292"/>
      <c r="I473" s="297"/>
      <c r="J473" s="292"/>
      <c r="K473" s="292"/>
      <c r="L473" s="292"/>
      <c r="M473" s="292"/>
      <c r="N473" s="292"/>
      <c r="O473" s="292"/>
      <c r="P473" s="292"/>
    </row>
    <row r="474" spans="1:17" s="224" customFormat="1" x14ac:dyDescent="0.2">
      <c r="A474" s="263"/>
      <c r="D474" s="290"/>
      <c r="F474" s="292"/>
      <c r="G474" s="476"/>
      <c r="H474" s="292"/>
      <c r="I474" s="297"/>
      <c r="J474" s="292"/>
      <c r="K474" s="292"/>
      <c r="L474" s="292"/>
      <c r="M474" s="292"/>
      <c r="N474" s="292"/>
      <c r="O474" s="292"/>
      <c r="P474" s="292"/>
    </row>
    <row r="475" spans="1:17" s="224" customFormat="1" x14ac:dyDescent="0.2">
      <c r="A475" s="263">
        <f>A473+1</f>
        <v>12</v>
      </c>
      <c r="C475" s="224" t="s">
        <v>202</v>
      </c>
      <c r="D475" s="290"/>
      <c r="E475" s="479">
        <f>B!D32</f>
        <v>9</v>
      </c>
      <c r="F475" s="479">
        <f>B!E32</f>
        <v>9</v>
      </c>
      <c r="G475" s="479">
        <f>B!F32</f>
        <v>9</v>
      </c>
      <c r="H475" s="479">
        <f>B!G32</f>
        <v>10</v>
      </c>
      <c r="I475" s="479">
        <f>B!H32</f>
        <v>8</v>
      </c>
      <c r="J475" s="479">
        <f>B!I32</f>
        <v>9</v>
      </c>
      <c r="K475" s="479">
        <f>B!J32</f>
        <v>9</v>
      </c>
      <c r="L475" s="479">
        <f>B!K32</f>
        <v>9</v>
      </c>
      <c r="M475" s="479">
        <f>B!L32</f>
        <v>9</v>
      </c>
      <c r="N475" s="479">
        <f>B!M32</f>
        <v>9</v>
      </c>
      <c r="O475" s="479">
        <f>B!N32</f>
        <v>9</v>
      </c>
      <c r="P475" s="479">
        <f>B!O32</f>
        <v>9</v>
      </c>
      <c r="Q475" s="535">
        <f>SUM(E475:P475)</f>
        <v>108</v>
      </c>
    </row>
    <row r="476" spans="1:17" s="224" customFormat="1" x14ac:dyDescent="0.2">
      <c r="A476" s="263">
        <f>A475+1</f>
        <v>13</v>
      </c>
      <c r="C476" s="224" t="s">
        <v>210</v>
      </c>
      <c r="D476" s="792">
        <f>Input!U22</f>
        <v>0</v>
      </c>
      <c r="E476" s="434">
        <f t="shared" ref="E476:P476" si="181">ROUND(E475*$D$476,2)</f>
        <v>0</v>
      </c>
      <c r="F476" s="434">
        <f t="shared" si="181"/>
        <v>0</v>
      </c>
      <c r="G476" s="434">
        <f t="shared" si="181"/>
        <v>0</v>
      </c>
      <c r="H476" s="434">
        <f t="shared" si="181"/>
        <v>0</v>
      </c>
      <c r="I476" s="434">
        <f t="shared" si="181"/>
        <v>0</v>
      </c>
      <c r="J476" s="434">
        <f t="shared" si="181"/>
        <v>0</v>
      </c>
      <c r="K476" s="434">
        <f t="shared" si="181"/>
        <v>0</v>
      </c>
      <c r="L476" s="434">
        <f t="shared" si="181"/>
        <v>0</v>
      </c>
      <c r="M476" s="434">
        <f t="shared" si="181"/>
        <v>0</v>
      </c>
      <c r="N476" s="434">
        <f t="shared" si="181"/>
        <v>0</v>
      </c>
      <c r="O476" s="434">
        <f t="shared" si="181"/>
        <v>0</v>
      </c>
      <c r="P476" s="434">
        <f t="shared" si="181"/>
        <v>0</v>
      </c>
      <c r="Q476" s="434">
        <f>SUM(E476:P476)</f>
        <v>0</v>
      </c>
    </row>
    <row r="477" spans="1:17" s="224" customFormat="1" x14ac:dyDescent="0.2">
      <c r="A477" s="263"/>
      <c r="D477" s="290"/>
      <c r="F477" s="292"/>
      <c r="G477" s="476"/>
      <c r="H477" s="292"/>
      <c r="I477" s="297"/>
      <c r="J477" s="514"/>
      <c r="K477" s="292"/>
      <c r="L477" s="292"/>
      <c r="M477" s="292"/>
      <c r="N477" s="292"/>
      <c r="O477" s="292"/>
      <c r="P477" s="292"/>
    </row>
    <row r="478" spans="1:17" s="224" customFormat="1" x14ac:dyDescent="0.2">
      <c r="A478" s="263">
        <f>A476+1</f>
        <v>14</v>
      </c>
      <c r="C478" s="290" t="s">
        <v>209</v>
      </c>
      <c r="D478" s="519"/>
      <c r="E478" s="483">
        <f>'C'!D32</f>
        <v>247.9</v>
      </c>
      <c r="F478" s="483">
        <f>'C'!E32</f>
        <v>172.9</v>
      </c>
      <c r="G478" s="483">
        <f>'C'!F32</f>
        <v>116.2</v>
      </c>
      <c r="H478" s="483">
        <f>'C'!G32</f>
        <v>84.5</v>
      </c>
      <c r="I478" s="483">
        <f>'C'!H32</f>
        <v>36.299999999999997</v>
      </c>
      <c r="J478" s="483">
        <f>'C'!I32</f>
        <v>17</v>
      </c>
      <c r="K478" s="483">
        <f>'C'!J32</f>
        <v>11.6</v>
      </c>
      <c r="L478" s="483">
        <f>'C'!K32</f>
        <v>10.8</v>
      </c>
      <c r="M478" s="483">
        <f>'C'!L32</f>
        <v>11.5</v>
      </c>
      <c r="N478" s="483">
        <f>'C'!M32</f>
        <v>34</v>
      </c>
      <c r="O478" s="483">
        <f>'C'!N32</f>
        <v>90.2</v>
      </c>
      <c r="P478" s="483">
        <f>'C'!O32</f>
        <v>157.30000000000001</v>
      </c>
      <c r="Q478" s="735">
        <f>SUM(E478:P478)</f>
        <v>990.2</v>
      </c>
    </row>
    <row r="479" spans="1:17" s="224" customFormat="1" x14ac:dyDescent="0.2">
      <c r="A479" s="263">
        <f>A478+1</f>
        <v>15</v>
      </c>
      <c r="C479" s="224" t="s">
        <v>212</v>
      </c>
      <c r="D479" s="793">
        <f>Input!P22</f>
        <v>0.4</v>
      </c>
      <c r="E479" s="434">
        <f t="shared" ref="E479:P479" si="182">ROUND(E478*$D$479,2)</f>
        <v>99.16</v>
      </c>
      <c r="F479" s="434">
        <f t="shared" si="182"/>
        <v>69.16</v>
      </c>
      <c r="G479" s="434">
        <f t="shared" si="182"/>
        <v>46.48</v>
      </c>
      <c r="H479" s="434">
        <f t="shared" si="182"/>
        <v>33.799999999999997</v>
      </c>
      <c r="I479" s="434">
        <f t="shared" si="182"/>
        <v>14.52</v>
      </c>
      <c r="J479" s="434">
        <f t="shared" si="182"/>
        <v>6.8</v>
      </c>
      <c r="K479" s="434">
        <f t="shared" si="182"/>
        <v>4.6399999999999997</v>
      </c>
      <c r="L479" s="434">
        <f t="shared" si="182"/>
        <v>4.32</v>
      </c>
      <c r="M479" s="434">
        <f t="shared" si="182"/>
        <v>4.5999999999999996</v>
      </c>
      <c r="N479" s="434">
        <f t="shared" si="182"/>
        <v>13.6</v>
      </c>
      <c r="O479" s="434">
        <f t="shared" si="182"/>
        <v>36.08</v>
      </c>
      <c r="P479" s="434">
        <f t="shared" si="182"/>
        <v>62.92</v>
      </c>
      <c r="Q479" s="434">
        <f>SUM(E479:P479)</f>
        <v>396.08</v>
      </c>
    </row>
    <row r="480" spans="1:17" s="224" customFormat="1" x14ac:dyDescent="0.2">
      <c r="A480" s="263"/>
      <c r="D480" s="290"/>
      <c r="F480" s="292"/>
      <c r="G480" s="476"/>
      <c r="H480" s="292"/>
      <c r="I480" s="297"/>
      <c r="J480" s="292"/>
      <c r="K480" s="292"/>
      <c r="L480" s="292"/>
      <c r="M480" s="292"/>
      <c r="N480" s="292"/>
      <c r="O480" s="292"/>
      <c r="P480" s="292"/>
      <c r="Q480" s="543"/>
    </row>
    <row r="481" spans="1:17" s="224" customFormat="1" x14ac:dyDescent="0.2">
      <c r="A481" s="263">
        <f>A479+1</f>
        <v>16</v>
      </c>
      <c r="C481" s="224" t="s">
        <v>204</v>
      </c>
      <c r="D481" s="290"/>
      <c r="E481" s="434">
        <f t="shared" ref="E481:P481" si="183">E476+E479</f>
        <v>99.16</v>
      </c>
      <c r="F481" s="434">
        <f t="shared" si="183"/>
        <v>69.16</v>
      </c>
      <c r="G481" s="434">
        <f t="shared" si="183"/>
        <v>46.48</v>
      </c>
      <c r="H481" s="434">
        <f t="shared" si="183"/>
        <v>33.799999999999997</v>
      </c>
      <c r="I481" s="434">
        <f t="shared" si="183"/>
        <v>14.52</v>
      </c>
      <c r="J481" s="434">
        <f t="shared" si="183"/>
        <v>6.8</v>
      </c>
      <c r="K481" s="434">
        <f t="shared" si="183"/>
        <v>4.6399999999999997</v>
      </c>
      <c r="L481" s="434">
        <f t="shared" si="183"/>
        <v>4.32</v>
      </c>
      <c r="M481" s="434">
        <f t="shared" si="183"/>
        <v>4.5999999999999996</v>
      </c>
      <c r="N481" s="434">
        <f t="shared" si="183"/>
        <v>13.6</v>
      </c>
      <c r="O481" s="434">
        <f t="shared" si="183"/>
        <v>36.08</v>
      </c>
      <c r="P481" s="434">
        <f t="shared" si="183"/>
        <v>62.92</v>
      </c>
      <c r="Q481" s="434">
        <f>SUM(E481:P481)</f>
        <v>396.08</v>
      </c>
    </row>
    <row r="482" spans="1:17" s="224" customFormat="1" x14ac:dyDescent="0.2">
      <c r="A482" s="263"/>
      <c r="D482" s="290"/>
      <c r="F482" s="292"/>
      <c r="G482" s="476"/>
      <c r="H482" s="292"/>
      <c r="I482" s="297"/>
      <c r="J482" s="292"/>
      <c r="K482" s="292"/>
      <c r="L482" s="292"/>
      <c r="M482" s="292"/>
      <c r="N482" s="292"/>
      <c r="O482" s="292"/>
      <c r="P482" s="292"/>
      <c r="Q482" s="476"/>
    </row>
    <row r="483" spans="1:17" s="224" customFormat="1" x14ac:dyDescent="0.2">
      <c r="A483" s="263">
        <f>A481+1</f>
        <v>17</v>
      </c>
      <c r="C483" s="224" t="s">
        <v>151</v>
      </c>
      <c r="D483" s="794">
        <v>0</v>
      </c>
      <c r="E483" s="517">
        <v>0</v>
      </c>
      <c r="F483" s="517">
        <v>0</v>
      </c>
      <c r="G483" s="517">
        <v>0</v>
      </c>
      <c r="H483" s="517">
        <v>0</v>
      </c>
      <c r="I483" s="517">
        <v>0</v>
      </c>
      <c r="J483" s="517">
        <v>0</v>
      </c>
      <c r="K483" s="517">
        <v>0</v>
      </c>
      <c r="L483" s="517">
        <v>0</v>
      </c>
      <c r="M483" s="517">
        <v>0</v>
      </c>
      <c r="N483" s="517">
        <v>0</v>
      </c>
      <c r="O483" s="517">
        <v>0</v>
      </c>
      <c r="P483" s="517">
        <v>0</v>
      </c>
      <c r="Q483" s="434">
        <f>SUM(E483:P483)</f>
        <v>0</v>
      </c>
    </row>
    <row r="484" spans="1:17" s="224" customFormat="1" x14ac:dyDescent="0.2">
      <c r="A484" s="263"/>
      <c r="D484" s="516"/>
      <c r="F484" s="292"/>
      <c r="G484" s="476"/>
      <c r="H484" s="292"/>
      <c r="I484" s="297"/>
      <c r="J484" s="292"/>
      <c r="K484" s="292"/>
      <c r="L484" s="292"/>
      <c r="M484" s="292"/>
      <c r="N484" s="292"/>
      <c r="O484" s="292"/>
      <c r="P484" s="292"/>
    </row>
    <row r="485" spans="1:17" s="224" customFormat="1" ht="10.8" thickBot="1" x14ac:dyDescent="0.25">
      <c r="A485" s="724">
        <f>A483+1</f>
        <v>18</v>
      </c>
      <c r="B485" s="496"/>
      <c r="C485" s="725" t="s">
        <v>205</v>
      </c>
      <c r="D485" s="726"/>
      <c r="E485" s="499">
        <f t="shared" ref="E485:P485" si="184">E481+E483</f>
        <v>99.16</v>
      </c>
      <c r="F485" s="499">
        <f t="shared" si="184"/>
        <v>69.16</v>
      </c>
      <c r="G485" s="499">
        <f t="shared" si="184"/>
        <v>46.48</v>
      </c>
      <c r="H485" s="499">
        <f t="shared" si="184"/>
        <v>33.799999999999997</v>
      </c>
      <c r="I485" s="499">
        <f t="shared" si="184"/>
        <v>14.52</v>
      </c>
      <c r="J485" s="499">
        <f t="shared" si="184"/>
        <v>6.8</v>
      </c>
      <c r="K485" s="499">
        <f t="shared" si="184"/>
        <v>4.6399999999999997</v>
      </c>
      <c r="L485" s="499">
        <f t="shared" si="184"/>
        <v>4.32</v>
      </c>
      <c r="M485" s="499">
        <f t="shared" si="184"/>
        <v>4.5999999999999996</v>
      </c>
      <c r="N485" s="499">
        <f t="shared" si="184"/>
        <v>13.6</v>
      </c>
      <c r="O485" s="499">
        <f t="shared" si="184"/>
        <v>36.08</v>
      </c>
      <c r="P485" s="499">
        <f t="shared" si="184"/>
        <v>62.92</v>
      </c>
      <c r="Q485" s="499">
        <f>SUM(E485:P485)</f>
        <v>396.08</v>
      </c>
    </row>
    <row r="486" spans="1:17" s="224" customFormat="1" ht="10.8" thickTop="1" x14ac:dyDescent="0.2">
      <c r="A486" s="263"/>
      <c r="D486" s="290"/>
      <c r="E486" s="489"/>
      <c r="F486" s="489"/>
      <c r="G486" s="489"/>
      <c r="H486" s="489"/>
      <c r="I486" s="489"/>
      <c r="J486" s="489"/>
      <c r="K486" s="489"/>
      <c r="L486" s="489"/>
      <c r="M486" s="489"/>
      <c r="N486" s="489"/>
      <c r="O486" s="489"/>
      <c r="P486" s="489"/>
      <c r="Q486" s="489"/>
    </row>
    <row r="487" spans="1:17" s="224" customFormat="1" x14ac:dyDescent="0.2">
      <c r="A487" s="263"/>
      <c r="D487" s="290"/>
      <c r="E487" s="489"/>
      <c r="F487" s="489"/>
      <c r="G487" s="489"/>
      <c r="H487" s="489"/>
      <c r="I487" s="489"/>
      <c r="J487" s="489"/>
      <c r="K487" s="489"/>
      <c r="L487" s="489"/>
      <c r="M487" s="489"/>
      <c r="N487" s="489"/>
      <c r="O487" s="489"/>
      <c r="P487" s="489"/>
      <c r="Q487" s="489"/>
    </row>
    <row r="488" spans="1:17" s="224" customFormat="1" x14ac:dyDescent="0.2">
      <c r="A488" s="263">
        <v>1</v>
      </c>
      <c r="B488" s="224" t="str">
        <f>B92</f>
        <v>IN4</v>
      </c>
      <c r="C488" s="224" t="str">
        <f>C92</f>
        <v>Inland Gas General Service - Residential</v>
      </c>
      <c r="D488" s="290"/>
      <c r="F488" s="292"/>
      <c r="G488" s="476"/>
      <c r="H488" s="292"/>
      <c r="I488" s="297"/>
      <c r="J488" s="292"/>
      <c r="K488" s="292"/>
      <c r="L488" s="292"/>
      <c r="M488" s="292"/>
      <c r="N488" s="292"/>
      <c r="O488" s="292"/>
      <c r="P488" s="292"/>
    </row>
    <row r="489" spans="1:17" s="224" customFormat="1" x14ac:dyDescent="0.2">
      <c r="A489" s="263"/>
      <c r="D489" s="290"/>
      <c r="F489" s="292"/>
      <c r="G489" s="476"/>
      <c r="H489" s="292"/>
      <c r="I489" s="297"/>
      <c r="J489" s="292"/>
      <c r="K489" s="292"/>
      <c r="L489" s="292"/>
      <c r="M489" s="292"/>
      <c r="N489" s="292"/>
      <c r="O489" s="292"/>
      <c r="P489" s="292"/>
    </row>
    <row r="490" spans="1:17" s="224" customFormat="1" x14ac:dyDescent="0.2">
      <c r="A490" s="263">
        <f>A488+1</f>
        <v>2</v>
      </c>
      <c r="C490" s="266" t="s">
        <v>109</v>
      </c>
      <c r="D490" s="290"/>
      <c r="F490" s="292"/>
      <c r="G490" s="476"/>
      <c r="H490" s="292"/>
      <c r="I490" s="297"/>
      <c r="J490" s="292"/>
      <c r="K490" s="292"/>
      <c r="L490" s="292"/>
      <c r="M490" s="292"/>
      <c r="N490" s="292"/>
      <c r="O490" s="292"/>
      <c r="P490" s="292"/>
    </row>
    <row r="491" spans="1:17" s="224" customFormat="1" x14ac:dyDescent="0.2">
      <c r="A491" s="263"/>
      <c r="D491" s="290"/>
      <c r="F491" s="292"/>
      <c r="G491" s="476"/>
      <c r="H491" s="292"/>
      <c r="I491" s="297"/>
      <c r="J491" s="292"/>
      <c r="K491" s="292"/>
      <c r="L491" s="292"/>
      <c r="M491" s="292"/>
      <c r="N491" s="292"/>
      <c r="O491" s="292"/>
      <c r="P491" s="292"/>
    </row>
    <row r="492" spans="1:17" s="224" customFormat="1" x14ac:dyDescent="0.2">
      <c r="A492" s="263">
        <f>A490+1</f>
        <v>3</v>
      </c>
      <c r="C492" s="224" t="s">
        <v>202</v>
      </c>
      <c r="D492" s="290"/>
      <c r="E492" s="766">
        <f>B!D37</f>
        <v>0</v>
      </c>
      <c r="F492" s="766">
        <f>B!E37</f>
        <v>0</v>
      </c>
      <c r="G492" s="766">
        <f>B!F37</f>
        <v>0</v>
      </c>
      <c r="H492" s="766">
        <f>B!G37</f>
        <v>0</v>
      </c>
      <c r="I492" s="766">
        <f>B!H37</f>
        <v>0</v>
      </c>
      <c r="J492" s="766">
        <f>B!I37</f>
        <v>0</v>
      </c>
      <c r="K492" s="766">
        <f>B!J37</f>
        <v>0</v>
      </c>
      <c r="L492" s="766">
        <f>B!K37</f>
        <v>0</v>
      </c>
      <c r="M492" s="766">
        <f>B!L37</f>
        <v>0</v>
      </c>
      <c r="N492" s="766">
        <f>B!M37</f>
        <v>0</v>
      </c>
      <c r="O492" s="766">
        <f>B!N37</f>
        <v>0</v>
      </c>
      <c r="P492" s="766">
        <f>B!O37</f>
        <v>0</v>
      </c>
      <c r="Q492" s="290">
        <f>SUM(E492:P492)</f>
        <v>0</v>
      </c>
    </row>
    <row r="493" spans="1:17" s="224" customFormat="1" x14ac:dyDescent="0.2">
      <c r="A493" s="263">
        <f>A492+1</f>
        <v>4</v>
      </c>
      <c r="C493" s="224" t="s">
        <v>210</v>
      </c>
      <c r="D493" s="792">
        <f>Input!U24</f>
        <v>0</v>
      </c>
      <c r="E493" s="434">
        <f t="shared" ref="E493:P493" si="185">ROUND(E492*$D$493,2)</f>
        <v>0</v>
      </c>
      <c r="F493" s="434">
        <f t="shared" si="185"/>
        <v>0</v>
      </c>
      <c r="G493" s="434">
        <f t="shared" si="185"/>
        <v>0</v>
      </c>
      <c r="H493" s="434">
        <f t="shared" si="185"/>
        <v>0</v>
      </c>
      <c r="I493" s="434">
        <f t="shared" si="185"/>
        <v>0</v>
      </c>
      <c r="J493" s="434">
        <f t="shared" si="185"/>
        <v>0</v>
      </c>
      <c r="K493" s="434">
        <f t="shared" si="185"/>
        <v>0</v>
      </c>
      <c r="L493" s="434">
        <f t="shared" si="185"/>
        <v>0</v>
      </c>
      <c r="M493" s="434">
        <f t="shared" si="185"/>
        <v>0</v>
      </c>
      <c r="N493" s="434">
        <f t="shared" si="185"/>
        <v>0</v>
      </c>
      <c r="O493" s="434">
        <f t="shared" si="185"/>
        <v>0</v>
      </c>
      <c r="P493" s="434">
        <f t="shared" si="185"/>
        <v>0</v>
      </c>
      <c r="Q493" s="434">
        <f>SUM(E493:P493)</f>
        <v>0</v>
      </c>
    </row>
    <row r="494" spans="1:17" s="224" customFormat="1" x14ac:dyDescent="0.2">
      <c r="A494" s="263"/>
      <c r="D494" s="290"/>
      <c r="E494" s="521"/>
      <c r="F494" s="292"/>
      <c r="G494" s="476"/>
      <c r="H494" s="292"/>
      <c r="I494" s="297"/>
      <c r="J494" s="514"/>
      <c r="K494" s="292"/>
      <c r="L494" s="292"/>
      <c r="M494" s="292"/>
      <c r="N494" s="292"/>
      <c r="O494" s="292"/>
      <c r="P494" s="292"/>
    </row>
    <row r="495" spans="1:17" s="224" customFormat="1" x14ac:dyDescent="0.2">
      <c r="A495" s="263">
        <f>A493+1</f>
        <v>5</v>
      </c>
      <c r="C495" s="290" t="s">
        <v>209</v>
      </c>
      <c r="D495" s="519"/>
      <c r="E495" s="531">
        <f>'C'!D37</f>
        <v>0</v>
      </c>
      <c r="F495" s="531">
        <f>'C'!E37</f>
        <v>0</v>
      </c>
      <c r="G495" s="531">
        <f>'C'!F37</f>
        <v>0</v>
      </c>
      <c r="H495" s="531">
        <f>'C'!G37</f>
        <v>0</v>
      </c>
      <c r="I495" s="531">
        <f>'C'!H37</f>
        <v>0</v>
      </c>
      <c r="J495" s="531">
        <f>'C'!I37</f>
        <v>0</v>
      </c>
      <c r="K495" s="531">
        <f>'C'!J37</f>
        <v>0</v>
      </c>
      <c r="L495" s="531">
        <f>'C'!K37</f>
        <v>0</v>
      </c>
      <c r="M495" s="531">
        <f>'C'!L37</f>
        <v>0</v>
      </c>
      <c r="N495" s="531">
        <f>'C'!M37</f>
        <v>0</v>
      </c>
      <c r="O495" s="531">
        <f>'C'!N37</f>
        <v>0</v>
      </c>
      <c r="P495" s="531">
        <f>'C'!O37</f>
        <v>0</v>
      </c>
      <c r="Q495" s="297">
        <f>SUM(E495:P495)</f>
        <v>0</v>
      </c>
    </row>
    <row r="496" spans="1:17" s="224" customFormat="1" x14ac:dyDescent="0.2">
      <c r="A496" s="263">
        <f>A495+1</f>
        <v>6</v>
      </c>
      <c r="C496" s="224" t="s">
        <v>212</v>
      </c>
      <c r="D496" s="793">
        <f>Input!P24</f>
        <v>0.55000000000000004</v>
      </c>
      <c r="E496" s="434">
        <f t="shared" ref="E496:P496" si="186">ROUND(E495*$D$496,2)</f>
        <v>0</v>
      </c>
      <c r="F496" s="434">
        <f t="shared" si="186"/>
        <v>0</v>
      </c>
      <c r="G496" s="434">
        <f t="shared" si="186"/>
        <v>0</v>
      </c>
      <c r="H496" s="434">
        <f t="shared" si="186"/>
        <v>0</v>
      </c>
      <c r="I496" s="434">
        <f t="shared" si="186"/>
        <v>0</v>
      </c>
      <c r="J496" s="434">
        <f t="shared" si="186"/>
        <v>0</v>
      </c>
      <c r="K496" s="434">
        <f t="shared" si="186"/>
        <v>0</v>
      </c>
      <c r="L496" s="434">
        <f t="shared" si="186"/>
        <v>0</v>
      </c>
      <c r="M496" s="434">
        <f t="shared" si="186"/>
        <v>0</v>
      </c>
      <c r="N496" s="434">
        <f t="shared" si="186"/>
        <v>0</v>
      </c>
      <c r="O496" s="434">
        <f t="shared" si="186"/>
        <v>0</v>
      </c>
      <c r="P496" s="434">
        <f t="shared" si="186"/>
        <v>0</v>
      </c>
      <c r="Q496" s="434">
        <f>SUM(E496:P496)</f>
        <v>0</v>
      </c>
    </row>
    <row r="497" spans="1:17" s="224" customFormat="1" x14ac:dyDescent="0.2">
      <c r="A497" s="263"/>
      <c r="D497" s="290"/>
      <c r="F497" s="292"/>
      <c r="G497" s="476"/>
      <c r="H497" s="292"/>
      <c r="I497" s="297"/>
      <c r="J497" s="292"/>
      <c r="K497" s="292"/>
      <c r="L497" s="292"/>
      <c r="M497" s="292"/>
      <c r="N497" s="292"/>
      <c r="O497" s="292"/>
      <c r="P497" s="292"/>
      <c r="Q497" s="543"/>
    </row>
    <row r="498" spans="1:17" s="224" customFormat="1" x14ac:dyDescent="0.2">
      <c r="A498" s="263">
        <f>A496+1</f>
        <v>7</v>
      </c>
      <c r="C498" s="224" t="s">
        <v>204</v>
      </c>
      <c r="D498" s="290"/>
      <c r="E498" s="434">
        <f t="shared" ref="E498:P498" si="187">E493+E496</f>
        <v>0</v>
      </c>
      <c r="F498" s="434">
        <f t="shared" si="187"/>
        <v>0</v>
      </c>
      <c r="G498" s="434">
        <f t="shared" si="187"/>
        <v>0</v>
      </c>
      <c r="H498" s="434">
        <f t="shared" si="187"/>
        <v>0</v>
      </c>
      <c r="I498" s="434">
        <f t="shared" si="187"/>
        <v>0</v>
      </c>
      <c r="J498" s="434">
        <f t="shared" si="187"/>
        <v>0</v>
      </c>
      <c r="K498" s="434">
        <f t="shared" si="187"/>
        <v>0</v>
      </c>
      <c r="L498" s="434">
        <f t="shared" si="187"/>
        <v>0</v>
      </c>
      <c r="M498" s="434">
        <f t="shared" si="187"/>
        <v>0</v>
      </c>
      <c r="N498" s="434">
        <f t="shared" si="187"/>
        <v>0</v>
      </c>
      <c r="O498" s="434">
        <f t="shared" si="187"/>
        <v>0</v>
      </c>
      <c r="P498" s="434">
        <f t="shared" si="187"/>
        <v>0</v>
      </c>
      <c r="Q498" s="434">
        <f>SUM(E498:P498)</f>
        <v>0</v>
      </c>
    </row>
    <row r="499" spans="1:17" s="224" customFormat="1" x14ac:dyDescent="0.2">
      <c r="A499" s="263"/>
      <c r="D499" s="290"/>
      <c r="F499" s="292"/>
      <c r="G499" s="476"/>
      <c r="H499" s="292"/>
      <c r="I499" s="297"/>
      <c r="J499" s="292"/>
      <c r="K499" s="292"/>
      <c r="L499" s="292"/>
      <c r="M499" s="292"/>
      <c r="N499" s="292"/>
      <c r="O499" s="292"/>
      <c r="P499" s="292"/>
      <c r="Q499" s="476"/>
    </row>
    <row r="500" spans="1:17" s="224" customFormat="1" x14ac:dyDescent="0.2">
      <c r="A500" s="263">
        <f>A498+1</f>
        <v>8</v>
      </c>
      <c r="C500" s="224" t="s">
        <v>151</v>
      </c>
      <c r="D500" s="794">
        <v>0</v>
      </c>
      <c r="E500" s="517">
        <v>0</v>
      </c>
      <c r="F500" s="517">
        <v>0</v>
      </c>
      <c r="G500" s="517">
        <v>0</v>
      </c>
      <c r="H500" s="517">
        <v>0</v>
      </c>
      <c r="I500" s="517">
        <v>0</v>
      </c>
      <c r="J500" s="517">
        <v>0</v>
      </c>
      <c r="K500" s="517">
        <v>0</v>
      </c>
      <c r="L500" s="517">
        <v>0</v>
      </c>
      <c r="M500" s="517">
        <v>0</v>
      </c>
      <c r="N500" s="517">
        <v>0</v>
      </c>
      <c r="O500" s="517">
        <v>0</v>
      </c>
      <c r="P500" s="517">
        <v>0</v>
      </c>
      <c r="Q500" s="434">
        <f>SUM(E500:P500)</f>
        <v>0</v>
      </c>
    </row>
    <row r="501" spans="1:17" s="224" customFormat="1" x14ac:dyDescent="0.2">
      <c r="A501" s="263"/>
      <c r="D501" s="290"/>
      <c r="F501" s="292"/>
      <c r="G501" s="476"/>
      <c r="H501" s="292"/>
      <c r="I501" s="297"/>
      <c r="J501" s="292"/>
      <c r="K501" s="292"/>
      <c r="L501" s="292"/>
      <c r="M501" s="292"/>
      <c r="N501" s="292"/>
      <c r="O501" s="292"/>
      <c r="P501" s="292"/>
    </row>
    <row r="502" spans="1:17" s="224" customFormat="1" ht="10.8" thickBot="1" x14ac:dyDescent="0.25">
      <c r="A502" s="724">
        <f>A500+1</f>
        <v>9</v>
      </c>
      <c r="B502" s="496"/>
      <c r="C502" s="725" t="s">
        <v>205</v>
      </c>
      <c r="D502" s="726"/>
      <c r="E502" s="499">
        <f t="shared" ref="E502:P502" si="188">E498+E500</f>
        <v>0</v>
      </c>
      <c r="F502" s="499">
        <f t="shared" si="188"/>
        <v>0</v>
      </c>
      <c r="G502" s="499">
        <f t="shared" si="188"/>
        <v>0</v>
      </c>
      <c r="H502" s="499">
        <f t="shared" si="188"/>
        <v>0</v>
      </c>
      <c r="I502" s="499">
        <f t="shared" si="188"/>
        <v>0</v>
      </c>
      <c r="J502" s="499">
        <f t="shared" si="188"/>
        <v>0</v>
      </c>
      <c r="K502" s="499">
        <f t="shared" si="188"/>
        <v>0</v>
      </c>
      <c r="L502" s="499">
        <f t="shared" si="188"/>
        <v>0</v>
      </c>
      <c r="M502" s="499">
        <f t="shared" si="188"/>
        <v>0</v>
      </c>
      <c r="N502" s="499">
        <f t="shared" si="188"/>
        <v>0</v>
      </c>
      <c r="O502" s="499">
        <f t="shared" si="188"/>
        <v>0</v>
      </c>
      <c r="P502" s="499">
        <f t="shared" si="188"/>
        <v>0</v>
      </c>
      <c r="Q502" s="499">
        <f>SUM(E502:P502)</f>
        <v>0</v>
      </c>
    </row>
    <row r="503" spans="1:17" s="224" customFormat="1" ht="10.8" thickTop="1" x14ac:dyDescent="0.2">
      <c r="A503" s="263"/>
      <c r="D503" s="290"/>
      <c r="E503" s="489"/>
      <c r="F503" s="489"/>
      <c r="G503" s="489"/>
      <c r="H503" s="489"/>
      <c r="I503" s="489"/>
      <c r="J503" s="489"/>
      <c r="K503" s="489"/>
      <c r="L503" s="489"/>
      <c r="M503" s="489"/>
      <c r="N503" s="489"/>
      <c r="O503" s="489"/>
      <c r="P503" s="489"/>
      <c r="Q503" s="489"/>
    </row>
    <row r="504" spans="1:17" s="224" customFormat="1" x14ac:dyDescent="0.2">
      <c r="A504" s="263"/>
      <c r="D504" s="290"/>
      <c r="E504" s="489"/>
      <c r="F504" s="489"/>
      <c r="G504" s="489"/>
      <c r="H504" s="489"/>
      <c r="I504" s="489"/>
      <c r="J504" s="489"/>
      <c r="K504" s="489"/>
      <c r="L504" s="489"/>
      <c r="M504" s="489"/>
      <c r="N504" s="489"/>
      <c r="O504" s="489"/>
      <c r="P504" s="489"/>
      <c r="Q504" s="489"/>
    </row>
    <row r="505" spans="1:17" s="224" customFormat="1" x14ac:dyDescent="0.2">
      <c r="A505" s="629" t="str">
        <f>$A$265</f>
        <v>[1] Reflects Normalized Volumes.</v>
      </c>
      <c r="D505" s="290"/>
      <c r="F505" s="292"/>
      <c r="G505" s="476"/>
      <c r="H505" s="292"/>
      <c r="I505" s="297"/>
      <c r="J505" s="292"/>
      <c r="K505" s="292"/>
      <c r="L505" s="292"/>
      <c r="M505" s="292"/>
      <c r="N505" s="292"/>
      <c r="O505" s="292"/>
      <c r="P505" s="292"/>
    </row>
    <row r="506" spans="1:17" s="224" customFormat="1" x14ac:dyDescent="0.2">
      <c r="A506" s="629" t="str">
        <f>$A$437</f>
        <v>[2] Reflects Gas Cost Adjustment Rate as of March 1, 2016.</v>
      </c>
      <c r="D506" s="290"/>
      <c r="F506" s="292"/>
      <c r="G506" s="476"/>
      <c r="H506" s="292"/>
      <c r="I506" s="297"/>
      <c r="J506" s="292"/>
      <c r="K506" s="292"/>
      <c r="L506" s="292"/>
      <c r="M506" s="292"/>
      <c r="N506" s="292"/>
      <c r="O506" s="292"/>
      <c r="P506" s="292"/>
    </row>
    <row r="507" spans="1:17" s="224" customFormat="1" x14ac:dyDescent="0.2">
      <c r="A507" s="889" t="str">
        <f>CONAME</f>
        <v>Columbia Gas of Kentucky, Inc.</v>
      </c>
      <c r="B507" s="889"/>
      <c r="C507" s="889"/>
      <c r="D507" s="889"/>
      <c r="E507" s="889"/>
      <c r="F507" s="889"/>
      <c r="G507" s="889"/>
      <c r="H507" s="889"/>
      <c r="I507" s="889"/>
      <c r="J507" s="889"/>
      <c r="K507" s="889"/>
      <c r="L507" s="889"/>
      <c r="M507" s="889"/>
      <c r="N507" s="889"/>
      <c r="O507" s="889"/>
      <c r="P507" s="889"/>
      <c r="Q507" s="889"/>
    </row>
    <row r="508" spans="1:17" s="224" customFormat="1" x14ac:dyDescent="0.2">
      <c r="A508" s="872" t="str">
        <f>case</f>
        <v>Case No. 2016-00162</v>
      </c>
      <c r="B508" s="872"/>
      <c r="C508" s="872"/>
      <c r="D508" s="872"/>
      <c r="E508" s="872"/>
      <c r="F508" s="872"/>
      <c r="G508" s="872"/>
      <c r="H508" s="872"/>
      <c r="I508" s="872"/>
      <c r="J508" s="872"/>
      <c r="K508" s="872"/>
      <c r="L508" s="872"/>
      <c r="M508" s="872"/>
      <c r="N508" s="872"/>
      <c r="O508" s="872"/>
      <c r="P508" s="872"/>
      <c r="Q508" s="872"/>
    </row>
    <row r="509" spans="1:17" s="224" customFormat="1" x14ac:dyDescent="0.2">
      <c r="A509" s="892" t="s">
        <v>200</v>
      </c>
      <c r="B509" s="892"/>
      <c r="C509" s="892"/>
      <c r="D509" s="892"/>
      <c r="E509" s="892"/>
      <c r="F509" s="892"/>
      <c r="G509" s="892"/>
      <c r="H509" s="892"/>
      <c r="I509" s="892"/>
      <c r="J509" s="892"/>
      <c r="K509" s="892"/>
      <c r="L509" s="892"/>
      <c r="M509" s="892"/>
      <c r="N509" s="892"/>
      <c r="O509" s="892"/>
      <c r="P509" s="892"/>
      <c r="Q509" s="892"/>
    </row>
    <row r="510" spans="1:17" s="224" customFormat="1" x14ac:dyDescent="0.2">
      <c r="A510" s="889" t="str">
        <f>TYDESC</f>
        <v>For the 12 Months Ended December 31, 2017</v>
      </c>
      <c r="B510" s="889"/>
      <c r="C510" s="889"/>
      <c r="D510" s="889"/>
      <c r="E510" s="889"/>
      <c r="F510" s="889"/>
      <c r="G510" s="889"/>
      <c r="H510" s="889"/>
      <c r="I510" s="889"/>
      <c r="J510" s="889"/>
      <c r="K510" s="889"/>
      <c r="L510" s="889"/>
      <c r="M510" s="889"/>
      <c r="N510" s="889"/>
      <c r="O510" s="889"/>
      <c r="P510" s="889"/>
      <c r="Q510" s="889"/>
    </row>
    <row r="511" spans="1:17" s="224" customFormat="1" x14ac:dyDescent="0.2">
      <c r="A511" s="890" t="s">
        <v>39</v>
      </c>
      <c r="B511" s="890"/>
      <c r="C511" s="890"/>
      <c r="D511" s="890"/>
      <c r="E511" s="890"/>
      <c r="F511" s="890"/>
      <c r="G511" s="890"/>
      <c r="H511" s="890"/>
      <c r="I511" s="890"/>
      <c r="J511" s="890"/>
      <c r="K511" s="890"/>
      <c r="L511" s="890"/>
      <c r="M511" s="890"/>
      <c r="N511" s="890"/>
      <c r="O511" s="890"/>
      <c r="P511" s="890"/>
      <c r="Q511" s="890"/>
    </row>
    <row r="512" spans="1:17" s="224" customFormat="1" x14ac:dyDescent="0.2">
      <c r="A512" s="718" t="str">
        <f>$A$52</f>
        <v>Data: __ Base Period _X_ Forecasted Period</v>
      </c>
      <c r="D512" s="290"/>
      <c r="F512" s="292"/>
      <c r="G512" s="476"/>
      <c r="H512" s="292"/>
      <c r="I512" s="297"/>
      <c r="J512" s="292"/>
      <c r="K512" s="292"/>
      <c r="L512" s="292"/>
      <c r="M512" s="292"/>
      <c r="N512" s="292"/>
      <c r="O512" s="292"/>
      <c r="P512" s="292"/>
    </row>
    <row r="513" spans="1:17" s="224" customFormat="1" x14ac:dyDescent="0.2">
      <c r="A513" s="718" t="str">
        <f>$A$53</f>
        <v>Type of Filing: X Original _ Update _ Revised</v>
      </c>
      <c r="D513" s="290"/>
      <c r="F513" s="292"/>
      <c r="G513" s="476"/>
      <c r="H513" s="292"/>
      <c r="I513" s="297"/>
      <c r="J513" s="292"/>
      <c r="K513" s="292"/>
      <c r="L513" s="292"/>
      <c r="M513" s="292"/>
      <c r="N513" s="292"/>
      <c r="O513" s="292"/>
      <c r="P513" s="292"/>
      <c r="Q513" s="727" t="str">
        <f>$Q$53</f>
        <v>Schedule M-2.3</v>
      </c>
    </row>
    <row r="514" spans="1:17" s="224" customFormat="1" x14ac:dyDescent="0.2">
      <c r="A514" s="718" t="str">
        <f>$A$54</f>
        <v>Work Paper Reference No(s):</v>
      </c>
      <c r="D514" s="290"/>
      <c r="F514" s="292"/>
      <c r="G514" s="476"/>
      <c r="H514" s="292"/>
      <c r="I514" s="297"/>
      <c r="J514" s="292"/>
      <c r="K514" s="292"/>
      <c r="L514" s="292"/>
      <c r="M514" s="292"/>
      <c r="N514" s="292"/>
      <c r="O514" s="292"/>
      <c r="P514" s="292"/>
      <c r="Q514" s="727" t="s">
        <v>511</v>
      </c>
    </row>
    <row r="515" spans="1:17" s="224" customFormat="1" x14ac:dyDescent="0.2">
      <c r="A515" s="719" t="str">
        <f>$A$55</f>
        <v>12 Months Forecasted</v>
      </c>
      <c r="D515" s="290"/>
      <c r="F515" s="292"/>
      <c r="G515" s="476"/>
      <c r="H515" s="292"/>
      <c r="I515" s="297"/>
      <c r="J515" s="292"/>
      <c r="K515" s="292"/>
      <c r="L515" s="292"/>
      <c r="M515" s="292"/>
      <c r="N515" s="292"/>
      <c r="O515" s="292"/>
      <c r="P515" s="292"/>
      <c r="Q515" s="727" t="str">
        <f>Witness</f>
        <v>Witness:  M. J. Bell</v>
      </c>
    </row>
    <row r="516" spans="1:17" s="224" customFormat="1" x14ac:dyDescent="0.2">
      <c r="A516" s="891" t="s">
        <v>294</v>
      </c>
      <c r="B516" s="891"/>
      <c r="C516" s="891"/>
      <c r="D516" s="891"/>
      <c r="E516" s="891"/>
      <c r="F516" s="891"/>
      <c r="G516" s="891"/>
      <c r="H516" s="891"/>
      <c r="I516" s="891"/>
      <c r="J516" s="891"/>
      <c r="K516" s="891"/>
      <c r="L516" s="891"/>
      <c r="M516" s="891"/>
      <c r="N516" s="891"/>
      <c r="O516" s="891"/>
      <c r="P516" s="891"/>
      <c r="Q516" s="891"/>
    </row>
    <row r="517" spans="1:17" s="224" customFormat="1" x14ac:dyDescent="0.2">
      <c r="A517" s="227"/>
      <c r="B517" s="306"/>
      <c r="C517" s="306"/>
      <c r="D517" s="308"/>
      <c r="E517" s="306"/>
      <c r="F517" s="502"/>
      <c r="G517" s="503"/>
      <c r="H517" s="502"/>
      <c r="I517" s="504"/>
      <c r="J517" s="502"/>
      <c r="K517" s="502"/>
      <c r="L517" s="502"/>
      <c r="M517" s="502"/>
      <c r="N517" s="502"/>
      <c r="O517" s="502"/>
      <c r="P517" s="502"/>
      <c r="Q517" s="306"/>
    </row>
    <row r="518" spans="1:17" s="224" customFormat="1" x14ac:dyDescent="0.2">
      <c r="A518" s="416" t="s">
        <v>1</v>
      </c>
      <c r="B518" s="416" t="s">
        <v>0</v>
      </c>
      <c r="C518" s="416" t="s">
        <v>41</v>
      </c>
      <c r="D518" s="423" t="s">
        <v>30</v>
      </c>
      <c r="E518" s="416"/>
      <c r="F518" s="729"/>
      <c r="G518" s="732"/>
      <c r="H518" s="729"/>
      <c r="I518" s="733"/>
      <c r="J518" s="729"/>
      <c r="K518" s="729"/>
      <c r="L518" s="729"/>
      <c r="M518" s="729"/>
      <c r="N518" s="729"/>
      <c r="O518" s="729"/>
      <c r="P518" s="729"/>
      <c r="Q518" s="232"/>
    </row>
    <row r="519" spans="1:17" s="224" customFormat="1" x14ac:dyDescent="0.2">
      <c r="A519" s="285" t="s">
        <v>3</v>
      </c>
      <c r="B519" s="285" t="s">
        <v>40</v>
      </c>
      <c r="C519" s="285" t="s">
        <v>4</v>
      </c>
      <c r="D519" s="427" t="s">
        <v>48</v>
      </c>
      <c r="E519" s="428" t="str">
        <f>B!$D$11</f>
        <v>Jan-17</v>
      </c>
      <c r="F519" s="428" t="str">
        <f>B!$E$11</f>
        <v>Feb-17</v>
      </c>
      <c r="G519" s="428" t="str">
        <f>B!$F$11</f>
        <v>Mar-17</v>
      </c>
      <c r="H519" s="428" t="str">
        <f>B!$G$11</f>
        <v>Apr-17</v>
      </c>
      <c r="I519" s="428" t="str">
        <f>B!$H$11</f>
        <v>May-17</v>
      </c>
      <c r="J519" s="428" t="str">
        <f>B!$I$11</f>
        <v>Jun-17</v>
      </c>
      <c r="K519" s="428" t="str">
        <f>B!$J$11</f>
        <v>Jul-17</v>
      </c>
      <c r="L519" s="428" t="str">
        <f>B!$K$11</f>
        <v>Aug-17</v>
      </c>
      <c r="M519" s="428" t="str">
        <f>B!$L$11</f>
        <v>Sep-17</v>
      </c>
      <c r="N519" s="428" t="str">
        <f>B!$M$11</f>
        <v>Oct-17</v>
      </c>
      <c r="O519" s="428" t="str">
        <f>B!$N$11</f>
        <v>Nov-17</v>
      </c>
      <c r="P519" s="428" t="str">
        <f>B!$O$11</f>
        <v>Dec-17</v>
      </c>
      <c r="Q519" s="428" t="s">
        <v>9</v>
      </c>
    </row>
    <row r="520" spans="1:17" s="224" customFormat="1" x14ac:dyDescent="0.2">
      <c r="A520" s="416"/>
      <c r="B520" s="231" t="s">
        <v>42</v>
      </c>
      <c r="C520" s="231" t="s">
        <v>43</v>
      </c>
      <c r="D520" s="430" t="s">
        <v>45</v>
      </c>
      <c r="E520" s="431" t="s">
        <v>46</v>
      </c>
      <c r="F520" s="431" t="s">
        <v>49</v>
      </c>
      <c r="G520" s="431" t="s">
        <v>50</v>
      </c>
      <c r="H520" s="431" t="s">
        <v>51</v>
      </c>
      <c r="I520" s="431" t="s">
        <v>52</v>
      </c>
      <c r="J520" s="432" t="s">
        <v>53</v>
      </c>
      <c r="K520" s="432" t="s">
        <v>54</v>
      </c>
      <c r="L520" s="432" t="s">
        <v>55</v>
      </c>
      <c r="M520" s="432" t="s">
        <v>56</v>
      </c>
      <c r="N520" s="432" t="s">
        <v>57</v>
      </c>
      <c r="O520" s="432" t="s">
        <v>58</v>
      </c>
      <c r="P520" s="432" t="s">
        <v>59</v>
      </c>
      <c r="Q520" s="432" t="s">
        <v>203</v>
      </c>
    </row>
    <row r="521" spans="1:17" s="224" customFormat="1" x14ac:dyDescent="0.2">
      <c r="A521" s="263"/>
      <c r="D521" s="290"/>
      <c r="E521" s="232"/>
      <c r="F521" s="734"/>
      <c r="G521" s="730"/>
      <c r="H521" s="734"/>
      <c r="I521" s="731"/>
      <c r="J521" s="734"/>
      <c r="K521" s="734"/>
      <c r="L521" s="734"/>
      <c r="M521" s="734"/>
      <c r="N521" s="734"/>
      <c r="O521" s="734"/>
      <c r="P521" s="734"/>
      <c r="Q521" s="232"/>
    </row>
    <row r="522" spans="1:17" s="224" customFormat="1" x14ac:dyDescent="0.2">
      <c r="A522" s="263">
        <v>1</v>
      </c>
      <c r="B522" s="224" t="str">
        <f>B99</f>
        <v>IN5</v>
      </c>
      <c r="C522" s="224" t="str">
        <f>C99</f>
        <v>Inland Gas General Service - Residential</v>
      </c>
      <c r="D522" s="290"/>
      <c r="F522" s="292"/>
      <c r="G522" s="476"/>
      <c r="H522" s="292"/>
      <c r="I522" s="297"/>
      <c r="J522" s="292"/>
      <c r="K522" s="292"/>
      <c r="L522" s="292"/>
      <c r="M522" s="292"/>
      <c r="N522" s="292"/>
      <c r="O522" s="292"/>
      <c r="P522" s="292"/>
    </row>
    <row r="523" spans="1:17" s="224" customFormat="1" x14ac:dyDescent="0.2">
      <c r="A523" s="263"/>
      <c r="D523" s="290"/>
      <c r="F523" s="292"/>
      <c r="G523" s="476"/>
      <c r="H523" s="292"/>
      <c r="I523" s="297"/>
      <c r="J523" s="292"/>
      <c r="K523" s="292"/>
      <c r="L523" s="292"/>
      <c r="M523" s="292"/>
      <c r="N523" s="292"/>
      <c r="O523" s="292"/>
      <c r="P523" s="292"/>
    </row>
    <row r="524" spans="1:17" s="224" customFormat="1" x14ac:dyDescent="0.2">
      <c r="A524" s="263">
        <f>A522+1</f>
        <v>2</v>
      </c>
      <c r="C524" s="266" t="s">
        <v>109</v>
      </c>
      <c r="D524" s="290"/>
      <c r="F524" s="292"/>
      <c r="G524" s="476"/>
      <c r="H524" s="292"/>
      <c r="I524" s="297"/>
      <c r="J524" s="292"/>
      <c r="K524" s="292"/>
      <c r="L524" s="292"/>
      <c r="M524" s="292"/>
      <c r="N524" s="292"/>
      <c r="O524" s="292"/>
      <c r="P524" s="292"/>
    </row>
    <row r="525" spans="1:17" s="224" customFormat="1" x14ac:dyDescent="0.2">
      <c r="A525" s="263"/>
      <c r="D525" s="290"/>
      <c r="F525" s="292"/>
      <c r="G525" s="476"/>
      <c r="H525" s="292"/>
      <c r="I525" s="297"/>
      <c r="J525" s="292"/>
      <c r="K525" s="292"/>
      <c r="L525" s="292"/>
      <c r="M525" s="292"/>
      <c r="N525" s="292"/>
      <c r="O525" s="292"/>
      <c r="P525" s="292"/>
    </row>
    <row r="526" spans="1:17" s="224" customFormat="1" x14ac:dyDescent="0.2">
      <c r="A526" s="263">
        <f>A524+1</f>
        <v>3</v>
      </c>
      <c r="C526" s="224" t="s">
        <v>202</v>
      </c>
      <c r="D526" s="290"/>
      <c r="E526" s="479">
        <f>B!D42</f>
        <v>3</v>
      </c>
      <c r="F526" s="479">
        <f>B!E42</f>
        <v>3</v>
      </c>
      <c r="G526" s="479">
        <f>B!F42</f>
        <v>3</v>
      </c>
      <c r="H526" s="479">
        <f>B!G42</f>
        <v>3</v>
      </c>
      <c r="I526" s="479">
        <f>B!H42</f>
        <v>3</v>
      </c>
      <c r="J526" s="479">
        <f>B!I42</f>
        <v>3</v>
      </c>
      <c r="K526" s="479">
        <f>B!J42</f>
        <v>3</v>
      </c>
      <c r="L526" s="479">
        <f>B!K42</f>
        <v>3</v>
      </c>
      <c r="M526" s="479">
        <f>B!L42</f>
        <v>3</v>
      </c>
      <c r="N526" s="479">
        <f>B!M42</f>
        <v>3</v>
      </c>
      <c r="O526" s="479">
        <f>B!N42</f>
        <v>3</v>
      </c>
      <c r="P526" s="479">
        <f>B!O42</f>
        <v>3</v>
      </c>
      <c r="Q526" s="535">
        <f>SUM(E526:P526)</f>
        <v>36</v>
      </c>
    </row>
    <row r="527" spans="1:17" s="224" customFormat="1" x14ac:dyDescent="0.2">
      <c r="A527" s="263">
        <f>A526+1</f>
        <v>4</v>
      </c>
      <c r="C527" s="224" t="s">
        <v>210</v>
      </c>
      <c r="D527" s="792">
        <f>Input!U25</f>
        <v>0</v>
      </c>
      <c r="E527" s="434">
        <f t="shared" ref="E527:P527" si="189">ROUND(E526*$D$493,2)</f>
        <v>0</v>
      </c>
      <c r="F527" s="434">
        <f t="shared" si="189"/>
        <v>0</v>
      </c>
      <c r="G527" s="434">
        <f t="shared" si="189"/>
        <v>0</v>
      </c>
      <c r="H527" s="434">
        <f t="shared" si="189"/>
        <v>0</v>
      </c>
      <c r="I527" s="434">
        <f t="shared" si="189"/>
        <v>0</v>
      </c>
      <c r="J527" s="434">
        <f t="shared" si="189"/>
        <v>0</v>
      </c>
      <c r="K527" s="434">
        <f t="shared" si="189"/>
        <v>0</v>
      </c>
      <c r="L527" s="434">
        <f t="shared" si="189"/>
        <v>0</v>
      </c>
      <c r="M527" s="434">
        <f t="shared" si="189"/>
        <v>0</v>
      </c>
      <c r="N527" s="434">
        <f t="shared" si="189"/>
        <v>0</v>
      </c>
      <c r="O527" s="434">
        <f t="shared" si="189"/>
        <v>0</v>
      </c>
      <c r="P527" s="434">
        <f t="shared" si="189"/>
        <v>0</v>
      </c>
      <c r="Q527" s="434">
        <f>SUM(E527:P527)</f>
        <v>0</v>
      </c>
    </row>
    <row r="528" spans="1:17" s="224" customFormat="1" x14ac:dyDescent="0.2">
      <c r="A528" s="263"/>
      <c r="D528" s="290"/>
      <c r="E528" s="521"/>
      <c r="F528" s="292"/>
      <c r="G528" s="476"/>
      <c r="H528" s="292"/>
      <c r="I528" s="297"/>
      <c r="J528" s="514"/>
      <c r="K528" s="292"/>
      <c r="L528" s="292"/>
      <c r="M528" s="292"/>
      <c r="N528" s="292"/>
      <c r="O528" s="292"/>
      <c r="P528" s="292"/>
    </row>
    <row r="529" spans="1:17" s="224" customFormat="1" x14ac:dyDescent="0.2">
      <c r="A529" s="263">
        <f>A527+1</f>
        <v>5</v>
      </c>
      <c r="C529" s="290" t="s">
        <v>209</v>
      </c>
      <c r="D529" s="519"/>
      <c r="E529" s="483">
        <f>'C'!D42</f>
        <v>84.3</v>
      </c>
      <c r="F529" s="483">
        <f>'C'!E42</f>
        <v>54.6</v>
      </c>
      <c r="G529" s="483">
        <f>'C'!F42</f>
        <v>43.5</v>
      </c>
      <c r="H529" s="483">
        <f>'C'!G42</f>
        <v>25.4</v>
      </c>
      <c r="I529" s="483">
        <f>'C'!H42</f>
        <v>12.3</v>
      </c>
      <c r="J529" s="483">
        <f>'C'!I42</f>
        <v>4.9000000000000004</v>
      </c>
      <c r="K529" s="483">
        <f>'C'!J42</f>
        <v>2.4</v>
      </c>
      <c r="L529" s="483">
        <f>'C'!K42</f>
        <v>2.9</v>
      </c>
      <c r="M529" s="483">
        <f>'C'!L42</f>
        <v>4.3</v>
      </c>
      <c r="N529" s="483">
        <f>'C'!M42</f>
        <v>14.9</v>
      </c>
      <c r="O529" s="483">
        <f>'C'!N42</f>
        <v>32.1</v>
      </c>
      <c r="P529" s="483">
        <f>'C'!O42</f>
        <v>52</v>
      </c>
      <c r="Q529" s="735">
        <f>SUM(E529:P529)</f>
        <v>333.60000000000008</v>
      </c>
    </row>
    <row r="530" spans="1:17" s="224" customFormat="1" x14ac:dyDescent="0.2">
      <c r="A530" s="263">
        <f>A529+1</f>
        <v>6</v>
      </c>
      <c r="C530" s="224" t="s">
        <v>212</v>
      </c>
      <c r="D530" s="793">
        <f>Input!P25</f>
        <v>0.6</v>
      </c>
      <c r="E530" s="434">
        <f t="shared" ref="E530:P530" si="190">ROUND(E529*$D$530,2)</f>
        <v>50.58</v>
      </c>
      <c r="F530" s="434">
        <f t="shared" si="190"/>
        <v>32.76</v>
      </c>
      <c r="G530" s="434">
        <f t="shared" si="190"/>
        <v>26.1</v>
      </c>
      <c r="H530" s="434">
        <f t="shared" si="190"/>
        <v>15.24</v>
      </c>
      <c r="I530" s="434">
        <f t="shared" si="190"/>
        <v>7.38</v>
      </c>
      <c r="J530" s="434">
        <f t="shared" si="190"/>
        <v>2.94</v>
      </c>
      <c r="K530" s="434">
        <f t="shared" si="190"/>
        <v>1.44</v>
      </c>
      <c r="L530" s="434">
        <f t="shared" si="190"/>
        <v>1.74</v>
      </c>
      <c r="M530" s="434">
        <f t="shared" si="190"/>
        <v>2.58</v>
      </c>
      <c r="N530" s="434">
        <f t="shared" si="190"/>
        <v>8.94</v>
      </c>
      <c r="O530" s="434">
        <f t="shared" si="190"/>
        <v>19.260000000000002</v>
      </c>
      <c r="P530" s="434">
        <f t="shared" si="190"/>
        <v>31.2</v>
      </c>
      <c r="Q530" s="434">
        <f>SUM(E530:P530)</f>
        <v>200.16</v>
      </c>
    </row>
    <row r="531" spans="1:17" s="224" customFormat="1" x14ac:dyDescent="0.2">
      <c r="A531" s="263"/>
      <c r="D531" s="290"/>
      <c r="F531" s="292"/>
      <c r="G531" s="476"/>
      <c r="H531" s="292"/>
      <c r="I531" s="297"/>
      <c r="J531" s="292"/>
      <c r="K531" s="292"/>
      <c r="L531" s="292"/>
      <c r="M531" s="292"/>
      <c r="N531" s="292"/>
      <c r="O531" s="292"/>
      <c r="P531" s="292"/>
      <c r="Q531" s="543"/>
    </row>
    <row r="532" spans="1:17" s="224" customFormat="1" x14ac:dyDescent="0.2">
      <c r="A532" s="263">
        <f>A530+1</f>
        <v>7</v>
      </c>
      <c r="C532" s="224" t="s">
        <v>204</v>
      </c>
      <c r="D532" s="290"/>
      <c r="E532" s="434">
        <f t="shared" ref="E532:P532" si="191">E527+E530</f>
        <v>50.58</v>
      </c>
      <c r="F532" s="434">
        <f t="shared" si="191"/>
        <v>32.76</v>
      </c>
      <c r="G532" s="434">
        <f t="shared" si="191"/>
        <v>26.1</v>
      </c>
      <c r="H532" s="434">
        <f t="shared" si="191"/>
        <v>15.24</v>
      </c>
      <c r="I532" s="434">
        <f t="shared" si="191"/>
        <v>7.38</v>
      </c>
      <c r="J532" s="434">
        <f t="shared" si="191"/>
        <v>2.94</v>
      </c>
      <c r="K532" s="434">
        <f t="shared" si="191"/>
        <v>1.44</v>
      </c>
      <c r="L532" s="434">
        <f t="shared" si="191"/>
        <v>1.74</v>
      </c>
      <c r="M532" s="434">
        <f t="shared" si="191"/>
        <v>2.58</v>
      </c>
      <c r="N532" s="434">
        <f t="shared" si="191"/>
        <v>8.94</v>
      </c>
      <c r="O532" s="434">
        <f t="shared" si="191"/>
        <v>19.260000000000002</v>
      </c>
      <c r="P532" s="434">
        <f t="shared" si="191"/>
        <v>31.2</v>
      </c>
      <c r="Q532" s="434">
        <f>SUM(E532:P532)</f>
        <v>200.16</v>
      </c>
    </row>
    <row r="533" spans="1:17" s="224" customFormat="1" x14ac:dyDescent="0.2">
      <c r="A533" s="263"/>
      <c r="D533" s="290"/>
      <c r="F533" s="292"/>
      <c r="G533" s="476"/>
      <c r="H533" s="292"/>
      <c r="I533" s="297"/>
      <c r="J533" s="292"/>
      <c r="K533" s="292"/>
      <c r="L533" s="292"/>
      <c r="M533" s="292"/>
      <c r="N533" s="292"/>
      <c r="O533" s="292"/>
      <c r="P533" s="292"/>
      <c r="Q533" s="476"/>
    </row>
    <row r="534" spans="1:17" s="224" customFormat="1" x14ac:dyDescent="0.2">
      <c r="A534" s="263">
        <f>A532+1</f>
        <v>8</v>
      </c>
      <c r="C534" s="224" t="s">
        <v>151</v>
      </c>
      <c r="D534" s="794">
        <v>0</v>
      </c>
      <c r="E534" s="517">
        <v>0</v>
      </c>
      <c r="F534" s="517">
        <v>0</v>
      </c>
      <c r="G534" s="517">
        <v>0</v>
      </c>
      <c r="H534" s="517">
        <v>0</v>
      </c>
      <c r="I534" s="517">
        <v>0</v>
      </c>
      <c r="J534" s="517">
        <v>0</v>
      </c>
      <c r="K534" s="517">
        <v>0</v>
      </c>
      <c r="L534" s="517">
        <v>0</v>
      </c>
      <c r="M534" s="517">
        <v>0</v>
      </c>
      <c r="N534" s="517">
        <v>0</v>
      </c>
      <c r="O534" s="517">
        <v>0</v>
      </c>
      <c r="P534" s="517">
        <v>0</v>
      </c>
      <c r="Q534" s="434">
        <f>SUM(E534:P534)</f>
        <v>0</v>
      </c>
    </row>
    <row r="535" spans="1:17" s="224" customFormat="1" x14ac:dyDescent="0.2">
      <c r="A535" s="263"/>
      <c r="D535" s="290"/>
      <c r="F535" s="292"/>
      <c r="G535" s="476"/>
      <c r="H535" s="292"/>
      <c r="I535" s="297"/>
      <c r="J535" s="292"/>
      <c r="K535" s="292"/>
      <c r="L535" s="292"/>
      <c r="M535" s="292"/>
      <c r="N535" s="292"/>
      <c r="O535" s="292"/>
      <c r="P535" s="292"/>
    </row>
    <row r="536" spans="1:17" s="224" customFormat="1" ht="10.8" thickBot="1" x14ac:dyDescent="0.25">
      <c r="A536" s="724">
        <f>A534+1</f>
        <v>9</v>
      </c>
      <c r="B536" s="496"/>
      <c r="C536" s="725" t="s">
        <v>205</v>
      </c>
      <c r="D536" s="726"/>
      <c r="E536" s="499">
        <f t="shared" ref="E536:P536" si="192">E532+E534</f>
        <v>50.58</v>
      </c>
      <c r="F536" s="499">
        <f t="shared" si="192"/>
        <v>32.76</v>
      </c>
      <c r="G536" s="499">
        <f t="shared" si="192"/>
        <v>26.1</v>
      </c>
      <c r="H536" s="499">
        <f t="shared" si="192"/>
        <v>15.24</v>
      </c>
      <c r="I536" s="499">
        <f t="shared" si="192"/>
        <v>7.38</v>
      </c>
      <c r="J536" s="499">
        <f t="shared" si="192"/>
        <v>2.94</v>
      </c>
      <c r="K536" s="499">
        <f t="shared" si="192"/>
        <v>1.44</v>
      </c>
      <c r="L536" s="499">
        <f t="shared" si="192"/>
        <v>1.74</v>
      </c>
      <c r="M536" s="499">
        <f t="shared" si="192"/>
        <v>2.58</v>
      </c>
      <c r="N536" s="499">
        <f t="shared" si="192"/>
        <v>8.94</v>
      </c>
      <c r="O536" s="499">
        <f t="shared" si="192"/>
        <v>19.260000000000002</v>
      </c>
      <c r="P536" s="499">
        <f t="shared" si="192"/>
        <v>31.2</v>
      </c>
      <c r="Q536" s="499">
        <f>SUM(E536:P536)</f>
        <v>200.16</v>
      </c>
    </row>
    <row r="537" spans="1:17" s="224" customFormat="1" ht="10.8" thickTop="1" x14ac:dyDescent="0.2">
      <c r="A537" s="263"/>
      <c r="D537" s="290"/>
      <c r="F537" s="292"/>
      <c r="G537" s="476"/>
      <c r="H537" s="292"/>
      <c r="I537" s="297"/>
      <c r="J537" s="292"/>
      <c r="K537" s="292"/>
      <c r="L537" s="292"/>
      <c r="M537" s="292"/>
      <c r="N537" s="292"/>
      <c r="O537" s="292"/>
      <c r="P537" s="292"/>
      <c r="Q537" s="476"/>
    </row>
    <row r="538" spans="1:17" s="224" customFormat="1" x14ac:dyDescent="0.2">
      <c r="A538" s="263"/>
      <c r="D538" s="290"/>
      <c r="F538" s="292"/>
      <c r="G538" s="476"/>
      <c r="H538" s="292"/>
      <c r="I538" s="297"/>
      <c r="J538" s="292"/>
      <c r="K538" s="292"/>
      <c r="L538" s="292"/>
      <c r="M538" s="292"/>
      <c r="N538" s="292"/>
      <c r="O538" s="292"/>
      <c r="P538" s="292"/>
      <c r="Q538" s="476"/>
    </row>
    <row r="539" spans="1:17" s="224" customFormat="1" x14ac:dyDescent="0.2">
      <c r="A539" s="263">
        <f>A536+1</f>
        <v>10</v>
      </c>
      <c r="B539" s="224" t="str">
        <f>B126</f>
        <v>LG2</v>
      </c>
      <c r="C539" s="224" t="str">
        <f>C126</f>
        <v xml:space="preserve">LG&amp;E Residential </v>
      </c>
      <c r="D539" s="290"/>
      <c r="F539" s="292"/>
      <c r="G539" s="476"/>
      <c r="H539" s="292"/>
      <c r="I539" s="297"/>
      <c r="J539" s="292"/>
      <c r="K539" s="292"/>
      <c r="L539" s="292"/>
      <c r="M539" s="292"/>
      <c r="N539" s="292"/>
      <c r="O539" s="292"/>
      <c r="P539" s="292"/>
    </row>
    <row r="540" spans="1:17" s="224" customFormat="1" x14ac:dyDescent="0.2">
      <c r="A540" s="263"/>
      <c r="D540" s="290"/>
      <c r="F540" s="292"/>
      <c r="G540" s="476"/>
      <c r="H540" s="292"/>
      <c r="I540" s="297"/>
      <c r="J540" s="292"/>
      <c r="K540" s="292"/>
      <c r="L540" s="292"/>
      <c r="M540" s="292"/>
      <c r="N540" s="292"/>
      <c r="O540" s="292"/>
      <c r="P540" s="292"/>
    </row>
    <row r="541" spans="1:17" s="224" customFormat="1" x14ac:dyDescent="0.2">
      <c r="A541" s="263">
        <f>A539+1</f>
        <v>11</v>
      </c>
      <c r="C541" s="266" t="s">
        <v>109</v>
      </c>
      <c r="D541" s="290"/>
      <c r="F541" s="292"/>
      <c r="G541" s="476"/>
      <c r="H541" s="292"/>
      <c r="I541" s="297"/>
      <c r="J541" s="292"/>
      <c r="K541" s="292"/>
      <c r="L541" s="292"/>
      <c r="M541" s="292"/>
      <c r="N541" s="292"/>
      <c r="O541" s="292"/>
      <c r="P541" s="292"/>
    </row>
    <row r="542" spans="1:17" s="224" customFormat="1" x14ac:dyDescent="0.2">
      <c r="A542" s="263"/>
      <c r="D542" s="290"/>
      <c r="F542" s="292"/>
      <c r="G542" s="476"/>
      <c r="H542" s="292"/>
      <c r="I542" s="297"/>
      <c r="J542" s="292"/>
      <c r="K542" s="292"/>
      <c r="L542" s="292"/>
      <c r="M542" s="292"/>
      <c r="N542" s="292"/>
      <c r="O542" s="292"/>
      <c r="P542" s="292"/>
    </row>
    <row r="543" spans="1:17" s="224" customFormat="1" x14ac:dyDescent="0.2">
      <c r="A543" s="263">
        <f>A541+1</f>
        <v>12</v>
      </c>
      <c r="C543" s="224" t="s">
        <v>202</v>
      </c>
      <c r="D543" s="290"/>
      <c r="E543" s="479">
        <f>B!D47</f>
        <v>1</v>
      </c>
      <c r="F543" s="479">
        <f>B!E47</f>
        <v>1</v>
      </c>
      <c r="G543" s="479">
        <f>B!F47</f>
        <v>1</v>
      </c>
      <c r="H543" s="479">
        <f>B!G47</f>
        <v>1</v>
      </c>
      <c r="I543" s="479">
        <f>B!H47</f>
        <v>1</v>
      </c>
      <c r="J543" s="479">
        <f>B!I47</f>
        <v>1</v>
      </c>
      <c r="K543" s="479">
        <f>B!J47</f>
        <v>1</v>
      </c>
      <c r="L543" s="479">
        <f>B!K47</f>
        <v>1</v>
      </c>
      <c r="M543" s="479">
        <f>B!L47</f>
        <v>1</v>
      </c>
      <c r="N543" s="479">
        <f>B!M47</f>
        <v>1</v>
      </c>
      <c r="O543" s="479">
        <f>B!N47</f>
        <v>1</v>
      </c>
      <c r="P543" s="479">
        <f>B!O47</f>
        <v>1</v>
      </c>
      <c r="Q543" s="535">
        <f>SUM(E543:P543)</f>
        <v>12</v>
      </c>
    </row>
    <row r="544" spans="1:17" s="224" customFormat="1" x14ac:dyDescent="0.2">
      <c r="A544" s="263">
        <f>A543+1</f>
        <v>13</v>
      </c>
      <c r="C544" s="224" t="s">
        <v>210</v>
      </c>
      <c r="D544" s="792">
        <f>Input!U26</f>
        <v>0</v>
      </c>
      <c r="E544" s="434">
        <f t="shared" ref="E544:P544" si="193">ROUND(E543*$D$493,2)</f>
        <v>0</v>
      </c>
      <c r="F544" s="434">
        <f t="shared" si="193"/>
        <v>0</v>
      </c>
      <c r="G544" s="434">
        <f t="shared" si="193"/>
        <v>0</v>
      </c>
      <c r="H544" s="434">
        <f t="shared" si="193"/>
        <v>0</v>
      </c>
      <c r="I544" s="434">
        <f t="shared" si="193"/>
        <v>0</v>
      </c>
      <c r="J544" s="434">
        <f t="shared" si="193"/>
        <v>0</v>
      </c>
      <c r="K544" s="434">
        <f t="shared" si="193"/>
        <v>0</v>
      </c>
      <c r="L544" s="434">
        <f t="shared" si="193"/>
        <v>0</v>
      </c>
      <c r="M544" s="434">
        <f t="shared" si="193"/>
        <v>0</v>
      </c>
      <c r="N544" s="434">
        <f t="shared" si="193"/>
        <v>0</v>
      </c>
      <c r="O544" s="434">
        <f t="shared" si="193"/>
        <v>0</v>
      </c>
      <c r="P544" s="434">
        <f t="shared" si="193"/>
        <v>0</v>
      </c>
      <c r="Q544" s="434">
        <f>SUM(E544:P544)</f>
        <v>0</v>
      </c>
    </row>
    <row r="545" spans="1:17" s="224" customFormat="1" x14ac:dyDescent="0.2">
      <c r="A545" s="263"/>
      <c r="D545" s="290"/>
      <c r="E545" s="521"/>
      <c r="F545" s="292"/>
      <c r="G545" s="476"/>
      <c r="H545" s="292"/>
      <c r="I545" s="297"/>
      <c r="J545" s="514"/>
      <c r="K545" s="292"/>
      <c r="L545" s="292"/>
      <c r="M545" s="292"/>
      <c r="N545" s="292"/>
      <c r="O545" s="292"/>
      <c r="P545" s="292"/>
    </row>
    <row r="546" spans="1:17" s="224" customFormat="1" x14ac:dyDescent="0.2">
      <c r="A546" s="263">
        <f>A544+1</f>
        <v>14</v>
      </c>
      <c r="C546" s="290" t="s">
        <v>209</v>
      </c>
      <c r="D546" s="519"/>
      <c r="E546" s="483">
        <f>'C'!D47</f>
        <v>161.1</v>
      </c>
      <c r="F546" s="483">
        <f>'C'!E47</f>
        <v>142.80000000000001</v>
      </c>
      <c r="G546" s="483">
        <f>'C'!F47</f>
        <v>70.5</v>
      </c>
      <c r="H546" s="483">
        <f>'C'!G47</f>
        <v>36.6</v>
      </c>
      <c r="I546" s="483">
        <f>'C'!H47</f>
        <v>15.2</v>
      </c>
      <c r="J546" s="297">
        <f>'C'!I47</f>
        <v>2.9</v>
      </c>
      <c r="K546" s="297">
        <f>'C'!J47</f>
        <v>3.2</v>
      </c>
      <c r="L546" s="483">
        <f>'C'!K47</f>
        <v>3.4</v>
      </c>
      <c r="M546" s="483">
        <f>'C'!L47</f>
        <v>3.8</v>
      </c>
      <c r="N546" s="483">
        <f>'C'!M47</f>
        <v>19</v>
      </c>
      <c r="O546" s="483">
        <f>'C'!N47</f>
        <v>51.7</v>
      </c>
      <c r="P546" s="483">
        <f>'C'!O47</f>
        <v>95</v>
      </c>
      <c r="Q546" s="735">
        <f>SUM(E546:P546)</f>
        <v>605.19999999999993</v>
      </c>
    </row>
    <row r="547" spans="1:17" s="224" customFormat="1" x14ac:dyDescent="0.2">
      <c r="A547" s="263">
        <f>A546+1</f>
        <v>15</v>
      </c>
      <c r="C547" s="224" t="s">
        <v>212</v>
      </c>
      <c r="D547" s="793">
        <f>Input!P26</f>
        <v>0.35</v>
      </c>
      <c r="E547" s="434">
        <f t="shared" ref="E547:P547" si="194">ROUND(E546*$D$547,2)</f>
        <v>56.39</v>
      </c>
      <c r="F547" s="434">
        <f t="shared" si="194"/>
        <v>49.98</v>
      </c>
      <c r="G547" s="434">
        <f t="shared" si="194"/>
        <v>24.68</v>
      </c>
      <c r="H547" s="434">
        <f t="shared" si="194"/>
        <v>12.81</v>
      </c>
      <c r="I547" s="434">
        <f t="shared" si="194"/>
        <v>5.32</v>
      </c>
      <c r="J547" s="434">
        <f t="shared" si="194"/>
        <v>1.02</v>
      </c>
      <c r="K547" s="434">
        <f t="shared" si="194"/>
        <v>1.1200000000000001</v>
      </c>
      <c r="L547" s="434">
        <f t="shared" si="194"/>
        <v>1.19</v>
      </c>
      <c r="M547" s="434">
        <f t="shared" si="194"/>
        <v>1.33</v>
      </c>
      <c r="N547" s="434">
        <f t="shared" si="194"/>
        <v>6.65</v>
      </c>
      <c r="O547" s="434">
        <f t="shared" si="194"/>
        <v>18.100000000000001</v>
      </c>
      <c r="P547" s="434">
        <f t="shared" si="194"/>
        <v>33.25</v>
      </c>
      <c r="Q547" s="434">
        <f>SUM(E547:P547)</f>
        <v>211.84000000000003</v>
      </c>
    </row>
    <row r="548" spans="1:17" s="224" customFormat="1" x14ac:dyDescent="0.2">
      <c r="A548" s="263"/>
      <c r="D548" s="290"/>
      <c r="F548" s="292"/>
      <c r="G548" s="476"/>
      <c r="H548" s="292"/>
      <c r="I548" s="297"/>
      <c r="J548" s="292"/>
      <c r="K548" s="292"/>
      <c r="L548" s="292"/>
      <c r="M548" s="292"/>
      <c r="N548" s="292"/>
      <c r="O548" s="292"/>
      <c r="P548" s="292"/>
      <c r="Q548" s="543"/>
    </row>
    <row r="549" spans="1:17" s="224" customFormat="1" x14ac:dyDescent="0.2">
      <c r="A549" s="263">
        <f>A547+1</f>
        <v>16</v>
      </c>
      <c r="C549" s="224" t="s">
        <v>204</v>
      </c>
      <c r="D549" s="290"/>
      <c r="E549" s="434">
        <f t="shared" ref="E549:P549" si="195">E544+E547</f>
        <v>56.39</v>
      </c>
      <c r="F549" s="434">
        <f t="shared" si="195"/>
        <v>49.98</v>
      </c>
      <c r="G549" s="434">
        <f t="shared" si="195"/>
        <v>24.68</v>
      </c>
      <c r="H549" s="434">
        <f t="shared" si="195"/>
        <v>12.81</v>
      </c>
      <c r="I549" s="434">
        <f t="shared" si="195"/>
        <v>5.32</v>
      </c>
      <c r="J549" s="434">
        <f t="shared" si="195"/>
        <v>1.02</v>
      </c>
      <c r="K549" s="434">
        <f t="shared" si="195"/>
        <v>1.1200000000000001</v>
      </c>
      <c r="L549" s="434">
        <f t="shared" si="195"/>
        <v>1.19</v>
      </c>
      <c r="M549" s="434">
        <f t="shared" si="195"/>
        <v>1.33</v>
      </c>
      <c r="N549" s="434">
        <f t="shared" si="195"/>
        <v>6.65</v>
      </c>
      <c r="O549" s="434">
        <f t="shared" si="195"/>
        <v>18.100000000000001</v>
      </c>
      <c r="P549" s="434">
        <f t="shared" si="195"/>
        <v>33.25</v>
      </c>
      <c r="Q549" s="434">
        <f>SUM(E549:P549)</f>
        <v>211.84000000000003</v>
      </c>
    </row>
    <row r="550" spans="1:17" s="224" customFormat="1" x14ac:dyDescent="0.2">
      <c r="A550" s="263"/>
      <c r="D550" s="290"/>
      <c r="F550" s="292"/>
      <c r="G550" s="476"/>
      <c r="H550" s="292"/>
      <c r="I550" s="297"/>
      <c r="J550" s="292"/>
      <c r="K550" s="292"/>
      <c r="L550" s="292"/>
      <c r="M550" s="292"/>
      <c r="N550" s="292"/>
      <c r="O550" s="292"/>
      <c r="P550" s="292"/>
      <c r="Q550" s="476"/>
    </row>
    <row r="551" spans="1:17" s="224" customFormat="1" x14ac:dyDescent="0.2">
      <c r="A551" s="263">
        <f>A549+1</f>
        <v>17</v>
      </c>
      <c r="C551" s="224" t="s">
        <v>151</v>
      </c>
      <c r="D551" s="794">
        <v>0</v>
      </c>
      <c r="E551" s="517">
        <v>0</v>
      </c>
      <c r="F551" s="517">
        <v>0</v>
      </c>
      <c r="G551" s="517">
        <v>0</v>
      </c>
      <c r="H551" s="517">
        <v>0</v>
      </c>
      <c r="I551" s="517">
        <v>0</v>
      </c>
      <c r="J551" s="517">
        <v>0</v>
      </c>
      <c r="K551" s="517">
        <v>0</v>
      </c>
      <c r="L551" s="517">
        <v>0</v>
      </c>
      <c r="M551" s="517">
        <v>0</v>
      </c>
      <c r="N551" s="517">
        <v>0</v>
      </c>
      <c r="O551" s="517">
        <v>0</v>
      </c>
      <c r="P551" s="517">
        <v>0</v>
      </c>
      <c r="Q551" s="434">
        <f>SUM(E551:P551)</f>
        <v>0</v>
      </c>
    </row>
    <row r="552" spans="1:17" s="224" customFormat="1" x14ac:dyDescent="0.2">
      <c r="A552" s="263"/>
      <c r="D552" s="290"/>
      <c r="F552" s="292"/>
      <c r="G552" s="476"/>
      <c r="H552" s="292"/>
      <c r="I552" s="297"/>
      <c r="J552" s="292"/>
      <c r="K552" s="292"/>
      <c r="L552" s="292"/>
      <c r="M552" s="292"/>
      <c r="N552" s="292"/>
      <c r="O552" s="292"/>
      <c r="P552" s="292"/>
    </row>
    <row r="553" spans="1:17" s="224" customFormat="1" ht="10.8" thickBot="1" x14ac:dyDescent="0.25">
      <c r="A553" s="724">
        <f>A551+1</f>
        <v>18</v>
      </c>
      <c r="B553" s="496"/>
      <c r="C553" s="725" t="s">
        <v>205</v>
      </c>
      <c r="D553" s="726"/>
      <c r="E553" s="499">
        <f t="shared" ref="E553:P553" si="196">E549+E551</f>
        <v>56.39</v>
      </c>
      <c r="F553" s="499">
        <f t="shared" si="196"/>
        <v>49.98</v>
      </c>
      <c r="G553" s="499">
        <f t="shared" si="196"/>
        <v>24.68</v>
      </c>
      <c r="H553" s="499">
        <f t="shared" si="196"/>
        <v>12.81</v>
      </c>
      <c r="I553" s="499">
        <f t="shared" si="196"/>
        <v>5.32</v>
      </c>
      <c r="J553" s="499">
        <f t="shared" si="196"/>
        <v>1.02</v>
      </c>
      <c r="K553" s="499">
        <f t="shared" si="196"/>
        <v>1.1200000000000001</v>
      </c>
      <c r="L553" s="499">
        <f t="shared" si="196"/>
        <v>1.19</v>
      </c>
      <c r="M553" s="499">
        <f t="shared" si="196"/>
        <v>1.33</v>
      </c>
      <c r="N553" s="499">
        <f t="shared" si="196"/>
        <v>6.65</v>
      </c>
      <c r="O553" s="499">
        <f t="shared" si="196"/>
        <v>18.100000000000001</v>
      </c>
      <c r="P553" s="499">
        <f t="shared" si="196"/>
        <v>33.25</v>
      </c>
      <c r="Q553" s="499">
        <f>SUM(E553:P553)</f>
        <v>211.84000000000003</v>
      </c>
    </row>
    <row r="554" spans="1:17" s="224" customFormat="1" ht="10.8" thickTop="1" x14ac:dyDescent="0.2">
      <c r="A554" s="263"/>
      <c r="D554" s="290"/>
      <c r="F554" s="292"/>
      <c r="G554" s="476"/>
      <c r="H554" s="292"/>
      <c r="I554" s="297"/>
      <c r="J554" s="292"/>
      <c r="K554" s="292"/>
      <c r="L554" s="292"/>
      <c r="M554" s="292"/>
      <c r="N554" s="292"/>
      <c r="O554" s="292"/>
      <c r="P554" s="292"/>
    </row>
    <row r="555" spans="1:17" s="224" customFormat="1" x14ac:dyDescent="0.2">
      <c r="A555" s="263"/>
      <c r="D555" s="290"/>
      <c r="F555" s="292"/>
      <c r="G555" s="476"/>
      <c r="H555" s="292"/>
      <c r="I555" s="297"/>
      <c r="J555" s="292"/>
      <c r="K555" s="292"/>
      <c r="L555" s="292"/>
      <c r="M555" s="292"/>
      <c r="N555" s="292"/>
      <c r="O555" s="292"/>
      <c r="P555" s="292"/>
    </row>
    <row r="556" spans="1:17" s="224" customFormat="1" x14ac:dyDescent="0.2">
      <c r="A556" s="263">
        <f>A553+1</f>
        <v>19</v>
      </c>
      <c r="B556" s="224" t="str">
        <f>B133</f>
        <v>LG2</v>
      </c>
      <c r="C556" s="224" t="str">
        <f>C133</f>
        <v>LG&amp;E Commercial</v>
      </c>
      <c r="D556" s="290"/>
      <c r="F556" s="292"/>
      <c r="G556" s="476"/>
      <c r="H556" s="292"/>
      <c r="I556" s="297"/>
      <c r="J556" s="292"/>
      <c r="K556" s="292"/>
      <c r="L556" s="292"/>
      <c r="M556" s="292"/>
      <c r="N556" s="292"/>
      <c r="O556" s="292"/>
      <c r="P556" s="292"/>
    </row>
    <row r="557" spans="1:17" s="224" customFormat="1" x14ac:dyDescent="0.2">
      <c r="A557" s="263"/>
      <c r="D557" s="290"/>
      <c r="F557" s="292"/>
      <c r="G557" s="476"/>
      <c r="H557" s="292"/>
      <c r="I557" s="297"/>
      <c r="J557" s="292"/>
      <c r="K557" s="292"/>
      <c r="L557" s="292"/>
      <c r="M557" s="292"/>
      <c r="N557" s="292"/>
      <c r="O557" s="292"/>
      <c r="P557" s="292"/>
    </row>
    <row r="558" spans="1:17" s="224" customFormat="1" x14ac:dyDescent="0.2">
      <c r="A558" s="263">
        <f>A556+1</f>
        <v>20</v>
      </c>
      <c r="C558" s="266" t="s">
        <v>111</v>
      </c>
      <c r="D558" s="290"/>
      <c r="F558" s="292"/>
      <c r="G558" s="476"/>
      <c r="H558" s="292"/>
      <c r="I558" s="297"/>
      <c r="J558" s="292"/>
      <c r="K558" s="292"/>
      <c r="L558" s="292"/>
      <c r="M558" s="292"/>
      <c r="N558" s="292"/>
      <c r="O558" s="292"/>
      <c r="P558" s="292"/>
    </row>
    <row r="559" spans="1:17" s="224" customFormat="1" x14ac:dyDescent="0.2">
      <c r="A559" s="263"/>
      <c r="D559" s="290"/>
      <c r="F559" s="292"/>
      <c r="G559" s="476"/>
      <c r="H559" s="292"/>
      <c r="I559" s="297"/>
      <c r="J559" s="292"/>
      <c r="K559" s="292"/>
      <c r="L559" s="292"/>
      <c r="M559" s="292"/>
      <c r="N559" s="292"/>
      <c r="O559" s="292"/>
      <c r="P559" s="292"/>
    </row>
    <row r="560" spans="1:17" s="224" customFormat="1" x14ac:dyDescent="0.2">
      <c r="A560" s="263">
        <f>A558+1</f>
        <v>21</v>
      </c>
      <c r="C560" s="224" t="s">
        <v>202</v>
      </c>
      <c r="D560" s="290"/>
      <c r="E560" s="479">
        <f>B!D52</f>
        <v>1</v>
      </c>
      <c r="F560" s="479">
        <f>B!E52</f>
        <v>1</v>
      </c>
      <c r="G560" s="479">
        <f>B!F52</f>
        <v>1</v>
      </c>
      <c r="H560" s="479">
        <f>B!G52</f>
        <v>1</v>
      </c>
      <c r="I560" s="479">
        <f>B!H52</f>
        <v>1</v>
      </c>
      <c r="J560" s="479">
        <f>B!I52</f>
        <v>1</v>
      </c>
      <c r="K560" s="479">
        <f>B!J52</f>
        <v>1</v>
      </c>
      <c r="L560" s="479">
        <f>B!K52</f>
        <v>1</v>
      </c>
      <c r="M560" s="479">
        <f>B!L52</f>
        <v>1</v>
      </c>
      <c r="N560" s="479">
        <f>B!M52</f>
        <v>1</v>
      </c>
      <c r="O560" s="479">
        <f>B!N52</f>
        <v>1</v>
      </c>
      <c r="P560" s="479">
        <f>B!O52</f>
        <v>1</v>
      </c>
      <c r="Q560" s="535">
        <f>SUM(E560:P560)</f>
        <v>12</v>
      </c>
    </row>
    <row r="561" spans="1:17" s="224" customFormat="1" x14ac:dyDescent="0.2">
      <c r="A561" s="263">
        <f>A560+1</f>
        <v>22</v>
      </c>
      <c r="C561" s="224" t="s">
        <v>210</v>
      </c>
      <c r="D561" s="792">
        <f>Input!U27</f>
        <v>0</v>
      </c>
      <c r="E561" s="434">
        <f t="shared" ref="E561:P561" si="197">ROUND(E560*$D$493,2)</f>
        <v>0</v>
      </c>
      <c r="F561" s="434">
        <f t="shared" si="197"/>
        <v>0</v>
      </c>
      <c r="G561" s="434">
        <f t="shared" si="197"/>
        <v>0</v>
      </c>
      <c r="H561" s="434">
        <f t="shared" si="197"/>
        <v>0</v>
      </c>
      <c r="I561" s="434">
        <f t="shared" si="197"/>
        <v>0</v>
      </c>
      <c r="J561" s="434">
        <f t="shared" si="197"/>
        <v>0</v>
      </c>
      <c r="K561" s="434">
        <f t="shared" si="197"/>
        <v>0</v>
      </c>
      <c r="L561" s="434">
        <f t="shared" si="197"/>
        <v>0</v>
      </c>
      <c r="M561" s="434">
        <f t="shared" si="197"/>
        <v>0</v>
      </c>
      <c r="N561" s="434">
        <f t="shared" si="197"/>
        <v>0</v>
      </c>
      <c r="O561" s="434">
        <f t="shared" si="197"/>
        <v>0</v>
      </c>
      <c r="P561" s="434">
        <f t="shared" si="197"/>
        <v>0</v>
      </c>
      <c r="Q561" s="434">
        <f>SUM(E561:P561)</f>
        <v>0</v>
      </c>
    </row>
    <row r="562" spans="1:17" s="224" customFormat="1" x14ac:dyDescent="0.2">
      <c r="A562" s="263"/>
      <c r="D562" s="290"/>
      <c r="E562" s="521"/>
      <c r="F562" s="292"/>
      <c r="G562" s="476"/>
      <c r="H562" s="292"/>
      <c r="I562" s="297"/>
      <c r="J562" s="514"/>
      <c r="K562" s="292"/>
      <c r="L562" s="292"/>
      <c r="M562" s="292"/>
      <c r="N562" s="292"/>
      <c r="O562" s="292"/>
      <c r="P562" s="292"/>
    </row>
    <row r="563" spans="1:17" s="224" customFormat="1" x14ac:dyDescent="0.2">
      <c r="A563" s="263">
        <f>A561+1</f>
        <v>23</v>
      </c>
      <c r="C563" s="290" t="s">
        <v>209</v>
      </c>
      <c r="D563" s="519"/>
      <c r="E563" s="483">
        <f>'C'!D52</f>
        <v>191.8</v>
      </c>
      <c r="F563" s="483">
        <f>'C'!E52</f>
        <v>167.7</v>
      </c>
      <c r="G563" s="483">
        <f>'C'!F52</f>
        <v>88.3</v>
      </c>
      <c r="H563" s="483">
        <f>'C'!G52</f>
        <v>54</v>
      </c>
      <c r="I563" s="483">
        <f>'C'!H52</f>
        <v>20.2</v>
      </c>
      <c r="J563" s="483">
        <f>'C'!I52</f>
        <v>7.6</v>
      </c>
      <c r="K563" s="483">
        <f>'C'!J52</f>
        <v>7.9</v>
      </c>
      <c r="L563" s="483">
        <f>'C'!K52</f>
        <v>6.8</v>
      </c>
      <c r="M563" s="483">
        <f>'C'!L52</f>
        <v>6.6</v>
      </c>
      <c r="N563" s="483">
        <f>'C'!M52</f>
        <v>14.8</v>
      </c>
      <c r="O563" s="483">
        <f>'C'!N52</f>
        <v>41.5</v>
      </c>
      <c r="P563" s="483">
        <f>'C'!O52</f>
        <v>103.7</v>
      </c>
      <c r="Q563" s="735">
        <f>SUM(E563:P563)</f>
        <v>710.9</v>
      </c>
    </row>
    <row r="564" spans="1:17" s="224" customFormat="1" x14ac:dyDescent="0.2">
      <c r="A564" s="263">
        <f>A563+1</f>
        <v>24</v>
      </c>
      <c r="C564" s="224" t="s">
        <v>212</v>
      </c>
      <c r="D564" s="793">
        <f>Input!P27</f>
        <v>0.35</v>
      </c>
      <c r="E564" s="434">
        <f t="shared" ref="E564:P564" si="198">ROUND(E563*$D$564,2)</f>
        <v>67.13</v>
      </c>
      <c r="F564" s="434">
        <f t="shared" si="198"/>
        <v>58.7</v>
      </c>
      <c r="G564" s="434">
        <f t="shared" si="198"/>
        <v>30.91</v>
      </c>
      <c r="H564" s="434">
        <f t="shared" si="198"/>
        <v>18.899999999999999</v>
      </c>
      <c r="I564" s="434">
        <f t="shared" si="198"/>
        <v>7.07</v>
      </c>
      <c r="J564" s="434">
        <f t="shared" si="198"/>
        <v>2.66</v>
      </c>
      <c r="K564" s="434">
        <f t="shared" si="198"/>
        <v>2.77</v>
      </c>
      <c r="L564" s="434">
        <f t="shared" si="198"/>
        <v>2.38</v>
      </c>
      <c r="M564" s="434">
        <f t="shared" si="198"/>
        <v>2.31</v>
      </c>
      <c r="N564" s="434">
        <f t="shared" si="198"/>
        <v>5.18</v>
      </c>
      <c r="O564" s="434">
        <f t="shared" si="198"/>
        <v>14.53</v>
      </c>
      <c r="P564" s="434">
        <f t="shared" si="198"/>
        <v>36.299999999999997</v>
      </c>
      <c r="Q564" s="434">
        <f>SUM(E564:P564)</f>
        <v>248.84000000000003</v>
      </c>
    </row>
    <row r="565" spans="1:17" s="224" customFormat="1" x14ac:dyDescent="0.2">
      <c r="A565" s="263"/>
      <c r="D565" s="290"/>
      <c r="F565" s="292"/>
      <c r="G565" s="476"/>
      <c r="H565" s="292"/>
      <c r="I565" s="297"/>
      <c r="J565" s="292"/>
      <c r="K565" s="292"/>
      <c r="L565" s="292"/>
      <c r="M565" s="292"/>
      <c r="N565" s="292"/>
      <c r="O565" s="292"/>
      <c r="P565" s="292"/>
      <c r="Q565" s="543"/>
    </row>
    <row r="566" spans="1:17" s="224" customFormat="1" x14ac:dyDescent="0.2">
      <c r="A566" s="263">
        <f>A564+1</f>
        <v>25</v>
      </c>
      <c r="C566" s="224" t="s">
        <v>204</v>
      </c>
      <c r="D566" s="290"/>
      <c r="E566" s="434">
        <f t="shared" ref="E566:P566" si="199">E561+E564</f>
        <v>67.13</v>
      </c>
      <c r="F566" s="434">
        <f t="shared" si="199"/>
        <v>58.7</v>
      </c>
      <c r="G566" s="434">
        <f t="shared" si="199"/>
        <v>30.91</v>
      </c>
      <c r="H566" s="434">
        <f t="shared" si="199"/>
        <v>18.899999999999999</v>
      </c>
      <c r="I566" s="434">
        <f t="shared" si="199"/>
        <v>7.07</v>
      </c>
      <c r="J566" s="434">
        <f t="shared" si="199"/>
        <v>2.66</v>
      </c>
      <c r="K566" s="434">
        <f t="shared" si="199"/>
        <v>2.77</v>
      </c>
      <c r="L566" s="434">
        <f t="shared" si="199"/>
        <v>2.38</v>
      </c>
      <c r="M566" s="434">
        <f t="shared" si="199"/>
        <v>2.31</v>
      </c>
      <c r="N566" s="434">
        <f t="shared" si="199"/>
        <v>5.18</v>
      </c>
      <c r="O566" s="434">
        <f t="shared" si="199"/>
        <v>14.53</v>
      </c>
      <c r="P566" s="434">
        <f t="shared" si="199"/>
        <v>36.299999999999997</v>
      </c>
      <c r="Q566" s="434">
        <f>SUM(E566:P566)</f>
        <v>248.84000000000003</v>
      </c>
    </row>
    <row r="567" spans="1:17" s="224" customFormat="1" x14ac:dyDescent="0.2">
      <c r="A567" s="263"/>
      <c r="D567" s="290"/>
      <c r="F567" s="292"/>
      <c r="G567" s="476"/>
      <c r="H567" s="292"/>
      <c r="I567" s="297"/>
      <c r="J567" s="292"/>
      <c r="K567" s="292"/>
      <c r="L567" s="292"/>
      <c r="M567" s="292"/>
      <c r="N567" s="292"/>
      <c r="O567" s="292"/>
      <c r="P567" s="292"/>
      <c r="Q567" s="476"/>
    </row>
    <row r="568" spans="1:17" s="224" customFormat="1" x14ac:dyDescent="0.2">
      <c r="A568" s="263">
        <f>A566+1</f>
        <v>26</v>
      </c>
      <c r="C568" s="224" t="s">
        <v>151</v>
      </c>
      <c r="D568" s="794">
        <v>0</v>
      </c>
      <c r="E568" s="517">
        <v>0</v>
      </c>
      <c r="F568" s="517">
        <v>0</v>
      </c>
      <c r="G568" s="517">
        <v>0</v>
      </c>
      <c r="H568" s="517">
        <v>0</v>
      </c>
      <c r="I568" s="517">
        <v>0</v>
      </c>
      <c r="J568" s="517">
        <v>0</v>
      </c>
      <c r="K568" s="517">
        <v>0</v>
      </c>
      <c r="L568" s="517">
        <v>0</v>
      </c>
      <c r="M568" s="517">
        <v>0</v>
      </c>
      <c r="N568" s="517">
        <v>0</v>
      </c>
      <c r="O568" s="517">
        <v>0</v>
      </c>
      <c r="P568" s="517">
        <v>0</v>
      </c>
      <c r="Q568" s="434">
        <f>SUM(E568:P568)</f>
        <v>0</v>
      </c>
    </row>
    <row r="569" spans="1:17" s="224" customFormat="1" x14ac:dyDescent="0.2">
      <c r="A569" s="263"/>
      <c r="D569" s="290"/>
      <c r="F569" s="292"/>
      <c r="G569" s="476"/>
      <c r="H569" s="292"/>
      <c r="I569" s="297"/>
      <c r="J569" s="292"/>
      <c r="K569" s="292"/>
      <c r="L569" s="292"/>
      <c r="M569" s="292"/>
      <c r="N569" s="292"/>
      <c r="O569" s="292"/>
      <c r="P569" s="292"/>
    </row>
    <row r="570" spans="1:17" s="224" customFormat="1" ht="10.8" thickBot="1" x14ac:dyDescent="0.25">
      <c r="A570" s="724">
        <f>A568+1</f>
        <v>27</v>
      </c>
      <c r="B570" s="496"/>
      <c r="C570" s="725" t="s">
        <v>205</v>
      </c>
      <c r="D570" s="726"/>
      <c r="E570" s="499">
        <f t="shared" ref="E570:P570" si="200">E566+E568</f>
        <v>67.13</v>
      </c>
      <c r="F570" s="499">
        <f t="shared" si="200"/>
        <v>58.7</v>
      </c>
      <c r="G570" s="499">
        <f t="shared" si="200"/>
        <v>30.91</v>
      </c>
      <c r="H570" s="499">
        <f t="shared" si="200"/>
        <v>18.899999999999999</v>
      </c>
      <c r="I570" s="499">
        <f t="shared" si="200"/>
        <v>7.07</v>
      </c>
      <c r="J570" s="499">
        <f t="shared" si="200"/>
        <v>2.66</v>
      </c>
      <c r="K570" s="499">
        <f t="shared" si="200"/>
        <v>2.77</v>
      </c>
      <c r="L570" s="499">
        <f t="shared" si="200"/>
        <v>2.38</v>
      </c>
      <c r="M570" s="499">
        <f t="shared" si="200"/>
        <v>2.31</v>
      </c>
      <c r="N570" s="499">
        <f t="shared" si="200"/>
        <v>5.18</v>
      </c>
      <c r="O570" s="499">
        <f t="shared" si="200"/>
        <v>14.53</v>
      </c>
      <c r="P570" s="499">
        <f t="shared" si="200"/>
        <v>36.299999999999997</v>
      </c>
      <c r="Q570" s="499">
        <f>SUM(E570:P570)</f>
        <v>248.84000000000003</v>
      </c>
    </row>
    <row r="571" spans="1:17" s="224" customFormat="1" ht="10.8" thickTop="1" x14ac:dyDescent="0.2">
      <c r="A571" s="263"/>
      <c r="D571" s="290"/>
      <c r="F571" s="292"/>
      <c r="G571" s="476"/>
      <c r="H571" s="292"/>
      <c r="I571" s="297"/>
      <c r="J571" s="292"/>
      <c r="K571" s="292"/>
      <c r="L571" s="292"/>
      <c r="M571" s="292"/>
      <c r="N571" s="292"/>
      <c r="O571" s="292"/>
      <c r="P571" s="292"/>
    </row>
    <row r="572" spans="1:17" s="224" customFormat="1" x14ac:dyDescent="0.2">
      <c r="A572" s="263"/>
      <c r="D572" s="290"/>
      <c r="F572" s="292"/>
      <c r="G572" s="476"/>
      <c r="H572" s="292"/>
      <c r="I572" s="297"/>
      <c r="J572" s="292"/>
      <c r="K572" s="292"/>
      <c r="L572" s="292"/>
      <c r="M572" s="292"/>
      <c r="N572" s="292"/>
      <c r="O572" s="292"/>
      <c r="P572" s="292"/>
    </row>
    <row r="573" spans="1:17" s="224" customFormat="1" x14ac:dyDescent="0.2">
      <c r="A573" s="629" t="str">
        <f>$A$265</f>
        <v>[1] Reflects Normalized Volumes.</v>
      </c>
      <c r="D573" s="290"/>
      <c r="F573" s="292"/>
      <c r="G573" s="476"/>
      <c r="H573" s="292"/>
      <c r="I573" s="297"/>
      <c r="J573" s="292"/>
      <c r="K573" s="292"/>
      <c r="L573" s="292"/>
      <c r="M573" s="292"/>
      <c r="N573" s="292"/>
      <c r="O573" s="292"/>
      <c r="P573" s="292"/>
    </row>
    <row r="574" spans="1:17" s="224" customFormat="1" x14ac:dyDescent="0.2">
      <c r="A574" s="889" t="str">
        <f>CONAME</f>
        <v>Columbia Gas of Kentucky, Inc.</v>
      </c>
      <c r="B574" s="889"/>
      <c r="C574" s="889"/>
      <c r="D574" s="889"/>
      <c r="E574" s="889"/>
      <c r="F574" s="889"/>
      <c r="G574" s="889"/>
      <c r="H574" s="889"/>
      <c r="I574" s="889"/>
      <c r="J574" s="889"/>
      <c r="K574" s="889"/>
      <c r="L574" s="889"/>
      <c r="M574" s="889"/>
      <c r="N574" s="889"/>
      <c r="O574" s="889"/>
      <c r="P574" s="889"/>
      <c r="Q574" s="889"/>
    </row>
    <row r="575" spans="1:17" s="224" customFormat="1" x14ac:dyDescent="0.2">
      <c r="A575" s="872" t="str">
        <f>case</f>
        <v>Case No. 2016-00162</v>
      </c>
      <c r="B575" s="872"/>
      <c r="C575" s="872"/>
      <c r="D575" s="872"/>
      <c r="E575" s="872"/>
      <c r="F575" s="872"/>
      <c r="G575" s="872"/>
      <c r="H575" s="872"/>
      <c r="I575" s="872"/>
      <c r="J575" s="872"/>
      <c r="K575" s="872"/>
      <c r="L575" s="872"/>
      <c r="M575" s="872"/>
      <c r="N575" s="872"/>
      <c r="O575" s="872"/>
      <c r="P575" s="872"/>
      <c r="Q575" s="872"/>
    </row>
    <row r="576" spans="1:17" s="224" customFormat="1" x14ac:dyDescent="0.2">
      <c r="A576" s="892" t="s">
        <v>200</v>
      </c>
      <c r="B576" s="892"/>
      <c r="C576" s="892"/>
      <c r="D576" s="892"/>
      <c r="E576" s="892"/>
      <c r="F576" s="892"/>
      <c r="G576" s="892"/>
      <c r="H576" s="892"/>
      <c r="I576" s="892"/>
      <c r="J576" s="892"/>
      <c r="K576" s="892"/>
      <c r="L576" s="892"/>
      <c r="M576" s="892"/>
      <c r="N576" s="892"/>
      <c r="O576" s="892"/>
      <c r="P576" s="892"/>
      <c r="Q576" s="892"/>
    </row>
    <row r="577" spans="1:17" s="224" customFormat="1" x14ac:dyDescent="0.2">
      <c r="A577" s="889" t="str">
        <f>TYDESC</f>
        <v>For the 12 Months Ended December 31, 2017</v>
      </c>
      <c r="B577" s="889"/>
      <c r="C577" s="889"/>
      <c r="D577" s="889"/>
      <c r="E577" s="889"/>
      <c r="F577" s="889"/>
      <c r="G577" s="889"/>
      <c r="H577" s="889"/>
      <c r="I577" s="889"/>
      <c r="J577" s="889"/>
      <c r="K577" s="889"/>
      <c r="L577" s="889"/>
      <c r="M577" s="889"/>
      <c r="N577" s="889"/>
      <c r="O577" s="889"/>
      <c r="P577" s="889"/>
      <c r="Q577" s="889"/>
    </row>
    <row r="578" spans="1:17" s="224" customFormat="1" x14ac:dyDescent="0.2">
      <c r="A578" s="890" t="s">
        <v>39</v>
      </c>
      <c r="B578" s="890"/>
      <c r="C578" s="890"/>
      <c r="D578" s="890"/>
      <c r="E578" s="890"/>
      <c r="F578" s="890"/>
      <c r="G578" s="890"/>
      <c r="H578" s="890"/>
      <c r="I578" s="890"/>
      <c r="J578" s="890"/>
      <c r="K578" s="890"/>
      <c r="L578" s="890"/>
      <c r="M578" s="890"/>
      <c r="N578" s="890"/>
      <c r="O578" s="890"/>
      <c r="P578" s="890"/>
      <c r="Q578" s="890"/>
    </row>
    <row r="579" spans="1:17" s="224" customFormat="1" x14ac:dyDescent="0.2">
      <c r="A579" s="718" t="str">
        <f>$A$52</f>
        <v>Data: __ Base Period _X_ Forecasted Period</v>
      </c>
      <c r="D579" s="290"/>
      <c r="F579" s="292"/>
      <c r="G579" s="476"/>
      <c r="H579" s="292"/>
      <c r="I579" s="297"/>
      <c r="J579" s="292"/>
      <c r="K579" s="292"/>
      <c r="L579" s="292"/>
      <c r="M579" s="292"/>
      <c r="N579" s="292"/>
      <c r="O579" s="292"/>
      <c r="P579" s="292"/>
    </row>
    <row r="580" spans="1:17" s="224" customFormat="1" x14ac:dyDescent="0.2">
      <c r="A580" s="718" t="str">
        <f>$A$53</f>
        <v>Type of Filing: X Original _ Update _ Revised</v>
      </c>
      <c r="D580" s="290"/>
      <c r="F580" s="292"/>
      <c r="G580" s="476"/>
      <c r="H580" s="292"/>
      <c r="I580" s="297"/>
      <c r="J580" s="292"/>
      <c r="K580" s="292"/>
      <c r="L580" s="292"/>
      <c r="M580" s="292"/>
      <c r="N580" s="292"/>
      <c r="O580" s="292"/>
      <c r="P580" s="292"/>
      <c r="Q580" s="727" t="str">
        <f>$Q$53</f>
        <v>Schedule M-2.3</v>
      </c>
    </row>
    <row r="581" spans="1:17" s="224" customFormat="1" x14ac:dyDescent="0.2">
      <c r="A581" s="718" t="str">
        <f>$A$54</f>
        <v>Work Paper Reference No(s):</v>
      </c>
      <c r="D581" s="290"/>
      <c r="F581" s="292"/>
      <c r="G581" s="476"/>
      <c r="H581" s="292"/>
      <c r="I581" s="297"/>
      <c r="J581" s="292"/>
      <c r="K581" s="292"/>
      <c r="L581" s="292"/>
      <c r="M581" s="292"/>
      <c r="N581" s="292"/>
      <c r="O581" s="292"/>
      <c r="P581" s="292"/>
      <c r="Q581" s="727" t="s">
        <v>522</v>
      </c>
    </row>
    <row r="582" spans="1:17" s="224" customFormat="1" x14ac:dyDescent="0.2">
      <c r="A582" s="719" t="str">
        <f>$A$55</f>
        <v>12 Months Forecasted</v>
      </c>
      <c r="D582" s="290"/>
      <c r="F582" s="292"/>
      <c r="G582" s="476"/>
      <c r="H582" s="292"/>
      <c r="I582" s="297"/>
      <c r="J582" s="292"/>
      <c r="K582" s="292"/>
      <c r="L582" s="292"/>
      <c r="M582" s="292"/>
      <c r="N582" s="292"/>
      <c r="O582" s="292"/>
      <c r="P582" s="292"/>
      <c r="Q582" s="727" t="str">
        <f>Witness</f>
        <v>Witness:  M. J. Bell</v>
      </c>
    </row>
    <row r="583" spans="1:17" s="224" customFormat="1" x14ac:dyDescent="0.2">
      <c r="A583" s="891" t="s">
        <v>294</v>
      </c>
      <c r="B583" s="891"/>
      <c r="C583" s="891"/>
      <c r="D583" s="891"/>
      <c r="E583" s="891"/>
      <c r="F583" s="891"/>
      <c r="G583" s="891"/>
      <c r="H583" s="891"/>
      <c r="I583" s="891"/>
      <c r="J583" s="891"/>
      <c r="K583" s="891"/>
      <c r="L583" s="891"/>
      <c r="M583" s="891"/>
      <c r="N583" s="891"/>
      <c r="O583" s="891"/>
      <c r="P583" s="891"/>
      <c r="Q583" s="891"/>
    </row>
    <row r="584" spans="1:17" s="224" customFormat="1" x14ac:dyDescent="0.2">
      <c r="A584" s="227"/>
      <c r="B584" s="306"/>
      <c r="C584" s="306"/>
      <c r="D584" s="308"/>
      <c r="E584" s="306"/>
      <c r="F584" s="502"/>
      <c r="G584" s="503"/>
      <c r="H584" s="502"/>
      <c r="I584" s="504"/>
      <c r="J584" s="502"/>
      <c r="K584" s="502"/>
      <c r="L584" s="502"/>
      <c r="M584" s="502"/>
      <c r="N584" s="502"/>
      <c r="O584" s="502"/>
      <c r="P584" s="502"/>
      <c r="Q584" s="306"/>
    </row>
    <row r="585" spans="1:17" s="224" customFormat="1" x14ac:dyDescent="0.2">
      <c r="A585" s="416" t="s">
        <v>1</v>
      </c>
      <c r="B585" s="416" t="s">
        <v>0</v>
      </c>
      <c r="C585" s="416" t="s">
        <v>41</v>
      </c>
      <c r="D585" s="423" t="s">
        <v>30</v>
      </c>
      <c r="E585" s="416"/>
      <c r="F585" s="729"/>
      <c r="G585" s="732"/>
      <c r="H585" s="729"/>
      <c r="I585" s="733"/>
      <c r="J585" s="729"/>
      <c r="K585" s="729"/>
      <c r="L585" s="729"/>
      <c r="M585" s="729"/>
      <c r="N585" s="729"/>
      <c r="O585" s="729"/>
      <c r="P585" s="729"/>
      <c r="Q585" s="232"/>
    </row>
    <row r="586" spans="1:17" s="224" customFormat="1" x14ac:dyDescent="0.2">
      <c r="A586" s="285" t="s">
        <v>3</v>
      </c>
      <c r="B586" s="285" t="s">
        <v>40</v>
      </c>
      <c r="C586" s="285" t="s">
        <v>4</v>
      </c>
      <c r="D586" s="427" t="s">
        <v>48</v>
      </c>
      <c r="E586" s="428" t="str">
        <f>B!$D$11</f>
        <v>Jan-17</v>
      </c>
      <c r="F586" s="428" t="str">
        <f>B!$E$11</f>
        <v>Feb-17</v>
      </c>
      <c r="G586" s="428" t="str">
        <f>B!$F$11</f>
        <v>Mar-17</v>
      </c>
      <c r="H586" s="428" t="str">
        <f>B!$G$11</f>
        <v>Apr-17</v>
      </c>
      <c r="I586" s="428" t="str">
        <f>B!$H$11</f>
        <v>May-17</v>
      </c>
      <c r="J586" s="428" t="str">
        <f>B!$I$11</f>
        <v>Jun-17</v>
      </c>
      <c r="K586" s="428" t="str">
        <f>B!$J$11</f>
        <v>Jul-17</v>
      </c>
      <c r="L586" s="428" t="str">
        <f>B!$K$11</f>
        <v>Aug-17</v>
      </c>
      <c r="M586" s="428" t="str">
        <f>B!$L$11</f>
        <v>Sep-17</v>
      </c>
      <c r="N586" s="428" t="str">
        <f>B!$M$11</f>
        <v>Oct-17</v>
      </c>
      <c r="O586" s="428" t="str">
        <f>B!$N$11</f>
        <v>Nov-17</v>
      </c>
      <c r="P586" s="428" t="str">
        <f>B!$O$11</f>
        <v>Dec-17</v>
      </c>
      <c r="Q586" s="428" t="s">
        <v>9</v>
      </c>
    </row>
    <row r="587" spans="1:17" s="224" customFormat="1" x14ac:dyDescent="0.2">
      <c r="A587" s="416"/>
      <c r="B587" s="231" t="s">
        <v>42</v>
      </c>
      <c r="C587" s="231" t="s">
        <v>43</v>
      </c>
      <c r="D587" s="430" t="s">
        <v>45</v>
      </c>
      <c r="E587" s="431" t="s">
        <v>46</v>
      </c>
      <c r="F587" s="431" t="s">
        <v>49</v>
      </c>
      <c r="G587" s="431" t="s">
        <v>50</v>
      </c>
      <c r="H587" s="431" t="s">
        <v>51</v>
      </c>
      <c r="I587" s="431" t="s">
        <v>52</v>
      </c>
      <c r="J587" s="432" t="s">
        <v>53</v>
      </c>
      <c r="K587" s="432" t="s">
        <v>54</v>
      </c>
      <c r="L587" s="432" t="s">
        <v>55</v>
      </c>
      <c r="M587" s="432" t="s">
        <v>56</v>
      </c>
      <c r="N587" s="432" t="s">
        <v>57</v>
      </c>
      <c r="O587" s="432" t="s">
        <v>58</v>
      </c>
      <c r="P587" s="432" t="s">
        <v>59</v>
      </c>
      <c r="Q587" s="432" t="s">
        <v>203</v>
      </c>
    </row>
    <row r="588" spans="1:17" s="224" customFormat="1" x14ac:dyDescent="0.2">
      <c r="A588" s="263"/>
      <c r="D588" s="290"/>
      <c r="E588" s="232"/>
      <c r="F588" s="734"/>
      <c r="G588" s="730"/>
      <c r="H588" s="734"/>
      <c r="I588" s="731"/>
      <c r="J588" s="734"/>
      <c r="K588" s="734"/>
      <c r="L588" s="734"/>
      <c r="M588" s="734"/>
      <c r="N588" s="734"/>
      <c r="O588" s="734"/>
      <c r="P588" s="734"/>
      <c r="Q588" s="232"/>
    </row>
    <row r="589" spans="1:17" s="224" customFormat="1" x14ac:dyDescent="0.2">
      <c r="A589" s="263">
        <v>1</v>
      </c>
      <c r="B589" s="224" t="str">
        <f>B140</f>
        <v>LG3</v>
      </c>
      <c r="C589" s="224" t="str">
        <f>C140</f>
        <v>LG&amp;E Residential</v>
      </c>
      <c r="D589" s="290"/>
      <c r="F589" s="292"/>
      <c r="G589" s="476"/>
      <c r="H589" s="292"/>
      <c r="I589" s="297"/>
      <c r="J589" s="292"/>
      <c r="K589" s="292"/>
      <c r="L589" s="292"/>
      <c r="M589" s="292"/>
      <c r="N589" s="292"/>
      <c r="O589" s="292"/>
      <c r="P589" s="292"/>
    </row>
    <row r="590" spans="1:17" s="224" customFormat="1" x14ac:dyDescent="0.2">
      <c r="A590" s="263"/>
      <c r="D590" s="290"/>
      <c r="F590" s="292"/>
      <c r="G590" s="476"/>
      <c r="H590" s="292"/>
      <c r="I590" s="297"/>
      <c r="J590" s="292"/>
      <c r="K590" s="292"/>
      <c r="L590" s="292"/>
      <c r="M590" s="292"/>
      <c r="N590" s="292"/>
      <c r="O590" s="292"/>
      <c r="P590" s="292"/>
    </row>
    <row r="591" spans="1:17" s="224" customFormat="1" x14ac:dyDescent="0.2">
      <c r="A591" s="263">
        <f>A589+1</f>
        <v>2</v>
      </c>
      <c r="C591" s="266" t="s">
        <v>109</v>
      </c>
      <c r="D591" s="290"/>
      <c r="F591" s="292"/>
      <c r="G591" s="476"/>
      <c r="H591" s="292"/>
      <c r="I591" s="297"/>
      <c r="J591" s="292"/>
      <c r="K591" s="292"/>
      <c r="L591" s="292"/>
      <c r="M591" s="292"/>
      <c r="N591" s="292"/>
      <c r="O591" s="292"/>
      <c r="P591" s="292"/>
    </row>
    <row r="592" spans="1:17" s="224" customFormat="1" x14ac:dyDescent="0.2">
      <c r="A592" s="263"/>
    </row>
    <row r="593" spans="1:17" s="224" customFormat="1" x14ac:dyDescent="0.2">
      <c r="A593" s="263">
        <f>A591+1</f>
        <v>3</v>
      </c>
      <c r="C593" s="224" t="s">
        <v>202</v>
      </c>
      <c r="D593" s="290"/>
      <c r="E593" s="479">
        <f>B!D70</f>
        <v>1</v>
      </c>
      <c r="F593" s="479">
        <f>B!E70</f>
        <v>1</v>
      </c>
      <c r="G593" s="479">
        <f>B!F70</f>
        <v>1</v>
      </c>
      <c r="H593" s="479">
        <f>B!G70</f>
        <v>1</v>
      </c>
      <c r="I593" s="479">
        <f>B!H70</f>
        <v>1</v>
      </c>
      <c r="J593" s="479">
        <f>B!I70</f>
        <v>1</v>
      </c>
      <c r="K593" s="479">
        <f>B!J70</f>
        <v>1</v>
      </c>
      <c r="L593" s="479">
        <f>B!K70</f>
        <v>1</v>
      </c>
      <c r="M593" s="479">
        <f>B!L70</f>
        <v>1</v>
      </c>
      <c r="N593" s="479">
        <f>B!M70</f>
        <v>1</v>
      </c>
      <c r="O593" s="479">
        <f>B!N70</f>
        <v>1</v>
      </c>
      <c r="P593" s="479">
        <f>B!O70</f>
        <v>1</v>
      </c>
      <c r="Q593" s="479">
        <f>SUM(E593:P593)</f>
        <v>12</v>
      </c>
    </row>
    <row r="594" spans="1:17" s="224" customFormat="1" x14ac:dyDescent="0.2">
      <c r="A594" s="263">
        <f>A593+1</f>
        <v>4</v>
      </c>
      <c r="C594" s="224" t="s">
        <v>210</v>
      </c>
      <c r="D594" s="792">
        <f>Input!U28</f>
        <v>1.2</v>
      </c>
      <c r="E594" s="434">
        <f t="shared" ref="E594:P594" si="201">ROUND(E593*$D$594,2)</f>
        <v>1.2</v>
      </c>
      <c r="F594" s="434">
        <f t="shared" si="201"/>
        <v>1.2</v>
      </c>
      <c r="G594" s="434">
        <f t="shared" si="201"/>
        <v>1.2</v>
      </c>
      <c r="H594" s="434">
        <f t="shared" si="201"/>
        <v>1.2</v>
      </c>
      <c r="I594" s="434">
        <f t="shared" si="201"/>
        <v>1.2</v>
      </c>
      <c r="J594" s="434">
        <f t="shared" si="201"/>
        <v>1.2</v>
      </c>
      <c r="K594" s="434">
        <f t="shared" si="201"/>
        <v>1.2</v>
      </c>
      <c r="L594" s="434">
        <f t="shared" si="201"/>
        <v>1.2</v>
      </c>
      <c r="M594" s="434">
        <f t="shared" si="201"/>
        <v>1.2</v>
      </c>
      <c r="N594" s="434">
        <f t="shared" si="201"/>
        <v>1.2</v>
      </c>
      <c r="O594" s="434">
        <f t="shared" si="201"/>
        <v>1.2</v>
      </c>
      <c r="P594" s="434">
        <f t="shared" si="201"/>
        <v>1.2</v>
      </c>
      <c r="Q594" s="434">
        <f>SUM(E594:P594)</f>
        <v>14.399999999999997</v>
      </c>
    </row>
    <row r="595" spans="1:17" s="224" customFormat="1" x14ac:dyDescent="0.2">
      <c r="A595" s="263"/>
      <c r="D595" s="290"/>
      <c r="F595" s="292"/>
      <c r="G595" s="476"/>
      <c r="H595" s="292"/>
      <c r="I595" s="297"/>
      <c r="J595" s="514"/>
      <c r="K595" s="292"/>
      <c r="L595" s="292"/>
      <c r="M595" s="292"/>
      <c r="N595" s="292"/>
      <c r="O595" s="292"/>
      <c r="P595" s="292"/>
    </row>
    <row r="596" spans="1:17" s="224" customFormat="1" x14ac:dyDescent="0.2">
      <c r="A596" s="263">
        <f>A594+1</f>
        <v>5</v>
      </c>
      <c r="C596" s="290" t="s">
        <v>209</v>
      </c>
      <c r="D596" s="290"/>
      <c r="E596" s="521"/>
      <c r="F596" s="292"/>
      <c r="G596" s="476"/>
      <c r="H596" s="292"/>
      <c r="I596" s="297"/>
      <c r="J596" s="514"/>
      <c r="K596" s="292"/>
      <c r="L596" s="292"/>
      <c r="M596" s="292"/>
      <c r="N596" s="292"/>
      <c r="O596" s="292"/>
      <c r="P596" s="292"/>
    </row>
    <row r="597" spans="1:17" s="224" customFormat="1" x14ac:dyDescent="0.2">
      <c r="A597" s="263">
        <f>A596+1</f>
        <v>6</v>
      </c>
      <c r="C597" s="224" t="str">
        <f>'C'!B69</f>
        <v xml:space="preserve">    First 2 Mcf</v>
      </c>
      <c r="E597" s="297">
        <f>'C'!D69</f>
        <v>2</v>
      </c>
      <c r="F597" s="297">
        <f>'C'!E69</f>
        <v>2</v>
      </c>
      <c r="G597" s="297">
        <f>'C'!F69</f>
        <v>2</v>
      </c>
      <c r="H597" s="297">
        <f>'C'!G69</f>
        <v>2</v>
      </c>
      <c r="I597" s="297">
        <f>'C'!H69</f>
        <v>2</v>
      </c>
      <c r="J597" s="297">
        <f>'C'!I69</f>
        <v>2.4</v>
      </c>
      <c r="K597" s="297">
        <f>'C'!J69</f>
        <v>2</v>
      </c>
      <c r="L597" s="297">
        <f>'C'!K69</f>
        <v>2</v>
      </c>
      <c r="M597" s="297">
        <f>'C'!L69</f>
        <v>2</v>
      </c>
      <c r="N597" s="297">
        <f>'C'!M69</f>
        <v>2</v>
      </c>
      <c r="O597" s="297">
        <f>'C'!N69</f>
        <v>2</v>
      </c>
      <c r="P597" s="297">
        <f>'C'!O69</f>
        <v>2</v>
      </c>
      <c r="Q597" s="513">
        <f>SUM(E597:P597)</f>
        <v>24.4</v>
      </c>
    </row>
    <row r="598" spans="1:17" s="224" customFormat="1" x14ac:dyDescent="0.2">
      <c r="A598" s="263">
        <f>A597+1</f>
        <v>7</v>
      </c>
      <c r="C598" s="224" t="str">
        <f>'C'!B70</f>
        <v xml:space="preserve">    Over 2 Mcf</v>
      </c>
      <c r="E598" s="522">
        <f>'C'!D70</f>
        <v>89.8</v>
      </c>
      <c r="F598" s="522">
        <f>'C'!E70</f>
        <v>71.400000000000006</v>
      </c>
      <c r="G598" s="522">
        <f>'C'!F70</f>
        <v>43.4</v>
      </c>
      <c r="H598" s="522">
        <f>'C'!G70</f>
        <v>102.5</v>
      </c>
      <c r="I598" s="522">
        <f>'C'!H70</f>
        <v>65.400000000000006</v>
      </c>
      <c r="J598" s="522">
        <f>'C'!I70</f>
        <v>24.1</v>
      </c>
      <c r="K598" s="522">
        <f>'C'!J70</f>
        <v>24.2</v>
      </c>
      <c r="L598" s="522">
        <f>'C'!K70</f>
        <v>9.8000000000000007</v>
      </c>
      <c r="M598" s="522">
        <f>'C'!L70</f>
        <v>24.2</v>
      </c>
      <c r="N598" s="522">
        <f>'C'!M70</f>
        <v>73.900000000000006</v>
      </c>
      <c r="O598" s="522">
        <f>'C'!N70</f>
        <v>103.5</v>
      </c>
      <c r="P598" s="522">
        <f>'C'!O70</f>
        <v>57.5</v>
      </c>
      <c r="Q598" s="522">
        <f>SUM(E598:P598)</f>
        <v>689.7</v>
      </c>
    </row>
    <row r="599" spans="1:17" s="224" customFormat="1" x14ac:dyDescent="0.2">
      <c r="A599" s="263"/>
      <c r="D599" s="290"/>
      <c r="E599" s="297">
        <f t="shared" ref="E599:P599" si="202">SUM(E597:E598)</f>
        <v>91.8</v>
      </c>
      <c r="F599" s="297">
        <f t="shared" si="202"/>
        <v>73.400000000000006</v>
      </c>
      <c r="G599" s="297">
        <f t="shared" si="202"/>
        <v>45.4</v>
      </c>
      <c r="H599" s="297">
        <f t="shared" si="202"/>
        <v>104.5</v>
      </c>
      <c r="I599" s="297">
        <f t="shared" si="202"/>
        <v>67.400000000000006</v>
      </c>
      <c r="J599" s="297">
        <f t="shared" si="202"/>
        <v>26.5</v>
      </c>
      <c r="K599" s="297">
        <f t="shared" si="202"/>
        <v>26.2</v>
      </c>
      <c r="L599" s="297">
        <f t="shared" si="202"/>
        <v>11.8</v>
      </c>
      <c r="M599" s="297">
        <f t="shared" si="202"/>
        <v>26.2</v>
      </c>
      <c r="N599" s="297">
        <f t="shared" si="202"/>
        <v>75.900000000000006</v>
      </c>
      <c r="O599" s="297">
        <f t="shared" si="202"/>
        <v>105.5</v>
      </c>
      <c r="P599" s="297">
        <f t="shared" si="202"/>
        <v>59.5</v>
      </c>
      <c r="Q599" s="483">
        <f>SUM(E599:P599)</f>
        <v>714.1</v>
      </c>
    </row>
    <row r="600" spans="1:17" s="224" customFormat="1" x14ac:dyDescent="0.2">
      <c r="A600" s="263">
        <f>A598+1</f>
        <v>8</v>
      </c>
      <c r="C600" s="224" t="s">
        <v>207</v>
      </c>
      <c r="D600" s="290"/>
      <c r="F600" s="292"/>
      <c r="G600" s="476"/>
      <c r="H600" s="292"/>
      <c r="I600" s="297"/>
      <c r="J600" s="292"/>
      <c r="K600" s="292"/>
      <c r="L600" s="292"/>
      <c r="M600" s="292"/>
      <c r="N600" s="292"/>
      <c r="O600" s="292"/>
      <c r="P600" s="292"/>
    </row>
    <row r="601" spans="1:17" s="224" customFormat="1" x14ac:dyDescent="0.2">
      <c r="A601" s="263">
        <f>A600+1</f>
        <v>9</v>
      </c>
      <c r="C601" s="224" t="str">
        <f>C597</f>
        <v xml:space="preserve">    First 2 Mcf</v>
      </c>
      <c r="D601" s="793">
        <f>Input!P28</f>
        <v>0</v>
      </c>
      <c r="E601" s="434">
        <f t="shared" ref="E601:P601" si="203">ROUND(E597*$D$601,2)</f>
        <v>0</v>
      </c>
      <c r="F601" s="434">
        <f t="shared" si="203"/>
        <v>0</v>
      </c>
      <c r="G601" s="434">
        <f t="shared" si="203"/>
        <v>0</v>
      </c>
      <c r="H601" s="434">
        <f t="shared" si="203"/>
        <v>0</v>
      </c>
      <c r="I601" s="434">
        <f t="shared" si="203"/>
        <v>0</v>
      </c>
      <c r="J601" s="434">
        <f t="shared" si="203"/>
        <v>0</v>
      </c>
      <c r="K601" s="434">
        <f t="shared" si="203"/>
        <v>0</v>
      </c>
      <c r="L601" s="434">
        <f t="shared" si="203"/>
        <v>0</v>
      </c>
      <c r="M601" s="434">
        <f t="shared" si="203"/>
        <v>0</v>
      </c>
      <c r="N601" s="434">
        <f t="shared" si="203"/>
        <v>0</v>
      </c>
      <c r="O601" s="434">
        <f t="shared" si="203"/>
        <v>0</v>
      </c>
      <c r="P601" s="434">
        <f t="shared" si="203"/>
        <v>0</v>
      </c>
      <c r="Q601" s="434">
        <f>SUM(E601:P601)</f>
        <v>0</v>
      </c>
    </row>
    <row r="602" spans="1:17" s="224" customFormat="1" x14ac:dyDescent="0.2">
      <c r="A602" s="263">
        <f>A601+1</f>
        <v>10</v>
      </c>
      <c r="C602" s="224" t="str">
        <f>C598</f>
        <v xml:space="preserve">    Over 2 Mcf</v>
      </c>
      <c r="D602" s="793">
        <f>Input!Q28</f>
        <v>0.35</v>
      </c>
      <c r="E602" s="542">
        <f t="shared" ref="E602:P602" si="204">ROUND(E598*$D$602,2)</f>
        <v>31.43</v>
      </c>
      <c r="F602" s="542">
        <f t="shared" si="204"/>
        <v>24.99</v>
      </c>
      <c r="G602" s="542">
        <f t="shared" si="204"/>
        <v>15.19</v>
      </c>
      <c r="H602" s="542">
        <f t="shared" si="204"/>
        <v>35.880000000000003</v>
      </c>
      <c r="I602" s="542">
        <f t="shared" si="204"/>
        <v>22.89</v>
      </c>
      <c r="J602" s="542">
        <f t="shared" si="204"/>
        <v>8.44</v>
      </c>
      <c r="K602" s="542">
        <f t="shared" si="204"/>
        <v>8.4700000000000006</v>
      </c>
      <c r="L602" s="542">
        <f t="shared" si="204"/>
        <v>3.43</v>
      </c>
      <c r="M602" s="542">
        <f t="shared" si="204"/>
        <v>8.4700000000000006</v>
      </c>
      <c r="N602" s="542">
        <f t="shared" si="204"/>
        <v>25.87</v>
      </c>
      <c r="O602" s="542">
        <f t="shared" si="204"/>
        <v>36.229999999999997</v>
      </c>
      <c r="P602" s="542">
        <f t="shared" si="204"/>
        <v>20.13</v>
      </c>
      <c r="Q602" s="542">
        <f>SUM(E602:P602)</f>
        <v>241.42</v>
      </c>
    </row>
    <row r="603" spans="1:17" s="224" customFormat="1" x14ac:dyDescent="0.2">
      <c r="A603" s="263"/>
      <c r="D603" s="290"/>
      <c r="E603" s="434">
        <f t="shared" ref="E603:P603" si="205">SUM(E601:E602)</f>
        <v>31.43</v>
      </c>
      <c r="F603" s="434">
        <f t="shared" si="205"/>
        <v>24.99</v>
      </c>
      <c r="G603" s="434">
        <f t="shared" si="205"/>
        <v>15.19</v>
      </c>
      <c r="H603" s="434">
        <f t="shared" si="205"/>
        <v>35.880000000000003</v>
      </c>
      <c r="I603" s="434">
        <f t="shared" si="205"/>
        <v>22.89</v>
      </c>
      <c r="J603" s="434">
        <f t="shared" si="205"/>
        <v>8.44</v>
      </c>
      <c r="K603" s="434">
        <f t="shared" si="205"/>
        <v>8.4700000000000006</v>
      </c>
      <c r="L603" s="434">
        <f t="shared" si="205"/>
        <v>3.43</v>
      </c>
      <c r="M603" s="434">
        <f t="shared" si="205"/>
        <v>8.4700000000000006</v>
      </c>
      <c r="N603" s="434">
        <f t="shared" si="205"/>
        <v>25.87</v>
      </c>
      <c r="O603" s="434">
        <f t="shared" si="205"/>
        <v>36.229999999999997</v>
      </c>
      <c r="P603" s="434">
        <f t="shared" si="205"/>
        <v>20.13</v>
      </c>
      <c r="Q603" s="434">
        <f>SUM(E603:P603)</f>
        <v>241.42</v>
      </c>
    </row>
    <row r="604" spans="1:17" s="224" customFormat="1" x14ac:dyDescent="0.2">
      <c r="A604" s="263"/>
      <c r="D604" s="290"/>
      <c r="F604" s="292"/>
      <c r="G604" s="476"/>
      <c r="H604" s="292"/>
      <c r="I604" s="297"/>
      <c r="J604" s="292"/>
      <c r="K604" s="292"/>
      <c r="L604" s="292"/>
      <c r="M604" s="292"/>
      <c r="N604" s="292"/>
      <c r="O604" s="292"/>
      <c r="P604" s="292"/>
    </row>
    <row r="605" spans="1:17" s="224" customFormat="1" x14ac:dyDescent="0.2">
      <c r="A605" s="263">
        <f>A602+1</f>
        <v>11</v>
      </c>
      <c r="C605" s="224" t="s">
        <v>204</v>
      </c>
      <c r="D605" s="290"/>
      <c r="E605" s="434">
        <f t="shared" ref="E605:P605" si="206">E594+E603</f>
        <v>32.630000000000003</v>
      </c>
      <c r="F605" s="434">
        <f t="shared" si="206"/>
        <v>26.189999999999998</v>
      </c>
      <c r="G605" s="434">
        <f t="shared" si="206"/>
        <v>16.39</v>
      </c>
      <c r="H605" s="434">
        <f t="shared" si="206"/>
        <v>37.080000000000005</v>
      </c>
      <c r="I605" s="434">
        <f t="shared" si="206"/>
        <v>24.09</v>
      </c>
      <c r="J605" s="434">
        <f t="shared" si="206"/>
        <v>9.6399999999999988</v>
      </c>
      <c r="K605" s="434">
        <f t="shared" si="206"/>
        <v>9.67</v>
      </c>
      <c r="L605" s="434">
        <f t="shared" si="206"/>
        <v>4.63</v>
      </c>
      <c r="M605" s="434">
        <f t="shared" si="206"/>
        <v>9.67</v>
      </c>
      <c r="N605" s="434">
        <f t="shared" si="206"/>
        <v>27.07</v>
      </c>
      <c r="O605" s="434">
        <f t="shared" si="206"/>
        <v>37.43</v>
      </c>
      <c r="P605" s="434">
        <f t="shared" si="206"/>
        <v>21.33</v>
      </c>
      <c r="Q605" s="434">
        <f>SUM(E605:P605)</f>
        <v>255.82</v>
      </c>
    </row>
    <row r="606" spans="1:17" s="224" customFormat="1" x14ac:dyDescent="0.2">
      <c r="A606" s="263"/>
      <c r="D606" s="290"/>
      <c r="F606" s="292"/>
      <c r="G606" s="476"/>
      <c r="H606" s="292"/>
      <c r="I606" s="297"/>
      <c r="J606" s="292"/>
      <c r="K606" s="292"/>
      <c r="L606" s="292"/>
      <c r="M606" s="292"/>
      <c r="N606" s="292"/>
      <c r="O606" s="292"/>
      <c r="P606" s="292"/>
    </row>
    <row r="607" spans="1:17" s="224" customFormat="1" x14ac:dyDescent="0.2">
      <c r="A607" s="263">
        <f>A605+1</f>
        <v>12</v>
      </c>
      <c r="C607" s="224" t="s">
        <v>151</v>
      </c>
      <c r="D607" s="794">
        <v>0</v>
      </c>
      <c r="E607" s="517">
        <v>0</v>
      </c>
      <c r="F607" s="517">
        <v>0</v>
      </c>
      <c r="G607" s="517">
        <v>0</v>
      </c>
      <c r="H607" s="517">
        <v>0</v>
      </c>
      <c r="I607" s="517">
        <v>0</v>
      </c>
      <c r="J607" s="517">
        <v>0</v>
      </c>
      <c r="K607" s="517">
        <v>0</v>
      </c>
      <c r="L607" s="517">
        <v>0</v>
      </c>
      <c r="M607" s="517">
        <v>0</v>
      </c>
      <c r="N607" s="517">
        <v>0</v>
      </c>
      <c r="O607" s="517">
        <v>0</v>
      </c>
      <c r="P607" s="517">
        <v>0</v>
      </c>
      <c r="Q607" s="434">
        <f>SUM(E607:P607)</f>
        <v>0</v>
      </c>
    </row>
    <row r="608" spans="1:17" s="224" customFormat="1" x14ac:dyDescent="0.2">
      <c r="A608" s="263"/>
      <c r="D608" s="290"/>
      <c r="F608" s="292"/>
      <c r="G608" s="476"/>
      <c r="H608" s="292"/>
      <c r="I608" s="297"/>
      <c r="J608" s="292"/>
      <c r="K608" s="292"/>
      <c r="L608" s="292"/>
      <c r="M608" s="292"/>
      <c r="N608" s="292"/>
      <c r="O608" s="292"/>
      <c r="P608" s="292"/>
      <c r="Q608" s="476"/>
    </row>
    <row r="609" spans="1:17" s="224" customFormat="1" ht="10.8" thickBot="1" x14ac:dyDescent="0.25">
      <c r="A609" s="724">
        <f>A607+1</f>
        <v>13</v>
      </c>
      <c r="B609" s="496"/>
      <c r="C609" s="725" t="s">
        <v>205</v>
      </c>
      <c r="D609" s="726"/>
      <c r="E609" s="499">
        <f t="shared" ref="E609:P609" si="207">E605+E607</f>
        <v>32.630000000000003</v>
      </c>
      <c r="F609" s="499">
        <f t="shared" si="207"/>
        <v>26.189999999999998</v>
      </c>
      <c r="G609" s="499">
        <f t="shared" si="207"/>
        <v>16.39</v>
      </c>
      <c r="H609" s="499">
        <f t="shared" si="207"/>
        <v>37.080000000000005</v>
      </c>
      <c r="I609" s="499">
        <f t="shared" si="207"/>
        <v>24.09</v>
      </c>
      <c r="J609" s="499">
        <f t="shared" si="207"/>
        <v>9.6399999999999988</v>
      </c>
      <c r="K609" s="499">
        <f t="shared" si="207"/>
        <v>9.67</v>
      </c>
      <c r="L609" s="499">
        <f t="shared" si="207"/>
        <v>4.63</v>
      </c>
      <c r="M609" s="499">
        <f t="shared" si="207"/>
        <v>9.67</v>
      </c>
      <c r="N609" s="499">
        <f t="shared" si="207"/>
        <v>27.07</v>
      </c>
      <c r="O609" s="499">
        <f t="shared" si="207"/>
        <v>37.43</v>
      </c>
      <c r="P609" s="499">
        <f t="shared" si="207"/>
        <v>21.33</v>
      </c>
      <c r="Q609" s="499">
        <f>SUM(E609:P609)</f>
        <v>255.82</v>
      </c>
    </row>
    <row r="610" spans="1:17" s="224" customFormat="1" ht="10.8" thickTop="1" x14ac:dyDescent="0.2">
      <c r="A610" s="263"/>
      <c r="D610" s="290"/>
      <c r="F610" s="292"/>
      <c r="G610" s="476"/>
      <c r="H610" s="292"/>
      <c r="I610" s="297"/>
      <c r="J610" s="292"/>
      <c r="K610" s="292"/>
      <c r="L610" s="292"/>
      <c r="M610" s="292"/>
      <c r="N610" s="292"/>
      <c r="O610" s="292"/>
      <c r="P610" s="292"/>
    </row>
    <row r="611" spans="1:17" s="224" customFormat="1" x14ac:dyDescent="0.2">
      <c r="A611" s="263">
        <f>A609+1</f>
        <v>14</v>
      </c>
      <c r="B611" s="224" t="str">
        <f>B147</f>
        <v>LG4</v>
      </c>
      <c r="C611" s="224" t="str">
        <f>C147</f>
        <v>LG&amp;E Residential</v>
      </c>
      <c r="D611" s="290"/>
      <c r="F611" s="292"/>
      <c r="G611" s="476"/>
      <c r="H611" s="292"/>
      <c r="I611" s="297"/>
      <c r="J611" s="292"/>
      <c r="K611" s="292"/>
      <c r="L611" s="292"/>
      <c r="M611" s="292"/>
      <c r="N611" s="292"/>
      <c r="O611" s="292"/>
      <c r="P611" s="292"/>
    </row>
    <row r="612" spans="1:17" s="224" customFormat="1" x14ac:dyDescent="0.2">
      <c r="A612" s="263"/>
      <c r="D612" s="290"/>
      <c r="F612" s="292"/>
      <c r="G612" s="476"/>
      <c r="H612" s="292"/>
      <c r="I612" s="297"/>
      <c r="J612" s="292"/>
      <c r="K612" s="292"/>
      <c r="L612" s="292"/>
      <c r="M612" s="292"/>
      <c r="N612" s="292"/>
      <c r="O612" s="292"/>
      <c r="P612" s="292"/>
    </row>
    <row r="613" spans="1:17" s="224" customFormat="1" x14ac:dyDescent="0.2">
      <c r="A613" s="263">
        <f>A611+1</f>
        <v>15</v>
      </c>
      <c r="C613" s="266" t="s">
        <v>109</v>
      </c>
      <c r="D613" s="290"/>
      <c r="F613" s="292"/>
      <c r="G613" s="476"/>
      <c r="H613" s="292"/>
      <c r="I613" s="297"/>
      <c r="J613" s="292"/>
      <c r="K613" s="292"/>
      <c r="L613" s="292"/>
      <c r="M613" s="292"/>
      <c r="N613" s="292"/>
      <c r="O613" s="292"/>
      <c r="P613" s="292"/>
    </row>
    <row r="614" spans="1:17" s="224" customFormat="1" x14ac:dyDescent="0.2">
      <c r="A614" s="263"/>
      <c r="D614" s="290"/>
      <c r="F614" s="292"/>
      <c r="G614" s="476"/>
      <c r="H614" s="292"/>
      <c r="I614" s="297"/>
      <c r="J614" s="292"/>
      <c r="K614" s="292"/>
      <c r="L614" s="292"/>
      <c r="M614" s="292"/>
      <c r="N614" s="292"/>
      <c r="O614" s="292"/>
      <c r="P614" s="292"/>
    </row>
    <row r="615" spans="1:17" s="224" customFormat="1" x14ac:dyDescent="0.2">
      <c r="A615" s="263">
        <f>A613+1</f>
        <v>16</v>
      </c>
      <c r="C615" s="224" t="s">
        <v>202</v>
      </c>
      <c r="D615" s="290"/>
      <c r="E615" s="479">
        <f>B!D75</f>
        <v>1</v>
      </c>
      <c r="F615" s="479">
        <f>B!E75</f>
        <v>1</v>
      </c>
      <c r="G615" s="479">
        <f>B!F75</f>
        <v>1</v>
      </c>
      <c r="H615" s="479">
        <f>B!G75</f>
        <v>1</v>
      </c>
      <c r="I615" s="479">
        <f>B!H75</f>
        <v>1</v>
      </c>
      <c r="J615" s="479">
        <f>B!I75</f>
        <v>1</v>
      </c>
      <c r="K615" s="479">
        <f>B!J75</f>
        <v>1</v>
      </c>
      <c r="L615" s="479">
        <f>B!K75</f>
        <v>1</v>
      </c>
      <c r="M615" s="479">
        <f>B!L75</f>
        <v>1</v>
      </c>
      <c r="N615" s="479">
        <f>B!M75</f>
        <v>1</v>
      </c>
      <c r="O615" s="479">
        <f>B!N75</f>
        <v>1</v>
      </c>
      <c r="P615" s="479">
        <f>B!O75</f>
        <v>1</v>
      </c>
      <c r="Q615" s="535">
        <f>SUM(E615:P615)</f>
        <v>12</v>
      </c>
    </row>
    <row r="616" spans="1:17" s="224" customFormat="1" x14ac:dyDescent="0.2">
      <c r="A616" s="263">
        <f>A615+1</f>
        <v>17</v>
      </c>
      <c r="C616" s="224" t="s">
        <v>210</v>
      </c>
      <c r="D616" s="792">
        <f>Input!U29</f>
        <v>0</v>
      </c>
      <c r="E616" s="434">
        <f t="shared" ref="E616:P616" si="208">ROUND(E615*$D$493,2)</f>
        <v>0</v>
      </c>
      <c r="F616" s="434">
        <f t="shared" si="208"/>
        <v>0</v>
      </c>
      <c r="G616" s="434">
        <f t="shared" si="208"/>
        <v>0</v>
      </c>
      <c r="H616" s="434">
        <f t="shared" si="208"/>
        <v>0</v>
      </c>
      <c r="I616" s="434">
        <f t="shared" si="208"/>
        <v>0</v>
      </c>
      <c r="J616" s="434">
        <f t="shared" si="208"/>
        <v>0</v>
      </c>
      <c r="K616" s="434">
        <f t="shared" si="208"/>
        <v>0</v>
      </c>
      <c r="L616" s="434">
        <f t="shared" si="208"/>
        <v>0</v>
      </c>
      <c r="M616" s="434">
        <f t="shared" si="208"/>
        <v>0</v>
      </c>
      <c r="N616" s="434">
        <f t="shared" si="208"/>
        <v>0</v>
      </c>
      <c r="O616" s="434">
        <f t="shared" si="208"/>
        <v>0</v>
      </c>
      <c r="P616" s="434">
        <f t="shared" si="208"/>
        <v>0</v>
      </c>
      <c r="Q616" s="434">
        <f>SUM(E616:P616)</f>
        <v>0</v>
      </c>
    </row>
    <row r="617" spans="1:17" s="224" customFormat="1" x14ac:dyDescent="0.2">
      <c r="A617" s="263"/>
      <c r="D617" s="290"/>
      <c r="E617" s="521"/>
      <c r="F617" s="292"/>
      <c r="G617" s="476"/>
      <c r="H617" s="292"/>
      <c r="I617" s="297"/>
      <c r="J617" s="514"/>
      <c r="K617" s="292"/>
      <c r="L617" s="292"/>
      <c r="M617" s="292"/>
      <c r="N617" s="292"/>
      <c r="O617" s="292"/>
      <c r="P617" s="292"/>
    </row>
    <row r="618" spans="1:17" s="224" customFormat="1" x14ac:dyDescent="0.2">
      <c r="A618" s="263">
        <f>A616+1</f>
        <v>18</v>
      </c>
      <c r="C618" s="290" t="s">
        <v>209</v>
      </c>
      <c r="D618" s="519"/>
      <c r="E618" s="483">
        <f>'C'!D76</f>
        <v>49.5</v>
      </c>
      <c r="F618" s="483">
        <f>'C'!E76</f>
        <v>58.7</v>
      </c>
      <c r="G618" s="483">
        <f>'C'!F76</f>
        <v>42</v>
      </c>
      <c r="H618" s="483">
        <f>'C'!G76</f>
        <v>20.7</v>
      </c>
      <c r="I618" s="483">
        <f>'C'!H76</f>
        <v>11.2</v>
      </c>
      <c r="J618" s="483">
        <f>'C'!I76</f>
        <v>4</v>
      </c>
      <c r="K618" s="483">
        <f>'C'!J76</f>
        <v>2.6</v>
      </c>
      <c r="L618" s="483">
        <f>'C'!K76</f>
        <v>2.8</v>
      </c>
      <c r="M618" s="483">
        <f>'C'!L76</f>
        <v>3</v>
      </c>
      <c r="N618" s="483">
        <f>'C'!M76</f>
        <v>3.9</v>
      </c>
      <c r="O618" s="483">
        <f>'C'!N76</f>
        <v>18.899999999999999</v>
      </c>
      <c r="P618" s="483">
        <f>'C'!O76</f>
        <v>40.299999999999997</v>
      </c>
      <c r="Q618" s="735">
        <f>SUM(E618:P618)</f>
        <v>257.59999999999997</v>
      </c>
    </row>
    <row r="619" spans="1:17" s="224" customFormat="1" x14ac:dyDescent="0.2">
      <c r="A619" s="263">
        <f>A618+1</f>
        <v>19</v>
      </c>
      <c r="C619" s="224" t="s">
        <v>212</v>
      </c>
      <c r="D619" s="793">
        <f>Input!P29</f>
        <v>0.4</v>
      </c>
      <c r="E619" s="434">
        <f t="shared" ref="E619:P619" si="209">ROUND(E618*$D$619,2)</f>
        <v>19.8</v>
      </c>
      <c r="F619" s="434">
        <f t="shared" si="209"/>
        <v>23.48</v>
      </c>
      <c r="G619" s="434">
        <f t="shared" si="209"/>
        <v>16.8</v>
      </c>
      <c r="H619" s="434">
        <f t="shared" si="209"/>
        <v>8.2799999999999994</v>
      </c>
      <c r="I619" s="434">
        <f t="shared" si="209"/>
        <v>4.4800000000000004</v>
      </c>
      <c r="J619" s="434">
        <f t="shared" si="209"/>
        <v>1.6</v>
      </c>
      <c r="K619" s="434">
        <f t="shared" si="209"/>
        <v>1.04</v>
      </c>
      <c r="L619" s="434">
        <f t="shared" si="209"/>
        <v>1.1200000000000001</v>
      </c>
      <c r="M619" s="434">
        <f t="shared" si="209"/>
        <v>1.2</v>
      </c>
      <c r="N619" s="434">
        <f t="shared" si="209"/>
        <v>1.56</v>
      </c>
      <c r="O619" s="434">
        <f t="shared" si="209"/>
        <v>7.56</v>
      </c>
      <c r="P619" s="434">
        <f t="shared" si="209"/>
        <v>16.12</v>
      </c>
      <c r="Q619" s="434">
        <f>SUM(E619:P619)</f>
        <v>103.04000000000002</v>
      </c>
    </row>
    <row r="620" spans="1:17" s="224" customFormat="1" x14ac:dyDescent="0.2">
      <c r="A620" s="263"/>
      <c r="D620" s="290"/>
      <c r="F620" s="292"/>
      <c r="G620" s="476"/>
      <c r="H620" s="292"/>
      <c r="I620" s="297"/>
      <c r="J620" s="292"/>
      <c r="K620" s="292"/>
      <c r="L620" s="292"/>
      <c r="M620" s="292"/>
      <c r="N620" s="292"/>
      <c r="O620" s="292"/>
      <c r="P620" s="292"/>
      <c r="Q620" s="543"/>
    </row>
    <row r="621" spans="1:17" s="224" customFormat="1" x14ac:dyDescent="0.2">
      <c r="A621" s="263">
        <f>A619+1</f>
        <v>20</v>
      </c>
      <c r="C621" s="224" t="s">
        <v>204</v>
      </c>
      <c r="D621" s="290"/>
      <c r="E621" s="434">
        <f t="shared" ref="E621:P621" si="210">E616+E619</f>
        <v>19.8</v>
      </c>
      <c r="F621" s="434">
        <f t="shared" si="210"/>
        <v>23.48</v>
      </c>
      <c r="G621" s="434">
        <f t="shared" si="210"/>
        <v>16.8</v>
      </c>
      <c r="H621" s="434">
        <f t="shared" si="210"/>
        <v>8.2799999999999994</v>
      </c>
      <c r="I621" s="434">
        <f t="shared" si="210"/>
        <v>4.4800000000000004</v>
      </c>
      <c r="J621" s="434">
        <f t="shared" si="210"/>
        <v>1.6</v>
      </c>
      <c r="K621" s="434">
        <f t="shared" si="210"/>
        <v>1.04</v>
      </c>
      <c r="L621" s="434">
        <f t="shared" si="210"/>
        <v>1.1200000000000001</v>
      </c>
      <c r="M621" s="434">
        <f t="shared" si="210"/>
        <v>1.2</v>
      </c>
      <c r="N621" s="434">
        <f t="shared" si="210"/>
        <v>1.56</v>
      </c>
      <c r="O621" s="434">
        <f t="shared" si="210"/>
        <v>7.56</v>
      </c>
      <c r="P621" s="434">
        <f t="shared" si="210"/>
        <v>16.12</v>
      </c>
      <c r="Q621" s="434">
        <f>SUM(E621:P621)</f>
        <v>103.04000000000002</v>
      </c>
    </row>
    <row r="622" spans="1:17" s="224" customFormat="1" x14ac:dyDescent="0.2">
      <c r="A622" s="263"/>
      <c r="D622" s="290"/>
      <c r="F622" s="292"/>
      <c r="G622" s="476"/>
      <c r="H622" s="292"/>
      <c r="I622" s="297"/>
      <c r="J622" s="292"/>
      <c r="K622" s="292"/>
      <c r="L622" s="292"/>
      <c r="M622" s="292"/>
      <c r="N622" s="292"/>
      <c r="O622" s="292"/>
      <c r="P622" s="292"/>
      <c r="Q622" s="476"/>
    </row>
    <row r="623" spans="1:17" s="224" customFormat="1" x14ac:dyDescent="0.2">
      <c r="A623" s="263">
        <f>A621+1</f>
        <v>21</v>
      </c>
      <c r="C623" s="224" t="s">
        <v>151</v>
      </c>
      <c r="D623" s="794">
        <v>0</v>
      </c>
      <c r="E623" s="517">
        <v>0</v>
      </c>
      <c r="F623" s="517">
        <v>0</v>
      </c>
      <c r="G623" s="517">
        <v>0</v>
      </c>
      <c r="H623" s="517">
        <v>0</v>
      </c>
      <c r="I623" s="517">
        <v>0</v>
      </c>
      <c r="J623" s="517">
        <v>0</v>
      </c>
      <c r="K623" s="517">
        <v>0</v>
      </c>
      <c r="L623" s="517">
        <v>0</v>
      </c>
      <c r="M623" s="517">
        <v>0</v>
      </c>
      <c r="N623" s="517">
        <v>0</v>
      </c>
      <c r="O623" s="517">
        <v>0</v>
      </c>
      <c r="P623" s="517">
        <v>0</v>
      </c>
      <c r="Q623" s="434">
        <f>SUM(E623:P623)</f>
        <v>0</v>
      </c>
    </row>
    <row r="624" spans="1:17" s="224" customFormat="1" x14ac:dyDescent="0.2">
      <c r="A624" s="263"/>
      <c r="D624" s="290"/>
      <c r="F624" s="292"/>
      <c r="G624" s="476"/>
      <c r="H624" s="292"/>
      <c r="I624" s="297"/>
      <c r="J624" s="292"/>
      <c r="K624" s="292"/>
      <c r="L624" s="292"/>
      <c r="M624" s="292"/>
      <c r="N624" s="292"/>
      <c r="O624" s="292"/>
      <c r="P624" s="292"/>
    </row>
    <row r="625" spans="1:17" s="224" customFormat="1" ht="10.8" thickBot="1" x14ac:dyDescent="0.25">
      <c r="A625" s="724">
        <f>A623+1</f>
        <v>22</v>
      </c>
      <c r="B625" s="496"/>
      <c r="C625" s="725" t="s">
        <v>205</v>
      </c>
      <c r="D625" s="726"/>
      <c r="E625" s="499">
        <f t="shared" ref="E625:P625" si="211">E621+E623</f>
        <v>19.8</v>
      </c>
      <c r="F625" s="499">
        <f t="shared" si="211"/>
        <v>23.48</v>
      </c>
      <c r="G625" s="499">
        <f t="shared" si="211"/>
        <v>16.8</v>
      </c>
      <c r="H625" s="499">
        <f t="shared" si="211"/>
        <v>8.2799999999999994</v>
      </c>
      <c r="I625" s="499">
        <f t="shared" si="211"/>
        <v>4.4800000000000004</v>
      </c>
      <c r="J625" s="499">
        <f t="shared" si="211"/>
        <v>1.6</v>
      </c>
      <c r="K625" s="499">
        <f t="shared" si="211"/>
        <v>1.04</v>
      </c>
      <c r="L625" s="499">
        <f t="shared" si="211"/>
        <v>1.1200000000000001</v>
      </c>
      <c r="M625" s="499">
        <f t="shared" si="211"/>
        <v>1.2</v>
      </c>
      <c r="N625" s="499">
        <f t="shared" si="211"/>
        <v>1.56</v>
      </c>
      <c r="O625" s="499">
        <f t="shared" si="211"/>
        <v>7.56</v>
      </c>
      <c r="P625" s="499">
        <f t="shared" si="211"/>
        <v>16.12</v>
      </c>
      <c r="Q625" s="499">
        <f>SUM(E625:P625)</f>
        <v>103.04000000000002</v>
      </c>
    </row>
    <row r="626" spans="1:17" s="224" customFormat="1" ht="10.8" thickTop="1" x14ac:dyDescent="0.2">
      <c r="A626" s="263"/>
      <c r="D626" s="290"/>
      <c r="F626" s="292"/>
      <c r="G626" s="476"/>
      <c r="H626" s="292"/>
      <c r="I626" s="297"/>
      <c r="J626" s="292"/>
      <c r="K626" s="292"/>
      <c r="L626" s="292"/>
      <c r="M626" s="292"/>
      <c r="N626" s="292"/>
      <c r="O626" s="292"/>
      <c r="P626" s="292"/>
    </row>
    <row r="627" spans="1:17" s="224" customFormat="1" x14ac:dyDescent="0.2">
      <c r="A627" s="263"/>
      <c r="D627" s="290"/>
      <c r="F627" s="292"/>
      <c r="G627" s="476"/>
      <c r="H627" s="292"/>
      <c r="I627" s="297"/>
      <c r="J627" s="292"/>
      <c r="K627" s="292"/>
      <c r="L627" s="292"/>
      <c r="M627" s="292"/>
      <c r="N627" s="292"/>
      <c r="O627" s="292"/>
      <c r="P627" s="292"/>
      <c r="Q627" s="476"/>
    </row>
    <row r="628" spans="1:17" s="224" customFormat="1" x14ac:dyDescent="0.2">
      <c r="A628" s="629" t="str">
        <f>$A$265</f>
        <v>[1] Reflects Normalized Volumes.</v>
      </c>
      <c r="D628" s="290"/>
      <c r="F628" s="292"/>
      <c r="G628" s="476"/>
      <c r="H628" s="292"/>
      <c r="I628" s="297"/>
      <c r="J628" s="292"/>
      <c r="K628" s="292"/>
      <c r="L628" s="292"/>
      <c r="M628" s="292"/>
      <c r="N628" s="292"/>
      <c r="O628" s="292"/>
      <c r="P628" s="292"/>
    </row>
    <row r="629" spans="1:17" s="224" customFormat="1" x14ac:dyDescent="0.2">
      <c r="A629" s="889" t="str">
        <f>CONAME</f>
        <v>Columbia Gas of Kentucky, Inc.</v>
      </c>
      <c r="B629" s="889"/>
      <c r="C629" s="889"/>
      <c r="D629" s="889"/>
      <c r="E629" s="889"/>
      <c r="F629" s="889"/>
      <c r="G629" s="889"/>
      <c r="H629" s="889"/>
      <c r="I629" s="889"/>
      <c r="J629" s="889"/>
      <c r="K629" s="889"/>
      <c r="L629" s="889"/>
      <c r="M629" s="889"/>
      <c r="N629" s="889"/>
      <c r="O629" s="889"/>
      <c r="P629" s="889"/>
      <c r="Q629" s="889"/>
    </row>
    <row r="630" spans="1:17" s="224" customFormat="1" x14ac:dyDescent="0.2">
      <c r="A630" s="872" t="str">
        <f>case</f>
        <v>Case No. 2016-00162</v>
      </c>
      <c r="B630" s="872"/>
      <c r="C630" s="872"/>
      <c r="D630" s="872"/>
      <c r="E630" s="872"/>
      <c r="F630" s="872"/>
      <c r="G630" s="872"/>
      <c r="H630" s="872"/>
      <c r="I630" s="872"/>
      <c r="J630" s="872"/>
      <c r="K630" s="872"/>
      <c r="L630" s="872"/>
      <c r="M630" s="872"/>
      <c r="N630" s="872"/>
      <c r="O630" s="872"/>
      <c r="P630" s="872"/>
      <c r="Q630" s="872"/>
    </row>
    <row r="631" spans="1:17" s="224" customFormat="1" x14ac:dyDescent="0.2">
      <c r="A631" s="892" t="s">
        <v>200</v>
      </c>
      <c r="B631" s="892"/>
      <c r="C631" s="892"/>
      <c r="D631" s="892"/>
      <c r="E631" s="892"/>
      <c r="F631" s="892"/>
      <c r="G631" s="892"/>
      <c r="H631" s="892"/>
      <c r="I631" s="892"/>
      <c r="J631" s="892"/>
      <c r="K631" s="892"/>
      <c r="L631" s="892"/>
      <c r="M631" s="892"/>
      <c r="N631" s="892"/>
      <c r="O631" s="892"/>
      <c r="P631" s="892"/>
      <c r="Q631" s="892"/>
    </row>
    <row r="632" spans="1:17" s="224" customFormat="1" x14ac:dyDescent="0.2">
      <c r="A632" s="889" t="str">
        <f>TYDESC</f>
        <v>For the 12 Months Ended December 31, 2017</v>
      </c>
      <c r="B632" s="889"/>
      <c r="C632" s="889"/>
      <c r="D632" s="889"/>
      <c r="E632" s="889"/>
      <c r="F632" s="889"/>
      <c r="G632" s="889"/>
      <c r="H632" s="889"/>
      <c r="I632" s="889"/>
      <c r="J632" s="889"/>
      <c r="K632" s="889"/>
      <c r="L632" s="889"/>
      <c r="M632" s="889"/>
      <c r="N632" s="889"/>
      <c r="O632" s="889"/>
      <c r="P632" s="889"/>
      <c r="Q632" s="889"/>
    </row>
    <row r="633" spans="1:17" s="224" customFormat="1" x14ac:dyDescent="0.2">
      <c r="A633" s="890" t="s">
        <v>39</v>
      </c>
      <c r="B633" s="890"/>
      <c r="C633" s="890"/>
      <c r="D633" s="890"/>
      <c r="E633" s="890"/>
      <c r="F633" s="890"/>
      <c r="G633" s="890"/>
      <c r="H633" s="890"/>
      <c r="I633" s="890"/>
      <c r="J633" s="890"/>
      <c r="K633" s="890"/>
      <c r="L633" s="890"/>
      <c r="M633" s="890"/>
      <c r="N633" s="890"/>
      <c r="O633" s="890"/>
      <c r="P633" s="890"/>
      <c r="Q633" s="890"/>
    </row>
    <row r="634" spans="1:17" s="224" customFormat="1" x14ac:dyDescent="0.2">
      <c r="A634" s="718" t="str">
        <f>$A$52</f>
        <v>Data: __ Base Period _X_ Forecasted Period</v>
      </c>
      <c r="D634" s="290"/>
      <c r="F634" s="292"/>
      <c r="G634" s="476"/>
      <c r="H634" s="292"/>
      <c r="I634" s="297"/>
      <c r="J634" s="292"/>
      <c r="K634" s="292"/>
      <c r="L634" s="292"/>
      <c r="M634" s="292"/>
      <c r="N634" s="292"/>
      <c r="O634" s="292"/>
      <c r="P634" s="292"/>
    </row>
    <row r="635" spans="1:17" s="224" customFormat="1" x14ac:dyDescent="0.2">
      <c r="A635" s="718" t="str">
        <f>$A$53</f>
        <v>Type of Filing: X Original _ Update _ Revised</v>
      </c>
      <c r="D635" s="290"/>
      <c r="F635" s="292"/>
      <c r="G635" s="476"/>
      <c r="H635" s="292"/>
      <c r="I635" s="297"/>
      <c r="J635" s="292"/>
      <c r="K635" s="292"/>
      <c r="L635" s="292"/>
      <c r="M635" s="292"/>
      <c r="N635" s="292"/>
      <c r="O635" s="292"/>
      <c r="P635" s="292"/>
      <c r="Q635" s="727" t="str">
        <f>$Q$53</f>
        <v>Schedule M-2.3</v>
      </c>
    </row>
    <row r="636" spans="1:17" s="224" customFormat="1" x14ac:dyDescent="0.2">
      <c r="A636" s="718" t="str">
        <f>$A$54</f>
        <v>Work Paper Reference No(s):</v>
      </c>
      <c r="D636" s="290"/>
      <c r="F636" s="292"/>
      <c r="G636" s="476"/>
      <c r="H636" s="292"/>
      <c r="I636" s="297"/>
      <c r="J636" s="292"/>
      <c r="K636" s="292"/>
      <c r="L636" s="292"/>
      <c r="M636" s="292"/>
      <c r="N636" s="292"/>
      <c r="O636" s="292"/>
      <c r="P636" s="292"/>
      <c r="Q636" s="727" t="s">
        <v>512</v>
      </c>
    </row>
    <row r="637" spans="1:17" s="224" customFormat="1" x14ac:dyDescent="0.2">
      <c r="A637" s="719" t="str">
        <f>$A$55</f>
        <v>12 Months Forecasted</v>
      </c>
      <c r="D637" s="290"/>
      <c r="F637" s="292"/>
      <c r="G637" s="476"/>
      <c r="H637" s="292"/>
      <c r="I637" s="297"/>
      <c r="J637" s="292"/>
      <c r="K637" s="292"/>
      <c r="L637" s="292"/>
      <c r="M637" s="292"/>
      <c r="N637" s="292"/>
      <c r="O637" s="292"/>
      <c r="P637" s="292"/>
      <c r="Q637" s="727" t="str">
        <f>Witness</f>
        <v>Witness:  M. J. Bell</v>
      </c>
    </row>
    <row r="638" spans="1:17" s="224" customFormat="1" x14ac:dyDescent="0.2">
      <c r="A638" s="891" t="s">
        <v>294</v>
      </c>
      <c r="B638" s="891"/>
      <c r="C638" s="891"/>
      <c r="D638" s="891"/>
      <c r="E638" s="891"/>
      <c r="F638" s="891"/>
      <c r="G638" s="891"/>
      <c r="H638" s="891"/>
      <c r="I638" s="891"/>
      <c r="J638" s="891"/>
      <c r="K638" s="891"/>
      <c r="L638" s="891"/>
      <c r="M638" s="891"/>
      <c r="N638" s="891"/>
      <c r="O638" s="891"/>
      <c r="P638" s="891"/>
      <c r="Q638" s="891"/>
    </row>
    <row r="639" spans="1:17" s="224" customFormat="1" x14ac:dyDescent="0.2">
      <c r="A639" s="227"/>
      <c r="B639" s="306"/>
      <c r="C639" s="306"/>
      <c r="D639" s="308"/>
      <c r="E639" s="306"/>
      <c r="F639" s="502"/>
      <c r="G639" s="503"/>
      <c r="H639" s="502"/>
      <c r="I639" s="504"/>
      <c r="J639" s="502"/>
      <c r="K639" s="502"/>
      <c r="L639" s="502"/>
      <c r="M639" s="502"/>
      <c r="N639" s="502"/>
      <c r="O639" s="502"/>
      <c r="P639" s="502"/>
      <c r="Q639" s="306"/>
    </row>
    <row r="640" spans="1:17" s="224" customFormat="1" x14ac:dyDescent="0.2">
      <c r="A640" s="416" t="s">
        <v>1</v>
      </c>
      <c r="B640" s="416" t="s">
        <v>0</v>
      </c>
      <c r="C640" s="416" t="s">
        <v>41</v>
      </c>
      <c r="D640" s="423" t="s">
        <v>30</v>
      </c>
      <c r="E640" s="416"/>
      <c r="F640" s="729"/>
      <c r="G640" s="732"/>
      <c r="H640" s="729"/>
      <c r="I640" s="733"/>
      <c r="J640" s="729"/>
      <c r="K640" s="729"/>
      <c r="L640" s="729"/>
      <c r="M640" s="729"/>
      <c r="N640" s="729"/>
      <c r="O640" s="729"/>
      <c r="P640" s="729"/>
      <c r="Q640" s="232"/>
    </row>
    <row r="641" spans="1:17" s="224" customFormat="1" x14ac:dyDescent="0.2">
      <c r="A641" s="285" t="s">
        <v>3</v>
      </c>
      <c r="B641" s="285" t="s">
        <v>40</v>
      </c>
      <c r="C641" s="285" t="s">
        <v>4</v>
      </c>
      <c r="D641" s="427" t="s">
        <v>48</v>
      </c>
      <c r="E641" s="428" t="str">
        <f>B!$D$11</f>
        <v>Jan-17</v>
      </c>
      <c r="F641" s="428" t="str">
        <f>B!$E$11</f>
        <v>Feb-17</v>
      </c>
      <c r="G641" s="428" t="str">
        <f>B!$F$11</f>
        <v>Mar-17</v>
      </c>
      <c r="H641" s="428" t="str">
        <f>B!$G$11</f>
        <v>Apr-17</v>
      </c>
      <c r="I641" s="428" t="str">
        <f>B!$H$11</f>
        <v>May-17</v>
      </c>
      <c r="J641" s="428" t="str">
        <f>B!$I$11</f>
        <v>Jun-17</v>
      </c>
      <c r="K641" s="428" t="str">
        <f>B!$J$11</f>
        <v>Jul-17</v>
      </c>
      <c r="L641" s="428" t="str">
        <f>B!$K$11</f>
        <v>Aug-17</v>
      </c>
      <c r="M641" s="428" t="str">
        <f>B!$L$11</f>
        <v>Sep-17</v>
      </c>
      <c r="N641" s="428" t="str">
        <f>B!$M$11</f>
        <v>Oct-17</v>
      </c>
      <c r="O641" s="428" t="str">
        <f>B!$N$11</f>
        <v>Nov-17</v>
      </c>
      <c r="P641" s="428" t="str">
        <f>B!$O$11</f>
        <v>Dec-17</v>
      </c>
      <c r="Q641" s="428" t="s">
        <v>9</v>
      </c>
    </row>
    <row r="642" spans="1:17" s="224" customFormat="1" x14ac:dyDescent="0.2">
      <c r="A642" s="416"/>
      <c r="B642" s="231" t="s">
        <v>42</v>
      </c>
      <c r="C642" s="231" t="s">
        <v>43</v>
      </c>
      <c r="D642" s="430" t="s">
        <v>45</v>
      </c>
      <c r="E642" s="431" t="s">
        <v>46</v>
      </c>
      <c r="F642" s="431" t="s">
        <v>49</v>
      </c>
      <c r="G642" s="431" t="s">
        <v>50</v>
      </c>
      <c r="H642" s="431" t="s">
        <v>51</v>
      </c>
      <c r="I642" s="431" t="s">
        <v>52</v>
      </c>
      <c r="J642" s="432" t="s">
        <v>53</v>
      </c>
      <c r="K642" s="432" t="s">
        <v>54</v>
      </c>
      <c r="L642" s="432" t="s">
        <v>55</v>
      </c>
      <c r="M642" s="432" t="s">
        <v>56</v>
      </c>
      <c r="N642" s="432" t="s">
        <v>57</v>
      </c>
      <c r="O642" s="432" t="s">
        <v>58</v>
      </c>
      <c r="P642" s="432" t="s">
        <v>59</v>
      </c>
      <c r="Q642" s="432" t="s">
        <v>203</v>
      </c>
    </row>
    <row r="643" spans="1:17" s="224" customFormat="1" x14ac:dyDescent="0.2">
      <c r="A643" s="263"/>
      <c r="D643" s="290"/>
      <c r="E643" s="232"/>
      <c r="F643" s="734"/>
      <c r="G643" s="730"/>
      <c r="H643" s="734"/>
      <c r="I643" s="731"/>
      <c r="J643" s="734"/>
      <c r="K643" s="734"/>
      <c r="L643" s="734"/>
      <c r="M643" s="734"/>
      <c r="N643" s="734"/>
      <c r="O643" s="734"/>
      <c r="P643" s="734"/>
      <c r="Q643" s="232"/>
    </row>
    <row r="644" spans="1:17" s="224" customFormat="1" x14ac:dyDescent="0.2">
      <c r="A644" s="263">
        <v>1</v>
      </c>
      <c r="B644" s="224" t="str">
        <f>B154</f>
        <v>GSO</v>
      </c>
      <c r="C644" s="224" t="str">
        <f>C154</f>
        <v>General Service - Commercial</v>
      </c>
      <c r="D644" s="290"/>
      <c r="F644" s="292"/>
      <c r="G644" s="476"/>
      <c r="H644" s="292"/>
      <c r="I644" s="297"/>
      <c r="J644" s="292"/>
      <c r="K644" s="292"/>
      <c r="L644" s="292"/>
      <c r="M644" s="292"/>
      <c r="N644" s="292"/>
      <c r="O644" s="292"/>
      <c r="P644" s="292"/>
    </row>
    <row r="645" spans="1:17" s="224" customFormat="1" x14ac:dyDescent="0.2">
      <c r="A645" s="263"/>
      <c r="D645" s="290"/>
      <c r="F645" s="292"/>
      <c r="G645" s="476"/>
      <c r="H645" s="292"/>
      <c r="I645" s="297"/>
      <c r="J645" s="292"/>
      <c r="K645" s="292"/>
      <c r="L645" s="292"/>
      <c r="M645" s="292"/>
      <c r="N645" s="292"/>
      <c r="O645" s="292"/>
      <c r="P645" s="292"/>
    </row>
    <row r="646" spans="1:17" s="224" customFormat="1" x14ac:dyDescent="0.2">
      <c r="A646" s="263">
        <f>A644+1</f>
        <v>2</v>
      </c>
      <c r="C646" s="266" t="s">
        <v>111</v>
      </c>
      <c r="D646" s="290"/>
      <c r="F646" s="292"/>
      <c r="G646" s="476"/>
      <c r="H646" s="292"/>
      <c r="I646" s="297"/>
      <c r="J646" s="292"/>
      <c r="K646" s="292"/>
      <c r="L646" s="292"/>
      <c r="M646" s="292"/>
      <c r="N646" s="292"/>
      <c r="O646" s="292"/>
      <c r="P646" s="292"/>
    </row>
    <row r="647" spans="1:17" s="224" customFormat="1" x14ac:dyDescent="0.2">
      <c r="A647" s="263"/>
      <c r="C647" s="266"/>
      <c r="D647" s="290"/>
      <c r="F647" s="292"/>
      <c r="G647" s="476"/>
      <c r="H647" s="292"/>
      <c r="I647" s="297"/>
      <c r="J647" s="292"/>
      <c r="K647" s="292"/>
      <c r="L647" s="292"/>
      <c r="M647" s="292"/>
      <c r="N647" s="292"/>
      <c r="O647" s="292"/>
      <c r="P647" s="292"/>
    </row>
    <row r="648" spans="1:17" s="224" customFormat="1" x14ac:dyDescent="0.2">
      <c r="A648" s="263">
        <f>A646+1</f>
        <v>3</v>
      </c>
      <c r="C648" s="224" t="s">
        <v>202</v>
      </c>
      <c r="D648" s="290"/>
      <c r="E648" s="479">
        <f>B!D81</f>
        <v>10207</v>
      </c>
      <c r="F648" s="479">
        <f>B!E81</f>
        <v>10271</v>
      </c>
      <c r="G648" s="479">
        <f>B!F81</f>
        <v>10035</v>
      </c>
      <c r="H648" s="479">
        <f>B!G81</f>
        <v>10003</v>
      </c>
      <c r="I648" s="479">
        <f>B!H81</f>
        <v>9882</v>
      </c>
      <c r="J648" s="479">
        <f>B!I81</f>
        <v>9780</v>
      </c>
      <c r="K648" s="479">
        <f>B!J81</f>
        <v>9783</v>
      </c>
      <c r="L648" s="479">
        <f>B!K81</f>
        <v>9770</v>
      </c>
      <c r="M648" s="479">
        <f>B!L81</f>
        <v>9739</v>
      </c>
      <c r="N648" s="479">
        <f>B!M81</f>
        <v>9772</v>
      </c>
      <c r="O648" s="479">
        <f>B!N81</f>
        <v>9915</v>
      </c>
      <c r="P648" s="479">
        <f>B!O81</f>
        <v>10076</v>
      </c>
      <c r="Q648" s="479">
        <f>SUM(E648:P648)</f>
        <v>119233</v>
      </c>
    </row>
    <row r="649" spans="1:17" s="224" customFormat="1" x14ac:dyDescent="0.2">
      <c r="A649" s="263">
        <f>A648+1</f>
        <v>4</v>
      </c>
      <c r="C649" s="224" t="s">
        <v>210</v>
      </c>
      <c r="D649" s="792">
        <f>Input!U30</f>
        <v>51</v>
      </c>
      <c r="E649" s="434">
        <f t="shared" ref="E649:P649" si="212">ROUND(E648*$D$649,2)</f>
        <v>520557</v>
      </c>
      <c r="F649" s="434">
        <f t="shared" si="212"/>
        <v>523821</v>
      </c>
      <c r="G649" s="434">
        <f t="shared" si="212"/>
        <v>511785</v>
      </c>
      <c r="H649" s="434">
        <f t="shared" si="212"/>
        <v>510153</v>
      </c>
      <c r="I649" s="434">
        <f t="shared" si="212"/>
        <v>503982</v>
      </c>
      <c r="J649" s="434">
        <f t="shared" si="212"/>
        <v>498780</v>
      </c>
      <c r="K649" s="434">
        <f t="shared" si="212"/>
        <v>498933</v>
      </c>
      <c r="L649" s="434">
        <f t="shared" si="212"/>
        <v>498270</v>
      </c>
      <c r="M649" s="434">
        <f t="shared" si="212"/>
        <v>496689</v>
      </c>
      <c r="N649" s="434">
        <f t="shared" si="212"/>
        <v>498372</v>
      </c>
      <c r="O649" s="434">
        <f t="shared" si="212"/>
        <v>505665</v>
      </c>
      <c r="P649" s="434">
        <f t="shared" si="212"/>
        <v>513876</v>
      </c>
      <c r="Q649" s="434">
        <f>SUM(E649:P649)</f>
        <v>6080883</v>
      </c>
    </row>
    <row r="650" spans="1:17" s="224" customFormat="1" x14ac:dyDescent="0.2">
      <c r="A650" s="263">
        <f>A649+1</f>
        <v>5</v>
      </c>
      <c r="C650" s="224" t="s">
        <v>211</v>
      </c>
      <c r="D650" s="792">
        <f>Input!W30</f>
        <v>0</v>
      </c>
      <c r="E650" s="434">
        <f t="shared" ref="E650:P650" si="213">ROUND(E648*$D$650,2)</f>
        <v>0</v>
      </c>
      <c r="F650" s="434">
        <f t="shared" si="213"/>
        <v>0</v>
      </c>
      <c r="G650" s="434">
        <f t="shared" si="213"/>
        <v>0</v>
      </c>
      <c r="H650" s="434">
        <f t="shared" si="213"/>
        <v>0</v>
      </c>
      <c r="I650" s="434">
        <f t="shared" si="213"/>
        <v>0</v>
      </c>
      <c r="J650" s="434">
        <f t="shared" si="213"/>
        <v>0</v>
      </c>
      <c r="K650" s="434">
        <f t="shared" si="213"/>
        <v>0</v>
      </c>
      <c r="L650" s="434">
        <f t="shared" si="213"/>
        <v>0</v>
      </c>
      <c r="M650" s="434">
        <f t="shared" si="213"/>
        <v>0</v>
      </c>
      <c r="N650" s="434">
        <f t="shared" si="213"/>
        <v>0</v>
      </c>
      <c r="O650" s="434">
        <f t="shared" si="213"/>
        <v>0</v>
      </c>
      <c r="P650" s="434">
        <f t="shared" si="213"/>
        <v>0</v>
      </c>
      <c r="Q650" s="434">
        <f>SUM(E650:P650)</f>
        <v>0</v>
      </c>
    </row>
    <row r="651" spans="1:17" s="224" customFormat="1" x14ac:dyDescent="0.2">
      <c r="A651" s="263"/>
      <c r="D651" s="738"/>
      <c r="F651" s="292"/>
      <c r="G651" s="476"/>
      <c r="H651" s="292"/>
      <c r="I651" s="297"/>
      <c r="J651" s="292"/>
      <c r="K651" s="292"/>
      <c r="L651" s="292"/>
      <c r="M651" s="292"/>
      <c r="N651" s="292"/>
      <c r="O651" s="292"/>
      <c r="P651" s="292"/>
    </row>
    <row r="652" spans="1:17" s="224" customFormat="1" x14ac:dyDescent="0.2">
      <c r="A652" s="263">
        <f>A650+1</f>
        <v>6</v>
      </c>
      <c r="C652" s="224" t="s">
        <v>209</v>
      </c>
      <c r="D652" s="738"/>
      <c r="E652" s="521"/>
      <c r="F652" s="292"/>
      <c r="G652" s="476"/>
      <c r="H652" s="292"/>
      <c r="I652" s="297"/>
      <c r="J652" s="292"/>
      <c r="K652" s="292"/>
      <c r="L652" s="292"/>
      <c r="M652" s="292"/>
      <c r="N652" s="292"/>
      <c r="O652" s="292"/>
      <c r="P652" s="292"/>
    </row>
    <row r="653" spans="1:17" s="224" customFormat="1" x14ac:dyDescent="0.2">
      <c r="A653" s="263">
        <f>A652+1</f>
        <v>7</v>
      </c>
      <c r="C653" s="224" t="str">
        <f>'C'!B80</f>
        <v xml:space="preserve">    First 50 Mcf</v>
      </c>
      <c r="D653" s="738"/>
      <c r="E653" s="483">
        <f>'C'!D92</f>
        <v>267674</v>
      </c>
      <c r="F653" s="483">
        <f>'C'!E92</f>
        <v>278751.2</v>
      </c>
      <c r="G653" s="483">
        <f>'C'!F92</f>
        <v>227896.5</v>
      </c>
      <c r="H653" s="483">
        <f>'C'!G92</f>
        <v>149381.79999999999</v>
      </c>
      <c r="I653" s="483">
        <f>'C'!H92</f>
        <v>76805.7</v>
      </c>
      <c r="J653" s="483">
        <f>'C'!I92</f>
        <v>48735.1</v>
      </c>
      <c r="K653" s="483">
        <f>'C'!J92</f>
        <v>38320.5</v>
      </c>
      <c r="L653" s="483">
        <f>'C'!K92</f>
        <v>36243</v>
      </c>
      <c r="M653" s="483">
        <f>'C'!L92</f>
        <v>36349</v>
      </c>
      <c r="N653" s="483">
        <f>'C'!M92</f>
        <v>49862.3</v>
      </c>
      <c r="O653" s="483">
        <f>'C'!N92</f>
        <v>96888</v>
      </c>
      <c r="P653" s="483">
        <f>'C'!O92</f>
        <v>195908.3</v>
      </c>
      <c r="Q653" s="483">
        <f>SUM(E653:P653)</f>
        <v>1502815.4000000001</v>
      </c>
    </row>
    <row r="654" spans="1:17" s="224" customFormat="1" x14ac:dyDescent="0.2">
      <c r="A654" s="263">
        <f>A653+1</f>
        <v>8</v>
      </c>
      <c r="C654" s="224" t="str">
        <f>'C'!B81</f>
        <v xml:space="preserve">    Next 350 Mcf</v>
      </c>
      <c r="D654" s="738"/>
      <c r="E654" s="483">
        <f>'C'!D93</f>
        <v>283489.2</v>
      </c>
      <c r="F654" s="483">
        <f>'C'!E93</f>
        <v>279296.2</v>
      </c>
      <c r="G654" s="483">
        <f>'C'!F93</f>
        <v>181833.2</v>
      </c>
      <c r="H654" s="483">
        <f>'C'!G93</f>
        <v>106946.4</v>
      </c>
      <c r="I654" s="483">
        <f>'C'!H93</f>
        <v>47813</v>
      </c>
      <c r="J654" s="483">
        <f>'C'!I93</f>
        <v>28650.6</v>
      </c>
      <c r="K654" s="483">
        <f>'C'!J93</f>
        <v>16633.3</v>
      </c>
      <c r="L654" s="483">
        <f>'C'!K93</f>
        <v>15250.7</v>
      </c>
      <c r="M654" s="483">
        <f>'C'!L93</f>
        <v>14035.7</v>
      </c>
      <c r="N654" s="483">
        <f>'C'!M93</f>
        <v>24169.7</v>
      </c>
      <c r="O654" s="483">
        <f>'C'!N93</f>
        <v>64078</v>
      </c>
      <c r="P654" s="483">
        <f>'C'!O93</f>
        <v>176923</v>
      </c>
      <c r="Q654" s="483">
        <f>SUM(E654:P654)</f>
        <v>1239119</v>
      </c>
    </row>
    <row r="655" spans="1:17" s="224" customFormat="1" x14ac:dyDescent="0.2">
      <c r="A655" s="263">
        <f>A654+1</f>
        <v>9</v>
      </c>
      <c r="C655" s="224" t="str">
        <f>'C'!B82</f>
        <v xml:space="preserve">    Next 600 Mcf</v>
      </c>
      <c r="D655" s="738"/>
      <c r="E655" s="483">
        <f>'C'!D94</f>
        <v>79219.5</v>
      </c>
      <c r="F655" s="483">
        <f>'C'!E94</f>
        <v>70800.100000000006</v>
      </c>
      <c r="G655" s="483">
        <f>'C'!F94</f>
        <v>38109.599999999999</v>
      </c>
      <c r="H655" s="483">
        <f>'C'!G94</f>
        <v>16494.099999999999</v>
      </c>
      <c r="I655" s="483">
        <f>'C'!H94</f>
        <v>7331.2</v>
      </c>
      <c r="J655" s="483">
        <f>'C'!I94</f>
        <v>3286.7</v>
      </c>
      <c r="K655" s="483">
        <f>'C'!J94</f>
        <v>1774.7</v>
      </c>
      <c r="L655" s="483">
        <f>'C'!K94</f>
        <v>1292</v>
      </c>
      <c r="M655" s="483">
        <f>'C'!L94</f>
        <v>1416.5</v>
      </c>
      <c r="N655" s="483">
        <f>'C'!M94</f>
        <v>3112.1</v>
      </c>
      <c r="O655" s="483">
        <f>'C'!N94</f>
        <v>8498.7999999999993</v>
      </c>
      <c r="P655" s="483">
        <f>'C'!O94</f>
        <v>39805.4</v>
      </c>
      <c r="Q655" s="483">
        <f>SUM(E655:P655)</f>
        <v>271140.70000000007</v>
      </c>
    </row>
    <row r="656" spans="1:17" s="224" customFormat="1" x14ac:dyDescent="0.2">
      <c r="A656" s="263">
        <f>A655+1</f>
        <v>10</v>
      </c>
      <c r="C656" s="224" t="str">
        <f>'C'!B83</f>
        <v xml:space="preserve">    Over 1,000 Mcf</v>
      </c>
      <c r="D656" s="738"/>
      <c r="E656" s="522">
        <f>'C'!D95</f>
        <v>30357.3</v>
      </c>
      <c r="F656" s="522">
        <f>'C'!E95</f>
        <v>26213.4</v>
      </c>
      <c r="G656" s="522">
        <f>'C'!F95</f>
        <v>9008.2000000000007</v>
      </c>
      <c r="H656" s="522">
        <f>'C'!G95</f>
        <v>4479.6000000000004</v>
      </c>
      <c r="I656" s="522">
        <f>'C'!H95</f>
        <v>2530.3000000000002</v>
      </c>
      <c r="J656" s="522">
        <f>'C'!I95</f>
        <v>45.9</v>
      </c>
      <c r="K656" s="522">
        <f>'C'!J95</f>
        <v>0</v>
      </c>
      <c r="L656" s="522">
        <f>'C'!K95</f>
        <v>0</v>
      </c>
      <c r="M656" s="522">
        <f>'C'!L95</f>
        <v>0</v>
      </c>
      <c r="N656" s="522">
        <f>'C'!M95</f>
        <v>0</v>
      </c>
      <c r="O656" s="522">
        <f>'C'!N95</f>
        <v>1571.1</v>
      </c>
      <c r="P656" s="522">
        <f>'C'!O95</f>
        <v>10934.2</v>
      </c>
      <c r="Q656" s="522">
        <f>SUM(E656:P656)</f>
        <v>85140</v>
      </c>
    </row>
    <row r="657" spans="1:17" s="224" customFormat="1" x14ac:dyDescent="0.2">
      <c r="A657" s="263"/>
      <c r="D657" s="738"/>
      <c r="E657" s="483">
        <f t="shared" ref="E657:P657" si="214">SUM(E653:E656)</f>
        <v>660740</v>
      </c>
      <c r="F657" s="483">
        <f t="shared" si="214"/>
        <v>655060.9</v>
      </c>
      <c r="G657" s="483">
        <f t="shared" si="214"/>
        <v>456847.5</v>
      </c>
      <c r="H657" s="483">
        <f t="shared" si="214"/>
        <v>277301.89999999997</v>
      </c>
      <c r="I657" s="483">
        <f t="shared" si="214"/>
        <v>134480.19999999998</v>
      </c>
      <c r="J657" s="483">
        <f t="shared" si="214"/>
        <v>80718.299999999988</v>
      </c>
      <c r="K657" s="483">
        <f t="shared" si="214"/>
        <v>56728.5</v>
      </c>
      <c r="L657" s="483">
        <f t="shared" si="214"/>
        <v>52785.7</v>
      </c>
      <c r="M657" s="483">
        <f t="shared" si="214"/>
        <v>51801.2</v>
      </c>
      <c r="N657" s="483">
        <f t="shared" si="214"/>
        <v>77144.100000000006</v>
      </c>
      <c r="O657" s="483">
        <f t="shared" si="214"/>
        <v>171035.9</v>
      </c>
      <c r="P657" s="483">
        <f t="shared" si="214"/>
        <v>423570.9</v>
      </c>
      <c r="Q657" s="483">
        <f>SUM(E657:P657)</f>
        <v>3098215.1</v>
      </c>
    </row>
    <row r="658" spans="1:17" s="224" customFormat="1" x14ac:dyDescent="0.2">
      <c r="A658" s="263">
        <f>A656+1</f>
        <v>11</v>
      </c>
      <c r="C658" s="224" t="s">
        <v>207</v>
      </c>
      <c r="D658" s="738"/>
      <c r="F658" s="292"/>
      <c r="G658" s="476"/>
      <c r="H658" s="292"/>
      <c r="I658" s="297"/>
      <c r="J658" s="292"/>
      <c r="K658" s="292"/>
      <c r="L658" s="292"/>
      <c r="M658" s="292"/>
      <c r="N658" s="292"/>
      <c r="O658" s="292"/>
      <c r="P658" s="292"/>
      <c r="Q658" s="543"/>
    </row>
    <row r="659" spans="1:17" s="224" customFormat="1" x14ac:dyDescent="0.2">
      <c r="A659" s="263">
        <f>A658+1</f>
        <v>12</v>
      </c>
      <c r="C659" s="224" t="str">
        <f>C653</f>
        <v xml:space="preserve">    First 50 Mcf</v>
      </c>
      <c r="D659" s="793">
        <f>Input!P30</f>
        <v>3.4714</v>
      </c>
      <c r="E659" s="434">
        <f t="shared" ref="E659:P659" si="215">ROUND(E653*$D$659,2)</f>
        <v>929203.52</v>
      </c>
      <c r="F659" s="434">
        <f t="shared" si="215"/>
        <v>967656.92</v>
      </c>
      <c r="G659" s="434">
        <f t="shared" si="215"/>
        <v>791119.91</v>
      </c>
      <c r="H659" s="434">
        <f t="shared" si="215"/>
        <v>518563.98</v>
      </c>
      <c r="I659" s="434">
        <f t="shared" si="215"/>
        <v>266623.31</v>
      </c>
      <c r="J659" s="434">
        <f t="shared" si="215"/>
        <v>169179.03</v>
      </c>
      <c r="K659" s="434">
        <f t="shared" si="215"/>
        <v>133025.78</v>
      </c>
      <c r="L659" s="434">
        <f t="shared" si="215"/>
        <v>125813.95</v>
      </c>
      <c r="M659" s="434">
        <f t="shared" si="215"/>
        <v>126181.92</v>
      </c>
      <c r="N659" s="434">
        <f t="shared" si="215"/>
        <v>173091.99</v>
      </c>
      <c r="O659" s="434">
        <f t="shared" si="215"/>
        <v>336337</v>
      </c>
      <c r="P659" s="434">
        <f t="shared" si="215"/>
        <v>680076.07</v>
      </c>
      <c r="Q659" s="434">
        <f>SUM(E659:P659)</f>
        <v>5216873.38</v>
      </c>
    </row>
    <row r="660" spans="1:17" s="224" customFormat="1" x14ac:dyDescent="0.2">
      <c r="A660" s="263">
        <f>A659+1</f>
        <v>13</v>
      </c>
      <c r="C660" s="224" t="str">
        <f>C654</f>
        <v xml:space="preserve">    Next 350 Mcf</v>
      </c>
      <c r="D660" s="793">
        <f>Input!Q30</f>
        <v>2.6833</v>
      </c>
      <c r="E660" s="479">
        <f t="shared" ref="E660:P660" si="216">ROUND(E654*$D$660,2)</f>
        <v>760686.57</v>
      </c>
      <c r="F660" s="479">
        <f t="shared" si="216"/>
        <v>749435.49</v>
      </c>
      <c r="G660" s="479">
        <f t="shared" si="216"/>
        <v>487913.03</v>
      </c>
      <c r="H660" s="479">
        <f t="shared" si="216"/>
        <v>286969.28000000003</v>
      </c>
      <c r="I660" s="479">
        <f t="shared" si="216"/>
        <v>128296.62</v>
      </c>
      <c r="J660" s="479">
        <f t="shared" si="216"/>
        <v>76878.149999999994</v>
      </c>
      <c r="K660" s="479">
        <f t="shared" si="216"/>
        <v>44632.13</v>
      </c>
      <c r="L660" s="479">
        <f t="shared" si="216"/>
        <v>40922.199999999997</v>
      </c>
      <c r="M660" s="479">
        <f t="shared" si="216"/>
        <v>37661.99</v>
      </c>
      <c r="N660" s="479">
        <f t="shared" si="216"/>
        <v>64854.559999999998</v>
      </c>
      <c r="O660" s="479">
        <f t="shared" si="216"/>
        <v>171940.5</v>
      </c>
      <c r="P660" s="479">
        <f t="shared" si="216"/>
        <v>474737.49</v>
      </c>
      <c r="Q660" s="479">
        <f>SUM(E660:P660)</f>
        <v>3324928.0100000007</v>
      </c>
    </row>
    <row r="661" spans="1:17" s="224" customFormat="1" x14ac:dyDescent="0.2">
      <c r="A661" s="263">
        <f>A660+1</f>
        <v>14</v>
      </c>
      <c r="C661" s="224" t="str">
        <f>C655</f>
        <v xml:space="preserve">    Next 600 Mcf</v>
      </c>
      <c r="D661" s="793">
        <f>Input!R30</f>
        <v>2.5514000000000001</v>
      </c>
      <c r="E661" s="479">
        <f t="shared" ref="E661:O661" si="217">ROUND(E655*$D$661,2)</f>
        <v>202120.63</v>
      </c>
      <c r="F661" s="479">
        <f t="shared" si="217"/>
        <v>180639.38</v>
      </c>
      <c r="G661" s="479">
        <f t="shared" si="217"/>
        <v>97232.83</v>
      </c>
      <c r="H661" s="479">
        <f t="shared" si="217"/>
        <v>42083.05</v>
      </c>
      <c r="I661" s="479">
        <f t="shared" si="217"/>
        <v>18704.82</v>
      </c>
      <c r="J661" s="479">
        <f t="shared" si="217"/>
        <v>8385.69</v>
      </c>
      <c r="K661" s="479">
        <f t="shared" si="217"/>
        <v>4527.97</v>
      </c>
      <c r="L661" s="479">
        <f t="shared" si="217"/>
        <v>3296.41</v>
      </c>
      <c r="M661" s="479">
        <f t="shared" si="217"/>
        <v>3614.06</v>
      </c>
      <c r="N661" s="479">
        <f t="shared" si="217"/>
        <v>7940.21</v>
      </c>
      <c r="O661" s="479">
        <f t="shared" si="217"/>
        <v>21683.84</v>
      </c>
      <c r="P661" s="479">
        <f>ROUND(P655*$D$661,2)</f>
        <v>101559.5</v>
      </c>
      <c r="Q661" s="479">
        <f>SUM(E661:P661)</f>
        <v>691788.3899999999</v>
      </c>
    </row>
    <row r="662" spans="1:17" s="224" customFormat="1" x14ac:dyDescent="0.2">
      <c r="A662" s="263">
        <f>A661+1</f>
        <v>15</v>
      </c>
      <c r="C662" s="224" t="str">
        <f>C656</f>
        <v xml:space="preserve">    Over 1,000 Mcf</v>
      </c>
      <c r="D662" s="793">
        <f>Input!S30</f>
        <v>2.3222999999999998</v>
      </c>
      <c r="E662" s="528">
        <f t="shared" ref="E662:O662" si="218">ROUND(E656*$D$662,2)</f>
        <v>70498.759999999995</v>
      </c>
      <c r="F662" s="528">
        <f t="shared" si="218"/>
        <v>60875.38</v>
      </c>
      <c r="G662" s="528">
        <f t="shared" si="218"/>
        <v>20919.740000000002</v>
      </c>
      <c r="H662" s="528">
        <f t="shared" si="218"/>
        <v>10402.98</v>
      </c>
      <c r="I662" s="528">
        <f t="shared" si="218"/>
        <v>5876.12</v>
      </c>
      <c r="J662" s="528">
        <f t="shared" si="218"/>
        <v>106.59</v>
      </c>
      <c r="K662" s="528">
        <f t="shared" si="218"/>
        <v>0</v>
      </c>
      <c r="L662" s="528">
        <f t="shared" si="218"/>
        <v>0</v>
      </c>
      <c r="M662" s="528">
        <f t="shared" si="218"/>
        <v>0</v>
      </c>
      <c r="N662" s="528">
        <f t="shared" si="218"/>
        <v>0</v>
      </c>
      <c r="O662" s="528">
        <f t="shared" si="218"/>
        <v>3648.57</v>
      </c>
      <c r="P662" s="528">
        <f>ROUND(P656*$D$662,2)</f>
        <v>25392.49</v>
      </c>
      <c r="Q662" s="528">
        <f>SUM(E662:P662)</f>
        <v>197720.62999999998</v>
      </c>
    </row>
    <row r="663" spans="1:17" s="224" customFormat="1" x14ac:dyDescent="0.2">
      <c r="A663" s="263"/>
      <c r="D663" s="738"/>
      <c r="E663" s="434">
        <f t="shared" ref="E663:P663" si="219">SUM(E659:E662)</f>
        <v>1962509.4799999997</v>
      </c>
      <c r="F663" s="434">
        <f t="shared" si="219"/>
        <v>1958607.17</v>
      </c>
      <c r="G663" s="434">
        <f t="shared" si="219"/>
        <v>1397185.51</v>
      </c>
      <c r="H663" s="434">
        <f t="shared" si="219"/>
        <v>858019.29</v>
      </c>
      <c r="I663" s="434">
        <f t="shared" si="219"/>
        <v>419500.87</v>
      </c>
      <c r="J663" s="434">
        <f t="shared" si="219"/>
        <v>254549.46</v>
      </c>
      <c r="K663" s="434">
        <f t="shared" si="219"/>
        <v>182185.88</v>
      </c>
      <c r="L663" s="434">
        <f t="shared" si="219"/>
        <v>170032.56</v>
      </c>
      <c r="M663" s="434">
        <f t="shared" si="219"/>
        <v>167457.97</v>
      </c>
      <c r="N663" s="434">
        <f t="shared" si="219"/>
        <v>245886.75999999998</v>
      </c>
      <c r="O663" s="434">
        <f t="shared" si="219"/>
        <v>533609.90999999992</v>
      </c>
      <c r="P663" s="434">
        <f t="shared" si="219"/>
        <v>1281765.55</v>
      </c>
      <c r="Q663" s="434">
        <f>SUM(E663:P663)</f>
        <v>9431310.4099999983</v>
      </c>
    </row>
    <row r="664" spans="1:17" s="224" customFormat="1" x14ac:dyDescent="0.2">
      <c r="A664" s="263"/>
      <c r="D664" s="738"/>
      <c r="E664" s="292"/>
      <c r="F664" s="292"/>
      <c r="G664" s="292"/>
      <c r="H664" s="292"/>
      <c r="I664" s="292"/>
      <c r="J664" s="292"/>
      <c r="K664" s="292"/>
      <c r="L664" s="292"/>
      <c r="M664" s="292"/>
      <c r="N664" s="292"/>
      <c r="O664" s="292"/>
      <c r="P664" s="292"/>
      <c r="Q664" s="292"/>
    </row>
    <row r="665" spans="1:17" s="224" customFormat="1" x14ac:dyDescent="0.2">
      <c r="A665" s="263">
        <f>A662+1</f>
        <v>16</v>
      </c>
      <c r="C665" s="224" t="s">
        <v>204</v>
      </c>
      <c r="D665" s="738"/>
      <c r="E665" s="434">
        <f t="shared" ref="E665:P665" si="220">E649+E650+E663</f>
        <v>2483066.4799999995</v>
      </c>
      <c r="F665" s="434">
        <f t="shared" si="220"/>
        <v>2482428.17</v>
      </c>
      <c r="G665" s="434">
        <f t="shared" si="220"/>
        <v>1908970.51</v>
      </c>
      <c r="H665" s="434">
        <f t="shared" si="220"/>
        <v>1368172.29</v>
      </c>
      <c r="I665" s="434">
        <f t="shared" si="220"/>
        <v>923482.87</v>
      </c>
      <c r="J665" s="434">
        <f t="shared" si="220"/>
        <v>753329.46</v>
      </c>
      <c r="K665" s="434">
        <f t="shared" si="220"/>
        <v>681118.88</v>
      </c>
      <c r="L665" s="434">
        <f t="shared" si="220"/>
        <v>668302.56000000006</v>
      </c>
      <c r="M665" s="434">
        <f t="shared" si="220"/>
        <v>664146.97</v>
      </c>
      <c r="N665" s="434">
        <f t="shared" si="220"/>
        <v>744258.76</v>
      </c>
      <c r="O665" s="434">
        <f t="shared" si="220"/>
        <v>1039274.9099999999</v>
      </c>
      <c r="P665" s="434">
        <f t="shared" si="220"/>
        <v>1795641.55</v>
      </c>
      <c r="Q665" s="434">
        <f>SUM(E665:P665)</f>
        <v>15512193.41</v>
      </c>
    </row>
    <row r="666" spans="1:17" s="224" customFormat="1" x14ac:dyDescent="0.2">
      <c r="A666" s="263"/>
      <c r="D666" s="738"/>
      <c r="E666" s="489"/>
      <c r="F666" s="489"/>
      <c r="G666" s="489"/>
      <c r="H666" s="489"/>
      <c r="I666" s="489"/>
      <c r="J666" s="489"/>
      <c r="K666" s="489"/>
      <c r="L666" s="489"/>
      <c r="M666" s="489"/>
      <c r="N666" s="489"/>
      <c r="O666" s="489"/>
      <c r="P666" s="489"/>
      <c r="Q666" s="489"/>
    </row>
    <row r="667" spans="1:17" s="224" customFormat="1" x14ac:dyDescent="0.2">
      <c r="A667" s="263">
        <f>A665+1</f>
        <v>17</v>
      </c>
      <c r="C667" s="224" t="s">
        <v>208</v>
      </c>
      <c r="D667" s="793">
        <f>EGC</f>
        <v>2.2090999999999998</v>
      </c>
      <c r="E667" s="434">
        <f t="shared" ref="E667:P667" si="221">ROUND(E657*$D$667,2)</f>
        <v>1459640.73</v>
      </c>
      <c r="F667" s="434">
        <f t="shared" si="221"/>
        <v>1447095.03</v>
      </c>
      <c r="G667" s="434">
        <f t="shared" si="221"/>
        <v>1009221.81</v>
      </c>
      <c r="H667" s="434">
        <f t="shared" si="221"/>
        <v>612587.63</v>
      </c>
      <c r="I667" s="434">
        <f t="shared" si="221"/>
        <v>297080.21000000002</v>
      </c>
      <c r="J667" s="434">
        <f t="shared" si="221"/>
        <v>178314.8</v>
      </c>
      <c r="K667" s="434">
        <f t="shared" si="221"/>
        <v>125318.93</v>
      </c>
      <c r="L667" s="434">
        <f t="shared" si="221"/>
        <v>116608.89</v>
      </c>
      <c r="M667" s="434">
        <f t="shared" si="221"/>
        <v>114434.03</v>
      </c>
      <c r="N667" s="434">
        <f t="shared" si="221"/>
        <v>170419.03</v>
      </c>
      <c r="O667" s="434">
        <f t="shared" si="221"/>
        <v>377835.41</v>
      </c>
      <c r="P667" s="434">
        <f t="shared" si="221"/>
        <v>935710.48</v>
      </c>
      <c r="Q667" s="434">
        <f>SUM(E667:P667)</f>
        <v>6844266.9800000004</v>
      </c>
    </row>
    <row r="668" spans="1:17" s="224" customFormat="1" x14ac:dyDescent="0.2">
      <c r="A668" s="263"/>
      <c r="D668" s="738"/>
      <c r="E668" s="489"/>
      <c r="F668" s="489"/>
      <c r="G668" s="489"/>
      <c r="H668" s="489"/>
      <c r="I668" s="489"/>
      <c r="J668" s="489"/>
      <c r="K668" s="489"/>
      <c r="L668" s="489"/>
      <c r="M668" s="489"/>
      <c r="N668" s="489"/>
      <c r="O668" s="489"/>
      <c r="P668" s="489"/>
      <c r="Q668" s="489"/>
    </row>
    <row r="669" spans="1:17" s="224" customFormat="1" x14ac:dyDescent="0.2">
      <c r="A669" s="720">
        <f>A667+1</f>
        <v>18</v>
      </c>
      <c r="B669" s="453"/>
      <c r="C669" s="453" t="s">
        <v>206</v>
      </c>
      <c r="D669" s="739"/>
      <c r="E669" s="457">
        <f t="shared" ref="E669:P669" si="222">E665+E667</f>
        <v>3942707.2099999995</v>
      </c>
      <c r="F669" s="457">
        <f t="shared" si="222"/>
        <v>3929523.2</v>
      </c>
      <c r="G669" s="457">
        <f t="shared" si="222"/>
        <v>2918192.3200000003</v>
      </c>
      <c r="H669" s="457">
        <f t="shared" si="222"/>
        <v>1980759.92</v>
      </c>
      <c r="I669" s="457">
        <f t="shared" si="222"/>
        <v>1220563.08</v>
      </c>
      <c r="J669" s="457">
        <f t="shared" si="222"/>
        <v>931644.26</v>
      </c>
      <c r="K669" s="457">
        <f t="shared" si="222"/>
        <v>806437.81</v>
      </c>
      <c r="L669" s="457">
        <f t="shared" si="222"/>
        <v>784911.45000000007</v>
      </c>
      <c r="M669" s="457">
        <f t="shared" si="222"/>
        <v>778581</v>
      </c>
      <c r="N669" s="457">
        <f t="shared" si="222"/>
        <v>914677.79</v>
      </c>
      <c r="O669" s="457">
        <f t="shared" si="222"/>
        <v>1417110.3199999998</v>
      </c>
      <c r="P669" s="457">
        <f t="shared" si="222"/>
        <v>2731352.0300000003</v>
      </c>
      <c r="Q669" s="457">
        <f>SUM(E669:P669)</f>
        <v>22356460.390000001</v>
      </c>
    </row>
    <row r="670" spans="1:17" s="224" customFormat="1" x14ac:dyDescent="0.2">
      <c r="A670" s="263"/>
      <c r="D670" s="740"/>
      <c r="F670" s="292"/>
      <c r="G670" s="476"/>
      <c r="H670" s="292"/>
      <c r="I670" s="297"/>
      <c r="J670" s="292"/>
      <c r="K670" s="292"/>
      <c r="L670" s="292"/>
      <c r="M670" s="292"/>
      <c r="N670" s="292"/>
      <c r="O670" s="292"/>
      <c r="P670" s="292"/>
      <c r="Q670" s="543"/>
    </row>
    <row r="671" spans="1:17" s="224" customFormat="1" x14ac:dyDescent="0.2">
      <c r="A671" s="263">
        <f>A669+1</f>
        <v>19</v>
      </c>
      <c r="C671" s="224" t="s">
        <v>196</v>
      </c>
      <c r="D671" s="740"/>
      <c r="F671" s="292"/>
      <c r="G671" s="476"/>
      <c r="H671" s="292"/>
      <c r="I671" s="297"/>
      <c r="J671" s="292"/>
      <c r="K671" s="292"/>
      <c r="L671" s="292"/>
      <c r="M671" s="292"/>
      <c r="N671" s="292"/>
      <c r="O671" s="292"/>
      <c r="P671" s="292"/>
      <c r="Q671" s="543"/>
    </row>
    <row r="672" spans="1:17" s="224" customFormat="1" x14ac:dyDescent="0.2">
      <c r="A672" s="263">
        <f>A671+1</f>
        <v>20</v>
      </c>
      <c r="C672" s="290" t="s">
        <v>214</v>
      </c>
      <c r="D672" s="793">
        <f>Input!AA30</f>
        <v>2.5999999999999999E-2</v>
      </c>
      <c r="E672" s="434">
        <f t="shared" ref="E672:P672" si="223">ROUND(E657*$D$672,2)</f>
        <v>17179.240000000002</v>
      </c>
      <c r="F672" s="434">
        <f t="shared" si="223"/>
        <v>17031.580000000002</v>
      </c>
      <c r="G672" s="434">
        <f t="shared" si="223"/>
        <v>11878.04</v>
      </c>
      <c r="H672" s="434">
        <f t="shared" si="223"/>
        <v>7209.85</v>
      </c>
      <c r="I672" s="434">
        <f t="shared" si="223"/>
        <v>3496.49</v>
      </c>
      <c r="J672" s="434">
        <f t="shared" si="223"/>
        <v>2098.6799999999998</v>
      </c>
      <c r="K672" s="434">
        <f t="shared" si="223"/>
        <v>1474.94</v>
      </c>
      <c r="L672" s="434">
        <f t="shared" si="223"/>
        <v>1372.43</v>
      </c>
      <c r="M672" s="434">
        <f t="shared" si="223"/>
        <v>1346.83</v>
      </c>
      <c r="N672" s="434">
        <f t="shared" si="223"/>
        <v>2005.75</v>
      </c>
      <c r="O672" s="434">
        <f t="shared" si="223"/>
        <v>4446.93</v>
      </c>
      <c r="P672" s="434">
        <f t="shared" si="223"/>
        <v>11012.84</v>
      </c>
      <c r="Q672" s="434">
        <f>SUM(E672:P672)</f>
        <v>80553.600000000006</v>
      </c>
    </row>
    <row r="673" spans="1:17" s="224" customFormat="1" x14ac:dyDescent="0.2">
      <c r="A673" s="263"/>
      <c r="D673" s="290"/>
      <c r="E673" s="489"/>
      <c r="F673" s="489"/>
      <c r="G673" s="489"/>
      <c r="H673" s="489"/>
      <c r="I673" s="489"/>
      <c r="J673" s="489"/>
      <c r="K673" s="489"/>
      <c r="L673" s="489"/>
      <c r="M673" s="489"/>
      <c r="N673" s="489"/>
      <c r="O673" s="489"/>
      <c r="P673" s="489"/>
      <c r="Q673" s="489"/>
    </row>
    <row r="674" spans="1:17" s="224" customFormat="1" ht="10.8" thickBot="1" x14ac:dyDescent="0.25">
      <c r="A674" s="724">
        <f>A672+1</f>
        <v>21</v>
      </c>
      <c r="B674" s="496"/>
      <c r="C674" s="725" t="s">
        <v>205</v>
      </c>
      <c r="D674" s="726"/>
      <c r="E674" s="499">
        <f>E669+E672</f>
        <v>3959886.4499999997</v>
      </c>
      <c r="F674" s="499">
        <f t="shared" ref="F674:P674" si="224">F669+F672</f>
        <v>3946554.7800000003</v>
      </c>
      <c r="G674" s="499">
        <f t="shared" si="224"/>
        <v>2930070.3600000003</v>
      </c>
      <c r="H674" s="499">
        <f t="shared" si="224"/>
        <v>1987969.77</v>
      </c>
      <c r="I674" s="499">
        <f t="shared" si="224"/>
        <v>1224059.57</v>
      </c>
      <c r="J674" s="499">
        <f t="shared" si="224"/>
        <v>933742.94000000006</v>
      </c>
      <c r="K674" s="499">
        <f t="shared" si="224"/>
        <v>807912.75</v>
      </c>
      <c r="L674" s="499">
        <f t="shared" si="224"/>
        <v>786283.88000000012</v>
      </c>
      <c r="M674" s="499">
        <f t="shared" si="224"/>
        <v>779927.83</v>
      </c>
      <c r="N674" s="499">
        <f t="shared" si="224"/>
        <v>916683.54</v>
      </c>
      <c r="O674" s="499">
        <f t="shared" si="224"/>
        <v>1421557.2499999998</v>
      </c>
      <c r="P674" s="499">
        <f t="shared" si="224"/>
        <v>2742364.87</v>
      </c>
      <c r="Q674" s="499">
        <f>SUM(E674:P674)</f>
        <v>22437013.989999998</v>
      </c>
    </row>
    <row r="675" spans="1:17" s="224" customFormat="1" ht="10.8" thickTop="1" x14ac:dyDescent="0.2">
      <c r="A675" s="263"/>
      <c r="D675" s="290"/>
      <c r="F675" s="292"/>
      <c r="G675" s="476"/>
      <c r="H675" s="292"/>
      <c r="I675" s="297"/>
      <c r="J675" s="292"/>
      <c r="K675" s="292"/>
      <c r="L675" s="292"/>
      <c r="M675" s="292"/>
      <c r="N675" s="292"/>
      <c r="O675" s="292"/>
      <c r="P675" s="292"/>
      <c r="Q675" s="476"/>
    </row>
    <row r="676" spans="1:17" s="224" customFormat="1" x14ac:dyDescent="0.2">
      <c r="A676" s="263"/>
      <c r="D676" s="290"/>
      <c r="F676" s="292"/>
      <c r="G676" s="476"/>
      <c r="H676" s="292"/>
      <c r="I676" s="297"/>
      <c r="J676" s="292"/>
      <c r="K676" s="292"/>
      <c r="L676" s="292"/>
      <c r="M676" s="292"/>
      <c r="N676" s="292"/>
      <c r="O676" s="292"/>
      <c r="P676" s="292"/>
    </row>
    <row r="677" spans="1:17" s="224" customFormat="1" x14ac:dyDescent="0.2">
      <c r="A677" s="263"/>
      <c r="D677" s="290"/>
      <c r="F677" s="292"/>
      <c r="G677" s="476"/>
      <c r="H677" s="292"/>
      <c r="I677" s="297"/>
      <c r="J677" s="292"/>
      <c r="K677" s="292"/>
      <c r="L677" s="292"/>
      <c r="M677" s="292"/>
      <c r="N677" s="292"/>
      <c r="O677" s="292"/>
      <c r="P677" s="292"/>
    </row>
    <row r="678" spans="1:17" s="224" customFormat="1" x14ac:dyDescent="0.2">
      <c r="A678" s="629" t="str">
        <f>$A$265</f>
        <v>[1] Reflects Normalized Volumes.</v>
      </c>
      <c r="D678" s="290"/>
      <c r="F678" s="292"/>
      <c r="G678" s="476"/>
      <c r="H678" s="292"/>
      <c r="I678" s="297"/>
      <c r="J678" s="292"/>
      <c r="K678" s="292"/>
      <c r="L678" s="292"/>
      <c r="M678" s="292"/>
      <c r="N678" s="292"/>
      <c r="O678" s="292"/>
      <c r="P678" s="292"/>
    </row>
    <row r="679" spans="1:17" s="224" customFormat="1" x14ac:dyDescent="0.2">
      <c r="A679" s="629" t="str">
        <f>"[2] Reflects Gas Cost Adjustment Rate"&amp;CONCATENATE(" as of ",EGCDATE)&amp;"."</f>
        <v>[2] Reflects Gas Cost Adjustment Rate as of March 1, 2016.</v>
      </c>
      <c r="D679" s="290"/>
      <c r="F679" s="292"/>
      <c r="G679" s="476"/>
      <c r="H679" s="292"/>
      <c r="I679" s="297"/>
      <c r="J679" s="292"/>
      <c r="K679" s="292"/>
      <c r="L679" s="292"/>
      <c r="M679" s="292"/>
      <c r="N679" s="292"/>
      <c r="O679" s="292"/>
      <c r="P679" s="292"/>
    </row>
    <row r="680" spans="1:17" s="224" customFormat="1" x14ac:dyDescent="0.2">
      <c r="A680" s="889" t="str">
        <f>CONAME</f>
        <v>Columbia Gas of Kentucky, Inc.</v>
      </c>
      <c r="B680" s="889"/>
      <c r="C680" s="889"/>
      <c r="D680" s="889"/>
      <c r="E680" s="889"/>
      <c r="F680" s="889"/>
      <c r="G680" s="889"/>
      <c r="H680" s="889"/>
      <c r="I680" s="889"/>
      <c r="J680" s="889"/>
      <c r="K680" s="889"/>
      <c r="L680" s="889"/>
      <c r="M680" s="889"/>
      <c r="N680" s="889"/>
      <c r="O680" s="889"/>
      <c r="P680" s="889"/>
      <c r="Q680" s="889"/>
    </row>
    <row r="681" spans="1:17" s="224" customFormat="1" x14ac:dyDescent="0.2">
      <c r="A681" s="872" t="str">
        <f>case</f>
        <v>Case No. 2016-00162</v>
      </c>
      <c r="B681" s="872"/>
      <c r="C681" s="872"/>
      <c r="D681" s="872"/>
      <c r="E681" s="872"/>
      <c r="F681" s="872"/>
      <c r="G681" s="872"/>
      <c r="H681" s="872"/>
      <c r="I681" s="872"/>
      <c r="J681" s="872"/>
      <c r="K681" s="872"/>
      <c r="L681" s="872"/>
      <c r="M681" s="872"/>
      <c r="N681" s="872"/>
      <c r="O681" s="872"/>
      <c r="P681" s="872"/>
      <c r="Q681" s="872"/>
    </row>
    <row r="682" spans="1:17" s="224" customFormat="1" x14ac:dyDescent="0.2">
      <c r="A682" s="892" t="s">
        <v>200</v>
      </c>
      <c r="B682" s="892"/>
      <c r="C682" s="892"/>
      <c r="D682" s="892"/>
      <c r="E682" s="892"/>
      <c r="F682" s="892"/>
      <c r="G682" s="892"/>
      <c r="H682" s="892"/>
      <c r="I682" s="892"/>
      <c r="J682" s="892"/>
      <c r="K682" s="892"/>
      <c r="L682" s="892"/>
      <c r="M682" s="892"/>
      <c r="N682" s="892"/>
      <c r="O682" s="892"/>
      <c r="P682" s="892"/>
      <c r="Q682" s="892"/>
    </row>
    <row r="683" spans="1:17" s="224" customFormat="1" x14ac:dyDescent="0.2">
      <c r="A683" s="889" t="str">
        <f>TYDESC</f>
        <v>For the 12 Months Ended December 31, 2017</v>
      </c>
      <c r="B683" s="889"/>
      <c r="C683" s="889"/>
      <c r="D683" s="889"/>
      <c r="E683" s="889"/>
      <c r="F683" s="889"/>
      <c r="G683" s="889"/>
      <c r="H683" s="889"/>
      <c r="I683" s="889"/>
      <c r="J683" s="889"/>
      <c r="K683" s="889"/>
      <c r="L683" s="889"/>
      <c r="M683" s="889"/>
      <c r="N683" s="889"/>
      <c r="O683" s="889"/>
      <c r="P683" s="889"/>
      <c r="Q683" s="889"/>
    </row>
    <row r="684" spans="1:17" s="224" customFormat="1" x14ac:dyDescent="0.2">
      <c r="A684" s="890" t="s">
        <v>39</v>
      </c>
      <c r="B684" s="890"/>
      <c r="C684" s="890"/>
      <c r="D684" s="890"/>
      <c r="E684" s="890"/>
      <c r="F684" s="890"/>
      <c r="G684" s="890"/>
      <c r="H684" s="890"/>
      <c r="I684" s="890"/>
      <c r="J684" s="890"/>
      <c r="K684" s="890"/>
      <c r="L684" s="890"/>
      <c r="M684" s="890"/>
      <c r="N684" s="890"/>
      <c r="O684" s="890"/>
      <c r="P684" s="890"/>
      <c r="Q684" s="890"/>
    </row>
    <row r="685" spans="1:17" s="224" customFormat="1" x14ac:dyDescent="0.2">
      <c r="A685" s="718" t="str">
        <f>$A$52</f>
        <v>Data: __ Base Period _X_ Forecasted Period</v>
      </c>
      <c r="D685" s="290"/>
      <c r="F685" s="292"/>
      <c r="G685" s="476"/>
      <c r="H685" s="292"/>
      <c r="I685" s="297"/>
      <c r="J685" s="292"/>
      <c r="K685" s="292"/>
      <c r="L685" s="292"/>
      <c r="M685" s="292"/>
      <c r="N685" s="292"/>
      <c r="O685" s="292"/>
      <c r="P685" s="292"/>
    </row>
    <row r="686" spans="1:17" s="224" customFormat="1" x14ac:dyDescent="0.2">
      <c r="A686" s="718" t="str">
        <f>$A$53</f>
        <v>Type of Filing: X Original _ Update _ Revised</v>
      </c>
      <c r="D686" s="290"/>
      <c r="F686" s="292"/>
      <c r="G686" s="476"/>
      <c r="H686" s="292"/>
      <c r="I686" s="297"/>
      <c r="J686" s="292"/>
      <c r="K686" s="292"/>
      <c r="L686" s="292"/>
      <c r="M686" s="292"/>
      <c r="N686" s="292"/>
      <c r="O686" s="292"/>
      <c r="P686" s="292"/>
      <c r="Q686" s="727" t="str">
        <f>$Q$53</f>
        <v>Schedule M-2.3</v>
      </c>
    </row>
    <row r="687" spans="1:17" s="224" customFormat="1" x14ac:dyDescent="0.2">
      <c r="A687" s="718" t="str">
        <f>$A$54</f>
        <v>Work Paper Reference No(s):</v>
      </c>
      <c r="D687" s="290"/>
      <c r="F687" s="292"/>
      <c r="G687" s="476"/>
      <c r="H687" s="292"/>
      <c r="I687" s="297"/>
      <c r="J687" s="292"/>
      <c r="K687" s="292"/>
      <c r="L687" s="292"/>
      <c r="M687" s="292"/>
      <c r="N687" s="292"/>
      <c r="O687" s="292"/>
      <c r="P687" s="292"/>
      <c r="Q687" s="727" t="s">
        <v>521</v>
      </c>
    </row>
    <row r="688" spans="1:17" s="224" customFormat="1" x14ac:dyDescent="0.2">
      <c r="A688" s="719" t="str">
        <f>$A$55</f>
        <v>12 Months Forecasted</v>
      </c>
      <c r="D688" s="290"/>
      <c r="F688" s="292"/>
      <c r="G688" s="476"/>
      <c r="H688" s="292"/>
      <c r="I688" s="297"/>
      <c r="J688" s="292"/>
      <c r="K688" s="292"/>
      <c r="L688" s="292"/>
      <c r="M688" s="292"/>
      <c r="N688" s="292"/>
      <c r="O688" s="292"/>
      <c r="P688" s="292"/>
      <c r="Q688" s="727" t="str">
        <f>Witness</f>
        <v>Witness:  M. J. Bell</v>
      </c>
    </row>
    <row r="689" spans="1:17" s="224" customFormat="1" x14ac:dyDescent="0.2">
      <c r="A689" s="891" t="s">
        <v>294</v>
      </c>
      <c r="B689" s="891"/>
      <c r="C689" s="891"/>
      <c r="D689" s="891"/>
      <c r="E689" s="891"/>
      <c r="F689" s="891"/>
      <c r="G689" s="891"/>
      <c r="H689" s="891"/>
      <c r="I689" s="891"/>
      <c r="J689" s="891"/>
      <c r="K689" s="891"/>
      <c r="L689" s="891"/>
      <c r="M689" s="891"/>
      <c r="N689" s="891"/>
      <c r="O689" s="891"/>
      <c r="P689" s="891"/>
      <c r="Q689" s="891"/>
    </row>
    <row r="690" spans="1:17" s="224" customFormat="1" x14ac:dyDescent="0.2">
      <c r="A690" s="227"/>
      <c r="B690" s="306"/>
      <c r="C690" s="306"/>
      <c r="D690" s="308"/>
      <c r="E690" s="306"/>
      <c r="F690" s="502"/>
      <c r="G690" s="503"/>
      <c r="H690" s="502"/>
      <c r="I690" s="504"/>
      <c r="J690" s="502"/>
      <c r="K690" s="502"/>
      <c r="L690" s="502"/>
      <c r="M690" s="502"/>
      <c r="N690" s="502"/>
      <c r="O690" s="502"/>
      <c r="P690" s="502"/>
      <c r="Q690" s="306"/>
    </row>
    <row r="691" spans="1:17" s="224" customFormat="1" x14ac:dyDescent="0.2">
      <c r="A691" s="416" t="s">
        <v>1</v>
      </c>
      <c r="B691" s="416" t="s">
        <v>0</v>
      </c>
      <c r="C691" s="416" t="s">
        <v>41</v>
      </c>
      <c r="D691" s="423" t="s">
        <v>30</v>
      </c>
      <c r="E691" s="416"/>
      <c r="F691" s="729"/>
      <c r="G691" s="732"/>
      <c r="H691" s="729"/>
      <c r="I691" s="733"/>
      <c r="J691" s="729"/>
      <c r="K691" s="729"/>
      <c r="L691" s="729"/>
      <c r="M691" s="729"/>
      <c r="N691" s="729"/>
      <c r="O691" s="729"/>
      <c r="P691" s="729"/>
      <c r="Q691" s="232"/>
    </row>
    <row r="692" spans="1:17" s="224" customFormat="1" x14ac:dyDescent="0.2">
      <c r="A692" s="285" t="s">
        <v>3</v>
      </c>
      <c r="B692" s="285" t="s">
        <v>40</v>
      </c>
      <c r="C692" s="285" t="s">
        <v>4</v>
      </c>
      <c r="D692" s="427" t="s">
        <v>48</v>
      </c>
      <c r="E692" s="428" t="str">
        <f>B!$D$11</f>
        <v>Jan-17</v>
      </c>
      <c r="F692" s="428" t="str">
        <f>B!$E$11</f>
        <v>Feb-17</v>
      </c>
      <c r="G692" s="428" t="str">
        <f>B!$F$11</f>
        <v>Mar-17</v>
      </c>
      <c r="H692" s="428" t="str">
        <f>B!$G$11</f>
        <v>Apr-17</v>
      </c>
      <c r="I692" s="428" t="str">
        <f>B!$H$11</f>
        <v>May-17</v>
      </c>
      <c r="J692" s="428" t="str">
        <f>B!$I$11</f>
        <v>Jun-17</v>
      </c>
      <c r="K692" s="428" t="str">
        <f>B!$J$11</f>
        <v>Jul-17</v>
      </c>
      <c r="L692" s="428" t="str">
        <f>B!$K$11</f>
        <v>Aug-17</v>
      </c>
      <c r="M692" s="428" t="str">
        <f>B!$L$11</f>
        <v>Sep-17</v>
      </c>
      <c r="N692" s="428" t="str">
        <f>B!$M$11</f>
        <v>Oct-17</v>
      </c>
      <c r="O692" s="428" t="str">
        <f>B!$N$11</f>
        <v>Nov-17</v>
      </c>
      <c r="P692" s="428" t="str">
        <f>B!$O$11</f>
        <v>Dec-17</v>
      </c>
      <c r="Q692" s="428" t="s">
        <v>9</v>
      </c>
    </row>
    <row r="693" spans="1:17" s="224" customFormat="1" x14ac:dyDescent="0.2">
      <c r="A693" s="416"/>
      <c r="B693" s="231" t="s">
        <v>42</v>
      </c>
      <c r="C693" s="231" t="s">
        <v>43</v>
      </c>
      <c r="D693" s="430" t="s">
        <v>45</v>
      </c>
      <c r="E693" s="431" t="s">
        <v>46</v>
      </c>
      <c r="F693" s="431" t="s">
        <v>49</v>
      </c>
      <c r="G693" s="431" t="s">
        <v>50</v>
      </c>
      <c r="H693" s="431" t="s">
        <v>51</v>
      </c>
      <c r="I693" s="431" t="s">
        <v>52</v>
      </c>
      <c r="J693" s="432" t="s">
        <v>53</v>
      </c>
      <c r="K693" s="432" t="s">
        <v>54</v>
      </c>
      <c r="L693" s="432" t="s">
        <v>55</v>
      </c>
      <c r="M693" s="432" t="s">
        <v>56</v>
      </c>
      <c r="N693" s="432" t="s">
        <v>57</v>
      </c>
      <c r="O693" s="432" t="s">
        <v>58</v>
      </c>
      <c r="P693" s="432" t="s">
        <v>59</v>
      </c>
      <c r="Q693" s="432" t="s">
        <v>203</v>
      </c>
    </row>
    <row r="694" spans="1:17" s="224" customFormat="1" x14ac:dyDescent="0.2">
      <c r="A694" s="263"/>
      <c r="D694" s="290"/>
      <c r="E694" s="232"/>
      <c r="F694" s="734"/>
      <c r="G694" s="730"/>
      <c r="H694" s="734"/>
      <c r="I694" s="731"/>
      <c r="J694" s="734"/>
      <c r="K694" s="734"/>
      <c r="L694" s="734"/>
      <c r="M694" s="734"/>
      <c r="N694" s="734"/>
      <c r="O694" s="734"/>
      <c r="P694" s="734"/>
      <c r="Q694" s="232"/>
    </row>
    <row r="695" spans="1:17" s="224" customFormat="1" x14ac:dyDescent="0.2">
      <c r="A695" s="263">
        <v>1</v>
      </c>
      <c r="B695" s="224" t="str">
        <f>B181</f>
        <v>GSO</v>
      </c>
      <c r="C695" s="224" t="str">
        <f>C181</f>
        <v>General Service - Industrial</v>
      </c>
      <c r="D695" s="290"/>
      <c r="F695" s="292"/>
      <c r="G695" s="476"/>
      <c r="H695" s="292"/>
      <c r="I695" s="297"/>
      <c r="J695" s="292"/>
      <c r="K695" s="292"/>
      <c r="L695" s="292"/>
      <c r="M695" s="292"/>
      <c r="N695" s="292"/>
      <c r="O695" s="292"/>
      <c r="P695" s="292"/>
    </row>
    <row r="696" spans="1:17" s="224" customFormat="1" x14ac:dyDescent="0.2">
      <c r="A696" s="263"/>
      <c r="D696" s="290"/>
      <c r="F696" s="292"/>
      <c r="G696" s="476"/>
      <c r="H696" s="292"/>
      <c r="I696" s="297"/>
      <c r="J696" s="292"/>
      <c r="K696" s="292"/>
      <c r="L696" s="292"/>
      <c r="M696" s="292"/>
      <c r="N696" s="292"/>
      <c r="O696" s="292"/>
      <c r="P696" s="292"/>
    </row>
    <row r="697" spans="1:17" s="224" customFormat="1" x14ac:dyDescent="0.2">
      <c r="A697" s="263">
        <f>A695+1</f>
        <v>2</v>
      </c>
      <c r="C697" s="266" t="s">
        <v>112</v>
      </c>
      <c r="D697" s="290"/>
      <c r="F697" s="292"/>
      <c r="G697" s="476"/>
      <c r="H697" s="292"/>
      <c r="I697" s="297"/>
      <c r="J697" s="292"/>
      <c r="K697" s="292"/>
      <c r="L697" s="292"/>
      <c r="M697" s="292"/>
      <c r="N697" s="292"/>
      <c r="O697" s="292"/>
      <c r="P697" s="292"/>
    </row>
    <row r="698" spans="1:17" s="224" customFormat="1" x14ac:dyDescent="0.2">
      <c r="A698" s="263"/>
      <c r="C698" s="266"/>
      <c r="D698" s="290"/>
      <c r="F698" s="292"/>
      <c r="G698" s="476"/>
      <c r="H698" s="292"/>
      <c r="I698" s="297"/>
      <c r="J698" s="292"/>
      <c r="K698" s="292"/>
      <c r="L698" s="292"/>
      <c r="M698" s="292"/>
      <c r="N698" s="292"/>
      <c r="O698" s="292"/>
      <c r="P698" s="292"/>
    </row>
    <row r="699" spans="1:17" s="224" customFormat="1" x14ac:dyDescent="0.2">
      <c r="A699" s="263">
        <f>A697+1</f>
        <v>3</v>
      </c>
      <c r="C699" s="224" t="s">
        <v>202</v>
      </c>
      <c r="D699" s="290"/>
      <c r="E699" s="479">
        <f>B!D87</f>
        <v>43</v>
      </c>
      <c r="F699" s="479">
        <f>B!E87</f>
        <v>43</v>
      </c>
      <c r="G699" s="479">
        <f>B!F87</f>
        <v>43</v>
      </c>
      <c r="H699" s="479">
        <f>B!G87</f>
        <v>43</v>
      </c>
      <c r="I699" s="479">
        <f>B!H87</f>
        <v>43</v>
      </c>
      <c r="J699" s="479">
        <f>B!I87</f>
        <v>44</v>
      </c>
      <c r="K699" s="479">
        <f>B!J87</f>
        <v>44</v>
      </c>
      <c r="L699" s="479">
        <f>B!K87</f>
        <v>45</v>
      </c>
      <c r="M699" s="479">
        <f>B!L87</f>
        <v>44</v>
      </c>
      <c r="N699" s="479">
        <f>B!M87</f>
        <v>44</v>
      </c>
      <c r="O699" s="479">
        <f>B!N87</f>
        <v>44</v>
      </c>
      <c r="P699" s="479">
        <f>B!O87</f>
        <v>44</v>
      </c>
      <c r="Q699" s="479">
        <f>SUM(E699:P699)</f>
        <v>524</v>
      </c>
    </row>
    <row r="700" spans="1:17" s="224" customFormat="1" x14ac:dyDescent="0.2">
      <c r="A700" s="263">
        <f>A699+1</f>
        <v>4</v>
      </c>
      <c r="C700" s="224" t="s">
        <v>210</v>
      </c>
      <c r="D700" s="792">
        <f>Input!U31</f>
        <v>51</v>
      </c>
      <c r="E700" s="434">
        <f t="shared" ref="E700:P700" si="225">ROUND(E699*$D$700,2)</f>
        <v>2193</v>
      </c>
      <c r="F700" s="434">
        <f t="shared" si="225"/>
        <v>2193</v>
      </c>
      <c r="G700" s="434">
        <f t="shared" si="225"/>
        <v>2193</v>
      </c>
      <c r="H700" s="434">
        <f t="shared" si="225"/>
        <v>2193</v>
      </c>
      <c r="I700" s="434">
        <f t="shared" si="225"/>
        <v>2193</v>
      </c>
      <c r="J700" s="434">
        <f t="shared" si="225"/>
        <v>2244</v>
      </c>
      <c r="K700" s="434">
        <f t="shared" si="225"/>
        <v>2244</v>
      </c>
      <c r="L700" s="434">
        <f t="shared" si="225"/>
        <v>2295</v>
      </c>
      <c r="M700" s="434">
        <f t="shared" si="225"/>
        <v>2244</v>
      </c>
      <c r="N700" s="434">
        <f t="shared" si="225"/>
        <v>2244</v>
      </c>
      <c r="O700" s="434">
        <f t="shared" si="225"/>
        <v>2244</v>
      </c>
      <c r="P700" s="434">
        <f t="shared" si="225"/>
        <v>2244</v>
      </c>
      <c r="Q700" s="434">
        <f>SUM(E700:P700)</f>
        <v>26724</v>
      </c>
    </row>
    <row r="701" spans="1:17" s="224" customFormat="1" x14ac:dyDescent="0.2">
      <c r="A701" s="263">
        <f>A700+1</f>
        <v>5</v>
      </c>
      <c r="C701" s="224" t="s">
        <v>211</v>
      </c>
      <c r="D701" s="792">
        <f>Input!W31</f>
        <v>0</v>
      </c>
      <c r="E701" s="434">
        <f t="shared" ref="E701:P701" si="226">ROUND(E699*$D$701,2)</f>
        <v>0</v>
      </c>
      <c r="F701" s="434">
        <f t="shared" si="226"/>
        <v>0</v>
      </c>
      <c r="G701" s="434">
        <f t="shared" si="226"/>
        <v>0</v>
      </c>
      <c r="H701" s="434">
        <f t="shared" si="226"/>
        <v>0</v>
      </c>
      <c r="I701" s="434">
        <f t="shared" si="226"/>
        <v>0</v>
      </c>
      <c r="J701" s="434">
        <f t="shared" si="226"/>
        <v>0</v>
      </c>
      <c r="K701" s="434">
        <f t="shared" si="226"/>
        <v>0</v>
      </c>
      <c r="L701" s="434">
        <f t="shared" si="226"/>
        <v>0</v>
      </c>
      <c r="M701" s="434">
        <f t="shared" si="226"/>
        <v>0</v>
      </c>
      <c r="N701" s="434">
        <f t="shared" si="226"/>
        <v>0</v>
      </c>
      <c r="O701" s="434">
        <f t="shared" si="226"/>
        <v>0</v>
      </c>
      <c r="P701" s="434">
        <f t="shared" si="226"/>
        <v>0</v>
      </c>
      <c r="Q701" s="434">
        <f>SUM(E701:P701)</f>
        <v>0</v>
      </c>
    </row>
    <row r="702" spans="1:17" s="224" customFormat="1" x14ac:dyDescent="0.2">
      <c r="A702" s="263"/>
      <c r="D702" s="738"/>
      <c r="F702" s="292"/>
      <c r="G702" s="476"/>
      <c r="H702" s="292"/>
      <c r="I702" s="297"/>
      <c r="J702" s="292"/>
      <c r="K702" s="292"/>
      <c r="L702" s="292"/>
      <c r="M702" s="292"/>
      <c r="N702" s="292"/>
      <c r="O702" s="292"/>
      <c r="P702" s="292"/>
    </row>
    <row r="703" spans="1:17" s="224" customFormat="1" x14ac:dyDescent="0.2">
      <c r="A703" s="263">
        <f>A701+1</f>
        <v>6</v>
      </c>
      <c r="C703" s="224" t="s">
        <v>209</v>
      </c>
      <c r="D703" s="738"/>
      <c r="E703" s="521"/>
      <c r="F703" s="292"/>
      <c r="G703" s="476"/>
      <c r="H703" s="292"/>
      <c r="I703" s="297"/>
      <c r="J703" s="292"/>
      <c r="K703" s="292"/>
      <c r="L703" s="292"/>
      <c r="M703" s="292"/>
      <c r="N703" s="292"/>
      <c r="O703" s="292"/>
      <c r="P703" s="292"/>
    </row>
    <row r="704" spans="1:17" s="224" customFormat="1" x14ac:dyDescent="0.2">
      <c r="A704" s="263">
        <f>A703+1</f>
        <v>7</v>
      </c>
      <c r="C704" s="224" t="str">
        <f>'C'!B113</f>
        <v xml:space="preserve">    First 50 Mcf</v>
      </c>
      <c r="D704" s="738"/>
      <c r="E704" s="483">
        <f>'C'!D125</f>
        <v>1708.9</v>
      </c>
      <c r="F704" s="483">
        <f>'C'!E125</f>
        <v>1701.3</v>
      </c>
      <c r="G704" s="483">
        <f>'C'!F125</f>
        <v>1750.8</v>
      </c>
      <c r="H704" s="483">
        <f>'C'!G125</f>
        <v>1513.3</v>
      </c>
      <c r="I704" s="483">
        <f>'C'!H125</f>
        <v>1170.7</v>
      </c>
      <c r="J704" s="483">
        <f>'C'!I125</f>
        <v>916.7</v>
      </c>
      <c r="K704" s="483">
        <f>'C'!J125</f>
        <v>785.3</v>
      </c>
      <c r="L704" s="483">
        <f>'C'!K125</f>
        <v>882.2</v>
      </c>
      <c r="M704" s="483">
        <f>'C'!L125</f>
        <v>940.1</v>
      </c>
      <c r="N704" s="483">
        <f>'C'!M125</f>
        <v>1050</v>
      </c>
      <c r="O704" s="483">
        <f>'C'!N125</f>
        <v>1434.4</v>
      </c>
      <c r="P704" s="483">
        <f>'C'!O125</f>
        <v>1636.5</v>
      </c>
      <c r="Q704" s="483">
        <f>SUM(E704:P704)</f>
        <v>15490.2</v>
      </c>
    </row>
    <row r="705" spans="1:17" s="224" customFormat="1" x14ac:dyDescent="0.2">
      <c r="A705" s="263">
        <f>A704+1</f>
        <v>8</v>
      </c>
      <c r="C705" s="224" t="str">
        <f>'C'!B114</f>
        <v xml:space="preserve">    Next 350 Mcf</v>
      </c>
      <c r="D705" s="738"/>
      <c r="E705" s="483">
        <f>'C'!D126</f>
        <v>7148.9</v>
      </c>
      <c r="F705" s="483">
        <f>'C'!E126</f>
        <v>6006.8</v>
      </c>
      <c r="G705" s="483">
        <f>'C'!F126</f>
        <v>6156.4</v>
      </c>
      <c r="H705" s="483">
        <f>'C'!G126</f>
        <v>6215.5</v>
      </c>
      <c r="I705" s="483">
        <f>'C'!H126</f>
        <v>4577.2</v>
      </c>
      <c r="J705" s="483">
        <f>'C'!I126</f>
        <v>4111.5</v>
      </c>
      <c r="K705" s="483">
        <f>'C'!J126</f>
        <v>4287.7</v>
      </c>
      <c r="L705" s="483">
        <f>'C'!K126</f>
        <v>4689.2</v>
      </c>
      <c r="M705" s="483">
        <f>'C'!L126</f>
        <v>4390.5</v>
      </c>
      <c r="N705" s="483">
        <f>'C'!M126</f>
        <v>4922.5</v>
      </c>
      <c r="O705" s="483">
        <f>'C'!N126</f>
        <v>5568</v>
      </c>
      <c r="P705" s="483">
        <f>'C'!O126</f>
        <v>5921.9</v>
      </c>
      <c r="Q705" s="483">
        <f>SUM(E705:P705)</f>
        <v>63996.1</v>
      </c>
    </row>
    <row r="706" spans="1:17" s="224" customFormat="1" x14ac:dyDescent="0.2">
      <c r="A706" s="263">
        <f>A705+1</f>
        <v>9</v>
      </c>
      <c r="C706" s="224" t="str">
        <f>'C'!B115</f>
        <v xml:space="preserve">    Next 600 Mcf</v>
      </c>
      <c r="D706" s="738"/>
      <c r="E706" s="483">
        <f>'C'!D127</f>
        <v>5057.5</v>
      </c>
      <c r="F706" s="483">
        <f>'C'!E127</f>
        <v>5060.1000000000004</v>
      </c>
      <c r="G706" s="483">
        <f>'C'!F127</f>
        <v>5050.7</v>
      </c>
      <c r="H706" s="483">
        <f>'C'!G127</f>
        <v>4677.8999999999996</v>
      </c>
      <c r="I706" s="483">
        <f>'C'!H127</f>
        <v>4645.7</v>
      </c>
      <c r="J706" s="483">
        <f>'C'!I127</f>
        <v>4385</v>
      </c>
      <c r="K706" s="483">
        <f>'C'!J127</f>
        <v>4760.5</v>
      </c>
      <c r="L706" s="483">
        <f>'C'!K127</f>
        <v>5222.2</v>
      </c>
      <c r="M706" s="483">
        <f>'C'!L127</f>
        <v>5369</v>
      </c>
      <c r="N706" s="483">
        <f>'C'!M127</f>
        <v>5769.7</v>
      </c>
      <c r="O706" s="483">
        <f>'C'!N127</f>
        <v>4707.2</v>
      </c>
      <c r="P706" s="483">
        <f>'C'!O127</f>
        <v>4633.3999999999996</v>
      </c>
      <c r="Q706" s="483">
        <f>SUM(E706:P706)</f>
        <v>59338.899999999987</v>
      </c>
    </row>
    <row r="707" spans="1:17" s="224" customFormat="1" x14ac:dyDescent="0.2">
      <c r="A707" s="263">
        <f>A706+1</f>
        <v>10</v>
      </c>
      <c r="C707" s="224" t="str">
        <f>'C'!B116</f>
        <v xml:space="preserve">    Over 1,000 Mcf</v>
      </c>
      <c r="D707" s="738"/>
      <c r="E707" s="522">
        <f>'C'!D128</f>
        <v>19084.900000000001</v>
      </c>
      <c r="F707" s="522">
        <f>'C'!E128</f>
        <v>19231.7</v>
      </c>
      <c r="G707" s="522">
        <f>'C'!F128</f>
        <v>17942.099999999999</v>
      </c>
      <c r="H707" s="522">
        <f>'C'!G128</f>
        <v>17393.2</v>
      </c>
      <c r="I707" s="522">
        <f>'C'!H128</f>
        <v>18406.7</v>
      </c>
      <c r="J707" s="522">
        <f>'C'!I128</f>
        <v>18336.7</v>
      </c>
      <c r="K707" s="522">
        <f>'C'!J128</f>
        <v>17916.400000000001</v>
      </c>
      <c r="L707" s="522">
        <f>'C'!K128</f>
        <v>17956.599999999999</v>
      </c>
      <c r="M707" s="522">
        <f>'C'!L128</f>
        <v>18050.599999999999</v>
      </c>
      <c r="N707" s="522">
        <f>'C'!M128</f>
        <v>19107.7</v>
      </c>
      <c r="O707" s="522">
        <f>'C'!N128</f>
        <v>19190.400000000001</v>
      </c>
      <c r="P707" s="522">
        <f>'C'!O128</f>
        <v>18808.3</v>
      </c>
      <c r="Q707" s="522">
        <f>SUM(E707:P707)</f>
        <v>221425.30000000002</v>
      </c>
    </row>
    <row r="708" spans="1:17" s="224" customFormat="1" x14ac:dyDescent="0.2">
      <c r="A708" s="263"/>
      <c r="D708" s="738"/>
      <c r="E708" s="483">
        <f t="shared" ref="E708:P708" si="227">SUM(E704:E707)</f>
        <v>33000.199999999997</v>
      </c>
      <c r="F708" s="483">
        <f t="shared" si="227"/>
        <v>31999.9</v>
      </c>
      <c r="G708" s="483">
        <f t="shared" si="227"/>
        <v>30900</v>
      </c>
      <c r="H708" s="483">
        <f t="shared" si="227"/>
        <v>29799.9</v>
      </c>
      <c r="I708" s="483">
        <f t="shared" si="227"/>
        <v>28800.3</v>
      </c>
      <c r="J708" s="483">
        <f t="shared" si="227"/>
        <v>27749.9</v>
      </c>
      <c r="K708" s="483">
        <f t="shared" si="227"/>
        <v>27749.9</v>
      </c>
      <c r="L708" s="483">
        <f t="shared" si="227"/>
        <v>28750.199999999997</v>
      </c>
      <c r="M708" s="483">
        <f t="shared" si="227"/>
        <v>28750.199999999997</v>
      </c>
      <c r="N708" s="483">
        <f t="shared" si="227"/>
        <v>30849.9</v>
      </c>
      <c r="O708" s="483">
        <f t="shared" si="227"/>
        <v>30900</v>
      </c>
      <c r="P708" s="483">
        <f t="shared" si="227"/>
        <v>31000.1</v>
      </c>
      <c r="Q708" s="483">
        <f>SUM(E708:P708)</f>
        <v>360250.5</v>
      </c>
    </row>
    <row r="709" spans="1:17" s="224" customFormat="1" x14ac:dyDescent="0.2">
      <c r="A709" s="263">
        <f>A707+1</f>
        <v>11</v>
      </c>
      <c r="C709" s="224" t="s">
        <v>207</v>
      </c>
      <c r="D709" s="738"/>
      <c r="F709" s="292"/>
      <c r="G709" s="476"/>
      <c r="H709" s="292"/>
      <c r="I709" s="297"/>
      <c r="J709" s="292"/>
      <c r="K709" s="292"/>
      <c r="L709" s="292"/>
      <c r="M709" s="292"/>
      <c r="N709" s="292"/>
      <c r="O709" s="292"/>
      <c r="P709" s="292"/>
      <c r="Q709" s="543"/>
    </row>
    <row r="710" spans="1:17" s="224" customFormat="1" x14ac:dyDescent="0.2">
      <c r="A710" s="263">
        <f>A709+1</f>
        <v>12</v>
      </c>
      <c r="C710" s="224" t="str">
        <f>C704</f>
        <v xml:space="preserve">    First 50 Mcf</v>
      </c>
      <c r="D710" s="793">
        <f>Input!P31</f>
        <v>3.4714</v>
      </c>
      <c r="E710" s="434">
        <f t="shared" ref="E710:P710" si="228">ROUND(E704*$D$710,2)</f>
        <v>5932.28</v>
      </c>
      <c r="F710" s="434">
        <f t="shared" si="228"/>
        <v>5905.89</v>
      </c>
      <c r="G710" s="434">
        <f t="shared" si="228"/>
        <v>6077.73</v>
      </c>
      <c r="H710" s="434">
        <f t="shared" si="228"/>
        <v>5253.27</v>
      </c>
      <c r="I710" s="434">
        <f t="shared" si="228"/>
        <v>4063.97</v>
      </c>
      <c r="J710" s="434">
        <f t="shared" si="228"/>
        <v>3182.23</v>
      </c>
      <c r="K710" s="434">
        <f t="shared" si="228"/>
        <v>2726.09</v>
      </c>
      <c r="L710" s="434">
        <f t="shared" si="228"/>
        <v>3062.47</v>
      </c>
      <c r="M710" s="434">
        <f t="shared" si="228"/>
        <v>3263.46</v>
      </c>
      <c r="N710" s="434">
        <f t="shared" si="228"/>
        <v>3644.97</v>
      </c>
      <c r="O710" s="434">
        <f t="shared" si="228"/>
        <v>4979.38</v>
      </c>
      <c r="P710" s="434">
        <f t="shared" si="228"/>
        <v>5680.95</v>
      </c>
      <c r="Q710" s="434">
        <f>SUM(E710:P710)</f>
        <v>53772.69</v>
      </c>
    </row>
    <row r="711" spans="1:17" s="224" customFormat="1" x14ac:dyDescent="0.2">
      <c r="A711" s="263">
        <f>A710+1</f>
        <v>13</v>
      </c>
      <c r="C711" s="224" t="str">
        <f>C705</f>
        <v xml:space="preserve">    Next 350 Mcf</v>
      </c>
      <c r="D711" s="793">
        <f>Input!Q31</f>
        <v>2.6833</v>
      </c>
      <c r="E711" s="479">
        <f t="shared" ref="E711:P711" si="229">ROUND(E705*$D$711,2)</f>
        <v>19182.64</v>
      </c>
      <c r="F711" s="479">
        <f t="shared" si="229"/>
        <v>16118.05</v>
      </c>
      <c r="G711" s="479">
        <f t="shared" si="229"/>
        <v>16519.47</v>
      </c>
      <c r="H711" s="479">
        <f t="shared" si="229"/>
        <v>16678.05</v>
      </c>
      <c r="I711" s="479">
        <f t="shared" si="229"/>
        <v>12282</v>
      </c>
      <c r="J711" s="479">
        <f t="shared" si="229"/>
        <v>11032.39</v>
      </c>
      <c r="K711" s="479">
        <f t="shared" si="229"/>
        <v>11505.19</v>
      </c>
      <c r="L711" s="479">
        <f t="shared" si="229"/>
        <v>12582.53</v>
      </c>
      <c r="M711" s="479">
        <f t="shared" si="229"/>
        <v>11781.03</v>
      </c>
      <c r="N711" s="479">
        <f t="shared" si="229"/>
        <v>13208.54</v>
      </c>
      <c r="O711" s="479">
        <f t="shared" si="229"/>
        <v>14940.61</v>
      </c>
      <c r="P711" s="479">
        <f t="shared" si="229"/>
        <v>15890.23</v>
      </c>
      <c r="Q711" s="479">
        <f>SUM(E711:P711)</f>
        <v>171720.73</v>
      </c>
    </row>
    <row r="712" spans="1:17" s="224" customFormat="1" x14ac:dyDescent="0.2">
      <c r="A712" s="263">
        <f>A711+1</f>
        <v>14</v>
      </c>
      <c r="C712" s="224" t="str">
        <f>C706</f>
        <v xml:space="preserve">    Next 600 Mcf</v>
      </c>
      <c r="D712" s="793">
        <f>Input!R31</f>
        <v>2.5514000000000001</v>
      </c>
      <c r="E712" s="479">
        <f t="shared" ref="E712:O712" si="230">ROUND(E706*$D$712,2)</f>
        <v>12903.71</v>
      </c>
      <c r="F712" s="479">
        <f t="shared" si="230"/>
        <v>12910.34</v>
      </c>
      <c r="G712" s="479">
        <f t="shared" si="230"/>
        <v>12886.36</v>
      </c>
      <c r="H712" s="479">
        <f t="shared" si="230"/>
        <v>11935.19</v>
      </c>
      <c r="I712" s="479">
        <f t="shared" si="230"/>
        <v>11853.04</v>
      </c>
      <c r="J712" s="479">
        <f t="shared" si="230"/>
        <v>11187.89</v>
      </c>
      <c r="K712" s="479">
        <f t="shared" si="230"/>
        <v>12145.94</v>
      </c>
      <c r="L712" s="479">
        <f t="shared" si="230"/>
        <v>13323.92</v>
      </c>
      <c r="M712" s="479">
        <f t="shared" si="230"/>
        <v>13698.47</v>
      </c>
      <c r="N712" s="479">
        <f t="shared" si="230"/>
        <v>14720.81</v>
      </c>
      <c r="O712" s="479">
        <f t="shared" si="230"/>
        <v>12009.95</v>
      </c>
      <c r="P712" s="479">
        <f>ROUND(P706*$D$712,2)</f>
        <v>11821.66</v>
      </c>
      <c r="Q712" s="479">
        <f>SUM(E712:P712)</f>
        <v>151397.28</v>
      </c>
    </row>
    <row r="713" spans="1:17" s="224" customFormat="1" x14ac:dyDescent="0.2">
      <c r="A713" s="263">
        <f>A712+1</f>
        <v>15</v>
      </c>
      <c r="C713" s="224" t="str">
        <f>C707</f>
        <v xml:space="preserve">    Over 1,000 Mcf</v>
      </c>
      <c r="D713" s="793">
        <f>Input!S31</f>
        <v>2.3222999999999998</v>
      </c>
      <c r="E713" s="528">
        <f t="shared" ref="E713:O713" si="231">ROUND(E707*$D$713,2)</f>
        <v>44320.86</v>
      </c>
      <c r="F713" s="528">
        <f t="shared" si="231"/>
        <v>44661.78</v>
      </c>
      <c r="G713" s="528">
        <f t="shared" si="231"/>
        <v>41666.94</v>
      </c>
      <c r="H713" s="528">
        <f t="shared" si="231"/>
        <v>40392.230000000003</v>
      </c>
      <c r="I713" s="528">
        <f t="shared" si="231"/>
        <v>42745.88</v>
      </c>
      <c r="J713" s="528">
        <f t="shared" si="231"/>
        <v>42583.32</v>
      </c>
      <c r="K713" s="528">
        <f t="shared" si="231"/>
        <v>41607.26</v>
      </c>
      <c r="L713" s="528">
        <f t="shared" si="231"/>
        <v>41700.61</v>
      </c>
      <c r="M713" s="528">
        <f t="shared" si="231"/>
        <v>41918.910000000003</v>
      </c>
      <c r="N713" s="528">
        <f t="shared" si="231"/>
        <v>44373.81</v>
      </c>
      <c r="O713" s="528">
        <f t="shared" si="231"/>
        <v>44565.87</v>
      </c>
      <c r="P713" s="528">
        <f>ROUND(P707*$D$713,2)</f>
        <v>43678.52</v>
      </c>
      <c r="Q713" s="528">
        <f>SUM(E713:P713)</f>
        <v>514215.99000000005</v>
      </c>
    </row>
    <row r="714" spans="1:17" s="224" customFormat="1" x14ac:dyDescent="0.2">
      <c r="A714" s="263"/>
      <c r="D714" s="738"/>
      <c r="E714" s="434">
        <f t="shared" ref="E714:P714" si="232">SUM(E710:E713)</f>
        <v>82339.489999999991</v>
      </c>
      <c r="F714" s="434">
        <f t="shared" si="232"/>
        <v>79596.06</v>
      </c>
      <c r="G714" s="434">
        <f t="shared" si="232"/>
        <v>77150.5</v>
      </c>
      <c r="H714" s="434">
        <f t="shared" si="232"/>
        <v>74258.740000000005</v>
      </c>
      <c r="I714" s="434">
        <f t="shared" si="232"/>
        <v>70944.89</v>
      </c>
      <c r="J714" s="434">
        <f t="shared" si="232"/>
        <v>67985.83</v>
      </c>
      <c r="K714" s="434">
        <f t="shared" si="232"/>
        <v>67984.48000000001</v>
      </c>
      <c r="L714" s="434">
        <f t="shared" si="232"/>
        <v>70669.53</v>
      </c>
      <c r="M714" s="434">
        <f t="shared" si="232"/>
        <v>70661.87</v>
      </c>
      <c r="N714" s="434">
        <f t="shared" si="232"/>
        <v>75948.13</v>
      </c>
      <c r="O714" s="434">
        <f t="shared" si="232"/>
        <v>76495.81</v>
      </c>
      <c r="P714" s="434">
        <f t="shared" si="232"/>
        <v>77071.359999999986</v>
      </c>
      <c r="Q714" s="434">
        <f>SUM(E714:P714)</f>
        <v>891106.69000000006</v>
      </c>
    </row>
    <row r="715" spans="1:17" s="224" customFormat="1" x14ac:dyDescent="0.2">
      <c r="A715" s="263"/>
      <c r="D715" s="738"/>
      <c r="E715" s="292"/>
      <c r="F715" s="292"/>
      <c r="G715" s="292"/>
      <c r="H715" s="292"/>
      <c r="I715" s="292"/>
      <c r="J715" s="292"/>
      <c r="K715" s="292"/>
      <c r="L715" s="292"/>
      <c r="M715" s="292"/>
      <c r="N715" s="292"/>
      <c r="O715" s="292"/>
      <c r="P715" s="292"/>
      <c r="Q715" s="292"/>
    </row>
    <row r="716" spans="1:17" s="224" customFormat="1" x14ac:dyDescent="0.2">
      <c r="A716" s="263">
        <f>A713+1</f>
        <v>16</v>
      </c>
      <c r="C716" s="224" t="s">
        <v>204</v>
      </c>
      <c r="D716" s="738"/>
      <c r="E716" s="434">
        <f t="shared" ref="E716:P716" si="233">E700+E701+E714</f>
        <v>84532.489999999991</v>
      </c>
      <c r="F716" s="434">
        <f t="shared" si="233"/>
        <v>81789.06</v>
      </c>
      <c r="G716" s="434">
        <f t="shared" si="233"/>
        <v>79343.5</v>
      </c>
      <c r="H716" s="434">
        <f t="shared" si="233"/>
        <v>76451.740000000005</v>
      </c>
      <c r="I716" s="434">
        <f t="shared" si="233"/>
        <v>73137.89</v>
      </c>
      <c r="J716" s="434">
        <f t="shared" si="233"/>
        <v>70229.83</v>
      </c>
      <c r="K716" s="434">
        <f t="shared" si="233"/>
        <v>70228.48000000001</v>
      </c>
      <c r="L716" s="434">
        <f t="shared" si="233"/>
        <v>72964.53</v>
      </c>
      <c r="M716" s="434">
        <f t="shared" si="233"/>
        <v>72905.87</v>
      </c>
      <c r="N716" s="434">
        <f t="shared" si="233"/>
        <v>78192.13</v>
      </c>
      <c r="O716" s="434">
        <f t="shared" si="233"/>
        <v>78739.81</v>
      </c>
      <c r="P716" s="434">
        <f t="shared" si="233"/>
        <v>79315.359999999986</v>
      </c>
      <c r="Q716" s="434">
        <f>SUM(E716:P716)</f>
        <v>917830.69000000006</v>
      </c>
    </row>
    <row r="717" spans="1:17" s="224" customFormat="1" x14ac:dyDescent="0.2">
      <c r="A717" s="263"/>
      <c r="D717" s="738"/>
      <c r="E717" s="489"/>
      <c r="F717" s="489"/>
      <c r="G717" s="489"/>
      <c r="H717" s="489"/>
      <c r="I717" s="489"/>
      <c r="J717" s="489"/>
      <c r="K717" s="489"/>
      <c r="L717" s="489"/>
      <c r="M717" s="489"/>
      <c r="N717" s="489"/>
      <c r="O717" s="489"/>
      <c r="P717" s="489"/>
      <c r="Q717" s="489"/>
    </row>
    <row r="718" spans="1:17" s="224" customFormat="1" x14ac:dyDescent="0.2">
      <c r="A718" s="263">
        <f>A716+1</f>
        <v>17</v>
      </c>
      <c r="C718" s="224" t="s">
        <v>208</v>
      </c>
      <c r="D718" s="793">
        <f>EGC</f>
        <v>2.2090999999999998</v>
      </c>
      <c r="E718" s="434">
        <f t="shared" ref="E718:P718" si="234">ROUND(E708*$D$718,2)</f>
        <v>72900.740000000005</v>
      </c>
      <c r="F718" s="434">
        <f t="shared" si="234"/>
        <v>70690.98</v>
      </c>
      <c r="G718" s="434">
        <f t="shared" si="234"/>
        <v>68261.19</v>
      </c>
      <c r="H718" s="434">
        <f t="shared" si="234"/>
        <v>65830.960000000006</v>
      </c>
      <c r="I718" s="434">
        <f t="shared" si="234"/>
        <v>63622.74</v>
      </c>
      <c r="J718" s="434">
        <f t="shared" si="234"/>
        <v>61302.3</v>
      </c>
      <c r="K718" s="434">
        <f t="shared" si="234"/>
        <v>61302.3</v>
      </c>
      <c r="L718" s="434">
        <f t="shared" si="234"/>
        <v>63512.07</v>
      </c>
      <c r="M718" s="434">
        <f t="shared" si="234"/>
        <v>63512.07</v>
      </c>
      <c r="N718" s="434">
        <f t="shared" si="234"/>
        <v>68150.509999999995</v>
      </c>
      <c r="O718" s="434">
        <f t="shared" si="234"/>
        <v>68261.19</v>
      </c>
      <c r="P718" s="434">
        <f t="shared" si="234"/>
        <v>68482.320000000007</v>
      </c>
      <c r="Q718" s="434">
        <f>SUM(E718:P718)</f>
        <v>795829.36999999988</v>
      </c>
    </row>
    <row r="719" spans="1:17" s="224" customFormat="1" x14ac:dyDescent="0.2">
      <c r="A719" s="263"/>
      <c r="D719" s="738"/>
      <c r="E719" s="489"/>
      <c r="F719" s="489"/>
      <c r="G719" s="489"/>
      <c r="H719" s="489"/>
      <c r="I719" s="489"/>
      <c r="J719" s="489"/>
      <c r="K719" s="489"/>
      <c r="L719" s="489"/>
      <c r="M719" s="489"/>
      <c r="N719" s="489"/>
      <c r="O719" s="489"/>
      <c r="P719" s="489"/>
      <c r="Q719" s="489"/>
    </row>
    <row r="720" spans="1:17" s="224" customFormat="1" x14ac:dyDescent="0.2">
      <c r="A720" s="720">
        <f>A718+1</f>
        <v>18</v>
      </c>
      <c r="B720" s="453"/>
      <c r="C720" s="453" t="s">
        <v>206</v>
      </c>
      <c r="D720" s="739"/>
      <c r="E720" s="457">
        <f t="shared" ref="E720:P720" si="235">E716+E718</f>
        <v>157433.22999999998</v>
      </c>
      <c r="F720" s="457">
        <f t="shared" si="235"/>
        <v>152480.03999999998</v>
      </c>
      <c r="G720" s="457">
        <f t="shared" si="235"/>
        <v>147604.69</v>
      </c>
      <c r="H720" s="457">
        <f t="shared" si="235"/>
        <v>142282.70000000001</v>
      </c>
      <c r="I720" s="457">
        <f t="shared" si="235"/>
        <v>136760.63</v>
      </c>
      <c r="J720" s="457">
        <f t="shared" si="235"/>
        <v>131532.13</v>
      </c>
      <c r="K720" s="457">
        <f t="shared" si="235"/>
        <v>131530.78000000003</v>
      </c>
      <c r="L720" s="457">
        <f t="shared" si="235"/>
        <v>136476.6</v>
      </c>
      <c r="M720" s="457">
        <f t="shared" si="235"/>
        <v>136417.94</v>
      </c>
      <c r="N720" s="457">
        <f t="shared" si="235"/>
        <v>146342.64000000001</v>
      </c>
      <c r="O720" s="457">
        <f t="shared" si="235"/>
        <v>147001</v>
      </c>
      <c r="P720" s="457">
        <f t="shared" si="235"/>
        <v>147797.68</v>
      </c>
      <c r="Q720" s="457">
        <f>SUM(E720:P720)</f>
        <v>1713660.0599999998</v>
      </c>
    </row>
    <row r="721" spans="1:17" s="224" customFormat="1" x14ac:dyDescent="0.2">
      <c r="A721" s="263"/>
      <c r="D721" s="740"/>
      <c r="F721" s="292"/>
      <c r="G721" s="476"/>
      <c r="H721" s="292"/>
      <c r="I721" s="297"/>
      <c r="J721" s="292"/>
      <c r="K721" s="292"/>
      <c r="L721" s="292"/>
      <c r="M721" s="292"/>
      <c r="N721" s="292"/>
      <c r="O721" s="292"/>
      <c r="P721" s="292"/>
      <c r="Q721" s="543"/>
    </row>
    <row r="722" spans="1:17" s="224" customFormat="1" x14ac:dyDescent="0.2">
      <c r="A722" s="263">
        <f>A720+1</f>
        <v>19</v>
      </c>
      <c r="C722" s="224" t="s">
        <v>196</v>
      </c>
      <c r="D722" s="740"/>
      <c r="F722" s="292"/>
      <c r="G722" s="476"/>
      <c r="H722" s="292"/>
      <c r="I722" s="297"/>
      <c r="J722" s="292"/>
      <c r="K722" s="292"/>
      <c r="L722" s="292"/>
      <c r="M722" s="292"/>
      <c r="N722" s="292"/>
      <c r="O722" s="292"/>
      <c r="P722" s="292"/>
      <c r="Q722" s="543"/>
    </row>
    <row r="723" spans="1:17" s="224" customFormat="1" x14ac:dyDescent="0.2">
      <c r="A723" s="263">
        <f>A722+1</f>
        <v>20</v>
      </c>
      <c r="C723" s="290" t="s">
        <v>214</v>
      </c>
      <c r="D723" s="793">
        <f>Input!AA31</f>
        <v>2.5999999999999999E-2</v>
      </c>
      <c r="E723" s="434">
        <f t="shared" ref="E723:P723" si="236">ROUND(E708*$D$723,2)</f>
        <v>858.01</v>
      </c>
      <c r="F723" s="434">
        <f t="shared" si="236"/>
        <v>832</v>
      </c>
      <c r="G723" s="434">
        <f t="shared" si="236"/>
        <v>803.4</v>
      </c>
      <c r="H723" s="434">
        <f t="shared" si="236"/>
        <v>774.8</v>
      </c>
      <c r="I723" s="434">
        <f t="shared" si="236"/>
        <v>748.81</v>
      </c>
      <c r="J723" s="434">
        <f t="shared" si="236"/>
        <v>721.5</v>
      </c>
      <c r="K723" s="434">
        <f t="shared" si="236"/>
        <v>721.5</v>
      </c>
      <c r="L723" s="434">
        <f t="shared" si="236"/>
        <v>747.51</v>
      </c>
      <c r="M723" s="434">
        <f t="shared" si="236"/>
        <v>747.51</v>
      </c>
      <c r="N723" s="434">
        <f t="shared" si="236"/>
        <v>802.1</v>
      </c>
      <c r="O723" s="434">
        <f t="shared" si="236"/>
        <v>803.4</v>
      </c>
      <c r="P723" s="434">
        <f t="shared" si="236"/>
        <v>806</v>
      </c>
      <c r="Q723" s="434">
        <f>SUM(E723:P723)</f>
        <v>9366.5400000000009</v>
      </c>
    </row>
    <row r="724" spans="1:17" s="224" customFormat="1" x14ac:dyDescent="0.2">
      <c r="A724" s="263"/>
      <c r="D724" s="290"/>
      <c r="E724" s="489"/>
      <c r="F724" s="489"/>
      <c r="G724" s="489"/>
      <c r="H724" s="489"/>
      <c r="I724" s="489"/>
      <c r="J724" s="489"/>
      <c r="K724" s="489"/>
      <c r="L724" s="489"/>
      <c r="M724" s="489"/>
      <c r="N724" s="489"/>
      <c r="O724" s="489"/>
      <c r="P724" s="489"/>
      <c r="Q724" s="489"/>
    </row>
    <row r="725" spans="1:17" s="224" customFormat="1" ht="10.8" thickBot="1" x14ac:dyDescent="0.25">
      <c r="A725" s="724">
        <f>A723+1</f>
        <v>21</v>
      </c>
      <c r="B725" s="496"/>
      <c r="C725" s="725" t="s">
        <v>205</v>
      </c>
      <c r="D725" s="726"/>
      <c r="E725" s="499">
        <f>E720+E723</f>
        <v>158291.24</v>
      </c>
      <c r="F725" s="499">
        <f t="shared" ref="F725:P725" si="237">F720+F723</f>
        <v>153312.03999999998</v>
      </c>
      <c r="G725" s="499">
        <f t="shared" si="237"/>
        <v>148408.09</v>
      </c>
      <c r="H725" s="499">
        <f t="shared" si="237"/>
        <v>143057.5</v>
      </c>
      <c r="I725" s="499">
        <f t="shared" si="237"/>
        <v>137509.44</v>
      </c>
      <c r="J725" s="499">
        <f t="shared" si="237"/>
        <v>132253.63</v>
      </c>
      <c r="K725" s="499">
        <f t="shared" si="237"/>
        <v>132252.28000000003</v>
      </c>
      <c r="L725" s="499">
        <f t="shared" si="237"/>
        <v>137224.11000000002</v>
      </c>
      <c r="M725" s="499">
        <f t="shared" si="237"/>
        <v>137165.45000000001</v>
      </c>
      <c r="N725" s="499">
        <f t="shared" si="237"/>
        <v>147144.74000000002</v>
      </c>
      <c r="O725" s="499">
        <f t="shared" si="237"/>
        <v>147804.4</v>
      </c>
      <c r="P725" s="499">
        <f t="shared" si="237"/>
        <v>148603.68</v>
      </c>
      <c r="Q725" s="499">
        <f>SUM(E725:P725)</f>
        <v>1723026.5999999999</v>
      </c>
    </row>
    <row r="726" spans="1:17" s="224" customFormat="1" ht="10.8" thickTop="1" x14ac:dyDescent="0.2">
      <c r="A726" s="263"/>
      <c r="D726" s="290"/>
      <c r="F726" s="292"/>
      <c r="G726" s="476"/>
      <c r="H726" s="292"/>
      <c r="I726" s="297"/>
      <c r="J726" s="292"/>
      <c r="K726" s="292"/>
      <c r="L726" s="292"/>
      <c r="M726" s="292"/>
      <c r="N726" s="292"/>
      <c r="O726" s="292"/>
      <c r="P726" s="292"/>
    </row>
    <row r="727" spans="1:17" s="224" customFormat="1" x14ac:dyDescent="0.2">
      <c r="A727" s="263"/>
      <c r="D727" s="290"/>
      <c r="F727" s="292"/>
      <c r="G727" s="476"/>
      <c r="H727" s="292"/>
      <c r="I727" s="297"/>
      <c r="J727" s="292"/>
      <c r="K727" s="292"/>
      <c r="L727" s="292"/>
      <c r="M727" s="292"/>
      <c r="N727" s="292"/>
      <c r="O727" s="292"/>
      <c r="P727" s="292"/>
    </row>
    <row r="728" spans="1:17" s="224" customFormat="1" x14ac:dyDescent="0.2">
      <c r="A728" s="629" t="str">
        <f>$A$265</f>
        <v>[1] Reflects Normalized Volumes.</v>
      </c>
      <c r="D728" s="290"/>
      <c r="F728" s="292"/>
      <c r="G728" s="476"/>
      <c r="H728" s="292"/>
      <c r="I728" s="297"/>
      <c r="J728" s="292"/>
      <c r="K728" s="292"/>
      <c r="L728" s="292"/>
      <c r="M728" s="292"/>
      <c r="N728" s="292"/>
      <c r="O728" s="292"/>
      <c r="P728" s="292"/>
    </row>
    <row r="729" spans="1:17" s="224" customFormat="1" x14ac:dyDescent="0.2">
      <c r="A729" s="629" t="str">
        <f>"[2] Reflects Gas Cost Adjustment Rate"&amp;CONCATENATE(" as of ",EGCDATE)&amp;"."</f>
        <v>[2] Reflects Gas Cost Adjustment Rate as of March 1, 2016.</v>
      </c>
      <c r="D729" s="290"/>
      <c r="F729" s="292"/>
      <c r="G729" s="476"/>
      <c r="H729" s="292"/>
      <c r="I729" s="297"/>
      <c r="J729" s="292"/>
      <c r="K729" s="292"/>
      <c r="L729" s="292"/>
      <c r="M729" s="292"/>
      <c r="N729" s="292"/>
      <c r="O729" s="292"/>
      <c r="P729" s="292"/>
    </row>
    <row r="730" spans="1:17" s="224" customFormat="1" x14ac:dyDescent="0.2">
      <c r="A730" s="889" t="str">
        <f>CONAME</f>
        <v>Columbia Gas of Kentucky, Inc.</v>
      </c>
      <c r="B730" s="889"/>
      <c r="C730" s="889"/>
      <c r="D730" s="889"/>
      <c r="E730" s="889"/>
      <c r="F730" s="889"/>
      <c r="G730" s="889"/>
      <c r="H730" s="889"/>
      <c r="I730" s="889"/>
      <c r="J730" s="889"/>
      <c r="K730" s="889"/>
      <c r="L730" s="889"/>
      <c r="M730" s="889"/>
      <c r="N730" s="889"/>
      <c r="O730" s="889"/>
      <c r="P730" s="889"/>
      <c r="Q730" s="889"/>
    </row>
    <row r="731" spans="1:17" s="224" customFormat="1" x14ac:dyDescent="0.2">
      <c r="A731" s="872" t="str">
        <f>case</f>
        <v>Case No. 2016-00162</v>
      </c>
      <c r="B731" s="872"/>
      <c r="C731" s="872"/>
      <c r="D731" s="872"/>
      <c r="E731" s="872"/>
      <c r="F731" s="872"/>
      <c r="G731" s="872"/>
      <c r="H731" s="872"/>
      <c r="I731" s="872"/>
      <c r="J731" s="872"/>
      <c r="K731" s="872"/>
      <c r="L731" s="872"/>
      <c r="M731" s="872"/>
      <c r="N731" s="872"/>
      <c r="O731" s="872"/>
      <c r="P731" s="872"/>
      <c r="Q731" s="872"/>
    </row>
    <row r="732" spans="1:17" s="224" customFormat="1" x14ac:dyDescent="0.2">
      <c r="A732" s="892" t="s">
        <v>200</v>
      </c>
      <c r="B732" s="892"/>
      <c r="C732" s="892"/>
      <c r="D732" s="892"/>
      <c r="E732" s="892"/>
      <c r="F732" s="892"/>
      <c r="G732" s="892"/>
      <c r="H732" s="892"/>
      <c r="I732" s="892"/>
      <c r="J732" s="892"/>
      <c r="K732" s="892"/>
      <c r="L732" s="892"/>
      <c r="M732" s="892"/>
      <c r="N732" s="892"/>
      <c r="O732" s="892"/>
      <c r="P732" s="892"/>
      <c r="Q732" s="892"/>
    </row>
    <row r="733" spans="1:17" s="224" customFormat="1" x14ac:dyDescent="0.2">
      <c r="A733" s="889" t="str">
        <f>TYDESC</f>
        <v>For the 12 Months Ended December 31, 2017</v>
      </c>
      <c r="B733" s="889"/>
      <c r="C733" s="889"/>
      <c r="D733" s="889"/>
      <c r="E733" s="889"/>
      <c r="F733" s="889"/>
      <c r="G733" s="889"/>
      <c r="H733" s="889"/>
      <c r="I733" s="889"/>
      <c r="J733" s="889"/>
      <c r="K733" s="889"/>
      <c r="L733" s="889"/>
      <c r="M733" s="889"/>
      <c r="N733" s="889"/>
      <c r="O733" s="889"/>
      <c r="P733" s="889"/>
      <c r="Q733" s="889"/>
    </row>
    <row r="734" spans="1:17" s="224" customFormat="1" x14ac:dyDescent="0.2">
      <c r="A734" s="890" t="s">
        <v>39</v>
      </c>
      <c r="B734" s="890"/>
      <c r="C734" s="890"/>
      <c r="D734" s="890"/>
      <c r="E734" s="890"/>
      <c r="F734" s="890"/>
      <c r="G734" s="890"/>
      <c r="H734" s="890"/>
      <c r="I734" s="890"/>
      <c r="J734" s="890"/>
      <c r="K734" s="890"/>
      <c r="L734" s="890"/>
      <c r="M734" s="890"/>
      <c r="N734" s="890"/>
      <c r="O734" s="890"/>
      <c r="P734" s="890"/>
      <c r="Q734" s="890"/>
    </row>
    <row r="735" spans="1:17" s="224" customFormat="1" x14ac:dyDescent="0.2">
      <c r="A735" s="718" t="str">
        <f>$A$52</f>
        <v>Data: __ Base Period _X_ Forecasted Period</v>
      </c>
      <c r="D735" s="290"/>
      <c r="F735" s="292"/>
      <c r="G735" s="476"/>
      <c r="H735" s="292"/>
      <c r="I735" s="297"/>
      <c r="J735" s="292"/>
      <c r="K735" s="292"/>
      <c r="L735" s="292"/>
      <c r="M735" s="292"/>
      <c r="N735" s="292"/>
      <c r="O735" s="292"/>
      <c r="P735" s="292"/>
    </row>
    <row r="736" spans="1:17" s="224" customFormat="1" x14ac:dyDescent="0.2">
      <c r="A736" s="718" t="str">
        <f>$A$53</f>
        <v>Type of Filing: X Original _ Update _ Revised</v>
      </c>
      <c r="D736" s="290"/>
      <c r="F736" s="292"/>
      <c r="G736" s="476"/>
      <c r="H736" s="292"/>
      <c r="I736" s="297"/>
      <c r="J736" s="292"/>
      <c r="K736" s="292"/>
      <c r="L736" s="292"/>
      <c r="M736" s="292"/>
      <c r="N736" s="292"/>
      <c r="O736" s="292"/>
      <c r="P736" s="292"/>
      <c r="Q736" s="727" t="str">
        <f>$Q$53</f>
        <v>Schedule M-2.3</v>
      </c>
    </row>
    <row r="737" spans="1:17" s="224" customFormat="1" x14ac:dyDescent="0.2">
      <c r="A737" s="718" t="str">
        <f>$A$54</f>
        <v>Work Paper Reference No(s):</v>
      </c>
      <c r="D737" s="290"/>
      <c r="F737" s="292"/>
      <c r="G737" s="476"/>
      <c r="H737" s="292"/>
      <c r="I737" s="297"/>
      <c r="J737" s="292"/>
      <c r="K737" s="292"/>
      <c r="L737" s="292"/>
      <c r="M737" s="292"/>
      <c r="N737" s="292"/>
      <c r="O737" s="292"/>
      <c r="P737" s="292"/>
      <c r="Q737" s="727" t="s">
        <v>513</v>
      </c>
    </row>
    <row r="738" spans="1:17" s="224" customFormat="1" x14ac:dyDescent="0.2">
      <c r="A738" s="719" t="str">
        <f>$A$55</f>
        <v>12 Months Forecasted</v>
      </c>
      <c r="D738" s="290"/>
      <c r="F738" s="292"/>
      <c r="G738" s="476"/>
      <c r="H738" s="292"/>
      <c r="I738" s="297"/>
      <c r="J738" s="292"/>
      <c r="K738" s="292"/>
      <c r="L738" s="292"/>
      <c r="M738" s="292"/>
      <c r="N738" s="292"/>
      <c r="O738" s="292"/>
      <c r="P738" s="292"/>
      <c r="Q738" s="727" t="str">
        <f>Witness</f>
        <v>Witness:  M. J. Bell</v>
      </c>
    </row>
    <row r="739" spans="1:17" s="224" customFormat="1" x14ac:dyDescent="0.2">
      <c r="A739" s="891" t="s">
        <v>294</v>
      </c>
      <c r="B739" s="891"/>
      <c r="C739" s="891"/>
      <c r="D739" s="891"/>
      <c r="E739" s="891"/>
      <c r="F739" s="891"/>
      <c r="G739" s="891"/>
      <c r="H739" s="891"/>
      <c r="I739" s="891"/>
      <c r="J739" s="891"/>
      <c r="K739" s="891"/>
      <c r="L739" s="891"/>
      <c r="M739" s="891"/>
      <c r="N739" s="891"/>
      <c r="O739" s="891"/>
      <c r="P739" s="891"/>
      <c r="Q739" s="891"/>
    </row>
    <row r="740" spans="1:17" s="224" customFormat="1" x14ac:dyDescent="0.2">
      <c r="A740" s="227"/>
      <c r="B740" s="306"/>
      <c r="C740" s="306"/>
      <c r="D740" s="308"/>
      <c r="E740" s="306"/>
      <c r="F740" s="502"/>
      <c r="G740" s="503"/>
      <c r="H740" s="502"/>
      <c r="I740" s="504"/>
      <c r="J740" s="502"/>
      <c r="K740" s="502"/>
      <c r="L740" s="502"/>
      <c r="M740" s="502"/>
      <c r="N740" s="502"/>
      <c r="O740" s="502"/>
      <c r="P740" s="502"/>
      <c r="Q740" s="306"/>
    </row>
    <row r="741" spans="1:17" s="224" customFormat="1" x14ac:dyDescent="0.2">
      <c r="A741" s="416" t="s">
        <v>1</v>
      </c>
      <c r="B741" s="416" t="s">
        <v>0</v>
      </c>
      <c r="C741" s="416" t="s">
        <v>41</v>
      </c>
      <c r="D741" s="423" t="s">
        <v>30</v>
      </c>
      <c r="E741" s="416"/>
      <c r="F741" s="729"/>
      <c r="G741" s="732"/>
      <c r="H741" s="729"/>
      <c r="I741" s="733"/>
      <c r="J741" s="729"/>
      <c r="K741" s="729"/>
      <c r="L741" s="729"/>
      <c r="M741" s="729"/>
      <c r="N741" s="729"/>
      <c r="O741" s="729"/>
      <c r="P741" s="729"/>
      <c r="Q741" s="232"/>
    </row>
    <row r="742" spans="1:17" s="224" customFormat="1" x14ac:dyDescent="0.2">
      <c r="A742" s="285" t="s">
        <v>3</v>
      </c>
      <c r="B742" s="285" t="s">
        <v>40</v>
      </c>
      <c r="C742" s="285" t="s">
        <v>4</v>
      </c>
      <c r="D742" s="427" t="s">
        <v>48</v>
      </c>
      <c r="E742" s="428" t="str">
        <f>B!$D$11</f>
        <v>Jan-17</v>
      </c>
      <c r="F742" s="428" t="str">
        <f>B!$E$11</f>
        <v>Feb-17</v>
      </c>
      <c r="G742" s="428" t="str">
        <f>B!$F$11</f>
        <v>Mar-17</v>
      </c>
      <c r="H742" s="428" t="str">
        <f>B!$G$11</f>
        <v>Apr-17</v>
      </c>
      <c r="I742" s="428" t="str">
        <f>B!$H$11</f>
        <v>May-17</v>
      </c>
      <c r="J742" s="428" t="str">
        <f>B!$I$11</f>
        <v>Jun-17</v>
      </c>
      <c r="K742" s="428" t="str">
        <f>B!$J$11</f>
        <v>Jul-17</v>
      </c>
      <c r="L742" s="428" t="str">
        <f>B!$K$11</f>
        <v>Aug-17</v>
      </c>
      <c r="M742" s="428" t="str">
        <f>B!$L$11</f>
        <v>Sep-17</v>
      </c>
      <c r="N742" s="428" t="str">
        <f>B!$M$11</f>
        <v>Oct-17</v>
      </c>
      <c r="O742" s="428" t="str">
        <f>B!$N$11</f>
        <v>Nov-17</v>
      </c>
      <c r="P742" s="428" t="str">
        <f>B!$O$11</f>
        <v>Dec-17</v>
      </c>
      <c r="Q742" s="428" t="s">
        <v>9</v>
      </c>
    </row>
    <row r="743" spans="1:17" s="224" customFormat="1" x14ac:dyDescent="0.2">
      <c r="A743" s="416"/>
      <c r="B743" s="231" t="s">
        <v>42</v>
      </c>
      <c r="C743" s="231" t="s">
        <v>43</v>
      </c>
      <c r="D743" s="430" t="s">
        <v>45</v>
      </c>
      <c r="E743" s="431" t="s">
        <v>46</v>
      </c>
      <c r="F743" s="431" t="s">
        <v>49</v>
      </c>
      <c r="G743" s="431" t="s">
        <v>50</v>
      </c>
      <c r="H743" s="431" t="s">
        <v>51</v>
      </c>
      <c r="I743" s="431" t="s">
        <v>52</v>
      </c>
      <c r="J743" s="432" t="s">
        <v>53</v>
      </c>
      <c r="K743" s="432" t="s">
        <v>54</v>
      </c>
      <c r="L743" s="432" t="s">
        <v>55</v>
      </c>
      <c r="M743" s="432" t="s">
        <v>56</v>
      </c>
      <c r="N743" s="432" t="s">
        <v>57</v>
      </c>
      <c r="O743" s="432" t="s">
        <v>58</v>
      </c>
      <c r="P743" s="432" t="s">
        <v>59</v>
      </c>
      <c r="Q743" s="432" t="s">
        <v>203</v>
      </c>
    </row>
    <row r="744" spans="1:17" s="224" customFormat="1" x14ac:dyDescent="0.2">
      <c r="A744" s="263"/>
      <c r="D744" s="290"/>
      <c r="E744" s="232"/>
      <c r="F744" s="734"/>
      <c r="G744" s="730"/>
      <c r="H744" s="734"/>
      <c r="I744" s="731"/>
      <c r="J744" s="734"/>
      <c r="K744" s="734"/>
      <c r="L744" s="734"/>
      <c r="M744" s="734"/>
      <c r="N744" s="734"/>
      <c r="O744" s="734"/>
      <c r="P744" s="734"/>
      <c r="Q744" s="232"/>
    </row>
    <row r="745" spans="1:17" s="224" customFormat="1" x14ac:dyDescent="0.2">
      <c r="A745" s="263">
        <v>1</v>
      </c>
      <c r="B745" s="224" t="str">
        <f>B188</f>
        <v xml:space="preserve">IS </v>
      </c>
      <c r="C745" s="224" t="str">
        <f>C188</f>
        <v>Interruptible Service - Industrial</v>
      </c>
      <c r="D745" s="290"/>
      <c r="F745" s="292"/>
      <c r="G745" s="476"/>
      <c r="H745" s="292"/>
      <c r="I745" s="297"/>
      <c r="J745" s="292"/>
      <c r="K745" s="292"/>
      <c r="L745" s="292"/>
      <c r="M745" s="292"/>
      <c r="N745" s="292"/>
      <c r="O745" s="292"/>
      <c r="P745" s="292"/>
    </row>
    <row r="746" spans="1:17" s="224" customFormat="1" x14ac:dyDescent="0.2">
      <c r="A746" s="263"/>
      <c r="D746" s="290"/>
      <c r="F746" s="292"/>
      <c r="G746" s="476"/>
      <c r="H746" s="292"/>
      <c r="I746" s="297"/>
      <c r="J746" s="292"/>
      <c r="K746" s="292"/>
      <c r="L746" s="292"/>
      <c r="M746" s="292"/>
      <c r="N746" s="292"/>
      <c r="O746" s="292"/>
      <c r="P746" s="292"/>
    </row>
    <row r="747" spans="1:17" s="224" customFormat="1" x14ac:dyDescent="0.2">
      <c r="A747" s="263">
        <v>2</v>
      </c>
      <c r="C747" s="266" t="s">
        <v>112</v>
      </c>
      <c r="D747" s="290"/>
      <c r="F747" s="292"/>
      <c r="G747" s="476"/>
      <c r="H747" s="292"/>
      <c r="I747" s="297"/>
      <c r="J747" s="292"/>
      <c r="K747" s="292"/>
      <c r="L747" s="292"/>
      <c r="M747" s="292"/>
      <c r="N747" s="292"/>
      <c r="O747" s="292"/>
      <c r="P747" s="292"/>
    </row>
    <row r="748" spans="1:17" s="224" customFormat="1" x14ac:dyDescent="0.2">
      <c r="A748" s="263"/>
      <c r="D748" s="290"/>
      <c r="F748" s="292"/>
      <c r="G748" s="476"/>
      <c r="H748" s="292"/>
      <c r="I748" s="297"/>
      <c r="J748" s="292"/>
      <c r="K748" s="292"/>
      <c r="L748" s="292"/>
      <c r="M748" s="292"/>
      <c r="N748" s="292"/>
      <c r="O748" s="292"/>
      <c r="P748" s="292"/>
    </row>
    <row r="749" spans="1:17" s="224" customFormat="1" x14ac:dyDescent="0.2">
      <c r="A749" s="263">
        <v>3</v>
      </c>
      <c r="C749" s="224" t="s">
        <v>202</v>
      </c>
      <c r="D749" s="290"/>
      <c r="E749" s="290">
        <f>B!D93</f>
        <v>0</v>
      </c>
      <c r="F749" s="290">
        <f>B!E93</f>
        <v>0</v>
      </c>
      <c r="G749" s="290">
        <f>B!F93</f>
        <v>0</v>
      </c>
      <c r="H749" s="290">
        <f>B!G93</f>
        <v>0</v>
      </c>
      <c r="I749" s="290">
        <f>B!H93</f>
        <v>0</v>
      </c>
      <c r="J749" s="290">
        <f>B!I93</f>
        <v>0</v>
      </c>
      <c r="K749" s="290">
        <f>B!J93</f>
        <v>0</v>
      </c>
      <c r="L749" s="290">
        <f>B!K93</f>
        <v>0</v>
      </c>
      <c r="M749" s="290">
        <f>B!L93</f>
        <v>0</v>
      </c>
      <c r="N749" s="290">
        <f>B!M93</f>
        <v>0</v>
      </c>
      <c r="O749" s="290">
        <f>B!N93</f>
        <v>0</v>
      </c>
      <c r="P749" s="290">
        <f>B!O93</f>
        <v>0</v>
      </c>
      <c r="Q749" s="290">
        <f>SUM(E749:P749)</f>
        <v>0</v>
      </c>
    </row>
    <row r="750" spans="1:17" s="224" customFormat="1" x14ac:dyDescent="0.2">
      <c r="A750" s="263">
        <v>4</v>
      </c>
      <c r="C750" s="224" t="s">
        <v>210</v>
      </c>
      <c r="D750" s="792">
        <f>Input!U36</f>
        <v>1461.9999999999998</v>
      </c>
      <c r="E750" s="434">
        <f t="shared" ref="E750:P750" si="238">ROUND(E749*$D$750,2)</f>
        <v>0</v>
      </c>
      <c r="F750" s="434">
        <f t="shared" si="238"/>
        <v>0</v>
      </c>
      <c r="G750" s="434">
        <f t="shared" si="238"/>
        <v>0</v>
      </c>
      <c r="H750" s="434">
        <f t="shared" si="238"/>
        <v>0</v>
      </c>
      <c r="I750" s="434">
        <f t="shared" si="238"/>
        <v>0</v>
      </c>
      <c r="J750" s="434">
        <f t="shared" si="238"/>
        <v>0</v>
      </c>
      <c r="K750" s="434">
        <f t="shared" si="238"/>
        <v>0</v>
      </c>
      <c r="L750" s="434">
        <f t="shared" si="238"/>
        <v>0</v>
      </c>
      <c r="M750" s="434">
        <f t="shared" si="238"/>
        <v>0</v>
      </c>
      <c r="N750" s="434">
        <f t="shared" si="238"/>
        <v>0</v>
      </c>
      <c r="O750" s="434">
        <f t="shared" si="238"/>
        <v>0</v>
      </c>
      <c r="P750" s="434">
        <f t="shared" si="238"/>
        <v>0</v>
      </c>
      <c r="Q750" s="434">
        <f>SUM(E750:P750)</f>
        <v>0</v>
      </c>
    </row>
    <row r="751" spans="1:17" s="224" customFormat="1" x14ac:dyDescent="0.2">
      <c r="A751" s="263">
        <f>A750+1</f>
        <v>5</v>
      </c>
      <c r="C751" s="224" t="s">
        <v>211</v>
      </c>
      <c r="D751" s="792">
        <f>Input!W36</f>
        <v>0</v>
      </c>
      <c r="E751" s="434">
        <f t="shared" ref="E751:P751" si="239">ROUND(E749*$D$751,2)</f>
        <v>0</v>
      </c>
      <c r="F751" s="434">
        <f t="shared" si="239"/>
        <v>0</v>
      </c>
      <c r="G751" s="434">
        <f t="shared" si="239"/>
        <v>0</v>
      </c>
      <c r="H751" s="434">
        <f t="shared" si="239"/>
        <v>0</v>
      </c>
      <c r="I751" s="434">
        <f t="shared" si="239"/>
        <v>0</v>
      </c>
      <c r="J751" s="434">
        <f t="shared" si="239"/>
        <v>0</v>
      </c>
      <c r="K751" s="434">
        <f t="shared" si="239"/>
        <v>0</v>
      </c>
      <c r="L751" s="434">
        <f t="shared" si="239"/>
        <v>0</v>
      </c>
      <c r="M751" s="434">
        <f t="shared" si="239"/>
        <v>0</v>
      </c>
      <c r="N751" s="434">
        <f t="shared" si="239"/>
        <v>0</v>
      </c>
      <c r="O751" s="434">
        <f t="shared" si="239"/>
        <v>0</v>
      </c>
      <c r="P751" s="434">
        <f t="shared" si="239"/>
        <v>0</v>
      </c>
      <c r="Q751" s="434">
        <f>SUM(E751:P751)</f>
        <v>0</v>
      </c>
    </row>
    <row r="752" spans="1:17" s="224" customFormat="1" x14ac:dyDescent="0.2">
      <c r="A752" s="263"/>
      <c r="D752" s="520"/>
      <c r="E752" s="292"/>
      <c r="F752" s="292"/>
      <c r="G752" s="292"/>
      <c r="H752" s="292"/>
      <c r="I752" s="292"/>
      <c r="J752" s="292"/>
      <c r="K752" s="292"/>
      <c r="L752" s="292"/>
      <c r="M752" s="292"/>
      <c r="N752" s="292"/>
      <c r="O752" s="292"/>
      <c r="P752" s="292"/>
      <c r="Q752" s="292"/>
    </row>
    <row r="753" spans="1:17" s="224" customFormat="1" x14ac:dyDescent="0.2">
      <c r="A753" s="263">
        <f>A751+1</f>
        <v>6</v>
      </c>
      <c r="C753" s="290" t="s">
        <v>209</v>
      </c>
      <c r="D753" s="290"/>
      <c r="E753" s="530"/>
      <c r="F753" s="530"/>
      <c r="G753" s="530"/>
      <c r="H753" s="530"/>
      <c r="I753" s="530"/>
      <c r="J753" s="530"/>
      <c r="K753" s="530"/>
      <c r="L753" s="530"/>
      <c r="M753" s="530"/>
      <c r="N753" s="530"/>
      <c r="O753" s="530"/>
      <c r="P753" s="530"/>
      <c r="Q753" s="297"/>
    </row>
    <row r="754" spans="1:17" s="224" customFormat="1" x14ac:dyDescent="0.2">
      <c r="A754" s="263">
        <f>A753+1</f>
        <v>7</v>
      </c>
      <c r="C754" s="290" t="str">
        <f>'C'!B133</f>
        <v xml:space="preserve">    First 30,000 Mcf</v>
      </c>
      <c r="D754" s="290"/>
      <c r="E754" s="297">
        <f>'C'!D133</f>
        <v>0</v>
      </c>
      <c r="F754" s="297">
        <f>'C'!E133</f>
        <v>0</v>
      </c>
      <c r="G754" s="297">
        <f>'C'!F133</f>
        <v>0</v>
      </c>
      <c r="H754" s="297">
        <f>'C'!G133</f>
        <v>0</v>
      </c>
      <c r="I754" s="297">
        <f>'C'!H133</f>
        <v>0</v>
      </c>
      <c r="J754" s="297">
        <f>'C'!I133</f>
        <v>0</v>
      </c>
      <c r="K754" s="297">
        <f>'C'!J133</f>
        <v>0</v>
      </c>
      <c r="L754" s="297">
        <f>'C'!K133</f>
        <v>0</v>
      </c>
      <c r="M754" s="297">
        <f>'C'!L133</f>
        <v>0</v>
      </c>
      <c r="N754" s="297">
        <f>'C'!M133</f>
        <v>0</v>
      </c>
      <c r="O754" s="297">
        <f>'C'!N133</f>
        <v>0</v>
      </c>
      <c r="P754" s="297">
        <f>'C'!O133</f>
        <v>0</v>
      </c>
      <c r="Q754" s="297">
        <f>SUM(E754:P754)</f>
        <v>0</v>
      </c>
    </row>
    <row r="755" spans="1:17" s="224" customFormat="1" x14ac:dyDescent="0.2">
      <c r="A755" s="263">
        <f>A754+1</f>
        <v>8</v>
      </c>
      <c r="C755" s="290" t="str">
        <f>'C'!B134</f>
        <v xml:space="preserve">    Over 30,000 Mcf</v>
      </c>
      <c r="D755" s="290"/>
      <c r="E755" s="522">
        <f>'C'!D134</f>
        <v>0</v>
      </c>
      <c r="F755" s="522">
        <f>'C'!E134</f>
        <v>0</v>
      </c>
      <c r="G755" s="522">
        <f>'C'!F134</f>
        <v>0</v>
      </c>
      <c r="H755" s="522">
        <f>'C'!G134</f>
        <v>0</v>
      </c>
      <c r="I755" s="522">
        <f>'C'!H134</f>
        <v>0</v>
      </c>
      <c r="J755" s="522">
        <f>'C'!I134</f>
        <v>0</v>
      </c>
      <c r="K755" s="522">
        <f>'C'!J134</f>
        <v>0</v>
      </c>
      <c r="L755" s="522">
        <f>'C'!K134</f>
        <v>0</v>
      </c>
      <c r="M755" s="522">
        <f>'C'!L134</f>
        <v>0</v>
      </c>
      <c r="N755" s="522">
        <f>'C'!M134</f>
        <v>0</v>
      </c>
      <c r="O755" s="522">
        <f>'C'!N134</f>
        <v>0</v>
      </c>
      <c r="P755" s="522">
        <f>'C'!O134</f>
        <v>0</v>
      </c>
      <c r="Q755" s="522">
        <f>SUM(E755:P755)</f>
        <v>0</v>
      </c>
    </row>
    <row r="756" spans="1:17" s="224" customFormat="1" x14ac:dyDescent="0.2">
      <c r="A756" s="263"/>
      <c r="C756" s="290"/>
      <c r="D756" s="290"/>
      <c r="E756" s="297">
        <f t="shared" ref="E756:P756" si="240">SUM(E754:E755)</f>
        <v>0</v>
      </c>
      <c r="F756" s="297">
        <f t="shared" si="240"/>
        <v>0</v>
      </c>
      <c r="G756" s="297">
        <f t="shared" si="240"/>
        <v>0</v>
      </c>
      <c r="H756" s="297">
        <f t="shared" si="240"/>
        <v>0</v>
      </c>
      <c r="I756" s="297">
        <f t="shared" si="240"/>
        <v>0</v>
      </c>
      <c r="J756" s="297">
        <f t="shared" si="240"/>
        <v>0</v>
      </c>
      <c r="K756" s="297">
        <f t="shared" si="240"/>
        <v>0</v>
      </c>
      <c r="L756" s="297">
        <f t="shared" si="240"/>
        <v>0</v>
      </c>
      <c r="M756" s="297">
        <f t="shared" si="240"/>
        <v>0</v>
      </c>
      <c r="N756" s="297">
        <f t="shared" si="240"/>
        <v>0</v>
      </c>
      <c r="O756" s="297">
        <f t="shared" si="240"/>
        <v>0</v>
      </c>
      <c r="P756" s="297">
        <f t="shared" si="240"/>
        <v>0</v>
      </c>
      <c r="Q756" s="297">
        <f>SUM(E756:P756)</f>
        <v>0</v>
      </c>
    </row>
    <row r="757" spans="1:17" s="224" customFormat="1" x14ac:dyDescent="0.2">
      <c r="A757" s="263">
        <f>A755+1</f>
        <v>9</v>
      </c>
      <c r="C757" s="224" t="s">
        <v>207</v>
      </c>
      <c r="D757" s="737"/>
      <c r="E757" s="292"/>
      <c r="F757" s="292"/>
      <c r="G757" s="292"/>
      <c r="H757" s="292"/>
      <c r="I757" s="292"/>
      <c r="J757" s="292"/>
      <c r="K757" s="292"/>
      <c r="L757" s="292"/>
      <c r="M757" s="292"/>
      <c r="N757" s="292"/>
      <c r="O757" s="292"/>
      <c r="P757" s="292"/>
      <c r="Q757" s="292"/>
    </row>
    <row r="758" spans="1:17" s="224" customFormat="1" x14ac:dyDescent="0.2">
      <c r="A758" s="263">
        <f>A757+1</f>
        <v>10</v>
      </c>
      <c r="C758" s="290" t="str">
        <f>C754</f>
        <v xml:space="preserve">    First 30,000 Mcf</v>
      </c>
      <c r="D758" s="793">
        <f>Input!P36</f>
        <v>0.9002</v>
      </c>
      <c r="E758" s="434">
        <f t="shared" ref="E758:P758" si="241">ROUND(E754*$D$758,2)</f>
        <v>0</v>
      </c>
      <c r="F758" s="434">
        <f t="shared" si="241"/>
        <v>0</v>
      </c>
      <c r="G758" s="434">
        <f t="shared" si="241"/>
        <v>0</v>
      </c>
      <c r="H758" s="434">
        <f t="shared" si="241"/>
        <v>0</v>
      </c>
      <c r="I758" s="434">
        <f t="shared" si="241"/>
        <v>0</v>
      </c>
      <c r="J758" s="434">
        <f t="shared" si="241"/>
        <v>0</v>
      </c>
      <c r="K758" s="434">
        <f t="shared" si="241"/>
        <v>0</v>
      </c>
      <c r="L758" s="434">
        <f t="shared" si="241"/>
        <v>0</v>
      </c>
      <c r="M758" s="434">
        <f t="shared" si="241"/>
        <v>0</v>
      </c>
      <c r="N758" s="434">
        <f t="shared" si="241"/>
        <v>0</v>
      </c>
      <c r="O758" s="434">
        <f t="shared" si="241"/>
        <v>0</v>
      </c>
      <c r="P758" s="434">
        <f t="shared" si="241"/>
        <v>0</v>
      </c>
      <c r="Q758" s="434">
        <f>SUM(E758:P758)</f>
        <v>0</v>
      </c>
    </row>
    <row r="759" spans="1:17" s="224" customFormat="1" x14ac:dyDescent="0.2">
      <c r="A759" s="263">
        <f>A758+1</f>
        <v>11</v>
      </c>
      <c r="C759" s="290" t="str">
        <f>C755</f>
        <v xml:space="preserve">    Over 30,000 Mcf</v>
      </c>
      <c r="D759" s="793">
        <f>Input!Q36</f>
        <v>0.47809999999999997</v>
      </c>
      <c r="E759" s="277">
        <f t="shared" ref="E759:P759" si="242">ROUND(E755*$D$759,2)</f>
        <v>0</v>
      </c>
      <c r="F759" s="277">
        <f t="shared" si="242"/>
        <v>0</v>
      </c>
      <c r="G759" s="277">
        <f t="shared" si="242"/>
        <v>0</v>
      </c>
      <c r="H759" s="277">
        <f t="shared" si="242"/>
        <v>0</v>
      </c>
      <c r="I759" s="277">
        <f t="shared" si="242"/>
        <v>0</v>
      </c>
      <c r="J759" s="277">
        <f t="shared" si="242"/>
        <v>0</v>
      </c>
      <c r="K759" s="277">
        <f t="shared" si="242"/>
        <v>0</v>
      </c>
      <c r="L759" s="277">
        <f t="shared" si="242"/>
        <v>0</v>
      </c>
      <c r="M759" s="277">
        <f t="shared" si="242"/>
        <v>0</v>
      </c>
      <c r="N759" s="277">
        <f t="shared" si="242"/>
        <v>0</v>
      </c>
      <c r="O759" s="277">
        <f t="shared" si="242"/>
        <v>0</v>
      </c>
      <c r="P759" s="277">
        <f t="shared" si="242"/>
        <v>0</v>
      </c>
      <c r="Q759" s="277">
        <f>SUM(E759:P759)</f>
        <v>0</v>
      </c>
    </row>
    <row r="760" spans="1:17" s="224" customFormat="1" x14ac:dyDescent="0.2">
      <c r="A760" s="263"/>
      <c r="C760" s="290"/>
      <c r="D760" s="793"/>
      <c r="E760" s="434">
        <f t="shared" ref="E760:P760" si="243">SUM(E758:E759)</f>
        <v>0</v>
      </c>
      <c r="F760" s="434">
        <f t="shared" si="243"/>
        <v>0</v>
      </c>
      <c r="G760" s="434">
        <f t="shared" si="243"/>
        <v>0</v>
      </c>
      <c r="H760" s="434">
        <f t="shared" si="243"/>
        <v>0</v>
      </c>
      <c r="I760" s="434">
        <f t="shared" si="243"/>
        <v>0</v>
      </c>
      <c r="J760" s="434">
        <f t="shared" si="243"/>
        <v>0</v>
      </c>
      <c r="K760" s="434">
        <f t="shared" si="243"/>
        <v>0</v>
      </c>
      <c r="L760" s="434">
        <f t="shared" si="243"/>
        <v>0</v>
      </c>
      <c r="M760" s="434">
        <f t="shared" si="243"/>
        <v>0</v>
      </c>
      <c r="N760" s="434">
        <f t="shared" si="243"/>
        <v>0</v>
      </c>
      <c r="O760" s="434">
        <f t="shared" si="243"/>
        <v>0</v>
      </c>
      <c r="P760" s="434">
        <f t="shared" si="243"/>
        <v>0</v>
      </c>
      <c r="Q760" s="434">
        <f>SUM(E760:P760)</f>
        <v>0</v>
      </c>
    </row>
    <row r="761" spans="1:17" s="224" customFormat="1" x14ac:dyDescent="0.2">
      <c r="A761" s="263"/>
      <c r="C761" s="290"/>
      <c r="D761" s="793"/>
      <c r="E761" s="292"/>
      <c r="F761" s="292"/>
      <c r="G761" s="292"/>
      <c r="H761" s="292"/>
      <c r="I761" s="292"/>
      <c r="J761" s="292"/>
      <c r="K761" s="292"/>
      <c r="L761" s="292"/>
      <c r="M761" s="292"/>
      <c r="N761" s="292"/>
      <c r="O761" s="292"/>
      <c r="P761" s="292"/>
      <c r="Q761" s="292"/>
    </row>
    <row r="762" spans="1:17" s="224" customFormat="1" x14ac:dyDescent="0.2">
      <c r="A762" s="263">
        <f>A759+1</f>
        <v>12</v>
      </c>
      <c r="C762" s="224" t="s">
        <v>204</v>
      </c>
      <c r="D762" s="290"/>
      <c r="E762" s="434">
        <f t="shared" ref="E762:P762" si="244">E750+E751+E760</f>
        <v>0</v>
      </c>
      <c r="F762" s="434">
        <f t="shared" si="244"/>
        <v>0</v>
      </c>
      <c r="G762" s="434">
        <f t="shared" si="244"/>
        <v>0</v>
      </c>
      <c r="H762" s="434">
        <f t="shared" si="244"/>
        <v>0</v>
      </c>
      <c r="I762" s="434">
        <f t="shared" si="244"/>
        <v>0</v>
      </c>
      <c r="J762" s="434">
        <f t="shared" si="244"/>
        <v>0</v>
      </c>
      <c r="K762" s="434">
        <f t="shared" si="244"/>
        <v>0</v>
      </c>
      <c r="L762" s="434">
        <f t="shared" si="244"/>
        <v>0</v>
      </c>
      <c r="M762" s="434">
        <f t="shared" si="244"/>
        <v>0</v>
      </c>
      <c r="N762" s="434">
        <f t="shared" si="244"/>
        <v>0</v>
      </c>
      <c r="O762" s="434">
        <f t="shared" si="244"/>
        <v>0</v>
      </c>
      <c r="P762" s="434">
        <f t="shared" si="244"/>
        <v>0</v>
      </c>
      <c r="Q762" s="434">
        <f>SUM(E762:P762)</f>
        <v>0</v>
      </c>
    </row>
    <row r="763" spans="1:17" s="224" customFormat="1" x14ac:dyDescent="0.2">
      <c r="A763" s="263"/>
      <c r="D763" s="290"/>
      <c r="F763" s="292"/>
      <c r="G763" s="476"/>
      <c r="H763" s="292"/>
      <c r="I763" s="297"/>
      <c r="J763" s="292"/>
      <c r="K763" s="292"/>
      <c r="L763" s="292"/>
      <c r="M763" s="292"/>
      <c r="N763" s="292"/>
      <c r="O763" s="292"/>
      <c r="P763" s="292"/>
    </row>
    <row r="764" spans="1:17" s="224" customFormat="1" x14ac:dyDescent="0.2">
      <c r="A764" s="263">
        <f>A762+1</f>
        <v>13</v>
      </c>
      <c r="C764" s="224" t="s">
        <v>208</v>
      </c>
      <c r="D764" s="793">
        <f>EGC</f>
        <v>2.2090999999999998</v>
      </c>
      <c r="E764" s="434">
        <f t="shared" ref="E764:P764" si="245">ROUND(E754*$D$764,2)</f>
        <v>0</v>
      </c>
      <c r="F764" s="434">
        <f t="shared" si="245"/>
        <v>0</v>
      </c>
      <c r="G764" s="434">
        <f t="shared" si="245"/>
        <v>0</v>
      </c>
      <c r="H764" s="434">
        <f t="shared" si="245"/>
        <v>0</v>
      </c>
      <c r="I764" s="434">
        <f t="shared" si="245"/>
        <v>0</v>
      </c>
      <c r="J764" s="434">
        <f t="shared" si="245"/>
        <v>0</v>
      </c>
      <c r="K764" s="434">
        <f t="shared" si="245"/>
        <v>0</v>
      </c>
      <c r="L764" s="434">
        <f t="shared" si="245"/>
        <v>0</v>
      </c>
      <c r="M764" s="434">
        <f t="shared" si="245"/>
        <v>0</v>
      </c>
      <c r="N764" s="434">
        <f t="shared" si="245"/>
        <v>0</v>
      </c>
      <c r="O764" s="434">
        <f t="shared" si="245"/>
        <v>0</v>
      </c>
      <c r="P764" s="434">
        <f t="shared" si="245"/>
        <v>0</v>
      </c>
      <c r="Q764" s="434">
        <f>SUM(E764:P764)</f>
        <v>0</v>
      </c>
    </row>
    <row r="765" spans="1:17" s="224" customFormat="1" x14ac:dyDescent="0.2">
      <c r="A765" s="263"/>
      <c r="D765" s="290"/>
      <c r="F765" s="292"/>
      <c r="G765" s="476"/>
      <c r="H765" s="292"/>
      <c r="I765" s="297"/>
      <c r="J765" s="292"/>
      <c r="K765" s="292"/>
      <c r="L765" s="292"/>
      <c r="M765" s="292"/>
      <c r="N765" s="292"/>
      <c r="O765" s="292"/>
      <c r="P765" s="292"/>
    </row>
    <row r="766" spans="1:17" s="224" customFormat="1" x14ac:dyDescent="0.2">
      <c r="A766" s="720">
        <f>A764+1</f>
        <v>14</v>
      </c>
      <c r="B766" s="453"/>
      <c r="C766" s="468" t="s">
        <v>206</v>
      </c>
      <c r="D766" s="468"/>
      <c r="E766" s="457">
        <f t="shared" ref="E766:P766" si="246">E762+E764</f>
        <v>0</v>
      </c>
      <c r="F766" s="457">
        <f t="shared" si="246"/>
        <v>0</v>
      </c>
      <c r="G766" s="457">
        <f t="shared" si="246"/>
        <v>0</v>
      </c>
      <c r="H766" s="457">
        <f t="shared" si="246"/>
        <v>0</v>
      </c>
      <c r="I766" s="457">
        <f t="shared" si="246"/>
        <v>0</v>
      </c>
      <c r="J766" s="457">
        <f t="shared" si="246"/>
        <v>0</v>
      </c>
      <c r="K766" s="457">
        <f t="shared" si="246"/>
        <v>0</v>
      </c>
      <c r="L766" s="457">
        <f t="shared" si="246"/>
        <v>0</v>
      </c>
      <c r="M766" s="457">
        <f t="shared" si="246"/>
        <v>0</v>
      </c>
      <c r="N766" s="457">
        <f t="shared" si="246"/>
        <v>0</v>
      </c>
      <c r="O766" s="457">
        <f t="shared" si="246"/>
        <v>0</v>
      </c>
      <c r="P766" s="457">
        <f t="shared" si="246"/>
        <v>0</v>
      </c>
      <c r="Q766" s="457">
        <f>SUM(E766:P766)</f>
        <v>0</v>
      </c>
    </row>
    <row r="767" spans="1:17" s="224" customFormat="1" x14ac:dyDescent="0.2">
      <c r="A767" s="263"/>
      <c r="D767" s="290"/>
      <c r="F767" s="292"/>
      <c r="G767" s="476"/>
      <c r="H767" s="292"/>
      <c r="I767" s="297"/>
      <c r="J767" s="292"/>
      <c r="K767" s="292"/>
      <c r="L767" s="292"/>
      <c r="M767" s="292"/>
      <c r="N767" s="292"/>
      <c r="O767" s="292"/>
      <c r="P767" s="292"/>
    </row>
    <row r="768" spans="1:17" s="224" customFormat="1" x14ac:dyDescent="0.2">
      <c r="A768" s="263">
        <f>A766+1</f>
        <v>15</v>
      </c>
      <c r="C768" s="290" t="s">
        <v>196</v>
      </c>
      <c r="D768" s="290"/>
      <c r="E768" s="489"/>
      <c r="F768" s="489"/>
      <c r="G768" s="489"/>
      <c r="H768" s="489"/>
      <c r="I768" s="489"/>
      <c r="J768" s="489"/>
      <c r="K768" s="489"/>
      <c r="L768" s="489"/>
      <c r="M768" s="489"/>
      <c r="N768" s="489"/>
      <c r="O768" s="489"/>
      <c r="P768" s="489"/>
      <c r="Q768" s="489"/>
    </row>
    <row r="769" spans="1:17" s="224" customFormat="1" x14ac:dyDescent="0.2">
      <c r="A769" s="263">
        <f>A768+1</f>
        <v>16</v>
      </c>
      <c r="C769" s="290" t="s">
        <v>214</v>
      </c>
      <c r="D769" s="793">
        <f>Input!AA36</f>
        <v>2.5999999999999999E-2</v>
      </c>
      <c r="E769" s="434">
        <f t="shared" ref="E769:P769" si="247">ROUND(E756*$D$769,2)</f>
        <v>0</v>
      </c>
      <c r="F769" s="434">
        <f t="shared" si="247"/>
        <v>0</v>
      </c>
      <c r="G769" s="434">
        <f t="shared" si="247"/>
        <v>0</v>
      </c>
      <c r="H769" s="434">
        <f t="shared" si="247"/>
        <v>0</v>
      </c>
      <c r="I769" s="434">
        <f t="shared" si="247"/>
        <v>0</v>
      </c>
      <c r="J769" s="434">
        <f t="shared" si="247"/>
        <v>0</v>
      </c>
      <c r="K769" s="434">
        <f t="shared" si="247"/>
        <v>0</v>
      </c>
      <c r="L769" s="434">
        <f t="shared" si="247"/>
        <v>0</v>
      </c>
      <c r="M769" s="434">
        <f t="shared" si="247"/>
        <v>0</v>
      </c>
      <c r="N769" s="434">
        <f t="shared" si="247"/>
        <v>0</v>
      </c>
      <c r="O769" s="434">
        <f t="shared" si="247"/>
        <v>0</v>
      </c>
      <c r="P769" s="434">
        <f t="shared" si="247"/>
        <v>0</v>
      </c>
      <c r="Q769" s="434">
        <f>SUM(E769:P769)</f>
        <v>0</v>
      </c>
    </row>
    <row r="770" spans="1:17" s="224" customFormat="1" x14ac:dyDescent="0.2">
      <c r="A770" s="263"/>
      <c r="D770" s="290"/>
      <c r="F770" s="292"/>
      <c r="G770" s="476"/>
      <c r="H770" s="292"/>
      <c r="I770" s="297"/>
      <c r="J770" s="292"/>
      <c r="K770" s="292"/>
      <c r="L770" s="292"/>
      <c r="M770" s="292"/>
      <c r="N770" s="292"/>
      <c r="O770" s="292"/>
      <c r="P770" s="292"/>
      <c r="Q770" s="476"/>
    </row>
    <row r="771" spans="1:17" s="224" customFormat="1" ht="10.8" thickBot="1" x14ac:dyDescent="0.25">
      <c r="A771" s="724">
        <f>A769+1</f>
        <v>17</v>
      </c>
      <c r="B771" s="496"/>
      <c r="C771" s="725" t="s">
        <v>205</v>
      </c>
      <c r="D771" s="726"/>
      <c r="E771" s="499">
        <f>E766+E769</f>
        <v>0</v>
      </c>
      <c r="F771" s="499">
        <f t="shared" ref="F771:P771" si="248">F766+F769</f>
        <v>0</v>
      </c>
      <c r="G771" s="499">
        <f t="shared" si="248"/>
        <v>0</v>
      </c>
      <c r="H771" s="499">
        <f t="shared" si="248"/>
        <v>0</v>
      </c>
      <c r="I771" s="499">
        <f t="shared" si="248"/>
        <v>0</v>
      </c>
      <c r="J771" s="499">
        <f t="shared" si="248"/>
        <v>0</v>
      </c>
      <c r="K771" s="499">
        <f t="shared" si="248"/>
        <v>0</v>
      </c>
      <c r="L771" s="499">
        <f t="shared" si="248"/>
        <v>0</v>
      </c>
      <c r="M771" s="499">
        <f t="shared" si="248"/>
        <v>0</v>
      </c>
      <c r="N771" s="499">
        <f t="shared" si="248"/>
        <v>0</v>
      </c>
      <c r="O771" s="499">
        <f t="shared" si="248"/>
        <v>0</v>
      </c>
      <c r="P771" s="499">
        <f t="shared" si="248"/>
        <v>0</v>
      </c>
      <c r="Q771" s="499">
        <f>SUM(E771:P771)</f>
        <v>0</v>
      </c>
    </row>
    <row r="772" spans="1:17" s="224" customFormat="1" ht="10.8" thickTop="1" x14ac:dyDescent="0.2">
      <c r="A772" s="263"/>
      <c r="D772" s="290"/>
      <c r="F772" s="292"/>
      <c r="G772" s="476"/>
      <c r="H772" s="292"/>
      <c r="I772" s="297"/>
      <c r="J772" s="292"/>
      <c r="K772" s="292"/>
      <c r="L772" s="292"/>
      <c r="M772" s="292"/>
      <c r="N772" s="292"/>
      <c r="O772" s="292"/>
      <c r="P772" s="292"/>
      <c r="Q772" s="292"/>
    </row>
    <row r="773" spans="1:17" s="224" customFormat="1" x14ac:dyDescent="0.2">
      <c r="A773" s="263"/>
      <c r="D773" s="290"/>
      <c r="F773" s="292"/>
      <c r="G773" s="476"/>
      <c r="H773" s="292"/>
      <c r="I773" s="297"/>
      <c r="J773" s="292"/>
      <c r="K773" s="292"/>
      <c r="L773" s="292"/>
      <c r="M773" s="292"/>
      <c r="N773" s="292"/>
      <c r="O773" s="292"/>
      <c r="P773" s="292"/>
      <c r="Q773" s="292"/>
    </row>
    <row r="774" spans="1:17" s="224" customFormat="1" x14ac:dyDescent="0.2">
      <c r="A774" s="263">
        <f>A771+1</f>
        <v>18</v>
      </c>
      <c r="B774" s="224" t="str">
        <f>B195</f>
        <v>IUS</v>
      </c>
      <c r="C774" s="224" t="str">
        <f>C195</f>
        <v>Intrastate Utility Service - Wholesale</v>
      </c>
      <c r="D774" s="290"/>
      <c r="F774" s="292"/>
      <c r="G774" s="476"/>
      <c r="H774" s="292"/>
      <c r="I774" s="297"/>
      <c r="J774" s="292"/>
      <c r="K774" s="292"/>
      <c r="L774" s="292"/>
      <c r="M774" s="292"/>
      <c r="N774" s="292"/>
      <c r="O774" s="292"/>
      <c r="P774" s="292"/>
    </row>
    <row r="775" spans="1:17" s="224" customFormat="1" x14ac:dyDescent="0.2">
      <c r="A775" s="263"/>
      <c r="D775" s="290"/>
      <c r="F775" s="292"/>
      <c r="G775" s="476"/>
      <c r="H775" s="292"/>
      <c r="I775" s="297"/>
      <c r="J775" s="292"/>
      <c r="K775" s="292"/>
      <c r="L775" s="292"/>
      <c r="M775" s="292"/>
      <c r="N775" s="292"/>
      <c r="O775" s="292"/>
      <c r="P775" s="292"/>
    </row>
    <row r="776" spans="1:17" s="224" customFormat="1" x14ac:dyDescent="0.2">
      <c r="A776" s="263">
        <f>A774+1</f>
        <v>19</v>
      </c>
      <c r="C776" s="266" t="s">
        <v>115</v>
      </c>
      <c r="D776" s="290"/>
      <c r="F776" s="292"/>
      <c r="G776" s="476"/>
      <c r="H776" s="292"/>
      <c r="I776" s="297"/>
      <c r="J776" s="292"/>
      <c r="K776" s="292"/>
      <c r="L776" s="292"/>
      <c r="M776" s="292"/>
      <c r="N776" s="292"/>
      <c r="O776" s="292"/>
      <c r="P776" s="292"/>
    </row>
    <row r="777" spans="1:17" s="224" customFormat="1" x14ac:dyDescent="0.2">
      <c r="A777" s="263"/>
      <c r="D777" s="290"/>
      <c r="F777" s="292"/>
      <c r="G777" s="476"/>
      <c r="H777" s="292"/>
      <c r="I777" s="297"/>
      <c r="J777" s="292"/>
      <c r="K777" s="292"/>
      <c r="L777" s="292"/>
      <c r="M777" s="292"/>
      <c r="N777" s="292"/>
      <c r="O777" s="292"/>
      <c r="P777" s="292"/>
    </row>
    <row r="778" spans="1:17" s="224" customFormat="1" x14ac:dyDescent="0.2">
      <c r="A778" s="263">
        <f>A776+1</f>
        <v>20</v>
      </c>
      <c r="C778" s="224" t="s">
        <v>202</v>
      </c>
      <c r="D778" s="290"/>
      <c r="E778" s="479">
        <f>B!D99</f>
        <v>2</v>
      </c>
      <c r="F778" s="479">
        <f>B!E99</f>
        <v>2</v>
      </c>
      <c r="G778" s="479">
        <f>B!F99</f>
        <v>2</v>
      </c>
      <c r="H778" s="479">
        <f>B!G99</f>
        <v>2</v>
      </c>
      <c r="I778" s="479">
        <f>B!H99</f>
        <v>2</v>
      </c>
      <c r="J778" s="479">
        <f>B!I99</f>
        <v>2</v>
      </c>
      <c r="K778" s="479">
        <f>B!J99</f>
        <v>2</v>
      </c>
      <c r="L778" s="479">
        <f>B!K99</f>
        <v>2</v>
      </c>
      <c r="M778" s="479">
        <f>B!L99</f>
        <v>2</v>
      </c>
      <c r="N778" s="479">
        <f>B!M99</f>
        <v>2</v>
      </c>
      <c r="O778" s="479">
        <f>B!N99</f>
        <v>2</v>
      </c>
      <c r="P778" s="479">
        <f>B!O99</f>
        <v>2</v>
      </c>
      <c r="Q778" s="479">
        <f>SUM(E778:P778)</f>
        <v>24</v>
      </c>
    </row>
    <row r="779" spans="1:17" s="224" customFormat="1" x14ac:dyDescent="0.2">
      <c r="A779" s="263">
        <f>A778+1</f>
        <v>21</v>
      </c>
      <c r="C779" s="224" t="s">
        <v>210</v>
      </c>
      <c r="D779" s="792">
        <f>Input!U37</f>
        <v>649</v>
      </c>
      <c r="E779" s="434">
        <f t="shared" ref="E779:P779" si="249">ROUND(E778*$D$779,2)</f>
        <v>1298</v>
      </c>
      <c r="F779" s="434">
        <f t="shared" si="249"/>
        <v>1298</v>
      </c>
      <c r="G779" s="434">
        <f t="shared" si="249"/>
        <v>1298</v>
      </c>
      <c r="H779" s="434">
        <f t="shared" si="249"/>
        <v>1298</v>
      </c>
      <c r="I779" s="434">
        <f t="shared" si="249"/>
        <v>1298</v>
      </c>
      <c r="J779" s="434">
        <f t="shared" si="249"/>
        <v>1298</v>
      </c>
      <c r="K779" s="434">
        <f t="shared" si="249"/>
        <v>1298</v>
      </c>
      <c r="L779" s="434">
        <f t="shared" si="249"/>
        <v>1298</v>
      </c>
      <c r="M779" s="434">
        <f t="shared" si="249"/>
        <v>1298</v>
      </c>
      <c r="N779" s="434">
        <f t="shared" si="249"/>
        <v>1298</v>
      </c>
      <c r="O779" s="434">
        <f t="shared" si="249"/>
        <v>1298</v>
      </c>
      <c r="P779" s="434">
        <f t="shared" si="249"/>
        <v>1298</v>
      </c>
      <c r="Q779" s="434">
        <f>SUM(E779:P779)</f>
        <v>15576</v>
      </c>
    </row>
    <row r="780" spans="1:17" s="224" customFormat="1" x14ac:dyDescent="0.2">
      <c r="A780" s="263">
        <f>A779+1</f>
        <v>22</v>
      </c>
      <c r="C780" s="224" t="s">
        <v>211</v>
      </c>
      <c r="D780" s="792">
        <f>Input!W37</f>
        <v>0</v>
      </c>
      <c r="E780" s="434">
        <f t="shared" ref="E780:P780" si="250">ROUND(E778*$D$780,2)</f>
        <v>0</v>
      </c>
      <c r="F780" s="434">
        <f t="shared" si="250"/>
        <v>0</v>
      </c>
      <c r="G780" s="434">
        <f t="shared" si="250"/>
        <v>0</v>
      </c>
      <c r="H780" s="434">
        <f t="shared" si="250"/>
        <v>0</v>
      </c>
      <c r="I780" s="434">
        <f t="shared" si="250"/>
        <v>0</v>
      </c>
      <c r="J780" s="434">
        <f t="shared" si="250"/>
        <v>0</v>
      </c>
      <c r="K780" s="434">
        <f t="shared" si="250"/>
        <v>0</v>
      </c>
      <c r="L780" s="434">
        <f t="shared" si="250"/>
        <v>0</v>
      </c>
      <c r="M780" s="434">
        <f t="shared" si="250"/>
        <v>0</v>
      </c>
      <c r="N780" s="434">
        <f t="shared" si="250"/>
        <v>0</v>
      </c>
      <c r="O780" s="434">
        <f t="shared" si="250"/>
        <v>0</v>
      </c>
      <c r="P780" s="434">
        <f t="shared" si="250"/>
        <v>0</v>
      </c>
      <c r="Q780" s="434">
        <f>SUM(E780:P780)</f>
        <v>0</v>
      </c>
    </row>
    <row r="781" spans="1:17" s="224" customFormat="1" x14ac:dyDescent="0.2">
      <c r="A781" s="263"/>
      <c r="D781" s="519"/>
      <c r="E781" s="521"/>
      <c r="F781" s="292"/>
      <c r="G781" s="476"/>
      <c r="H781" s="292"/>
      <c r="I781" s="297"/>
      <c r="J781" s="292"/>
      <c r="K781" s="292"/>
      <c r="L781" s="292"/>
      <c r="M781" s="292"/>
      <c r="N781" s="292"/>
      <c r="O781" s="292"/>
      <c r="P781" s="292"/>
    </row>
    <row r="782" spans="1:17" s="224" customFormat="1" x14ac:dyDescent="0.2">
      <c r="A782" s="263">
        <f>A780+1</f>
        <v>23</v>
      </c>
      <c r="C782" s="290" t="s">
        <v>209</v>
      </c>
      <c r="D782" s="519"/>
      <c r="E782" s="531">
        <f>'C'!D140</f>
        <v>3136.7</v>
      </c>
      <c r="F782" s="531">
        <f>'C'!E140</f>
        <v>2307.1999999999998</v>
      </c>
      <c r="G782" s="531">
        <f>'C'!F140</f>
        <v>1098.5999999999999</v>
      </c>
      <c r="H782" s="531">
        <f>'C'!G140</f>
        <v>641.70000000000005</v>
      </c>
      <c r="I782" s="531">
        <f>'C'!H140</f>
        <v>362.9</v>
      </c>
      <c r="J782" s="531">
        <f>'C'!I140</f>
        <v>221.4</v>
      </c>
      <c r="K782" s="531">
        <f>'C'!J140</f>
        <v>245</v>
      </c>
      <c r="L782" s="531">
        <f>'C'!K140</f>
        <v>196.3</v>
      </c>
      <c r="M782" s="531">
        <f>'C'!L140</f>
        <v>196.6</v>
      </c>
      <c r="N782" s="531">
        <f>'C'!M140</f>
        <v>705.2</v>
      </c>
      <c r="O782" s="531">
        <f>'C'!N140</f>
        <v>1014.3</v>
      </c>
      <c r="P782" s="531">
        <f>'C'!O140</f>
        <v>1194.8</v>
      </c>
      <c r="Q782" s="531">
        <f>SUM(E782:P782)</f>
        <v>11320.699999999999</v>
      </c>
    </row>
    <row r="783" spans="1:17" s="224" customFormat="1" x14ac:dyDescent="0.2">
      <c r="A783" s="263">
        <f>A782+1</f>
        <v>24</v>
      </c>
      <c r="C783" s="306" t="s">
        <v>212</v>
      </c>
      <c r="D783" s="793">
        <f>Input!P37</f>
        <v>1.3294999999999999</v>
      </c>
      <c r="E783" s="434">
        <f t="shared" ref="E783:P783" si="251">ROUND(E782*$D$783,2)</f>
        <v>4170.24</v>
      </c>
      <c r="F783" s="434">
        <f t="shared" si="251"/>
        <v>3067.42</v>
      </c>
      <c r="G783" s="434">
        <f t="shared" si="251"/>
        <v>1460.59</v>
      </c>
      <c r="H783" s="434">
        <f t="shared" si="251"/>
        <v>853.14</v>
      </c>
      <c r="I783" s="434">
        <f t="shared" si="251"/>
        <v>482.48</v>
      </c>
      <c r="J783" s="434">
        <f t="shared" si="251"/>
        <v>294.35000000000002</v>
      </c>
      <c r="K783" s="434">
        <f t="shared" si="251"/>
        <v>325.73</v>
      </c>
      <c r="L783" s="434">
        <f t="shared" si="251"/>
        <v>260.98</v>
      </c>
      <c r="M783" s="434">
        <f t="shared" si="251"/>
        <v>261.38</v>
      </c>
      <c r="N783" s="434">
        <f t="shared" si="251"/>
        <v>937.56</v>
      </c>
      <c r="O783" s="434">
        <f t="shared" si="251"/>
        <v>1348.51</v>
      </c>
      <c r="P783" s="434">
        <f t="shared" si="251"/>
        <v>1588.49</v>
      </c>
      <c r="Q783" s="434">
        <f>SUM(E783:P783)</f>
        <v>15050.869999999997</v>
      </c>
    </row>
    <row r="784" spans="1:17" s="224" customFormat="1" x14ac:dyDescent="0.2">
      <c r="A784" s="263">
        <f>A783+1</f>
        <v>25</v>
      </c>
      <c r="C784" s="306"/>
      <c r="D784" s="519"/>
      <c r="E784" s="741"/>
      <c r="F784" s="741"/>
      <c r="G784" s="741"/>
      <c r="H784" s="741"/>
      <c r="I784" s="741"/>
      <c r="J784" s="741"/>
      <c r="K784" s="741"/>
      <c r="L784" s="741"/>
      <c r="M784" s="741"/>
      <c r="N784" s="741"/>
      <c r="O784" s="741"/>
      <c r="P784" s="741"/>
      <c r="Q784" s="742"/>
    </row>
    <row r="785" spans="1:17" s="224" customFormat="1" x14ac:dyDescent="0.2">
      <c r="A785" s="263">
        <f>A784+1</f>
        <v>26</v>
      </c>
      <c r="C785" s="224" t="s">
        <v>204</v>
      </c>
      <c r="D785" s="519"/>
      <c r="E785" s="434">
        <f t="shared" ref="E785:P785" si="252">E779+E780+E783</f>
        <v>5468.24</v>
      </c>
      <c r="F785" s="434">
        <f t="shared" si="252"/>
        <v>4365.42</v>
      </c>
      <c r="G785" s="434">
        <f t="shared" si="252"/>
        <v>2758.59</v>
      </c>
      <c r="H785" s="434">
        <f t="shared" si="252"/>
        <v>2151.14</v>
      </c>
      <c r="I785" s="434">
        <f t="shared" si="252"/>
        <v>1780.48</v>
      </c>
      <c r="J785" s="434">
        <f t="shared" si="252"/>
        <v>1592.35</v>
      </c>
      <c r="K785" s="434">
        <f t="shared" si="252"/>
        <v>1623.73</v>
      </c>
      <c r="L785" s="434">
        <f t="shared" si="252"/>
        <v>1558.98</v>
      </c>
      <c r="M785" s="434">
        <f t="shared" si="252"/>
        <v>1559.38</v>
      </c>
      <c r="N785" s="434">
        <f t="shared" si="252"/>
        <v>2235.56</v>
      </c>
      <c r="O785" s="434">
        <f t="shared" si="252"/>
        <v>2646.51</v>
      </c>
      <c r="P785" s="434">
        <f t="shared" si="252"/>
        <v>2886.49</v>
      </c>
      <c r="Q785" s="434">
        <f>SUM(E785:P785)</f>
        <v>30626.869999999995</v>
      </c>
    </row>
    <row r="786" spans="1:17" s="224" customFormat="1" x14ac:dyDescent="0.2">
      <c r="A786" s="263"/>
      <c r="C786" s="290"/>
      <c r="D786" s="290"/>
      <c r="E786" s="489"/>
      <c r="F786" s="489"/>
      <c r="G786" s="489"/>
      <c r="H786" s="489"/>
      <c r="I786" s="489"/>
      <c r="J786" s="489"/>
      <c r="K786" s="489"/>
      <c r="L786" s="489"/>
      <c r="M786" s="489"/>
      <c r="N786" s="489"/>
      <c r="O786" s="489"/>
      <c r="P786" s="489"/>
      <c r="Q786" s="489"/>
    </row>
    <row r="787" spans="1:17" s="224" customFormat="1" x14ac:dyDescent="0.2">
      <c r="A787" s="263">
        <f>A785+1</f>
        <v>27</v>
      </c>
      <c r="C787" s="290" t="s">
        <v>208</v>
      </c>
      <c r="D787" s="793">
        <f>EGC</f>
        <v>2.2090999999999998</v>
      </c>
      <c r="E787" s="434">
        <f t="shared" ref="E787:P787" si="253">ROUND(E782*$D$787,2)</f>
        <v>6929.28</v>
      </c>
      <c r="F787" s="434">
        <f t="shared" si="253"/>
        <v>5096.84</v>
      </c>
      <c r="G787" s="434">
        <f t="shared" si="253"/>
        <v>2426.92</v>
      </c>
      <c r="H787" s="434">
        <f t="shared" si="253"/>
        <v>1417.58</v>
      </c>
      <c r="I787" s="434">
        <f t="shared" si="253"/>
        <v>801.68</v>
      </c>
      <c r="J787" s="434">
        <f t="shared" si="253"/>
        <v>489.09</v>
      </c>
      <c r="K787" s="434">
        <f t="shared" si="253"/>
        <v>541.23</v>
      </c>
      <c r="L787" s="434">
        <f t="shared" si="253"/>
        <v>433.65</v>
      </c>
      <c r="M787" s="434">
        <f t="shared" si="253"/>
        <v>434.31</v>
      </c>
      <c r="N787" s="434">
        <f t="shared" si="253"/>
        <v>1557.86</v>
      </c>
      <c r="O787" s="434">
        <f t="shared" si="253"/>
        <v>2240.69</v>
      </c>
      <c r="P787" s="434">
        <f t="shared" si="253"/>
        <v>2639.43</v>
      </c>
      <c r="Q787" s="434">
        <f>SUM(E787:P787)</f>
        <v>25008.560000000001</v>
      </c>
    </row>
    <row r="788" spans="1:17" s="224" customFormat="1" x14ac:dyDescent="0.2">
      <c r="A788" s="263"/>
      <c r="C788" s="277"/>
      <c r="D788" s="290"/>
      <c r="E788" s="743"/>
      <c r="F788" s="743"/>
      <c r="G788" s="743"/>
      <c r="H788" s="743"/>
      <c r="I788" s="743"/>
      <c r="J788" s="743"/>
      <c r="K788" s="743"/>
      <c r="L788" s="743"/>
      <c r="M788" s="743"/>
      <c r="N788" s="743"/>
      <c r="O788" s="743"/>
      <c r="P788" s="743"/>
      <c r="Q788" s="743"/>
    </row>
    <row r="789" spans="1:17" s="224" customFormat="1" x14ac:dyDescent="0.2">
      <c r="A789" s="720">
        <f>A787+1</f>
        <v>28</v>
      </c>
      <c r="B789" s="453"/>
      <c r="C789" s="468" t="s">
        <v>206</v>
      </c>
      <c r="D789" s="468"/>
      <c r="E789" s="457">
        <f t="shared" ref="E789:P789" si="254">E785+E787</f>
        <v>12397.52</v>
      </c>
      <c r="F789" s="457">
        <f t="shared" si="254"/>
        <v>9462.26</v>
      </c>
      <c r="G789" s="457">
        <f t="shared" si="254"/>
        <v>5185.51</v>
      </c>
      <c r="H789" s="457">
        <f t="shared" si="254"/>
        <v>3568.72</v>
      </c>
      <c r="I789" s="457">
        <f t="shared" si="254"/>
        <v>2582.16</v>
      </c>
      <c r="J789" s="457">
        <f t="shared" si="254"/>
        <v>2081.44</v>
      </c>
      <c r="K789" s="457">
        <f t="shared" si="254"/>
        <v>2164.96</v>
      </c>
      <c r="L789" s="457">
        <f t="shared" si="254"/>
        <v>1992.63</v>
      </c>
      <c r="M789" s="457">
        <f t="shared" si="254"/>
        <v>1993.69</v>
      </c>
      <c r="N789" s="457">
        <f t="shared" si="254"/>
        <v>3793.42</v>
      </c>
      <c r="O789" s="457">
        <f t="shared" si="254"/>
        <v>4887.2000000000007</v>
      </c>
      <c r="P789" s="457">
        <f t="shared" si="254"/>
        <v>5525.92</v>
      </c>
      <c r="Q789" s="457">
        <f>SUM(E789:P789)</f>
        <v>55635.429999999993</v>
      </c>
    </row>
    <row r="790" spans="1:17" s="224" customFormat="1" x14ac:dyDescent="0.2">
      <c r="A790" s="263"/>
      <c r="C790" s="290"/>
      <c r="D790" s="290"/>
      <c r="E790" s="489"/>
      <c r="F790" s="489"/>
      <c r="G790" s="489"/>
      <c r="H790" s="489"/>
      <c r="I790" s="489"/>
      <c r="J790" s="489"/>
      <c r="K790" s="489"/>
      <c r="L790" s="489"/>
      <c r="M790" s="489"/>
      <c r="N790" s="489"/>
      <c r="O790" s="489"/>
      <c r="P790" s="489"/>
      <c r="Q790" s="489"/>
    </row>
    <row r="791" spans="1:17" s="224" customFormat="1" x14ac:dyDescent="0.2">
      <c r="A791" s="263">
        <f>A789+1</f>
        <v>29</v>
      </c>
      <c r="C791" s="290" t="s">
        <v>196</v>
      </c>
      <c r="D791" s="290"/>
      <c r="E791" s="489"/>
      <c r="F791" s="489"/>
      <c r="G791" s="489"/>
      <c r="H791" s="489"/>
      <c r="I791" s="489"/>
      <c r="J791" s="489"/>
      <c r="K791" s="489"/>
      <c r="L791" s="489"/>
      <c r="M791" s="489"/>
      <c r="N791" s="489"/>
      <c r="O791" s="489"/>
      <c r="P791" s="489"/>
      <c r="Q791" s="489"/>
    </row>
    <row r="792" spans="1:17" s="224" customFormat="1" x14ac:dyDescent="0.2">
      <c r="A792" s="263">
        <f>A791+1</f>
        <v>30</v>
      </c>
      <c r="C792" s="290" t="s">
        <v>214</v>
      </c>
      <c r="D792" s="793">
        <f>Input!AA37</f>
        <v>2.5999999999999999E-2</v>
      </c>
      <c r="E792" s="434">
        <f t="shared" ref="E792:P792" si="255">ROUND(E782*$D$792,2)</f>
        <v>81.55</v>
      </c>
      <c r="F792" s="434">
        <f t="shared" si="255"/>
        <v>59.99</v>
      </c>
      <c r="G792" s="434">
        <f t="shared" si="255"/>
        <v>28.56</v>
      </c>
      <c r="H792" s="434">
        <f t="shared" si="255"/>
        <v>16.68</v>
      </c>
      <c r="I792" s="434">
        <f t="shared" si="255"/>
        <v>9.44</v>
      </c>
      <c r="J792" s="434">
        <f t="shared" si="255"/>
        <v>5.76</v>
      </c>
      <c r="K792" s="434">
        <f t="shared" si="255"/>
        <v>6.37</v>
      </c>
      <c r="L792" s="434">
        <f t="shared" si="255"/>
        <v>5.0999999999999996</v>
      </c>
      <c r="M792" s="434">
        <f t="shared" si="255"/>
        <v>5.1100000000000003</v>
      </c>
      <c r="N792" s="434">
        <f t="shared" si="255"/>
        <v>18.34</v>
      </c>
      <c r="O792" s="434">
        <f t="shared" si="255"/>
        <v>26.37</v>
      </c>
      <c r="P792" s="434">
        <f t="shared" si="255"/>
        <v>31.06</v>
      </c>
      <c r="Q792" s="434">
        <f>SUM(E792:P792)</f>
        <v>294.33</v>
      </c>
    </row>
    <row r="793" spans="1:17" s="224" customFormat="1" x14ac:dyDescent="0.2">
      <c r="A793" s="263"/>
      <c r="D793" s="290"/>
      <c r="F793" s="292"/>
      <c r="G793" s="476"/>
      <c r="H793" s="292"/>
      <c r="I793" s="297"/>
      <c r="J793" s="292"/>
      <c r="K793" s="292"/>
      <c r="L793" s="292"/>
      <c r="M793" s="292"/>
      <c r="N793" s="292"/>
      <c r="O793" s="292"/>
      <c r="P793" s="292"/>
    </row>
    <row r="794" spans="1:17" s="224" customFormat="1" ht="10.8" thickBot="1" x14ac:dyDescent="0.25">
      <c r="A794" s="724">
        <f>A792+1</f>
        <v>31</v>
      </c>
      <c r="B794" s="496"/>
      <c r="C794" s="725" t="s">
        <v>205</v>
      </c>
      <c r="D794" s="726"/>
      <c r="E794" s="499">
        <f>E789+E792</f>
        <v>12479.07</v>
      </c>
      <c r="F794" s="499">
        <f t="shared" ref="F794:P794" si="256">F789+F792</f>
        <v>9522.25</v>
      </c>
      <c r="G794" s="499">
        <f t="shared" si="256"/>
        <v>5214.0700000000006</v>
      </c>
      <c r="H794" s="499">
        <f t="shared" si="256"/>
        <v>3585.3999999999996</v>
      </c>
      <c r="I794" s="499">
        <f t="shared" si="256"/>
        <v>2591.6</v>
      </c>
      <c r="J794" s="499">
        <f t="shared" si="256"/>
        <v>2087.2000000000003</v>
      </c>
      <c r="K794" s="499">
        <f t="shared" si="256"/>
        <v>2171.33</v>
      </c>
      <c r="L794" s="499">
        <f t="shared" si="256"/>
        <v>1997.73</v>
      </c>
      <c r="M794" s="499">
        <f t="shared" si="256"/>
        <v>1998.8</v>
      </c>
      <c r="N794" s="499">
        <f t="shared" si="256"/>
        <v>3811.76</v>
      </c>
      <c r="O794" s="499">
        <f t="shared" si="256"/>
        <v>4913.5700000000006</v>
      </c>
      <c r="P794" s="499">
        <f t="shared" si="256"/>
        <v>5556.9800000000005</v>
      </c>
      <c r="Q794" s="499">
        <f>SUM(E794:P794)</f>
        <v>55929.760000000009</v>
      </c>
    </row>
    <row r="795" spans="1:17" s="224" customFormat="1" ht="10.8" thickTop="1" x14ac:dyDescent="0.2">
      <c r="A795" s="263"/>
      <c r="D795" s="290"/>
      <c r="F795" s="292"/>
      <c r="G795" s="476"/>
      <c r="H795" s="292"/>
      <c r="I795" s="297"/>
      <c r="J795" s="292"/>
      <c r="K795" s="292"/>
      <c r="L795" s="292"/>
      <c r="M795" s="292"/>
      <c r="N795" s="292"/>
      <c r="O795" s="292"/>
      <c r="P795" s="292"/>
      <c r="Q795" s="292"/>
    </row>
    <row r="796" spans="1:17" s="224" customFormat="1" x14ac:dyDescent="0.2">
      <c r="A796" s="263"/>
      <c r="D796" s="290"/>
      <c r="F796" s="292"/>
      <c r="G796" s="476"/>
      <c r="H796" s="292"/>
      <c r="I796" s="297"/>
      <c r="J796" s="292"/>
      <c r="K796" s="292"/>
      <c r="L796" s="292"/>
      <c r="M796" s="292"/>
      <c r="N796" s="292"/>
      <c r="O796" s="292"/>
      <c r="P796" s="292"/>
      <c r="Q796" s="292"/>
    </row>
    <row r="797" spans="1:17" s="224" customFormat="1" x14ac:dyDescent="0.2">
      <c r="A797" s="629" t="str">
        <f>$A$265</f>
        <v>[1] Reflects Normalized Volumes.</v>
      </c>
      <c r="D797" s="290"/>
      <c r="F797" s="292"/>
      <c r="G797" s="476"/>
      <c r="H797" s="292"/>
      <c r="I797" s="297"/>
      <c r="J797" s="292"/>
      <c r="K797" s="292"/>
      <c r="L797" s="292"/>
      <c r="M797" s="292"/>
      <c r="N797" s="292"/>
      <c r="O797" s="292"/>
      <c r="P797" s="292"/>
    </row>
    <row r="798" spans="1:17" s="224" customFormat="1" x14ac:dyDescent="0.2">
      <c r="A798" s="629" t="str">
        <f>"[2] Reflects Gas Cost Adjustment Rate"&amp;CONCATENATE(" as of ",EGCDATE)&amp;"."</f>
        <v>[2] Reflects Gas Cost Adjustment Rate as of March 1, 2016.</v>
      </c>
      <c r="D798" s="290"/>
      <c r="F798" s="292"/>
      <c r="G798" s="476"/>
      <c r="H798" s="292"/>
      <c r="I798" s="297"/>
      <c r="J798" s="292"/>
      <c r="K798" s="292"/>
      <c r="L798" s="292"/>
      <c r="M798" s="292"/>
      <c r="N798" s="292"/>
      <c r="O798" s="292"/>
      <c r="P798" s="292"/>
    </row>
    <row r="799" spans="1:17" s="224" customFormat="1" x14ac:dyDescent="0.2">
      <c r="A799" s="889" t="str">
        <f>CONAME</f>
        <v>Columbia Gas of Kentucky, Inc.</v>
      </c>
      <c r="B799" s="889"/>
      <c r="C799" s="889"/>
      <c r="D799" s="889"/>
      <c r="E799" s="889"/>
      <c r="F799" s="889"/>
      <c r="G799" s="889"/>
      <c r="H799" s="889"/>
      <c r="I799" s="889"/>
      <c r="J799" s="889"/>
      <c r="K799" s="889"/>
      <c r="L799" s="889"/>
      <c r="M799" s="889"/>
      <c r="N799" s="889"/>
      <c r="O799" s="889"/>
      <c r="P799" s="889"/>
      <c r="Q799" s="889"/>
    </row>
    <row r="800" spans="1:17" s="224" customFormat="1" x14ac:dyDescent="0.2">
      <c r="A800" s="872" t="str">
        <f>case</f>
        <v>Case No. 2016-00162</v>
      </c>
      <c r="B800" s="872"/>
      <c r="C800" s="872"/>
      <c r="D800" s="872"/>
      <c r="E800" s="872"/>
      <c r="F800" s="872"/>
      <c r="G800" s="872"/>
      <c r="H800" s="872"/>
      <c r="I800" s="872"/>
      <c r="J800" s="872"/>
      <c r="K800" s="872"/>
      <c r="L800" s="872"/>
      <c r="M800" s="872"/>
      <c r="N800" s="872"/>
      <c r="O800" s="872"/>
      <c r="P800" s="872"/>
      <c r="Q800" s="872"/>
    </row>
    <row r="801" spans="1:17" s="224" customFormat="1" x14ac:dyDescent="0.2">
      <c r="A801" s="892" t="s">
        <v>200</v>
      </c>
      <c r="B801" s="892"/>
      <c r="C801" s="892"/>
      <c r="D801" s="892"/>
      <c r="E801" s="892"/>
      <c r="F801" s="892"/>
      <c r="G801" s="892"/>
      <c r="H801" s="892"/>
      <c r="I801" s="892"/>
      <c r="J801" s="892"/>
      <c r="K801" s="892"/>
      <c r="L801" s="892"/>
      <c r="M801" s="892"/>
      <c r="N801" s="892"/>
      <c r="O801" s="892"/>
      <c r="P801" s="892"/>
      <c r="Q801" s="892"/>
    </row>
    <row r="802" spans="1:17" s="224" customFormat="1" x14ac:dyDescent="0.2">
      <c r="A802" s="889" t="str">
        <f>TYDESC</f>
        <v>For the 12 Months Ended December 31, 2017</v>
      </c>
      <c r="B802" s="889"/>
      <c r="C802" s="889"/>
      <c r="D802" s="889"/>
      <c r="E802" s="889"/>
      <c r="F802" s="889"/>
      <c r="G802" s="889"/>
      <c r="H802" s="889"/>
      <c r="I802" s="889"/>
      <c r="J802" s="889"/>
      <c r="K802" s="889"/>
      <c r="L802" s="889"/>
      <c r="M802" s="889"/>
      <c r="N802" s="889"/>
      <c r="O802" s="889"/>
      <c r="P802" s="889"/>
      <c r="Q802" s="889"/>
    </row>
    <row r="803" spans="1:17" s="224" customFormat="1" x14ac:dyDescent="0.2">
      <c r="A803" s="890" t="s">
        <v>39</v>
      </c>
      <c r="B803" s="890"/>
      <c r="C803" s="890"/>
      <c r="D803" s="890"/>
      <c r="E803" s="890"/>
      <c r="F803" s="890"/>
      <c r="G803" s="890"/>
      <c r="H803" s="890"/>
      <c r="I803" s="890"/>
      <c r="J803" s="890"/>
      <c r="K803" s="890"/>
      <c r="L803" s="890"/>
      <c r="M803" s="890"/>
      <c r="N803" s="890"/>
      <c r="O803" s="890"/>
      <c r="P803" s="890"/>
      <c r="Q803" s="890"/>
    </row>
    <row r="804" spans="1:17" s="224" customFormat="1" x14ac:dyDescent="0.2">
      <c r="A804" s="718" t="str">
        <f>$A$52</f>
        <v>Data: __ Base Period _X_ Forecasted Period</v>
      </c>
      <c r="D804" s="290"/>
      <c r="F804" s="292"/>
      <c r="G804" s="476"/>
      <c r="H804" s="292"/>
      <c r="I804" s="297"/>
      <c r="J804" s="292"/>
      <c r="K804" s="292"/>
      <c r="L804" s="292"/>
      <c r="M804" s="292"/>
      <c r="N804" s="292"/>
      <c r="O804" s="292"/>
      <c r="P804" s="292"/>
    </row>
    <row r="805" spans="1:17" s="224" customFormat="1" x14ac:dyDescent="0.2">
      <c r="A805" s="718" t="str">
        <f>$A$53</f>
        <v>Type of Filing: X Original _ Update _ Revised</v>
      </c>
      <c r="D805" s="290"/>
      <c r="F805" s="292"/>
      <c r="G805" s="476"/>
      <c r="H805" s="292"/>
      <c r="I805" s="297"/>
      <c r="J805" s="292"/>
      <c r="K805" s="292"/>
      <c r="L805" s="292"/>
      <c r="M805" s="292"/>
      <c r="N805" s="292"/>
      <c r="O805" s="292"/>
      <c r="P805" s="292"/>
      <c r="Q805" s="727" t="str">
        <f>$Q$53</f>
        <v>Schedule M-2.3</v>
      </c>
    </row>
    <row r="806" spans="1:17" s="224" customFormat="1" x14ac:dyDescent="0.2">
      <c r="A806" s="718" t="str">
        <f>$A$54</f>
        <v>Work Paper Reference No(s):</v>
      </c>
      <c r="D806" s="290"/>
      <c r="F806" s="292"/>
      <c r="G806" s="476"/>
      <c r="H806" s="292"/>
      <c r="I806" s="297"/>
      <c r="J806" s="292"/>
      <c r="K806" s="292"/>
      <c r="L806" s="292"/>
      <c r="M806" s="292"/>
      <c r="N806" s="292"/>
      <c r="O806" s="292"/>
      <c r="P806" s="292"/>
      <c r="Q806" s="727" t="s">
        <v>520</v>
      </c>
    </row>
    <row r="807" spans="1:17" s="224" customFormat="1" x14ac:dyDescent="0.2">
      <c r="A807" s="719" t="str">
        <f>$A$55</f>
        <v>12 Months Forecasted</v>
      </c>
      <c r="D807" s="290"/>
      <c r="F807" s="292"/>
      <c r="G807" s="476"/>
      <c r="H807" s="292"/>
      <c r="I807" s="297"/>
      <c r="J807" s="292"/>
      <c r="K807" s="292"/>
      <c r="L807" s="292"/>
      <c r="M807" s="292"/>
      <c r="N807" s="292"/>
      <c r="O807" s="292"/>
      <c r="P807" s="292"/>
      <c r="Q807" s="727" t="str">
        <f>Witness</f>
        <v>Witness:  M. J. Bell</v>
      </c>
    </row>
    <row r="808" spans="1:17" s="224" customFormat="1" x14ac:dyDescent="0.2">
      <c r="A808" s="891" t="s">
        <v>294</v>
      </c>
      <c r="B808" s="891"/>
      <c r="C808" s="891"/>
      <c r="D808" s="891"/>
      <c r="E808" s="891"/>
      <c r="F808" s="891"/>
      <c r="G808" s="891"/>
      <c r="H808" s="891"/>
      <c r="I808" s="891"/>
      <c r="J808" s="891"/>
      <c r="K808" s="891"/>
      <c r="L808" s="891"/>
      <c r="M808" s="891"/>
      <c r="N808" s="891"/>
      <c r="O808" s="891"/>
      <c r="P808" s="891"/>
      <c r="Q808" s="891"/>
    </row>
    <row r="809" spans="1:17" s="224" customFormat="1" x14ac:dyDescent="0.2">
      <c r="A809" s="227"/>
      <c r="B809" s="306"/>
      <c r="C809" s="306"/>
      <c r="D809" s="308"/>
      <c r="E809" s="306"/>
      <c r="F809" s="502"/>
      <c r="G809" s="503"/>
      <c r="H809" s="502"/>
      <c r="I809" s="504"/>
      <c r="J809" s="502"/>
      <c r="K809" s="502"/>
      <c r="L809" s="502"/>
      <c r="M809" s="502"/>
      <c r="N809" s="502"/>
      <c r="O809" s="502"/>
      <c r="P809" s="502"/>
      <c r="Q809" s="306"/>
    </row>
    <row r="810" spans="1:17" s="224" customFormat="1" x14ac:dyDescent="0.2">
      <c r="A810" s="416"/>
      <c r="B810" s="416"/>
      <c r="C810" s="416"/>
      <c r="D810" s="728"/>
      <c r="E810" s="416"/>
      <c r="F810" s="729"/>
      <c r="G810" s="730"/>
      <c r="H810" s="729"/>
      <c r="I810" s="731"/>
      <c r="J810" s="729"/>
      <c r="K810" s="729"/>
      <c r="L810" s="729"/>
      <c r="M810" s="729"/>
      <c r="N810" s="729"/>
      <c r="O810" s="729"/>
      <c r="P810" s="729"/>
      <c r="Q810" s="416"/>
    </row>
    <row r="811" spans="1:17" s="224" customFormat="1" x14ac:dyDescent="0.2">
      <c r="A811" s="416"/>
      <c r="B811" s="416"/>
      <c r="C811" s="416"/>
      <c r="D811" s="423"/>
      <c r="E811" s="416"/>
      <c r="F811" s="729"/>
      <c r="G811" s="732"/>
      <c r="H811" s="729"/>
      <c r="I811" s="733"/>
      <c r="J811" s="729"/>
      <c r="K811" s="729"/>
      <c r="L811" s="729"/>
      <c r="M811" s="729"/>
      <c r="N811" s="729"/>
      <c r="O811" s="729"/>
      <c r="P811" s="729"/>
      <c r="Q811" s="416"/>
    </row>
    <row r="812" spans="1:17" s="224" customFormat="1" x14ac:dyDescent="0.2">
      <c r="A812" s="416" t="s">
        <v>1</v>
      </c>
      <c r="B812" s="416" t="s">
        <v>0</v>
      </c>
      <c r="C812" s="416" t="s">
        <v>41</v>
      </c>
      <c r="D812" s="423" t="s">
        <v>30</v>
      </c>
      <c r="E812" s="416"/>
      <c r="F812" s="729"/>
      <c r="G812" s="732"/>
      <c r="H812" s="729"/>
      <c r="I812" s="733"/>
      <c r="J812" s="729"/>
      <c r="K812" s="729"/>
      <c r="L812" s="729"/>
      <c r="M812" s="729"/>
      <c r="N812" s="729"/>
      <c r="O812" s="729"/>
      <c r="P812" s="729"/>
      <c r="Q812" s="232"/>
    </row>
    <row r="813" spans="1:17" s="224" customFormat="1" x14ac:dyDescent="0.2">
      <c r="A813" s="285" t="s">
        <v>3</v>
      </c>
      <c r="B813" s="285" t="s">
        <v>40</v>
      </c>
      <c r="C813" s="285" t="s">
        <v>4</v>
      </c>
      <c r="D813" s="427" t="s">
        <v>48</v>
      </c>
      <c r="E813" s="428" t="str">
        <f>B!$D$11</f>
        <v>Jan-17</v>
      </c>
      <c r="F813" s="428" t="str">
        <f>B!$E$11</f>
        <v>Feb-17</v>
      </c>
      <c r="G813" s="428" t="str">
        <f>B!$F$11</f>
        <v>Mar-17</v>
      </c>
      <c r="H813" s="428" t="str">
        <f>B!$G$11</f>
        <v>Apr-17</v>
      </c>
      <c r="I813" s="428" t="str">
        <f>B!$H$11</f>
        <v>May-17</v>
      </c>
      <c r="J813" s="428" t="str">
        <f>B!$I$11</f>
        <v>Jun-17</v>
      </c>
      <c r="K813" s="428" t="str">
        <f>B!$J$11</f>
        <v>Jul-17</v>
      </c>
      <c r="L813" s="428" t="str">
        <f>B!$K$11</f>
        <v>Aug-17</v>
      </c>
      <c r="M813" s="428" t="str">
        <f>B!$L$11</f>
        <v>Sep-17</v>
      </c>
      <c r="N813" s="428" t="str">
        <f>B!$M$11</f>
        <v>Oct-17</v>
      </c>
      <c r="O813" s="428" t="str">
        <f>B!$N$11</f>
        <v>Nov-17</v>
      </c>
      <c r="P813" s="428" t="str">
        <f>B!$O$11</f>
        <v>Dec-17</v>
      </c>
      <c r="Q813" s="428" t="s">
        <v>9</v>
      </c>
    </row>
    <row r="814" spans="1:17" s="224" customFormat="1" x14ac:dyDescent="0.2">
      <c r="A814" s="416"/>
      <c r="B814" s="231" t="s">
        <v>42</v>
      </c>
      <c r="C814" s="231" t="s">
        <v>43</v>
      </c>
      <c r="D814" s="430" t="s">
        <v>45</v>
      </c>
      <c r="E814" s="431" t="s">
        <v>46</v>
      </c>
      <c r="F814" s="431" t="s">
        <v>49</v>
      </c>
      <c r="G814" s="431" t="s">
        <v>50</v>
      </c>
      <c r="H814" s="431" t="s">
        <v>51</v>
      </c>
      <c r="I814" s="431" t="s">
        <v>52</v>
      </c>
      <c r="J814" s="432" t="s">
        <v>53</v>
      </c>
      <c r="K814" s="432" t="s">
        <v>54</v>
      </c>
      <c r="L814" s="432" t="s">
        <v>55</v>
      </c>
      <c r="M814" s="432" t="s">
        <v>56</v>
      </c>
      <c r="N814" s="432" t="s">
        <v>57</v>
      </c>
      <c r="O814" s="432" t="s">
        <v>58</v>
      </c>
      <c r="P814" s="432" t="s">
        <v>59</v>
      </c>
      <c r="Q814" s="432" t="s">
        <v>203</v>
      </c>
    </row>
    <row r="815" spans="1:17" s="224" customFormat="1" x14ac:dyDescent="0.2">
      <c r="A815" s="263"/>
      <c r="D815" s="290"/>
      <c r="E815" s="232"/>
      <c r="F815" s="734"/>
      <c r="G815" s="730"/>
      <c r="H815" s="734"/>
      <c r="I815" s="731"/>
      <c r="J815" s="734"/>
      <c r="K815" s="734"/>
      <c r="L815" s="734"/>
      <c r="M815" s="734"/>
      <c r="N815" s="734"/>
      <c r="O815" s="734"/>
      <c r="P815" s="734"/>
      <c r="Q815" s="232"/>
    </row>
    <row r="816" spans="1:17" s="224" customFormat="1" x14ac:dyDescent="0.2">
      <c r="A816" s="263">
        <v>1</v>
      </c>
      <c r="B816" s="224" t="str">
        <f>B222</f>
        <v>GTR</v>
      </c>
      <c r="C816" s="224" t="str">
        <f>C222</f>
        <v xml:space="preserve">GTS Choice - Residential </v>
      </c>
      <c r="D816" s="290"/>
      <c r="F816" s="292"/>
      <c r="G816" s="476"/>
      <c r="H816" s="292"/>
      <c r="I816" s="297"/>
      <c r="J816" s="292"/>
      <c r="K816" s="292"/>
      <c r="L816" s="292"/>
      <c r="M816" s="292"/>
      <c r="N816" s="292"/>
      <c r="O816" s="292"/>
      <c r="P816" s="292"/>
    </row>
    <row r="817" spans="1:17" s="224" customFormat="1" x14ac:dyDescent="0.2">
      <c r="A817" s="263"/>
      <c r="D817" s="290"/>
      <c r="F817" s="292"/>
      <c r="G817" s="476"/>
      <c r="H817" s="292"/>
      <c r="I817" s="297"/>
      <c r="J817" s="292"/>
      <c r="K817" s="292"/>
      <c r="L817" s="292"/>
      <c r="M817" s="292"/>
      <c r="N817" s="292"/>
      <c r="O817" s="292"/>
      <c r="P817" s="292"/>
    </row>
    <row r="818" spans="1:17" s="224" customFormat="1" x14ac:dyDescent="0.2">
      <c r="A818" s="263">
        <f>A816+1</f>
        <v>2</v>
      </c>
      <c r="C818" s="266" t="s">
        <v>109</v>
      </c>
      <c r="D818" s="290"/>
      <c r="F818" s="292"/>
      <c r="G818" s="476"/>
      <c r="H818" s="292"/>
      <c r="I818" s="297"/>
      <c r="J818" s="292"/>
      <c r="K818" s="292"/>
      <c r="L818" s="292"/>
      <c r="M818" s="292"/>
      <c r="N818" s="292"/>
      <c r="O818" s="292"/>
      <c r="P818" s="292"/>
    </row>
    <row r="819" spans="1:17" s="224" customFormat="1" x14ac:dyDescent="0.2">
      <c r="A819" s="263"/>
      <c r="C819" s="266"/>
      <c r="D819" s="290"/>
      <c r="F819" s="292"/>
      <c r="G819" s="476"/>
      <c r="H819" s="292"/>
      <c r="I819" s="297"/>
      <c r="J819" s="292"/>
      <c r="K819" s="292"/>
      <c r="L819" s="292"/>
      <c r="M819" s="292"/>
      <c r="N819" s="292"/>
      <c r="O819" s="292"/>
      <c r="P819" s="292"/>
    </row>
    <row r="820" spans="1:17" s="224" customFormat="1" x14ac:dyDescent="0.2">
      <c r="A820" s="263">
        <f>A818+1</f>
        <v>3</v>
      </c>
      <c r="C820" s="224" t="s">
        <v>202</v>
      </c>
      <c r="D820" s="290"/>
      <c r="E820" s="479">
        <f>B!D164</f>
        <v>23720</v>
      </c>
      <c r="F820" s="479">
        <f>B!E164</f>
        <v>23785</v>
      </c>
      <c r="G820" s="479">
        <f>B!F164</f>
        <v>23786</v>
      </c>
      <c r="H820" s="479">
        <f>B!G164</f>
        <v>23694</v>
      </c>
      <c r="I820" s="479">
        <f>B!H164</f>
        <v>23612</v>
      </c>
      <c r="J820" s="479">
        <f>B!I164</f>
        <v>23386</v>
      </c>
      <c r="K820" s="479">
        <f>B!J164</f>
        <v>23238</v>
      </c>
      <c r="L820" s="479">
        <f>B!K164</f>
        <v>23223</v>
      </c>
      <c r="M820" s="479">
        <f>B!L164</f>
        <v>23179</v>
      </c>
      <c r="N820" s="479">
        <f>B!M164</f>
        <v>23188</v>
      </c>
      <c r="O820" s="479">
        <f>B!N164</f>
        <v>23458</v>
      </c>
      <c r="P820" s="479">
        <f>B!O164</f>
        <v>23677</v>
      </c>
      <c r="Q820" s="479">
        <f>SUM(E820:P820)</f>
        <v>281946</v>
      </c>
    </row>
    <row r="821" spans="1:17" s="224" customFormat="1" x14ac:dyDescent="0.2">
      <c r="A821" s="263">
        <f>A820+1</f>
        <v>4</v>
      </c>
      <c r="C821" s="224" t="s">
        <v>210</v>
      </c>
      <c r="D821" s="792">
        <f>Input!U41</f>
        <v>19.75</v>
      </c>
      <c r="E821" s="434">
        <f t="shared" ref="E821:P821" si="257">ROUND(E820*$D$821,2)</f>
        <v>468470</v>
      </c>
      <c r="F821" s="434">
        <f t="shared" si="257"/>
        <v>469753.75</v>
      </c>
      <c r="G821" s="434">
        <f t="shared" si="257"/>
        <v>469773.5</v>
      </c>
      <c r="H821" s="434">
        <f t="shared" si="257"/>
        <v>467956.5</v>
      </c>
      <c r="I821" s="434">
        <f t="shared" si="257"/>
        <v>466337</v>
      </c>
      <c r="J821" s="434">
        <f t="shared" si="257"/>
        <v>461873.5</v>
      </c>
      <c r="K821" s="434">
        <f t="shared" si="257"/>
        <v>458950.5</v>
      </c>
      <c r="L821" s="434">
        <f t="shared" si="257"/>
        <v>458654.25</v>
      </c>
      <c r="M821" s="434">
        <f t="shared" si="257"/>
        <v>457785.25</v>
      </c>
      <c r="N821" s="434">
        <f t="shared" si="257"/>
        <v>457963</v>
      </c>
      <c r="O821" s="434">
        <f t="shared" si="257"/>
        <v>463295.5</v>
      </c>
      <c r="P821" s="434">
        <f t="shared" si="257"/>
        <v>467620.75</v>
      </c>
      <c r="Q821" s="434">
        <f>SUM(E821:P821)</f>
        <v>5568433.5</v>
      </c>
    </row>
    <row r="822" spans="1:17" s="224" customFormat="1" x14ac:dyDescent="0.2">
      <c r="A822" s="263">
        <f>A821+1</f>
        <v>5</v>
      </c>
      <c r="C822" s="224" t="s">
        <v>211</v>
      </c>
      <c r="D822" s="792">
        <f>Input!W41</f>
        <v>0</v>
      </c>
      <c r="E822" s="434">
        <f t="shared" ref="E822:P822" si="258">ROUND(E820*$D$822,2)</f>
        <v>0</v>
      </c>
      <c r="F822" s="434">
        <f t="shared" si="258"/>
        <v>0</v>
      </c>
      <c r="G822" s="434">
        <f t="shared" si="258"/>
        <v>0</v>
      </c>
      <c r="H822" s="434">
        <f t="shared" si="258"/>
        <v>0</v>
      </c>
      <c r="I822" s="434">
        <f t="shared" si="258"/>
        <v>0</v>
      </c>
      <c r="J822" s="434">
        <f t="shared" si="258"/>
        <v>0</v>
      </c>
      <c r="K822" s="434">
        <f t="shared" si="258"/>
        <v>0</v>
      </c>
      <c r="L822" s="434">
        <f t="shared" si="258"/>
        <v>0</v>
      </c>
      <c r="M822" s="434">
        <f t="shared" si="258"/>
        <v>0</v>
      </c>
      <c r="N822" s="434">
        <f t="shared" si="258"/>
        <v>0</v>
      </c>
      <c r="O822" s="434">
        <f t="shared" si="258"/>
        <v>0</v>
      </c>
      <c r="P822" s="434">
        <f t="shared" si="258"/>
        <v>0</v>
      </c>
      <c r="Q822" s="434">
        <f>SUM(E822:P822)</f>
        <v>0</v>
      </c>
    </row>
    <row r="823" spans="1:17" s="224" customFormat="1" x14ac:dyDescent="0.2">
      <c r="A823" s="263"/>
      <c r="D823" s="519"/>
      <c r="E823" s="521"/>
      <c r="F823" s="292"/>
      <c r="G823" s="476"/>
      <c r="H823" s="292"/>
      <c r="I823" s="297"/>
      <c r="J823" s="292"/>
      <c r="K823" s="292"/>
      <c r="L823" s="292"/>
      <c r="M823" s="292"/>
      <c r="N823" s="292"/>
      <c r="O823" s="292"/>
      <c r="P823" s="292"/>
    </row>
    <row r="824" spans="1:17" s="224" customFormat="1" x14ac:dyDescent="0.2">
      <c r="A824" s="263">
        <f>A822+1</f>
        <v>6</v>
      </c>
      <c r="C824" s="224" t="s">
        <v>209</v>
      </c>
      <c r="D824" s="519"/>
      <c r="E824" s="483">
        <f>'C'!D186</f>
        <v>364000</v>
      </c>
      <c r="F824" s="483">
        <f>'C'!E186</f>
        <v>353000</v>
      </c>
      <c r="G824" s="483">
        <f>'C'!F186</f>
        <v>265000</v>
      </c>
      <c r="H824" s="483">
        <f>'C'!G186</f>
        <v>151000</v>
      </c>
      <c r="I824" s="483">
        <f>'C'!H186</f>
        <v>71000</v>
      </c>
      <c r="J824" s="483">
        <f>'C'!I186</f>
        <v>34000</v>
      </c>
      <c r="K824" s="483">
        <f>'C'!J186</f>
        <v>24000</v>
      </c>
      <c r="L824" s="483">
        <f>'C'!K186</f>
        <v>23000</v>
      </c>
      <c r="M824" s="483">
        <f>'C'!L186</f>
        <v>25000</v>
      </c>
      <c r="N824" s="483">
        <f>'C'!M186</f>
        <v>39000</v>
      </c>
      <c r="O824" s="483">
        <f>'C'!N186</f>
        <v>111000</v>
      </c>
      <c r="P824" s="483">
        <f>'C'!O186</f>
        <v>247000</v>
      </c>
      <c r="Q824" s="483">
        <f>SUM(E824:P824)</f>
        <v>1707000</v>
      </c>
    </row>
    <row r="825" spans="1:17" s="224" customFormat="1" x14ac:dyDescent="0.2">
      <c r="A825" s="263">
        <f>A824+1</f>
        <v>7</v>
      </c>
      <c r="C825" s="224" t="s">
        <v>212</v>
      </c>
      <c r="D825" s="793">
        <f>Input!P41</f>
        <v>3.8668</v>
      </c>
      <c r="E825" s="434">
        <f t="shared" ref="E825:P825" si="259">ROUND(E824*$D$825,2)</f>
        <v>1407515.2</v>
      </c>
      <c r="F825" s="434">
        <f t="shared" si="259"/>
        <v>1364980.4</v>
      </c>
      <c r="G825" s="434">
        <f t="shared" si="259"/>
        <v>1024702</v>
      </c>
      <c r="H825" s="434">
        <f t="shared" si="259"/>
        <v>583886.80000000005</v>
      </c>
      <c r="I825" s="434">
        <f t="shared" si="259"/>
        <v>274542.8</v>
      </c>
      <c r="J825" s="434">
        <f t="shared" si="259"/>
        <v>131471.20000000001</v>
      </c>
      <c r="K825" s="434">
        <f t="shared" si="259"/>
        <v>92803.199999999997</v>
      </c>
      <c r="L825" s="434">
        <f t="shared" si="259"/>
        <v>88936.4</v>
      </c>
      <c r="M825" s="434">
        <f t="shared" si="259"/>
        <v>96670</v>
      </c>
      <c r="N825" s="434">
        <f t="shared" si="259"/>
        <v>150805.20000000001</v>
      </c>
      <c r="O825" s="434">
        <f t="shared" si="259"/>
        <v>429214.8</v>
      </c>
      <c r="P825" s="434">
        <f t="shared" si="259"/>
        <v>955099.6</v>
      </c>
      <c r="Q825" s="434">
        <f>SUM(E825:P825)</f>
        <v>6600627.5999999996</v>
      </c>
    </row>
    <row r="826" spans="1:17" s="224" customFormat="1" x14ac:dyDescent="0.2">
      <c r="A826" s="263"/>
      <c r="D826" s="519"/>
      <c r="E826" s="741"/>
      <c r="F826" s="741"/>
      <c r="G826" s="741"/>
      <c r="H826" s="741"/>
      <c r="I826" s="741"/>
      <c r="J826" s="741"/>
      <c r="K826" s="741"/>
      <c r="L826" s="741"/>
      <c r="M826" s="741"/>
      <c r="N826" s="741"/>
      <c r="O826" s="741"/>
      <c r="P826" s="741"/>
      <c r="Q826" s="742"/>
    </row>
    <row r="827" spans="1:17" s="224" customFormat="1" x14ac:dyDescent="0.2">
      <c r="A827" s="263">
        <f>A825+1</f>
        <v>8</v>
      </c>
      <c r="C827" s="224" t="s">
        <v>204</v>
      </c>
      <c r="D827" s="519"/>
      <c r="E827" s="434">
        <f t="shared" ref="E827:P827" si="260">E821+E822+E825</f>
        <v>1875985.2</v>
      </c>
      <c r="F827" s="434">
        <f t="shared" si="260"/>
        <v>1834734.15</v>
      </c>
      <c r="G827" s="434">
        <f t="shared" si="260"/>
        <v>1494475.5</v>
      </c>
      <c r="H827" s="434">
        <f t="shared" si="260"/>
        <v>1051843.3</v>
      </c>
      <c r="I827" s="434">
        <f t="shared" si="260"/>
        <v>740879.8</v>
      </c>
      <c r="J827" s="434">
        <f t="shared" si="260"/>
        <v>593344.69999999995</v>
      </c>
      <c r="K827" s="434">
        <f t="shared" si="260"/>
        <v>551753.69999999995</v>
      </c>
      <c r="L827" s="434">
        <f t="shared" si="260"/>
        <v>547590.65</v>
      </c>
      <c r="M827" s="434">
        <f t="shared" si="260"/>
        <v>554455.25</v>
      </c>
      <c r="N827" s="434">
        <f t="shared" si="260"/>
        <v>608768.19999999995</v>
      </c>
      <c r="O827" s="434">
        <f t="shared" si="260"/>
        <v>892510.3</v>
      </c>
      <c r="P827" s="434">
        <f t="shared" si="260"/>
        <v>1422720.35</v>
      </c>
      <c r="Q827" s="434">
        <f>SUM(E827:P827)</f>
        <v>12169061.1</v>
      </c>
    </row>
    <row r="828" spans="1:17" s="224" customFormat="1" x14ac:dyDescent="0.2">
      <c r="A828" s="263"/>
      <c r="D828" s="519"/>
      <c r="E828" s="744"/>
      <c r="F828" s="744"/>
      <c r="G828" s="744"/>
      <c r="H828" s="744"/>
      <c r="I828" s="744"/>
      <c r="J828" s="744"/>
      <c r="K828" s="744"/>
      <c r="L828" s="744"/>
      <c r="M828" s="744"/>
      <c r="N828" s="744"/>
      <c r="O828" s="744"/>
      <c r="P828" s="744"/>
      <c r="Q828" s="745"/>
    </row>
    <row r="829" spans="1:17" s="224" customFormat="1" x14ac:dyDescent="0.2">
      <c r="A829" s="263">
        <f>A827+1</f>
        <v>9</v>
      </c>
      <c r="C829" s="224" t="s">
        <v>151</v>
      </c>
      <c r="D829" s="794">
        <v>0</v>
      </c>
      <c r="E829" s="517">
        <v>0</v>
      </c>
      <c r="F829" s="517">
        <v>0</v>
      </c>
      <c r="G829" s="517">
        <v>0</v>
      </c>
      <c r="H829" s="517">
        <v>0</v>
      </c>
      <c r="I829" s="517">
        <v>0</v>
      </c>
      <c r="J829" s="517">
        <v>0</v>
      </c>
      <c r="K829" s="517">
        <v>0</v>
      </c>
      <c r="L829" s="517">
        <v>0</v>
      </c>
      <c r="M829" s="517">
        <v>0</v>
      </c>
      <c r="N829" s="517">
        <v>0</v>
      </c>
      <c r="O829" s="517">
        <v>0</v>
      </c>
      <c r="P829" s="517">
        <v>0</v>
      </c>
      <c r="Q829" s="434">
        <f>SUM(E829:P829)</f>
        <v>0</v>
      </c>
    </row>
    <row r="830" spans="1:17" s="224" customFormat="1" x14ac:dyDescent="0.2">
      <c r="A830" s="263"/>
      <c r="D830" s="519"/>
      <c r="E830" s="743"/>
      <c r="F830" s="743"/>
      <c r="G830" s="743"/>
      <c r="H830" s="743"/>
      <c r="I830" s="743"/>
      <c r="J830" s="743"/>
      <c r="K830" s="743"/>
      <c r="L830" s="743"/>
      <c r="M830" s="743"/>
      <c r="N830" s="743"/>
      <c r="O830" s="743"/>
      <c r="P830" s="743"/>
      <c r="Q830" s="743"/>
    </row>
    <row r="831" spans="1:17" s="224" customFormat="1" x14ac:dyDescent="0.2">
      <c r="A831" s="720">
        <f>A829+1</f>
        <v>10</v>
      </c>
      <c r="B831" s="453"/>
      <c r="C831" s="468" t="s">
        <v>206</v>
      </c>
      <c r="D831" s="468"/>
      <c r="E831" s="457">
        <f t="shared" ref="E831:N831" si="261">E827+E829</f>
        <v>1875985.2</v>
      </c>
      <c r="F831" s="457">
        <f t="shared" si="261"/>
        <v>1834734.15</v>
      </c>
      <c r="G831" s="457">
        <f t="shared" si="261"/>
        <v>1494475.5</v>
      </c>
      <c r="H831" s="457">
        <f t="shared" si="261"/>
        <v>1051843.3</v>
      </c>
      <c r="I831" s="457">
        <f t="shared" si="261"/>
        <v>740879.8</v>
      </c>
      <c r="J831" s="457">
        <f t="shared" si="261"/>
        <v>593344.69999999995</v>
      </c>
      <c r="K831" s="457">
        <f t="shared" si="261"/>
        <v>551753.69999999995</v>
      </c>
      <c r="L831" s="457">
        <f t="shared" si="261"/>
        <v>547590.65</v>
      </c>
      <c r="M831" s="457">
        <f t="shared" si="261"/>
        <v>554455.25</v>
      </c>
      <c r="N831" s="457">
        <f t="shared" si="261"/>
        <v>608768.19999999995</v>
      </c>
      <c r="O831" s="457">
        <f>O827+O829</f>
        <v>892510.3</v>
      </c>
      <c r="P831" s="457">
        <f>P827+P829</f>
        <v>1422720.35</v>
      </c>
      <c r="Q831" s="457">
        <f>SUM(E831:P831)</f>
        <v>12169061.1</v>
      </c>
    </row>
    <row r="832" spans="1:17" s="224" customFormat="1" x14ac:dyDescent="0.2">
      <c r="A832" s="263"/>
      <c r="D832" s="519"/>
      <c r="E832" s="489"/>
      <c r="F832" s="489"/>
      <c r="G832" s="489"/>
      <c r="H832" s="489"/>
      <c r="I832" s="489"/>
      <c r="J832" s="489"/>
      <c r="K832" s="489"/>
      <c r="L832" s="489"/>
      <c r="M832" s="489"/>
      <c r="N832" s="489"/>
      <c r="O832" s="489"/>
      <c r="P832" s="489"/>
      <c r="Q832" s="489"/>
    </row>
    <row r="833" spans="1:17" s="224" customFormat="1" x14ac:dyDescent="0.2">
      <c r="A833" s="263">
        <f>A831+1</f>
        <v>11</v>
      </c>
      <c r="C833" s="224" t="s">
        <v>196</v>
      </c>
      <c r="D833" s="519"/>
      <c r="E833" s="489"/>
      <c r="F833" s="489"/>
      <c r="G833" s="489"/>
      <c r="H833" s="489"/>
      <c r="I833" s="489"/>
      <c r="J833" s="489"/>
      <c r="K833" s="489"/>
      <c r="L833" s="489"/>
      <c r="M833" s="489"/>
      <c r="N833" s="489"/>
      <c r="O833" s="489"/>
      <c r="P833" s="489"/>
      <c r="Q833" s="489"/>
    </row>
    <row r="834" spans="1:17" s="224" customFormat="1" x14ac:dyDescent="0.2">
      <c r="A834" s="263">
        <f>A833+1</f>
        <v>12</v>
      </c>
      <c r="C834" s="224" t="s">
        <v>213</v>
      </c>
      <c r="D834" s="793">
        <f>Input!X41</f>
        <v>0.69</v>
      </c>
      <c r="E834" s="434">
        <f t="shared" ref="E834:P834" si="262">ROUND(E820*$D$834,2)</f>
        <v>16366.8</v>
      </c>
      <c r="F834" s="434">
        <f t="shared" si="262"/>
        <v>16411.650000000001</v>
      </c>
      <c r="G834" s="434">
        <f t="shared" si="262"/>
        <v>16412.34</v>
      </c>
      <c r="H834" s="434">
        <f t="shared" si="262"/>
        <v>16348.86</v>
      </c>
      <c r="I834" s="434">
        <f t="shared" si="262"/>
        <v>16292.28</v>
      </c>
      <c r="J834" s="434">
        <f t="shared" si="262"/>
        <v>16136.34</v>
      </c>
      <c r="K834" s="434">
        <f t="shared" si="262"/>
        <v>16034.22</v>
      </c>
      <c r="L834" s="434">
        <f t="shared" si="262"/>
        <v>16023.87</v>
      </c>
      <c r="M834" s="434">
        <f t="shared" si="262"/>
        <v>15993.51</v>
      </c>
      <c r="N834" s="434">
        <f t="shared" si="262"/>
        <v>15999.72</v>
      </c>
      <c r="O834" s="434">
        <f t="shared" si="262"/>
        <v>16186.02</v>
      </c>
      <c r="P834" s="434">
        <f t="shared" si="262"/>
        <v>16337.13</v>
      </c>
      <c r="Q834" s="434">
        <f>SUM(E834:P834)</f>
        <v>194542.74</v>
      </c>
    </row>
    <row r="835" spans="1:17" s="224" customFormat="1" x14ac:dyDescent="0.2">
      <c r="A835" s="263">
        <f>A834+1</f>
        <v>13</v>
      </c>
      <c r="C835" s="224" t="s">
        <v>215</v>
      </c>
      <c r="D835" s="793">
        <f>Input!Y41</f>
        <v>5.9700000000000003E-2</v>
      </c>
      <c r="E835" s="277">
        <f t="shared" ref="E835:P835" si="263">ROUND(E824*$D$835,2)</f>
        <v>21730.799999999999</v>
      </c>
      <c r="F835" s="277">
        <f t="shared" si="263"/>
        <v>21074.1</v>
      </c>
      <c r="G835" s="277">
        <f t="shared" si="263"/>
        <v>15820.5</v>
      </c>
      <c r="H835" s="277">
        <f t="shared" si="263"/>
        <v>9014.7000000000007</v>
      </c>
      <c r="I835" s="277">
        <f t="shared" si="263"/>
        <v>4238.7</v>
      </c>
      <c r="J835" s="277">
        <f t="shared" si="263"/>
        <v>2029.8</v>
      </c>
      <c r="K835" s="277">
        <f t="shared" si="263"/>
        <v>1432.8</v>
      </c>
      <c r="L835" s="277">
        <f t="shared" si="263"/>
        <v>1373.1</v>
      </c>
      <c r="M835" s="277">
        <f t="shared" si="263"/>
        <v>1492.5</v>
      </c>
      <c r="N835" s="277">
        <f t="shared" si="263"/>
        <v>2328.3000000000002</v>
      </c>
      <c r="O835" s="277">
        <f t="shared" si="263"/>
        <v>6626.7</v>
      </c>
      <c r="P835" s="277">
        <f t="shared" si="263"/>
        <v>14745.9</v>
      </c>
      <c r="Q835" s="277">
        <f>SUM(E835:P835)</f>
        <v>101907.9</v>
      </c>
    </row>
    <row r="836" spans="1:17" s="224" customFormat="1" x14ac:dyDescent="0.2">
      <c r="A836" s="263">
        <f>A835+1</f>
        <v>14</v>
      </c>
      <c r="C836" s="224" t="s">
        <v>216</v>
      </c>
      <c r="D836" s="290"/>
      <c r="E836" s="434">
        <f t="shared" ref="E836:P836" si="264">SUM(E834:E835)</f>
        <v>38097.599999999999</v>
      </c>
      <c r="F836" s="434">
        <f t="shared" si="264"/>
        <v>37485.75</v>
      </c>
      <c r="G836" s="434">
        <f t="shared" si="264"/>
        <v>32232.84</v>
      </c>
      <c r="H836" s="434">
        <f t="shared" si="264"/>
        <v>25363.56</v>
      </c>
      <c r="I836" s="434">
        <f t="shared" si="264"/>
        <v>20530.98</v>
      </c>
      <c r="J836" s="434">
        <f t="shared" si="264"/>
        <v>18166.14</v>
      </c>
      <c r="K836" s="434">
        <f t="shared" si="264"/>
        <v>17467.02</v>
      </c>
      <c r="L836" s="434">
        <f t="shared" si="264"/>
        <v>17396.97</v>
      </c>
      <c r="M836" s="434">
        <f t="shared" si="264"/>
        <v>17486.010000000002</v>
      </c>
      <c r="N836" s="434">
        <f t="shared" si="264"/>
        <v>18328.02</v>
      </c>
      <c r="O836" s="434">
        <f t="shared" si="264"/>
        <v>22812.720000000001</v>
      </c>
      <c r="P836" s="434">
        <f t="shared" si="264"/>
        <v>31083.03</v>
      </c>
      <c r="Q836" s="434">
        <f>SUM(E836:P836)</f>
        <v>296450.64</v>
      </c>
    </row>
    <row r="837" spans="1:17" s="224" customFormat="1" x14ac:dyDescent="0.2">
      <c r="A837" s="263"/>
      <c r="D837" s="290"/>
      <c r="F837" s="292"/>
      <c r="G837" s="476"/>
      <c r="H837" s="292"/>
      <c r="I837" s="297"/>
      <c r="J837" s="292"/>
      <c r="K837" s="292"/>
      <c r="L837" s="292"/>
      <c r="M837" s="292"/>
      <c r="N837" s="292"/>
      <c r="O837" s="292"/>
      <c r="P837" s="292"/>
    </row>
    <row r="838" spans="1:17" s="306" customFormat="1" ht="10.8" thickBot="1" x14ac:dyDescent="0.25">
      <c r="A838" s="724">
        <f>A836+1</f>
        <v>15</v>
      </c>
      <c r="B838" s="496"/>
      <c r="C838" s="725" t="s">
        <v>205</v>
      </c>
      <c r="D838" s="726"/>
      <c r="E838" s="499">
        <f t="shared" ref="E838:P838" si="265">E831+E836</f>
        <v>1914082.8</v>
      </c>
      <c r="F838" s="499">
        <f t="shared" si="265"/>
        <v>1872219.9</v>
      </c>
      <c r="G838" s="499">
        <f t="shared" si="265"/>
        <v>1526708.34</v>
      </c>
      <c r="H838" s="499">
        <f t="shared" si="265"/>
        <v>1077206.8600000001</v>
      </c>
      <c r="I838" s="499">
        <f t="shared" si="265"/>
        <v>761410.78</v>
      </c>
      <c r="J838" s="499">
        <f t="shared" si="265"/>
        <v>611510.84</v>
      </c>
      <c r="K838" s="499">
        <f t="shared" si="265"/>
        <v>569220.72</v>
      </c>
      <c r="L838" s="499">
        <f t="shared" si="265"/>
        <v>564987.62</v>
      </c>
      <c r="M838" s="499">
        <f t="shared" si="265"/>
        <v>571941.26</v>
      </c>
      <c r="N838" s="499">
        <f t="shared" si="265"/>
        <v>627096.22</v>
      </c>
      <c r="O838" s="499">
        <f t="shared" si="265"/>
        <v>915323.02</v>
      </c>
      <c r="P838" s="499">
        <f t="shared" si="265"/>
        <v>1453803.3800000001</v>
      </c>
      <c r="Q838" s="499">
        <f>SUM(E838:P838)</f>
        <v>12465511.74</v>
      </c>
    </row>
    <row r="839" spans="1:17" s="224" customFormat="1" ht="10.8" thickTop="1" x14ac:dyDescent="0.2">
      <c r="A839" s="263"/>
      <c r="D839" s="290"/>
      <c r="F839" s="292"/>
      <c r="G839" s="476"/>
      <c r="H839" s="292"/>
      <c r="I839" s="297"/>
      <c r="J839" s="292"/>
      <c r="K839" s="292"/>
      <c r="L839" s="292"/>
      <c r="M839" s="292"/>
      <c r="N839" s="292"/>
      <c r="O839" s="292"/>
      <c r="P839" s="292"/>
    </row>
    <row r="840" spans="1:17" s="224" customFormat="1" x14ac:dyDescent="0.2">
      <c r="A840" s="263"/>
      <c r="D840" s="290"/>
      <c r="F840" s="292"/>
      <c r="G840" s="476"/>
      <c r="H840" s="292"/>
      <c r="I840" s="297"/>
      <c r="J840" s="292"/>
      <c r="K840" s="292"/>
      <c r="L840" s="292"/>
      <c r="M840" s="292"/>
      <c r="N840" s="292"/>
      <c r="O840" s="292"/>
      <c r="P840" s="292"/>
    </row>
    <row r="841" spans="1:17" s="224" customFormat="1" x14ac:dyDescent="0.2">
      <c r="A841" s="263">
        <f>A838+1</f>
        <v>16</v>
      </c>
      <c r="B841" s="224" t="str">
        <f>B229</f>
        <v>GTO</v>
      </c>
      <c r="C841" s="224" t="str">
        <f>C229</f>
        <v>GTS Choice - Commercial</v>
      </c>
      <c r="D841" s="290"/>
      <c r="F841" s="292"/>
      <c r="G841" s="476"/>
      <c r="H841" s="292"/>
      <c r="I841" s="297"/>
      <c r="J841" s="292"/>
      <c r="K841" s="292"/>
      <c r="L841" s="292"/>
      <c r="M841" s="292"/>
      <c r="N841" s="292"/>
      <c r="O841" s="292"/>
      <c r="P841" s="292"/>
    </row>
    <row r="842" spans="1:17" s="224" customFormat="1" x14ac:dyDescent="0.2">
      <c r="A842" s="263"/>
      <c r="D842" s="290"/>
      <c r="F842" s="292"/>
      <c r="G842" s="476"/>
      <c r="H842" s="292"/>
      <c r="I842" s="297"/>
      <c r="J842" s="292"/>
      <c r="K842" s="292"/>
      <c r="L842" s="292"/>
      <c r="M842" s="292"/>
      <c r="N842" s="292"/>
      <c r="O842" s="292"/>
      <c r="P842" s="292"/>
    </row>
    <row r="843" spans="1:17" s="224" customFormat="1" x14ac:dyDescent="0.2">
      <c r="A843" s="263">
        <f>A841+1</f>
        <v>17</v>
      </c>
      <c r="C843" s="266" t="s">
        <v>111</v>
      </c>
      <c r="D843" s="290"/>
      <c r="F843" s="292"/>
      <c r="G843" s="476"/>
      <c r="H843" s="292"/>
      <c r="I843" s="297"/>
      <c r="J843" s="292"/>
      <c r="K843" s="292"/>
      <c r="L843" s="292"/>
      <c r="M843" s="292"/>
      <c r="N843" s="292"/>
      <c r="O843" s="292"/>
      <c r="P843" s="292"/>
    </row>
    <row r="844" spans="1:17" s="224" customFormat="1" x14ac:dyDescent="0.2">
      <c r="A844" s="263"/>
      <c r="C844" s="266"/>
      <c r="D844" s="290"/>
      <c r="F844" s="292"/>
      <c r="G844" s="476"/>
      <c r="H844" s="292"/>
      <c r="I844" s="297"/>
      <c r="J844" s="292"/>
      <c r="K844" s="292"/>
      <c r="L844" s="292"/>
      <c r="M844" s="292"/>
      <c r="N844" s="292"/>
      <c r="O844" s="292"/>
      <c r="P844" s="292"/>
    </row>
    <row r="845" spans="1:17" s="224" customFormat="1" x14ac:dyDescent="0.2">
      <c r="A845" s="263">
        <f>A843+1</f>
        <v>18</v>
      </c>
      <c r="C845" s="224" t="s">
        <v>202</v>
      </c>
      <c r="D845" s="290"/>
      <c r="E845" s="479">
        <f>B!D170</f>
        <v>3837</v>
      </c>
      <c r="F845" s="479">
        <f>B!E170</f>
        <v>3809</v>
      </c>
      <c r="G845" s="479">
        <f>B!F170</f>
        <v>4093</v>
      </c>
      <c r="H845" s="479">
        <f>B!G170</f>
        <v>4081</v>
      </c>
      <c r="I845" s="479">
        <f>B!H170</f>
        <v>4058</v>
      </c>
      <c r="J845" s="479">
        <f>B!I170</f>
        <v>4042</v>
      </c>
      <c r="K845" s="479">
        <f>B!J170</f>
        <v>4016</v>
      </c>
      <c r="L845" s="479">
        <f>B!K170</f>
        <v>3956</v>
      </c>
      <c r="M845" s="479">
        <f>B!L170</f>
        <v>3924</v>
      </c>
      <c r="N845" s="479">
        <f>B!M170</f>
        <v>3899</v>
      </c>
      <c r="O845" s="479">
        <f>B!N170</f>
        <v>3877</v>
      </c>
      <c r="P845" s="479">
        <f>B!O170</f>
        <v>3853</v>
      </c>
      <c r="Q845" s="479">
        <f>SUM(E845:P845)</f>
        <v>47445</v>
      </c>
    </row>
    <row r="846" spans="1:17" s="224" customFormat="1" x14ac:dyDescent="0.2">
      <c r="A846" s="263">
        <f>A845+1</f>
        <v>19</v>
      </c>
      <c r="C846" s="224" t="s">
        <v>210</v>
      </c>
      <c r="D846" s="792">
        <f>Input!U42</f>
        <v>51</v>
      </c>
      <c r="E846" s="434">
        <f t="shared" ref="E846:P846" si="266">ROUND(E845*$D$846,2)</f>
        <v>195687</v>
      </c>
      <c r="F846" s="434">
        <f t="shared" si="266"/>
        <v>194259</v>
      </c>
      <c r="G846" s="434">
        <f t="shared" si="266"/>
        <v>208743</v>
      </c>
      <c r="H846" s="434">
        <f t="shared" si="266"/>
        <v>208131</v>
      </c>
      <c r="I846" s="434">
        <f t="shared" si="266"/>
        <v>206958</v>
      </c>
      <c r="J846" s="434">
        <f t="shared" si="266"/>
        <v>206142</v>
      </c>
      <c r="K846" s="434">
        <f t="shared" si="266"/>
        <v>204816</v>
      </c>
      <c r="L846" s="434">
        <f t="shared" si="266"/>
        <v>201756</v>
      </c>
      <c r="M846" s="434">
        <f t="shared" si="266"/>
        <v>200124</v>
      </c>
      <c r="N846" s="434">
        <f t="shared" si="266"/>
        <v>198849</v>
      </c>
      <c r="O846" s="434">
        <f t="shared" si="266"/>
        <v>197727</v>
      </c>
      <c r="P846" s="434">
        <f t="shared" si="266"/>
        <v>196503</v>
      </c>
      <c r="Q846" s="434">
        <f>SUM(E846:P846)</f>
        <v>2419695</v>
      </c>
    </row>
    <row r="847" spans="1:17" s="224" customFormat="1" x14ac:dyDescent="0.2">
      <c r="A847" s="263">
        <f>A846+1</f>
        <v>20</v>
      </c>
      <c r="C847" s="224" t="s">
        <v>211</v>
      </c>
      <c r="D847" s="792">
        <f>Input!W42</f>
        <v>0</v>
      </c>
      <c r="E847" s="434">
        <f t="shared" ref="E847:P847" si="267">ROUND(E845*$D$847,2)</f>
        <v>0</v>
      </c>
      <c r="F847" s="434">
        <f t="shared" si="267"/>
        <v>0</v>
      </c>
      <c r="G847" s="434">
        <f t="shared" si="267"/>
        <v>0</v>
      </c>
      <c r="H847" s="434">
        <f t="shared" si="267"/>
        <v>0</v>
      </c>
      <c r="I847" s="434">
        <f t="shared" si="267"/>
        <v>0</v>
      </c>
      <c r="J847" s="434">
        <f t="shared" si="267"/>
        <v>0</v>
      </c>
      <c r="K847" s="434">
        <f t="shared" si="267"/>
        <v>0</v>
      </c>
      <c r="L847" s="434">
        <f t="shared" si="267"/>
        <v>0</v>
      </c>
      <c r="M847" s="434">
        <f t="shared" si="267"/>
        <v>0</v>
      </c>
      <c r="N847" s="434">
        <f t="shared" si="267"/>
        <v>0</v>
      </c>
      <c r="O847" s="434">
        <f t="shared" si="267"/>
        <v>0</v>
      </c>
      <c r="P847" s="434">
        <f t="shared" si="267"/>
        <v>0</v>
      </c>
      <c r="Q847" s="434">
        <f>SUM(E847:P847)</f>
        <v>0</v>
      </c>
    </row>
    <row r="848" spans="1:17" s="224" customFormat="1" x14ac:dyDescent="0.2">
      <c r="A848" s="263"/>
      <c r="D848" s="290"/>
      <c r="F848" s="292"/>
      <c r="G848" s="476"/>
      <c r="H848" s="292"/>
      <c r="I848" s="297"/>
      <c r="J848" s="292"/>
      <c r="K848" s="292"/>
      <c r="L848" s="292"/>
      <c r="M848" s="292"/>
      <c r="N848" s="292"/>
      <c r="O848" s="292"/>
      <c r="P848" s="292"/>
    </row>
    <row r="849" spans="1:17" s="224" customFormat="1" x14ac:dyDescent="0.2">
      <c r="A849" s="263">
        <f>A847+1</f>
        <v>21</v>
      </c>
      <c r="C849" s="224" t="s">
        <v>209</v>
      </c>
      <c r="D849" s="290"/>
      <c r="E849" s="521"/>
      <c r="F849" s="292"/>
      <c r="G849" s="476"/>
      <c r="H849" s="292"/>
      <c r="I849" s="297"/>
      <c r="J849" s="292"/>
      <c r="K849" s="292"/>
      <c r="L849" s="292"/>
      <c r="M849" s="292"/>
      <c r="N849" s="292"/>
      <c r="O849" s="292"/>
      <c r="P849" s="292"/>
    </row>
    <row r="850" spans="1:17" s="224" customFormat="1" x14ac:dyDescent="0.2">
      <c r="A850" s="263">
        <f>A849+1</f>
        <v>22</v>
      </c>
      <c r="C850" s="224" t="str">
        <f>'C'!B190</f>
        <v xml:space="preserve">    First 50 Mcf</v>
      </c>
      <c r="D850" s="519"/>
      <c r="E850" s="483">
        <f>'C'!D202</f>
        <v>115248.5</v>
      </c>
      <c r="F850" s="483">
        <f>'C'!E202</f>
        <v>116322.6</v>
      </c>
      <c r="G850" s="483">
        <f>'C'!F202</f>
        <v>106138.4</v>
      </c>
      <c r="H850" s="483">
        <f>'C'!G202</f>
        <v>75878.899999999994</v>
      </c>
      <c r="I850" s="483">
        <f>'C'!H202</f>
        <v>48386.9</v>
      </c>
      <c r="J850" s="483">
        <f>'C'!I202</f>
        <v>34090.9</v>
      </c>
      <c r="K850" s="483">
        <f>'C'!J202</f>
        <v>31140.7</v>
      </c>
      <c r="L850" s="483">
        <f>'C'!K202</f>
        <v>30451.200000000001</v>
      </c>
      <c r="M850" s="483">
        <f>'C'!L202</f>
        <v>32109</v>
      </c>
      <c r="N850" s="483">
        <f>'C'!M202</f>
        <v>40148.199999999997</v>
      </c>
      <c r="O850" s="483">
        <f>'C'!N202</f>
        <v>62458.3</v>
      </c>
      <c r="P850" s="483">
        <f>'C'!O202</f>
        <v>94003.8</v>
      </c>
      <c r="Q850" s="483">
        <f>SUM(E850:P850)</f>
        <v>786377.4</v>
      </c>
    </row>
    <row r="851" spans="1:17" s="224" customFormat="1" x14ac:dyDescent="0.2">
      <c r="A851" s="263">
        <f>A850+1</f>
        <v>23</v>
      </c>
      <c r="C851" s="224" t="str">
        <f>'C'!B191</f>
        <v xml:space="preserve">    Next 350 Mcf</v>
      </c>
      <c r="D851" s="519"/>
      <c r="E851" s="483">
        <f>'C'!D203</f>
        <v>147158.6</v>
      </c>
      <c r="F851" s="483">
        <f>'C'!E203</f>
        <v>143758.29999999999</v>
      </c>
      <c r="G851" s="483">
        <f>'C'!F203</f>
        <v>103281.1</v>
      </c>
      <c r="H851" s="483">
        <f>'C'!G203</f>
        <v>63376.9</v>
      </c>
      <c r="I851" s="483">
        <f>'C'!H203</f>
        <v>39602.300000000003</v>
      </c>
      <c r="J851" s="483">
        <f>'C'!I203</f>
        <v>30878.400000000001</v>
      </c>
      <c r="K851" s="483">
        <f>'C'!J203</f>
        <v>27567.7</v>
      </c>
      <c r="L851" s="483">
        <f>'C'!K203</f>
        <v>26232.9</v>
      </c>
      <c r="M851" s="483">
        <f>'C'!L203</f>
        <v>28470.1</v>
      </c>
      <c r="N851" s="483">
        <f>'C'!M203</f>
        <v>38563.300000000003</v>
      </c>
      <c r="O851" s="483">
        <f>'C'!N203</f>
        <v>57697.599999999999</v>
      </c>
      <c r="P851" s="483">
        <f>'C'!O203</f>
        <v>100340.5</v>
      </c>
      <c r="Q851" s="483">
        <f>SUM(E851:P851)</f>
        <v>806927.7</v>
      </c>
    </row>
    <row r="852" spans="1:17" s="224" customFormat="1" x14ac:dyDescent="0.2">
      <c r="A852" s="263">
        <f>A851+1</f>
        <v>24</v>
      </c>
      <c r="C852" s="224" t="str">
        <f>'C'!B192</f>
        <v xml:space="preserve">    Next 600 Mcf</v>
      </c>
      <c r="D852" s="519"/>
      <c r="E852" s="483">
        <f>'C'!D204</f>
        <v>37085</v>
      </c>
      <c r="F852" s="483">
        <f>'C'!E204</f>
        <v>34041.199999999997</v>
      </c>
      <c r="G852" s="483">
        <f>'C'!F204</f>
        <v>18666.5</v>
      </c>
      <c r="H852" s="483">
        <f>'C'!G204</f>
        <v>11741.5</v>
      </c>
      <c r="I852" s="483">
        <f>'C'!H204</f>
        <v>6797.7</v>
      </c>
      <c r="J852" s="483">
        <f>'C'!I204</f>
        <v>6188.9</v>
      </c>
      <c r="K852" s="483">
        <f>'C'!J204</f>
        <v>5312.4</v>
      </c>
      <c r="L852" s="483">
        <f>'C'!K204</f>
        <v>5525.8</v>
      </c>
      <c r="M852" s="483">
        <f>'C'!L204</f>
        <v>6310.6</v>
      </c>
      <c r="N852" s="483">
        <f>'C'!M204</f>
        <v>8979.6</v>
      </c>
      <c r="O852" s="483">
        <f>'C'!N204</f>
        <v>14083</v>
      </c>
      <c r="P852" s="483">
        <f>'C'!O204</f>
        <v>24521.200000000001</v>
      </c>
      <c r="Q852" s="483">
        <f>SUM(E852:P852)</f>
        <v>179253.4</v>
      </c>
    </row>
    <row r="853" spans="1:17" s="224" customFormat="1" x14ac:dyDescent="0.2">
      <c r="A853" s="263">
        <f>A852+1</f>
        <v>25</v>
      </c>
      <c r="C853" s="224" t="str">
        <f>'C'!B193</f>
        <v xml:space="preserve">    Over 1,000 Mcf</v>
      </c>
      <c r="D853" s="536"/>
      <c r="E853" s="522">
        <f>'C'!D205</f>
        <v>22508.7</v>
      </c>
      <c r="F853" s="522">
        <f>'C'!E205</f>
        <v>17880.3</v>
      </c>
      <c r="G853" s="522">
        <f>'C'!F205</f>
        <v>7915.1</v>
      </c>
      <c r="H853" s="522">
        <f>'C'!G205</f>
        <v>4006.6</v>
      </c>
      <c r="I853" s="522">
        <f>'C'!H205</f>
        <v>2211.6999999999998</v>
      </c>
      <c r="J853" s="522">
        <f>'C'!I205</f>
        <v>2841.9</v>
      </c>
      <c r="K853" s="522">
        <f>'C'!J205</f>
        <v>1978.2</v>
      </c>
      <c r="L853" s="522">
        <f>'C'!K205</f>
        <v>1791.2</v>
      </c>
      <c r="M853" s="522">
        <f>'C'!L205</f>
        <v>2108.3000000000002</v>
      </c>
      <c r="N853" s="522">
        <f>'C'!M205</f>
        <v>3303.5</v>
      </c>
      <c r="O853" s="522">
        <f>'C'!N205</f>
        <v>5755.8</v>
      </c>
      <c r="P853" s="522">
        <f>'C'!O205</f>
        <v>15131</v>
      </c>
      <c r="Q853" s="522">
        <f>SUM(E853:P853)</f>
        <v>87432.3</v>
      </c>
    </row>
    <row r="854" spans="1:17" s="224" customFormat="1" x14ac:dyDescent="0.2">
      <c r="A854" s="263"/>
      <c r="D854" s="536"/>
      <c r="E854" s="483">
        <f t="shared" ref="E854:P854" si="268">SUM(E850:E853)</f>
        <v>322000.8</v>
      </c>
      <c r="F854" s="483">
        <f t="shared" si="268"/>
        <v>312002.39999999997</v>
      </c>
      <c r="G854" s="483">
        <f t="shared" si="268"/>
        <v>236001.1</v>
      </c>
      <c r="H854" s="483">
        <f t="shared" si="268"/>
        <v>155003.9</v>
      </c>
      <c r="I854" s="483">
        <f t="shared" si="268"/>
        <v>96998.6</v>
      </c>
      <c r="J854" s="483">
        <f t="shared" si="268"/>
        <v>74000.099999999991</v>
      </c>
      <c r="K854" s="483">
        <f t="shared" si="268"/>
        <v>65999</v>
      </c>
      <c r="L854" s="483">
        <f t="shared" si="268"/>
        <v>64001.100000000006</v>
      </c>
      <c r="M854" s="483">
        <f t="shared" si="268"/>
        <v>68998</v>
      </c>
      <c r="N854" s="483">
        <f t="shared" si="268"/>
        <v>90994.6</v>
      </c>
      <c r="O854" s="483">
        <f t="shared" si="268"/>
        <v>139994.69999999998</v>
      </c>
      <c r="P854" s="483">
        <f t="shared" si="268"/>
        <v>233996.5</v>
      </c>
      <c r="Q854" s="483">
        <f>SUM(E854:P854)</f>
        <v>1859990.8000000003</v>
      </c>
    </row>
    <row r="855" spans="1:17" s="224" customFormat="1" x14ac:dyDescent="0.2">
      <c r="A855" s="263">
        <f>A853+1</f>
        <v>26</v>
      </c>
      <c r="C855" s="224" t="s">
        <v>207</v>
      </c>
      <c r="D855" s="536"/>
      <c r="F855" s="292"/>
      <c r="G855" s="476"/>
      <c r="H855" s="292"/>
      <c r="I855" s="297"/>
      <c r="J855" s="292"/>
      <c r="K855" s="292"/>
      <c r="L855" s="292"/>
      <c r="M855" s="292"/>
      <c r="N855" s="292"/>
      <c r="O855" s="292"/>
      <c r="P855" s="292"/>
      <c r="Q855" s="543"/>
    </row>
    <row r="856" spans="1:17" s="224" customFormat="1" x14ac:dyDescent="0.2">
      <c r="A856" s="263">
        <f>A855+1</f>
        <v>27</v>
      </c>
      <c r="C856" s="224" t="str">
        <f>C850</f>
        <v xml:space="preserve">    First 50 Mcf</v>
      </c>
      <c r="D856" s="793">
        <f>Input!P42</f>
        <v>3.4714</v>
      </c>
      <c r="E856" s="434">
        <f t="shared" ref="E856:P856" si="269">ROUND(E850*$D$856,2)</f>
        <v>400073.64</v>
      </c>
      <c r="F856" s="434">
        <f t="shared" si="269"/>
        <v>403802.27</v>
      </c>
      <c r="G856" s="434">
        <f t="shared" si="269"/>
        <v>368448.84</v>
      </c>
      <c r="H856" s="434">
        <f t="shared" si="269"/>
        <v>263406.01</v>
      </c>
      <c r="I856" s="434">
        <f t="shared" si="269"/>
        <v>167970.28</v>
      </c>
      <c r="J856" s="434">
        <f t="shared" si="269"/>
        <v>118343.15</v>
      </c>
      <c r="K856" s="434">
        <f t="shared" si="269"/>
        <v>108101.83</v>
      </c>
      <c r="L856" s="434">
        <f t="shared" si="269"/>
        <v>105708.3</v>
      </c>
      <c r="M856" s="434">
        <f t="shared" si="269"/>
        <v>111463.18</v>
      </c>
      <c r="N856" s="434">
        <f t="shared" si="269"/>
        <v>139370.46</v>
      </c>
      <c r="O856" s="434">
        <f t="shared" si="269"/>
        <v>216817.74</v>
      </c>
      <c r="P856" s="434">
        <f t="shared" si="269"/>
        <v>326324.78999999998</v>
      </c>
      <c r="Q856" s="434">
        <f>SUM(E856:P856)</f>
        <v>2729830.49</v>
      </c>
    </row>
    <row r="857" spans="1:17" s="224" customFormat="1" x14ac:dyDescent="0.2">
      <c r="A857" s="263">
        <f>A856+1</f>
        <v>28</v>
      </c>
      <c r="C857" s="224" t="str">
        <f>C851</f>
        <v xml:space="preserve">    Next 350 Mcf</v>
      </c>
      <c r="D857" s="793">
        <f>Input!Q42</f>
        <v>2.6833</v>
      </c>
      <c r="E857" s="479">
        <f t="shared" ref="E857:P857" si="270">ROUND(E851*$D$857,2)</f>
        <v>394870.67</v>
      </c>
      <c r="F857" s="479">
        <f t="shared" si="270"/>
        <v>385746.65</v>
      </c>
      <c r="G857" s="479">
        <f t="shared" si="270"/>
        <v>277134.18</v>
      </c>
      <c r="H857" s="479">
        <f t="shared" si="270"/>
        <v>170059.24</v>
      </c>
      <c r="I857" s="479">
        <f t="shared" si="270"/>
        <v>106264.85</v>
      </c>
      <c r="J857" s="479">
        <f t="shared" si="270"/>
        <v>82856.009999999995</v>
      </c>
      <c r="K857" s="479">
        <f t="shared" si="270"/>
        <v>73972.41</v>
      </c>
      <c r="L857" s="479">
        <f t="shared" si="270"/>
        <v>70390.740000000005</v>
      </c>
      <c r="M857" s="479">
        <f t="shared" si="270"/>
        <v>76393.820000000007</v>
      </c>
      <c r="N857" s="479">
        <f t="shared" si="270"/>
        <v>103476.9</v>
      </c>
      <c r="O857" s="479">
        <f t="shared" si="270"/>
        <v>154819.97</v>
      </c>
      <c r="P857" s="479">
        <f t="shared" si="270"/>
        <v>269243.65999999997</v>
      </c>
      <c r="Q857" s="479">
        <f>SUM(E857:P857)</f>
        <v>2165229.1</v>
      </c>
    </row>
    <row r="858" spans="1:17" s="224" customFormat="1" x14ac:dyDescent="0.2">
      <c r="A858" s="263">
        <f>A857+1</f>
        <v>29</v>
      </c>
      <c r="C858" s="224" t="str">
        <f>C852</f>
        <v xml:space="preserve">    Next 600 Mcf</v>
      </c>
      <c r="D858" s="793">
        <f>Input!R42</f>
        <v>2.5514000000000001</v>
      </c>
      <c r="E858" s="479">
        <f t="shared" ref="E858:O858" si="271">ROUND(E852*$D$858,2)</f>
        <v>94618.67</v>
      </c>
      <c r="F858" s="479">
        <f t="shared" si="271"/>
        <v>86852.72</v>
      </c>
      <c r="G858" s="479">
        <f t="shared" si="271"/>
        <v>47625.71</v>
      </c>
      <c r="H858" s="479">
        <f t="shared" si="271"/>
        <v>29957.26</v>
      </c>
      <c r="I858" s="479">
        <f t="shared" si="271"/>
        <v>17343.650000000001</v>
      </c>
      <c r="J858" s="479">
        <f t="shared" si="271"/>
        <v>15790.36</v>
      </c>
      <c r="K858" s="479">
        <f t="shared" si="271"/>
        <v>13554.06</v>
      </c>
      <c r="L858" s="479">
        <f t="shared" si="271"/>
        <v>14098.53</v>
      </c>
      <c r="M858" s="479">
        <f t="shared" si="271"/>
        <v>16100.86</v>
      </c>
      <c r="N858" s="479">
        <f t="shared" si="271"/>
        <v>22910.55</v>
      </c>
      <c r="O858" s="479">
        <f t="shared" si="271"/>
        <v>35931.370000000003</v>
      </c>
      <c r="P858" s="479">
        <f>ROUND(P852*$D$858,2)</f>
        <v>62563.39</v>
      </c>
      <c r="Q858" s="479">
        <f>SUM(E858:P858)</f>
        <v>457347.13</v>
      </c>
    </row>
    <row r="859" spans="1:17" s="224" customFormat="1" x14ac:dyDescent="0.2">
      <c r="A859" s="263">
        <f>A858+1</f>
        <v>30</v>
      </c>
      <c r="C859" s="224" t="str">
        <f>C853</f>
        <v xml:space="preserve">    Over 1,000 Mcf</v>
      </c>
      <c r="D859" s="793">
        <f>Input!S42</f>
        <v>2.3222999999999998</v>
      </c>
      <c r="E859" s="528">
        <f t="shared" ref="E859:O859" si="272">ROUND(E853*$D$859,2)</f>
        <v>52271.95</v>
      </c>
      <c r="F859" s="528">
        <f t="shared" si="272"/>
        <v>41523.42</v>
      </c>
      <c r="G859" s="528">
        <f t="shared" si="272"/>
        <v>18381.240000000002</v>
      </c>
      <c r="H859" s="528">
        <f t="shared" si="272"/>
        <v>9304.5300000000007</v>
      </c>
      <c r="I859" s="528">
        <f t="shared" si="272"/>
        <v>5136.2299999999996</v>
      </c>
      <c r="J859" s="528">
        <f t="shared" si="272"/>
        <v>6599.74</v>
      </c>
      <c r="K859" s="528">
        <f t="shared" si="272"/>
        <v>4593.97</v>
      </c>
      <c r="L859" s="528">
        <f t="shared" si="272"/>
        <v>4159.7</v>
      </c>
      <c r="M859" s="528">
        <f t="shared" si="272"/>
        <v>4896.1099999999997</v>
      </c>
      <c r="N859" s="528">
        <f t="shared" si="272"/>
        <v>7671.72</v>
      </c>
      <c r="O859" s="528">
        <f t="shared" si="272"/>
        <v>13366.69</v>
      </c>
      <c r="P859" s="528">
        <f>ROUND(P853*$D$859,2)</f>
        <v>35138.720000000001</v>
      </c>
      <c r="Q859" s="528">
        <f>SUM(E859:P859)</f>
        <v>203044.02</v>
      </c>
    </row>
    <row r="860" spans="1:17" s="224" customFormat="1" x14ac:dyDescent="0.2">
      <c r="A860" s="263"/>
      <c r="D860" s="290"/>
      <c r="E860" s="434">
        <f t="shared" ref="E860:P860" si="273">SUM(E856:E859)</f>
        <v>941834.93</v>
      </c>
      <c r="F860" s="434">
        <f t="shared" si="273"/>
        <v>917925.06</v>
      </c>
      <c r="G860" s="434">
        <f t="shared" si="273"/>
        <v>711589.97</v>
      </c>
      <c r="H860" s="434">
        <f t="shared" si="273"/>
        <v>472727.04000000004</v>
      </c>
      <c r="I860" s="434">
        <f t="shared" si="273"/>
        <v>296715.01</v>
      </c>
      <c r="J860" s="434">
        <f t="shared" si="273"/>
        <v>223589.25999999995</v>
      </c>
      <c r="K860" s="434">
        <f t="shared" si="273"/>
        <v>200222.27</v>
      </c>
      <c r="L860" s="434">
        <f t="shared" si="273"/>
        <v>194357.27000000002</v>
      </c>
      <c r="M860" s="434">
        <f t="shared" si="273"/>
        <v>208853.96999999997</v>
      </c>
      <c r="N860" s="434">
        <f t="shared" si="273"/>
        <v>273429.62999999995</v>
      </c>
      <c r="O860" s="434">
        <f t="shared" si="273"/>
        <v>420935.76999999996</v>
      </c>
      <c r="P860" s="434">
        <f t="shared" si="273"/>
        <v>693270.55999999994</v>
      </c>
      <c r="Q860" s="434">
        <f>SUM(E860:P860)</f>
        <v>5555450.7399999984</v>
      </c>
    </row>
    <row r="861" spans="1:17" s="224" customFormat="1" x14ac:dyDescent="0.2">
      <c r="A861" s="263"/>
      <c r="D861" s="290"/>
      <c r="E861" s="292"/>
      <c r="F861" s="292"/>
      <c r="G861" s="292"/>
      <c r="H861" s="292"/>
      <c r="I861" s="292"/>
      <c r="J861" s="292"/>
      <c r="K861" s="292"/>
      <c r="L861" s="292"/>
      <c r="M861" s="292"/>
      <c r="N861" s="292"/>
      <c r="O861" s="292"/>
      <c r="P861" s="292"/>
      <c r="Q861" s="292"/>
    </row>
    <row r="862" spans="1:17" s="224" customFormat="1" x14ac:dyDescent="0.2">
      <c r="A862" s="263">
        <f>A859+1</f>
        <v>31</v>
      </c>
      <c r="C862" s="224" t="s">
        <v>204</v>
      </c>
      <c r="D862" s="290"/>
      <c r="E862" s="434">
        <f t="shared" ref="E862:P862" si="274">E846+E847+E860</f>
        <v>1137521.9300000002</v>
      </c>
      <c r="F862" s="434">
        <f t="shared" si="274"/>
        <v>1112184.06</v>
      </c>
      <c r="G862" s="434">
        <f t="shared" si="274"/>
        <v>920332.97</v>
      </c>
      <c r="H862" s="434">
        <f t="shared" si="274"/>
        <v>680858.04</v>
      </c>
      <c r="I862" s="434">
        <f t="shared" si="274"/>
        <v>503673.01</v>
      </c>
      <c r="J862" s="434">
        <f t="shared" si="274"/>
        <v>429731.25999999995</v>
      </c>
      <c r="K862" s="434">
        <f t="shared" si="274"/>
        <v>405038.27</v>
      </c>
      <c r="L862" s="434">
        <f t="shared" si="274"/>
        <v>396113.27</v>
      </c>
      <c r="M862" s="434">
        <f t="shared" si="274"/>
        <v>408977.97</v>
      </c>
      <c r="N862" s="434">
        <f t="shared" si="274"/>
        <v>472278.62999999995</v>
      </c>
      <c r="O862" s="434">
        <f t="shared" si="274"/>
        <v>618662.77</v>
      </c>
      <c r="P862" s="434">
        <f t="shared" si="274"/>
        <v>889773.55999999994</v>
      </c>
      <c r="Q862" s="434">
        <f>SUM(E862:P862)</f>
        <v>7975145.7399999974</v>
      </c>
    </row>
    <row r="863" spans="1:17" s="224" customFormat="1" x14ac:dyDescent="0.2">
      <c r="A863" s="263"/>
      <c r="E863" s="489"/>
      <c r="F863" s="489"/>
      <c r="G863" s="489"/>
      <c r="H863" s="489"/>
      <c r="I863" s="489"/>
      <c r="J863" s="489"/>
      <c r="K863" s="489"/>
      <c r="L863" s="489"/>
      <c r="M863" s="489"/>
      <c r="N863" s="489"/>
      <c r="O863" s="489"/>
      <c r="P863" s="489"/>
      <c r="Q863" s="489"/>
    </row>
    <row r="864" spans="1:17" s="224" customFormat="1" x14ac:dyDescent="0.2">
      <c r="A864" s="263">
        <f>A862+1</f>
        <v>32</v>
      </c>
      <c r="C864" s="224" t="s">
        <v>151</v>
      </c>
      <c r="D864" s="794">
        <v>0</v>
      </c>
      <c r="E864" s="517">
        <v>0</v>
      </c>
      <c r="F864" s="517">
        <v>0</v>
      </c>
      <c r="G864" s="517">
        <v>0</v>
      </c>
      <c r="H864" s="517">
        <v>0</v>
      </c>
      <c r="I864" s="517">
        <v>0</v>
      </c>
      <c r="J864" s="517">
        <v>0</v>
      </c>
      <c r="K864" s="517">
        <v>0</v>
      </c>
      <c r="L864" s="517">
        <v>0</v>
      </c>
      <c r="M864" s="517">
        <v>0</v>
      </c>
      <c r="N864" s="517">
        <v>0</v>
      </c>
      <c r="O864" s="517">
        <v>0</v>
      </c>
      <c r="P864" s="517">
        <v>0</v>
      </c>
      <c r="Q864" s="434">
        <f>SUM(E864:P864)</f>
        <v>0</v>
      </c>
    </row>
    <row r="865" spans="1:17" s="224" customFormat="1" x14ac:dyDescent="0.2">
      <c r="A865" s="263"/>
      <c r="D865" s="290"/>
      <c r="F865" s="292"/>
      <c r="G865" s="476"/>
      <c r="H865" s="292"/>
      <c r="I865" s="297"/>
      <c r="J865" s="292"/>
      <c r="K865" s="292"/>
      <c r="L865" s="292"/>
      <c r="M865" s="292"/>
      <c r="N865" s="292"/>
      <c r="O865" s="292"/>
      <c r="P865" s="292"/>
      <c r="Q865" s="476"/>
    </row>
    <row r="866" spans="1:17" s="224" customFormat="1" ht="10.8" thickBot="1" x14ac:dyDescent="0.25">
      <c r="A866" s="724">
        <f>A864+1</f>
        <v>33</v>
      </c>
      <c r="B866" s="496"/>
      <c r="C866" s="725" t="s">
        <v>205</v>
      </c>
      <c r="D866" s="726"/>
      <c r="E866" s="499">
        <f t="shared" ref="E866:P866" si="275">E862+E864</f>
        <v>1137521.9300000002</v>
      </c>
      <c r="F866" s="499">
        <f t="shared" si="275"/>
        <v>1112184.06</v>
      </c>
      <c r="G866" s="499">
        <f t="shared" si="275"/>
        <v>920332.97</v>
      </c>
      <c r="H866" s="499">
        <f t="shared" si="275"/>
        <v>680858.04</v>
      </c>
      <c r="I866" s="499">
        <f t="shared" si="275"/>
        <v>503673.01</v>
      </c>
      <c r="J866" s="499">
        <f t="shared" si="275"/>
        <v>429731.25999999995</v>
      </c>
      <c r="K866" s="499">
        <f t="shared" si="275"/>
        <v>405038.27</v>
      </c>
      <c r="L866" s="499">
        <f t="shared" si="275"/>
        <v>396113.27</v>
      </c>
      <c r="M866" s="499">
        <f t="shared" si="275"/>
        <v>408977.97</v>
      </c>
      <c r="N866" s="499">
        <f t="shared" si="275"/>
        <v>472278.62999999995</v>
      </c>
      <c r="O866" s="499">
        <f t="shared" si="275"/>
        <v>618662.77</v>
      </c>
      <c r="P866" s="499">
        <f t="shared" si="275"/>
        <v>889773.55999999994</v>
      </c>
      <c r="Q866" s="499">
        <f>SUM(E866:P866)</f>
        <v>7975145.7399999974</v>
      </c>
    </row>
    <row r="867" spans="1:17" s="224" customFormat="1" ht="10.8" thickTop="1" x14ac:dyDescent="0.2">
      <c r="A867" s="263"/>
      <c r="D867" s="290"/>
      <c r="F867" s="292"/>
      <c r="G867" s="476"/>
      <c r="H867" s="292"/>
      <c r="I867" s="297"/>
      <c r="J867" s="292"/>
      <c r="K867" s="292"/>
      <c r="L867" s="292"/>
      <c r="M867" s="292"/>
      <c r="N867" s="292"/>
      <c r="O867" s="292"/>
      <c r="P867" s="292"/>
      <c r="Q867" s="476"/>
    </row>
    <row r="868" spans="1:17" s="224" customFormat="1" x14ac:dyDescent="0.2">
      <c r="A868" s="263"/>
      <c r="D868" s="290"/>
      <c r="F868" s="292"/>
      <c r="G868" s="476"/>
      <c r="H868" s="292"/>
      <c r="I868" s="297"/>
      <c r="J868" s="292"/>
      <c r="K868" s="292"/>
      <c r="L868" s="292"/>
      <c r="M868" s="292"/>
      <c r="N868" s="292"/>
      <c r="O868" s="292"/>
      <c r="P868" s="292"/>
    </row>
    <row r="869" spans="1:17" s="224" customFormat="1" x14ac:dyDescent="0.2">
      <c r="A869" s="629" t="str">
        <f>$A$265</f>
        <v>[1] Reflects Normalized Volumes.</v>
      </c>
      <c r="D869" s="290"/>
      <c r="F869" s="292"/>
      <c r="G869" s="476"/>
      <c r="H869" s="292"/>
      <c r="I869" s="297"/>
      <c r="J869" s="292"/>
      <c r="K869" s="292"/>
      <c r="L869" s="292"/>
      <c r="M869" s="292"/>
      <c r="N869" s="292"/>
      <c r="O869" s="292"/>
      <c r="P869" s="292"/>
    </row>
    <row r="870" spans="1:17" s="224" customFormat="1" x14ac:dyDescent="0.2">
      <c r="A870" s="889" t="str">
        <f>CONAME</f>
        <v>Columbia Gas of Kentucky, Inc.</v>
      </c>
      <c r="B870" s="889"/>
      <c r="C870" s="889"/>
      <c r="D870" s="889"/>
      <c r="E870" s="889"/>
      <c r="F870" s="889"/>
      <c r="G870" s="889"/>
      <c r="H870" s="889"/>
      <c r="I870" s="889"/>
      <c r="J870" s="889"/>
      <c r="K870" s="889"/>
      <c r="L870" s="889"/>
      <c r="M870" s="889"/>
      <c r="N870" s="889"/>
      <c r="O870" s="889"/>
      <c r="P870" s="889"/>
      <c r="Q870" s="889"/>
    </row>
    <row r="871" spans="1:17" s="224" customFormat="1" x14ac:dyDescent="0.2">
      <c r="A871" s="872" t="str">
        <f>case</f>
        <v>Case No. 2016-00162</v>
      </c>
      <c r="B871" s="872"/>
      <c r="C871" s="872"/>
      <c r="D871" s="872"/>
      <c r="E871" s="872"/>
      <c r="F871" s="872"/>
      <c r="G871" s="872"/>
      <c r="H871" s="872"/>
      <c r="I871" s="872"/>
      <c r="J871" s="872"/>
      <c r="K871" s="872"/>
      <c r="L871" s="872"/>
      <c r="M871" s="872"/>
      <c r="N871" s="872"/>
      <c r="O871" s="872"/>
      <c r="P871" s="872"/>
      <c r="Q871" s="872"/>
    </row>
    <row r="872" spans="1:17" s="224" customFormat="1" x14ac:dyDescent="0.2">
      <c r="A872" s="892" t="s">
        <v>200</v>
      </c>
      <c r="B872" s="892"/>
      <c r="C872" s="892"/>
      <c r="D872" s="892"/>
      <c r="E872" s="892"/>
      <c r="F872" s="892"/>
      <c r="G872" s="892"/>
      <c r="H872" s="892"/>
      <c r="I872" s="892"/>
      <c r="J872" s="892"/>
      <c r="K872" s="892"/>
      <c r="L872" s="892"/>
      <c r="M872" s="892"/>
      <c r="N872" s="892"/>
      <c r="O872" s="892"/>
      <c r="P872" s="892"/>
      <c r="Q872" s="892"/>
    </row>
    <row r="873" spans="1:17" s="224" customFormat="1" x14ac:dyDescent="0.2">
      <c r="A873" s="889" t="str">
        <f>TYDESC</f>
        <v>For the 12 Months Ended December 31, 2017</v>
      </c>
      <c r="B873" s="889"/>
      <c r="C873" s="889"/>
      <c r="D873" s="889"/>
      <c r="E873" s="889"/>
      <c r="F873" s="889"/>
      <c r="G873" s="889"/>
      <c r="H873" s="889"/>
      <c r="I873" s="889"/>
      <c r="J873" s="889"/>
      <c r="K873" s="889"/>
      <c r="L873" s="889"/>
      <c r="M873" s="889"/>
      <c r="N873" s="889"/>
      <c r="O873" s="889"/>
      <c r="P873" s="889"/>
      <c r="Q873" s="889"/>
    </row>
    <row r="874" spans="1:17" s="224" customFormat="1" x14ac:dyDescent="0.2">
      <c r="A874" s="890" t="s">
        <v>39</v>
      </c>
      <c r="B874" s="890"/>
      <c r="C874" s="890"/>
      <c r="D874" s="890"/>
      <c r="E874" s="890"/>
      <c r="F874" s="890"/>
      <c r="G874" s="890"/>
      <c r="H874" s="890"/>
      <c r="I874" s="890"/>
      <c r="J874" s="890"/>
      <c r="K874" s="890"/>
      <c r="L874" s="890"/>
      <c r="M874" s="890"/>
      <c r="N874" s="890"/>
      <c r="O874" s="890"/>
      <c r="P874" s="890"/>
      <c r="Q874" s="890"/>
    </row>
    <row r="875" spans="1:17" s="224" customFormat="1" x14ac:dyDescent="0.2">
      <c r="A875" s="718" t="str">
        <f>$A$52</f>
        <v>Data: __ Base Period _X_ Forecasted Period</v>
      </c>
      <c r="D875" s="290"/>
      <c r="F875" s="292"/>
      <c r="G875" s="476"/>
      <c r="H875" s="292"/>
      <c r="I875" s="297"/>
      <c r="J875" s="292"/>
      <c r="K875" s="292"/>
      <c r="L875" s="292"/>
      <c r="M875" s="292"/>
      <c r="N875" s="292"/>
      <c r="O875" s="292"/>
      <c r="P875" s="292"/>
    </row>
    <row r="876" spans="1:17" s="224" customFormat="1" x14ac:dyDescent="0.2">
      <c r="A876" s="718" t="str">
        <f>$A$53</f>
        <v>Type of Filing: X Original _ Update _ Revised</v>
      </c>
      <c r="D876" s="290"/>
      <c r="F876" s="292"/>
      <c r="G876" s="476"/>
      <c r="H876" s="292"/>
      <c r="I876" s="297"/>
      <c r="J876" s="292"/>
      <c r="K876" s="292"/>
      <c r="L876" s="292"/>
      <c r="M876" s="292"/>
      <c r="N876" s="292"/>
      <c r="O876" s="292"/>
      <c r="P876" s="292"/>
      <c r="Q876" s="727" t="str">
        <f>$Q$53</f>
        <v>Schedule M-2.3</v>
      </c>
    </row>
    <row r="877" spans="1:17" s="224" customFormat="1" x14ac:dyDescent="0.2">
      <c r="A877" s="718" t="str">
        <f>$A$54</f>
        <v>Work Paper Reference No(s):</v>
      </c>
      <c r="D877" s="290"/>
      <c r="F877" s="292"/>
      <c r="G877" s="476"/>
      <c r="H877" s="292"/>
      <c r="I877" s="297"/>
      <c r="J877" s="292"/>
      <c r="K877" s="292"/>
      <c r="L877" s="292"/>
      <c r="M877" s="292"/>
      <c r="N877" s="292"/>
      <c r="O877" s="292"/>
      <c r="P877" s="292"/>
      <c r="Q877" s="727" t="s">
        <v>514</v>
      </c>
    </row>
    <row r="878" spans="1:17" s="224" customFormat="1" x14ac:dyDescent="0.2">
      <c r="A878" s="719" t="str">
        <f>$A$55</f>
        <v>12 Months Forecasted</v>
      </c>
      <c r="D878" s="290"/>
      <c r="F878" s="292"/>
      <c r="G878" s="476"/>
      <c r="H878" s="292"/>
      <c r="I878" s="297"/>
      <c r="J878" s="292"/>
      <c r="K878" s="292"/>
      <c r="L878" s="292"/>
      <c r="M878" s="292"/>
      <c r="N878" s="292"/>
      <c r="O878" s="292"/>
      <c r="P878" s="292"/>
      <c r="Q878" s="727" t="str">
        <f>Witness</f>
        <v>Witness:  M. J. Bell</v>
      </c>
    </row>
    <row r="879" spans="1:17" s="224" customFormat="1" x14ac:dyDescent="0.2">
      <c r="A879" s="891" t="s">
        <v>294</v>
      </c>
      <c r="B879" s="891"/>
      <c r="C879" s="891"/>
      <c r="D879" s="891"/>
      <c r="E879" s="891"/>
      <c r="F879" s="891"/>
      <c r="G879" s="891"/>
      <c r="H879" s="891"/>
      <c r="I879" s="891"/>
      <c r="J879" s="891"/>
      <c r="K879" s="891"/>
      <c r="L879" s="891"/>
      <c r="M879" s="891"/>
      <c r="N879" s="891"/>
      <c r="O879" s="891"/>
      <c r="P879" s="891"/>
      <c r="Q879" s="891"/>
    </row>
    <row r="880" spans="1:17" s="224" customFormat="1" x14ac:dyDescent="0.2">
      <c r="A880" s="227"/>
      <c r="B880" s="306"/>
      <c r="C880" s="306"/>
      <c r="D880" s="308"/>
      <c r="E880" s="306"/>
      <c r="F880" s="502"/>
      <c r="G880" s="503"/>
      <c r="H880" s="502"/>
      <c r="I880" s="504"/>
      <c r="J880" s="502"/>
      <c r="K880" s="502"/>
      <c r="L880" s="502"/>
      <c r="M880" s="502"/>
      <c r="N880" s="502"/>
      <c r="O880" s="502"/>
      <c r="P880" s="502"/>
      <c r="Q880" s="306"/>
    </row>
    <row r="881" spans="1:17" s="224" customFormat="1" x14ac:dyDescent="0.2">
      <c r="A881" s="416" t="s">
        <v>1</v>
      </c>
      <c r="B881" s="416" t="s">
        <v>0</v>
      </c>
      <c r="C881" s="416" t="s">
        <v>41</v>
      </c>
      <c r="D881" s="423" t="s">
        <v>30</v>
      </c>
      <c r="E881" s="416"/>
      <c r="F881" s="729"/>
      <c r="G881" s="732"/>
      <c r="H881" s="729"/>
      <c r="I881" s="733"/>
      <c r="J881" s="729"/>
      <c r="K881" s="729"/>
      <c r="L881" s="729"/>
      <c r="M881" s="729"/>
      <c r="N881" s="729"/>
      <c r="O881" s="729"/>
      <c r="P881" s="729"/>
      <c r="Q881" s="232"/>
    </row>
    <row r="882" spans="1:17" s="224" customFormat="1" x14ac:dyDescent="0.2">
      <c r="A882" s="285" t="s">
        <v>3</v>
      </c>
      <c r="B882" s="285" t="s">
        <v>40</v>
      </c>
      <c r="C882" s="285" t="s">
        <v>4</v>
      </c>
      <c r="D882" s="427" t="s">
        <v>48</v>
      </c>
      <c r="E882" s="428" t="str">
        <f>B!$D$11</f>
        <v>Jan-17</v>
      </c>
      <c r="F882" s="428" t="str">
        <f>B!$E$11</f>
        <v>Feb-17</v>
      </c>
      <c r="G882" s="428" t="str">
        <f>B!$F$11</f>
        <v>Mar-17</v>
      </c>
      <c r="H882" s="428" t="str">
        <f>B!$G$11</f>
        <v>Apr-17</v>
      </c>
      <c r="I882" s="428" t="str">
        <f>B!$H$11</f>
        <v>May-17</v>
      </c>
      <c r="J882" s="428" t="str">
        <f>B!$I$11</f>
        <v>Jun-17</v>
      </c>
      <c r="K882" s="428" t="str">
        <f>B!$J$11</f>
        <v>Jul-17</v>
      </c>
      <c r="L882" s="428" t="str">
        <f>B!$K$11</f>
        <v>Aug-17</v>
      </c>
      <c r="M882" s="428" t="str">
        <f>B!$L$11</f>
        <v>Sep-17</v>
      </c>
      <c r="N882" s="428" t="str">
        <f>B!$M$11</f>
        <v>Oct-17</v>
      </c>
      <c r="O882" s="428" t="str">
        <f>B!$N$11</f>
        <v>Nov-17</v>
      </c>
      <c r="P882" s="428" t="str">
        <f>B!$O$11</f>
        <v>Dec-17</v>
      </c>
      <c r="Q882" s="428" t="s">
        <v>9</v>
      </c>
    </row>
    <row r="883" spans="1:17" s="224" customFormat="1" x14ac:dyDescent="0.2">
      <c r="A883" s="416"/>
      <c r="B883" s="231" t="s">
        <v>42</v>
      </c>
      <c r="C883" s="231" t="s">
        <v>43</v>
      </c>
      <c r="D883" s="430" t="s">
        <v>45</v>
      </c>
      <c r="E883" s="431" t="s">
        <v>46</v>
      </c>
      <c r="F883" s="431" t="s">
        <v>49</v>
      </c>
      <c r="G883" s="431" t="s">
        <v>50</v>
      </c>
      <c r="H883" s="431" t="s">
        <v>51</v>
      </c>
      <c r="I883" s="431" t="s">
        <v>52</v>
      </c>
      <c r="J883" s="432" t="s">
        <v>53</v>
      </c>
      <c r="K883" s="432" t="s">
        <v>54</v>
      </c>
      <c r="L883" s="432" t="s">
        <v>55</v>
      </c>
      <c r="M883" s="432" t="s">
        <v>56</v>
      </c>
      <c r="N883" s="432" t="s">
        <v>57</v>
      </c>
      <c r="O883" s="432" t="s">
        <v>58</v>
      </c>
      <c r="P883" s="432" t="s">
        <v>59</v>
      </c>
      <c r="Q883" s="432" t="s">
        <v>203</v>
      </c>
    </row>
    <row r="884" spans="1:17" s="224" customFormat="1" x14ac:dyDescent="0.2">
      <c r="A884" s="263"/>
      <c r="D884" s="290"/>
      <c r="E884" s="232"/>
      <c r="F884" s="734"/>
      <c r="G884" s="730"/>
      <c r="H884" s="734"/>
      <c r="I884" s="731"/>
      <c r="J884" s="734"/>
      <c r="K884" s="734"/>
      <c r="L884" s="734"/>
      <c r="M884" s="734"/>
      <c r="N884" s="734"/>
      <c r="O884" s="734"/>
      <c r="P884" s="734"/>
      <c r="Q884" s="232"/>
    </row>
    <row r="885" spans="1:17" s="224" customFormat="1" x14ac:dyDescent="0.2">
      <c r="A885" s="263">
        <v>1</v>
      </c>
      <c r="B885" s="224" t="str">
        <f>B236</f>
        <v>GTO</v>
      </c>
      <c r="C885" s="224" t="str">
        <f>C236</f>
        <v>GTS Choice - Industrial</v>
      </c>
      <c r="D885" s="290"/>
      <c r="F885" s="292"/>
      <c r="G885" s="476"/>
      <c r="H885" s="292"/>
      <c r="I885" s="297"/>
      <c r="J885" s="292"/>
      <c r="K885" s="292"/>
      <c r="L885" s="292"/>
      <c r="M885" s="292"/>
      <c r="N885" s="292"/>
      <c r="O885" s="292"/>
      <c r="P885" s="292"/>
    </row>
    <row r="886" spans="1:17" s="224" customFormat="1" x14ac:dyDescent="0.2">
      <c r="A886" s="263"/>
      <c r="D886" s="290"/>
      <c r="F886" s="292"/>
      <c r="G886" s="476"/>
      <c r="H886" s="292"/>
      <c r="I886" s="297"/>
      <c r="J886" s="292"/>
      <c r="K886" s="292"/>
      <c r="L886" s="292"/>
      <c r="M886" s="292"/>
      <c r="N886" s="292"/>
      <c r="O886" s="292"/>
      <c r="P886" s="292"/>
    </row>
    <row r="887" spans="1:17" s="224" customFormat="1" x14ac:dyDescent="0.2">
      <c r="A887" s="263">
        <f>A885+1</f>
        <v>2</v>
      </c>
      <c r="C887" s="266" t="s">
        <v>112</v>
      </c>
      <c r="D887" s="290"/>
      <c r="F887" s="292"/>
      <c r="G887" s="476"/>
      <c r="H887" s="292"/>
      <c r="I887" s="297"/>
      <c r="J887" s="292"/>
      <c r="K887" s="292"/>
      <c r="L887" s="292"/>
      <c r="M887" s="292"/>
      <c r="N887" s="292"/>
      <c r="O887" s="292"/>
      <c r="P887" s="292"/>
    </row>
    <row r="888" spans="1:17" s="224" customFormat="1" x14ac:dyDescent="0.2">
      <c r="A888" s="263"/>
      <c r="C888" s="266"/>
      <c r="D888" s="290"/>
      <c r="F888" s="292"/>
      <c r="G888" s="476"/>
      <c r="H888" s="292"/>
      <c r="I888" s="297"/>
      <c r="J888" s="292"/>
      <c r="K888" s="292"/>
      <c r="L888" s="292"/>
      <c r="M888" s="292"/>
      <c r="N888" s="292"/>
      <c r="O888" s="292"/>
      <c r="P888" s="292"/>
    </row>
    <row r="889" spans="1:17" s="224" customFormat="1" x14ac:dyDescent="0.2">
      <c r="A889" s="263">
        <f>A887+1</f>
        <v>3</v>
      </c>
      <c r="C889" s="224" t="s">
        <v>202</v>
      </c>
      <c r="D889" s="290"/>
      <c r="E889" s="479">
        <f>B!D176</f>
        <v>13</v>
      </c>
      <c r="F889" s="479">
        <f>B!E176</f>
        <v>13</v>
      </c>
      <c r="G889" s="479">
        <f>B!F176</f>
        <v>12</v>
      </c>
      <c r="H889" s="479">
        <f>B!G176</f>
        <v>13</v>
      </c>
      <c r="I889" s="479">
        <f>B!H176</f>
        <v>12</v>
      </c>
      <c r="J889" s="479">
        <f>B!I176</f>
        <v>12</v>
      </c>
      <c r="K889" s="479">
        <f>B!J176</f>
        <v>12</v>
      </c>
      <c r="L889" s="479">
        <f>B!K176</f>
        <v>12</v>
      </c>
      <c r="M889" s="479">
        <f>B!L176</f>
        <v>12</v>
      </c>
      <c r="N889" s="479">
        <f>B!M176</f>
        <v>12</v>
      </c>
      <c r="O889" s="479">
        <f>B!N176</f>
        <v>13</v>
      </c>
      <c r="P889" s="479">
        <f>B!O176</f>
        <v>13</v>
      </c>
      <c r="Q889" s="479">
        <f>SUM(E889:P889)</f>
        <v>149</v>
      </c>
    </row>
    <row r="890" spans="1:17" s="224" customFormat="1" x14ac:dyDescent="0.2">
      <c r="A890" s="263">
        <f>A889+1</f>
        <v>4</v>
      </c>
      <c r="C890" s="224" t="s">
        <v>210</v>
      </c>
      <c r="D890" s="792">
        <f>Input!U43</f>
        <v>51</v>
      </c>
      <c r="E890" s="434">
        <f t="shared" ref="E890:P890" si="276">ROUND(E889*$D$890,2)</f>
        <v>663</v>
      </c>
      <c r="F890" s="434">
        <f t="shared" si="276"/>
        <v>663</v>
      </c>
      <c r="G890" s="434">
        <f t="shared" si="276"/>
        <v>612</v>
      </c>
      <c r="H890" s="434">
        <f t="shared" si="276"/>
        <v>663</v>
      </c>
      <c r="I890" s="434">
        <f t="shared" si="276"/>
        <v>612</v>
      </c>
      <c r="J890" s="434">
        <f t="shared" si="276"/>
        <v>612</v>
      </c>
      <c r="K890" s="434">
        <f t="shared" si="276"/>
        <v>612</v>
      </c>
      <c r="L890" s="434">
        <f t="shared" si="276"/>
        <v>612</v>
      </c>
      <c r="M890" s="434">
        <f t="shared" si="276"/>
        <v>612</v>
      </c>
      <c r="N890" s="434">
        <f t="shared" si="276"/>
        <v>612</v>
      </c>
      <c r="O890" s="434">
        <f t="shared" si="276"/>
        <v>663</v>
      </c>
      <c r="P890" s="434">
        <f t="shared" si="276"/>
        <v>663</v>
      </c>
      <c r="Q890" s="434">
        <f>SUM(E890:P890)</f>
        <v>7599</v>
      </c>
    </row>
    <row r="891" spans="1:17" s="224" customFormat="1" x14ac:dyDescent="0.2">
      <c r="A891" s="263">
        <f>A890+1</f>
        <v>5</v>
      </c>
      <c r="C891" s="224" t="s">
        <v>211</v>
      </c>
      <c r="D891" s="792">
        <f>Input!W43</f>
        <v>0</v>
      </c>
      <c r="E891" s="434">
        <f t="shared" ref="E891:P891" si="277">ROUND(E889*$D$891,2)</f>
        <v>0</v>
      </c>
      <c r="F891" s="434">
        <f t="shared" si="277"/>
        <v>0</v>
      </c>
      <c r="G891" s="434">
        <f t="shared" si="277"/>
        <v>0</v>
      </c>
      <c r="H891" s="434">
        <f t="shared" si="277"/>
        <v>0</v>
      </c>
      <c r="I891" s="434">
        <f t="shared" si="277"/>
        <v>0</v>
      </c>
      <c r="J891" s="434">
        <f t="shared" si="277"/>
        <v>0</v>
      </c>
      <c r="K891" s="434">
        <f t="shared" si="277"/>
        <v>0</v>
      </c>
      <c r="L891" s="434">
        <f t="shared" si="277"/>
        <v>0</v>
      </c>
      <c r="M891" s="434">
        <f t="shared" si="277"/>
        <v>0</v>
      </c>
      <c r="N891" s="434">
        <f t="shared" si="277"/>
        <v>0</v>
      </c>
      <c r="O891" s="434">
        <f t="shared" si="277"/>
        <v>0</v>
      </c>
      <c r="P891" s="434">
        <f t="shared" si="277"/>
        <v>0</v>
      </c>
      <c r="Q891" s="434">
        <f>SUM(E891:P891)</f>
        <v>0</v>
      </c>
    </row>
    <row r="892" spans="1:17" s="224" customFormat="1" x14ac:dyDescent="0.2">
      <c r="A892" s="263"/>
      <c r="D892" s="290"/>
      <c r="F892" s="292"/>
      <c r="G892" s="476"/>
      <c r="H892" s="292"/>
      <c r="I892" s="297"/>
      <c r="J892" s="292"/>
      <c r="K892" s="292"/>
      <c r="L892" s="292"/>
      <c r="M892" s="292"/>
      <c r="N892" s="292"/>
      <c r="O892" s="292"/>
      <c r="P892" s="292"/>
    </row>
    <row r="893" spans="1:17" s="224" customFormat="1" x14ac:dyDescent="0.2">
      <c r="A893" s="263">
        <f>A891+1</f>
        <v>6</v>
      </c>
      <c r="C893" s="224" t="s">
        <v>209</v>
      </c>
      <c r="D893" s="290"/>
      <c r="E893" s="521"/>
      <c r="F893" s="292"/>
      <c r="G893" s="476"/>
      <c r="H893" s="292"/>
      <c r="I893" s="297"/>
      <c r="J893" s="292"/>
      <c r="K893" s="292"/>
      <c r="L893" s="292"/>
      <c r="M893" s="292"/>
      <c r="N893" s="292"/>
      <c r="O893" s="292"/>
      <c r="P893" s="292"/>
    </row>
    <row r="894" spans="1:17" s="224" customFormat="1" x14ac:dyDescent="0.2">
      <c r="A894" s="263">
        <f>A893+1</f>
        <v>7</v>
      </c>
      <c r="C894" s="224" t="str">
        <f>'C'!B223</f>
        <v xml:space="preserve">    First 50 Mcf</v>
      </c>
      <c r="D894" s="519"/>
      <c r="E894" s="483">
        <f>'C'!D235</f>
        <v>472.7</v>
      </c>
      <c r="F894" s="483">
        <f>'C'!E235</f>
        <v>517.79999999999995</v>
      </c>
      <c r="G894" s="483">
        <f>'C'!F235</f>
        <v>508.5</v>
      </c>
      <c r="H894" s="483">
        <f>'C'!G235</f>
        <v>429.7</v>
      </c>
      <c r="I894" s="483">
        <f>'C'!H235</f>
        <v>346.2</v>
      </c>
      <c r="J894" s="483">
        <f>'C'!I235</f>
        <v>313.10000000000002</v>
      </c>
      <c r="K894" s="483">
        <f>'C'!J235</f>
        <v>310.60000000000002</v>
      </c>
      <c r="L894" s="483">
        <f>'C'!K235</f>
        <v>295.60000000000002</v>
      </c>
      <c r="M894" s="483">
        <f>'C'!L235</f>
        <v>279.2</v>
      </c>
      <c r="N894" s="483">
        <f>'C'!M235</f>
        <v>420.4</v>
      </c>
      <c r="O894" s="483">
        <f>'C'!N235</f>
        <v>426.1</v>
      </c>
      <c r="P894" s="483">
        <f>'C'!O235</f>
        <v>467.9</v>
      </c>
      <c r="Q894" s="483">
        <f>SUM(E894:P894)</f>
        <v>4787.7999999999993</v>
      </c>
    </row>
    <row r="895" spans="1:17" s="224" customFormat="1" x14ac:dyDescent="0.2">
      <c r="A895" s="263">
        <f>A894+1</f>
        <v>8</v>
      </c>
      <c r="C895" s="224" t="str">
        <f>'C'!B224</f>
        <v xml:space="preserve">    Next 350 Mcf</v>
      </c>
      <c r="D895" s="519"/>
      <c r="E895" s="483">
        <f>'C'!D236</f>
        <v>2210.1999999999998</v>
      </c>
      <c r="F895" s="483">
        <f>'C'!E236</f>
        <v>2239.1</v>
      </c>
      <c r="G895" s="483">
        <f>'C'!F236</f>
        <v>2090.1999999999998</v>
      </c>
      <c r="H895" s="483">
        <f>'C'!G236</f>
        <v>1600.8</v>
      </c>
      <c r="I895" s="483">
        <f>'C'!H236</f>
        <v>1646.5</v>
      </c>
      <c r="J895" s="483">
        <f>'C'!I236</f>
        <v>1359.8</v>
      </c>
      <c r="K895" s="483">
        <f>'C'!J236</f>
        <v>1359.2</v>
      </c>
      <c r="L895" s="483">
        <f>'C'!K236</f>
        <v>1380.5</v>
      </c>
      <c r="M895" s="483">
        <f>'C'!L236</f>
        <v>1335.8</v>
      </c>
      <c r="N895" s="483">
        <f>'C'!M236</f>
        <v>1812.9</v>
      </c>
      <c r="O895" s="483">
        <f>'C'!N236</f>
        <v>2003.7</v>
      </c>
      <c r="P895" s="483">
        <f>'C'!O236</f>
        <v>2070.3000000000002</v>
      </c>
      <c r="Q895" s="483">
        <f>SUM(E895:P895)</f>
        <v>21109</v>
      </c>
    </row>
    <row r="896" spans="1:17" s="224" customFormat="1" x14ac:dyDescent="0.2">
      <c r="A896" s="263">
        <f>A895+1</f>
        <v>9</v>
      </c>
      <c r="C896" s="224" t="str">
        <f>'C'!B225</f>
        <v xml:space="preserve">    Next 600 Mcf</v>
      </c>
      <c r="D896" s="519"/>
      <c r="E896" s="483">
        <f>'C'!D237</f>
        <v>2400</v>
      </c>
      <c r="F896" s="483">
        <f>'C'!E237</f>
        <v>2344.6999999999998</v>
      </c>
      <c r="G896" s="483">
        <f>'C'!F237</f>
        <v>2065.1</v>
      </c>
      <c r="H896" s="483">
        <f>'C'!G237</f>
        <v>1901.5</v>
      </c>
      <c r="I896" s="297">
        <f>'C'!H237</f>
        <v>1446.5</v>
      </c>
      <c r="J896" s="297">
        <f>'C'!I237</f>
        <v>1488.2</v>
      </c>
      <c r="K896" s="297">
        <f>'C'!J237</f>
        <v>1395.6</v>
      </c>
      <c r="L896" s="297">
        <f>'C'!K237</f>
        <v>1201</v>
      </c>
      <c r="M896" s="297">
        <f>'C'!L237</f>
        <v>1365.8</v>
      </c>
      <c r="N896" s="483">
        <f>'C'!M237</f>
        <v>1413.9</v>
      </c>
      <c r="O896" s="483">
        <f>'C'!N237</f>
        <v>1953.8</v>
      </c>
      <c r="P896" s="483">
        <f>'C'!O237</f>
        <v>1933.6</v>
      </c>
      <c r="Q896" s="483">
        <f>SUM(E896:P896)</f>
        <v>20909.699999999997</v>
      </c>
    </row>
    <row r="897" spans="1:17" s="224" customFormat="1" x14ac:dyDescent="0.2">
      <c r="A897" s="263">
        <f>A896+1</f>
        <v>10</v>
      </c>
      <c r="C897" s="224" t="str">
        <f>'C'!B226</f>
        <v xml:space="preserve">    Over 1,000 Mcf</v>
      </c>
      <c r="D897" s="536"/>
      <c r="E897" s="522">
        <f>'C'!D238</f>
        <v>917.2</v>
      </c>
      <c r="F897" s="522">
        <f>'C'!E238</f>
        <v>898.3</v>
      </c>
      <c r="G897" s="522">
        <f>'C'!F238</f>
        <v>1336.1</v>
      </c>
      <c r="H897" s="522">
        <f>'C'!G238</f>
        <v>2067.9</v>
      </c>
      <c r="I897" s="522">
        <f>'C'!H238</f>
        <v>2560.8000000000002</v>
      </c>
      <c r="J897" s="522">
        <f>'C'!I238</f>
        <v>2839</v>
      </c>
      <c r="K897" s="522">
        <f>'C'!J238</f>
        <v>2934.5</v>
      </c>
      <c r="L897" s="522">
        <f>'C'!K238</f>
        <v>3122.9</v>
      </c>
      <c r="M897" s="522">
        <f>'C'!L238</f>
        <v>3019.2</v>
      </c>
      <c r="N897" s="522">
        <f>'C'!M238</f>
        <v>2352.9</v>
      </c>
      <c r="O897" s="522">
        <f>'C'!N238</f>
        <v>1616.4</v>
      </c>
      <c r="P897" s="522">
        <f>'C'!O238</f>
        <v>1528.2</v>
      </c>
      <c r="Q897" s="522">
        <f>SUM(E897:P897)</f>
        <v>25193.400000000005</v>
      </c>
    </row>
    <row r="898" spans="1:17" s="224" customFormat="1" x14ac:dyDescent="0.2">
      <c r="A898" s="263"/>
      <c r="D898" s="536"/>
      <c r="E898" s="483">
        <f t="shared" ref="E898:P898" si="278">SUM(E894:E897)</f>
        <v>6000.0999999999995</v>
      </c>
      <c r="F898" s="483">
        <f t="shared" si="278"/>
        <v>5999.9</v>
      </c>
      <c r="G898" s="483">
        <f t="shared" si="278"/>
        <v>5999.9</v>
      </c>
      <c r="H898" s="483">
        <f t="shared" si="278"/>
        <v>5999.9</v>
      </c>
      <c r="I898" s="483">
        <f t="shared" si="278"/>
        <v>6000</v>
      </c>
      <c r="J898" s="483">
        <f t="shared" si="278"/>
        <v>6000.1</v>
      </c>
      <c r="K898" s="483">
        <f t="shared" si="278"/>
        <v>5999.9</v>
      </c>
      <c r="L898" s="483">
        <f t="shared" si="278"/>
        <v>6000</v>
      </c>
      <c r="M898" s="483">
        <f t="shared" si="278"/>
        <v>6000</v>
      </c>
      <c r="N898" s="483">
        <f t="shared" si="278"/>
        <v>6000.1</v>
      </c>
      <c r="O898" s="483">
        <f t="shared" si="278"/>
        <v>6000</v>
      </c>
      <c r="P898" s="483">
        <f t="shared" si="278"/>
        <v>6000</v>
      </c>
      <c r="Q898" s="483">
        <f>SUM(E898:P898)</f>
        <v>71999.899999999994</v>
      </c>
    </row>
    <row r="899" spans="1:17" s="224" customFormat="1" x14ac:dyDescent="0.2">
      <c r="A899" s="263">
        <f>A897+1</f>
        <v>11</v>
      </c>
      <c r="C899" s="224" t="s">
        <v>207</v>
      </c>
      <c r="D899" s="536"/>
      <c r="F899" s="292"/>
      <c r="G899" s="476"/>
      <c r="H899" s="292"/>
      <c r="I899" s="297"/>
      <c r="J899" s="292"/>
      <c r="K899" s="292"/>
      <c r="L899" s="292"/>
      <c r="M899" s="292"/>
      <c r="N899" s="292"/>
      <c r="O899" s="292"/>
      <c r="P899" s="292"/>
      <c r="Q899" s="543"/>
    </row>
    <row r="900" spans="1:17" s="224" customFormat="1" x14ac:dyDescent="0.2">
      <c r="A900" s="263">
        <f>A899+1</f>
        <v>12</v>
      </c>
      <c r="C900" s="224" t="str">
        <f>C894</f>
        <v xml:space="preserve">    First 50 Mcf</v>
      </c>
      <c r="D900" s="793">
        <f>Input!P43</f>
        <v>3.4714</v>
      </c>
      <c r="E900" s="434">
        <f t="shared" ref="E900:P900" si="279">ROUND(E894*$D$900,2)</f>
        <v>1640.93</v>
      </c>
      <c r="F900" s="434">
        <f t="shared" si="279"/>
        <v>1797.49</v>
      </c>
      <c r="G900" s="434">
        <f t="shared" si="279"/>
        <v>1765.21</v>
      </c>
      <c r="H900" s="434">
        <f t="shared" si="279"/>
        <v>1491.66</v>
      </c>
      <c r="I900" s="434">
        <f t="shared" si="279"/>
        <v>1201.8</v>
      </c>
      <c r="J900" s="434">
        <f t="shared" si="279"/>
        <v>1086.9000000000001</v>
      </c>
      <c r="K900" s="434">
        <f t="shared" si="279"/>
        <v>1078.22</v>
      </c>
      <c r="L900" s="434">
        <f t="shared" si="279"/>
        <v>1026.1500000000001</v>
      </c>
      <c r="M900" s="434">
        <f t="shared" si="279"/>
        <v>969.21</v>
      </c>
      <c r="N900" s="434">
        <f t="shared" si="279"/>
        <v>1459.38</v>
      </c>
      <c r="O900" s="434">
        <f t="shared" si="279"/>
        <v>1479.16</v>
      </c>
      <c r="P900" s="434">
        <f t="shared" si="279"/>
        <v>1624.27</v>
      </c>
      <c r="Q900" s="434">
        <f>SUM(E900:P900)</f>
        <v>16620.38</v>
      </c>
    </row>
    <row r="901" spans="1:17" s="224" customFormat="1" x14ac:dyDescent="0.2">
      <c r="A901" s="263">
        <f>A900+1</f>
        <v>13</v>
      </c>
      <c r="C901" s="224" t="str">
        <f>C895</f>
        <v xml:space="preserve">    Next 350 Mcf</v>
      </c>
      <c r="D901" s="793">
        <f>Input!Q43</f>
        <v>2.6833</v>
      </c>
      <c r="E901" s="479">
        <f t="shared" ref="E901:P901" si="280">ROUND(E895*$D$901,2)</f>
        <v>5930.63</v>
      </c>
      <c r="F901" s="479">
        <f t="shared" si="280"/>
        <v>6008.18</v>
      </c>
      <c r="G901" s="479">
        <f t="shared" si="280"/>
        <v>5608.63</v>
      </c>
      <c r="H901" s="479">
        <f t="shared" si="280"/>
        <v>4295.43</v>
      </c>
      <c r="I901" s="479">
        <f t="shared" si="280"/>
        <v>4418.05</v>
      </c>
      <c r="J901" s="479">
        <f t="shared" si="280"/>
        <v>3648.75</v>
      </c>
      <c r="K901" s="479">
        <f t="shared" si="280"/>
        <v>3647.14</v>
      </c>
      <c r="L901" s="479">
        <f t="shared" si="280"/>
        <v>3704.3</v>
      </c>
      <c r="M901" s="479">
        <f t="shared" si="280"/>
        <v>3584.35</v>
      </c>
      <c r="N901" s="479">
        <f t="shared" si="280"/>
        <v>4864.55</v>
      </c>
      <c r="O901" s="479">
        <f t="shared" si="280"/>
        <v>5376.53</v>
      </c>
      <c r="P901" s="479">
        <f t="shared" si="280"/>
        <v>5555.24</v>
      </c>
      <c r="Q901" s="479">
        <f>SUM(E901:P901)</f>
        <v>56641.780000000006</v>
      </c>
    </row>
    <row r="902" spans="1:17" s="224" customFormat="1" x14ac:dyDescent="0.2">
      <c r="A902" s="263">
        <f>A901+1</f>
        <v>14</v>
      </c>
      <c r="C902" s="224" t="str">
        <f>C896</f>
        <v xml:space="preserve">    Next 600 Mcf</v>
      </c>
      <c r="D902" s="793">
        <f>Input!R43</f>
        <v>2.5514000000000001</v>
      </c>
      <c r="E902" s="479">
        <f t="shared" ref="E902:O902" si="281">ROUND(E896*$D$902,2)</f>
        <v>6123.36</v>
      </c>
      <c r="F902" s="479">
        <f t="shared" si="281"/>
        <v>5982.27</v>
      </c>
      <c r="G902" s="479">
        <f t="shared" si="281"/>
        <v>5268.9</v>
      </c>
      <c r="H902" s="479">
        <f t="shared" si="281"/>
        <v>4851.49</v>
      </c>
      <c r="I902" s="535">
        <f t="shared" si="281"/>
        <v>3690.6</v>
      </c>
      <c r="J902" s="535">
        <f t="shared" si="281"/>
        <v>3796.99</v>
      </c>
      <c r="K902" s="535">
        <f t="shared" si="281"/>
        <v>3560.73</v>
      </c>
      <c r="L902" s="535">
        <f t="shared" si="281"/>
        <v>3064.23</v>
      </c>
      <c r="M902" s="535">
        <f t="shared" si="281"/>
        <v>3484.7</v>
      </c>
      <c r="N902" s="479">
        <f t="shared" si="281"/>
        <v>3607.42</v>
      </c>
      <c r="O902" s="479">
        <f t="shared" si="281"/>
        <v>4984.93</v>
      </c>
      <c r="P902" s="479">
        <f>ROUND(P896*$D$902,2)</f>
        <v>4933.3900000000003</v>
      </c>
      <c r="Q902" s="479">
        <f>SUM(E902:P902)</f>
        <v>53349.009999999995</v>
      </c>
    </row>
    <row r="903" spans="1:17" s="224" customFormat="1" x14ac:dyDescent="0.2">
      <c r="A903" s="263">
        <f>A902+1</f>
        <v>15</v>
      </c>
      <c r="C903" s="224" t="str">
        <f>C897</f>
        <v xml:space="preserve">    Over 1,000 Mcf</v>
      </c>
      <c r="D903" s="793">
        <f>Input!S43</f>
        <v>2.3222999999999998</v>
      </c>
      <c r="E903" s="528">
        <f t="shared" ref="E903:O903" si="282">ROUND(E897*$D$903,2)</f>
        <v>2130.0100000000002</v>
      </c>
      <c r="F903" s="528">
        <f t="shared" si="282"/>
        <v>2086.12</v>
      </c>
      <c r="G903" s="528">
        <f t="shared" si="282"/>
        <v>3102.83</v>
      </c>
      <c r="H903" s="528">
        <f t="shared" si="282"/>
        <v>4802.28</v>
      </c>
      <c r="I903" s="528">
        <f t="shared" si="282"/>
        <v>5946.95</v>
      </c>
      <c r="J903" s="528">
        <f t="shared" si="282"/>
        <v>6593.01</v>
      </c>
      <c r="K903" s="528">
        <f t="shared" si="282"/>
        <v>6814.79</v>
      </c>
      <c r="L903" s="528">
        <f t="shared" si="282"/>
        <v>7252.31</v>
      </c>
      <c r="M903" s="528">
        <f t="shared" si="282"/>
        <v>7011.49</v>
      </c>
      <c r="N903" s="528">
        <f t="shared" si="282"/>
        <v>5464.14</v>
      </c>
      <c r="O903" s="528">
        <f t="shared" si="282"/>
        <v>3753.77</v>
      </c>
      <c r="P903" s="528">
        <f>ROUND(P897*$D$903,2)</f>
        <v>3548.94</v>
      </c>
      <c r="Q903" s="528">
        <f>SUM(E903:P903)</f>
        <v>58506.639999999992</v>
      </c>
    </row>
    <row r="904" spans="1:17" s="224" customFormat="1" x14ac:dyDescent="0.2">
      <c r="A904" s="263"/>
      <c r="D904" s="290"/>
      <c r="E904" s="434">
        <f t="shared" ref="E904:P904" si="283">SUM(E900:E903)</f>
        <v>15824.93</v>
      </c>
      <c r="F904" s="434">
        <f t="shared" si="283"/>
        <v>15874.060000000001</v>
      </c>
      <c r="G904" s="434">
        <f t="shared" si="283"/>
        <v>15745.57</v>
      </c>
      <c r="H904" s="434">
        <f t="shared" si="283"/>
        <v>15440.86</v>
      </c>
      <c r="I904" s="434">
        <f t="shared" si="283"/>
        <v>15257.400000000001</v>
      </c>
      <c r="J904" s="434">
        <f t="shared" si="283"/>
        <v>15125.65</v>
      </c>
      <c r="K904" s="434">
        <f t="shared" si="283"/>
        <v>15100.880000000001</v>
      </c>
      <c r="L904" s="434">
        <f t="shared" si="283"/>
        <v>15046.990000000002</v>
      </c>
      <c r="M904" s="434">
        <f t="shared" si="283"/>
        <v>15049.75</v>
      </c>
      <c r="N904" s="434">
        <f t="shared" si="283"/>
        <v>15395.490000000002</v>
      </c>
      <c r="O904" s="434">
        <f t="shared" si="283"/>
        <v>15594.39</v>
      </c>
      <c r="P904" s="434">
        <f t="shared" si="283"/>
        <v>15661.840000000002</v>
      </c>
      <c r="Q904" s="434">
        <f>SUM(E904:P904)</f>
        <v>185117.81000000003</v>
      </c>
    </row>
    <row r="905" spans="1:17" s="224" customFormat="1" x14ac:dyDescent="0.2">
      <c r="A905" s="263"/>
      <c r="D905" s="290"/>
      <c r="E905" s="292"/>
      <c r="F905" s="292"/>
      <c r="G905" s="292"/>
      <c r="H905" s="292"/>
      <c r="I905" s="292"/>
      <c r="J905" s="292"/>
      <c r="K905" s="292"/>
      <c r="L905" s="292"/>
      <c r="M905" s="292"/>
      <c r="N905" s="292"/>
      <c r="O905" s="292"/>
      <c r="P905" s="292"/>
      <c r="Q905" s="292"/>
    </row>
    <row r="906" spans="1:17" s="224" customFormat="1" x14ac:dyDescent="0.2">
      <c r="A906" s="263">
        <f>A903+1</f>
        <v>16</v>
      </c>
      <c r="C906" s="224" t="s">
        <v>204</v>
      </c>
      <c r="D906" s="290"/>
      <c r="E906" s="489">
        <f t="shared" ref="E906:P906" si="284">E890+E891+E904</f>
        <v>16487.93</v>
      </c>
      <c r="F906" s="489">
        <f t="shared" si="284"/>
        <v>16537.060000000001</v>
      </c>
      <c r="G906" s="489">
        <f t="shared" si="284"/>
        <v>16357.57</v>
      </c>
      <c r="H906" s="489">
        <f t="shared" si="284"/>
        <v>16103.86</v>
      </c>
      <c r="I906" s="489">
        <f t="shared" si="284"/>
        <v>15869.400000000001</v>
      </c>
      <c r="J906" s="489">
        <f t="shared" si="284"/>
        <v>15737.65</v>
      </c>
      <c r="K906" s="489">
        <f t="shared" si="284"/>
        <v>15712.880000000001</v>
      </c>
      <c r="L906" s="489">
        <f t="shared" si="284"/>
        <v>15658.990000000002</v>
      </c>
      <c r="M906" s="489">
        <f t="shared" si="284"/>
        <v>15661.75</v>
      </c>
      <c r="N906" s="489">
        <f t="shared" si="284"/>
        <v>16007.490000000002</v>
      </c>
      <c r="O906" s="489">
        <f t="shared" si="284"/>
        <v>16257.39</v>
      </c>
      <c r="P906" s="489">
        <f t="shared" si="284"/>
        <v>16324.840000000002</v>
      </c>
      <c r="Q906" s="489">
        <f>SUM(E906:P906)</f>
        <v>192716.81000000003</v>
      </c>
    </row>
    <row r="907" spans="1:17" s="224" customFormat="1" x14ac:dyDescent="0.2">
      <c r="A907" s="263"/>
      <c r="E907" s="489"/>
      <c r="F907" s="489"/>
      <c r="G907" s="489"/>
      <c r="H907" s="489"/>
      <c r="I907" s="489"/>
      <c r="J907" s="489"/>
      <c r="K907" s="489"/>
      <c r="L907" s="489"/>
      <c r="M907" s="489"/>
      <c r="N907" s="489"/>
      <c r="O907" s="489"/>
      <c r="P907" s="489"/>
      <c r="Q907" s="489"/>
    </row>
    <row r="908" spans="1:17" s="224" customFormat="1" x14ac:dyDescent="0.2">
      <c r="A908" s="263">
        <f>A906+1</f>
        <v>17</v>
      </c>
      <c r="C908" s="224" t="s">
        <v>151</v>
      </c>
      <c r="D908" s="794">
        <v>0</v>
      </c>
      <c r="E908" s="517">
        <v>0</v>
      </c>
      <c r="F908" s="517">
        <v>0</v>
      </c>
      <c r="G908" s="517">
        <v>0</v>
      </c>
      <c r="H908" s="517">
        <v>0</v>
      </c>
      <c r="I908" s="517">
        <v>0</v>
      </c>
      <c r="J908" s="517">
        <v>0</v>
      </c>
      <c r="K908" s="517">
        <v>0</v>
      </c>
      <c r="L908" s="517">
        <v>0</v>
      </c>
      <c r="M908" s="517">
        <v>0</v>
      </c>
      <c r="N908" s="517">
        <v>0</v>
      </c>
      <c r="O908" s="517">
        <v>0</v>
      </c>
      <c r="P908" s="517">
        <v>0</v>
      </c>
      <c r="Q908" s="434">
        <f>SUM(E908:P908)</f>
        <v>0</v>
      </c>
    </row>
    <row r="909" spans="1:17" s="224" customFormat="1" x14ac:dyDescent="0.2">
      <c r="A909" s="263"/>
      <c r="D909" s="290"/>
      <c r="F909" s="292"/>
      <c r="G909" s="476"/>
      <c r="H909" s="292"/>
      <c r="I909" s="297"/>
      <c r="J909" s="292"/>
      <c r="K909" s="292"/>
      <c r="L909" s="292"/>
      <c r="M909" s="292"/>
      <c r="N909" s="292"/>
      <c r="O909" s="292"/>
      <c r="P909" s="292"/>
      <c r="Q909" s="476"/>
    </row>
    <row r="910" spans="1:17" s="224" customFormat="1" ht="10.8" thickBot="1" x14ac:dyDescent="0.25">
      <c r="A910" s="724">
        <f>A908+1</f>
        <v>18</v>
      </c>
      <c r="B910" s="496"/>
      <c r="C910" s="725" t="s">
        <v>205</v>
      </c>
      <c r="D910" s="726"/>
      <c r="E910" s="499">
        <f t="shared" ref="E910:P910" si="285">E906+E908</f>
        <v>16487.93</v>
      </c>
      <c r="F910" s="499">
        <f t="shared" si="285"/>
        <v>16537.060000000001</v>
      </c>
      <c r="G910" s="499">
        <f t="shared" si="285"/>
        <v>16357.57</v>
      </c>
      <c r="H910" s="499">
        <f t="shared" si="285"/>
        <v>16103.86</v>
      </c>
      <c r="I910" s="499">
        <f t="shared" si="285"/>
        <v>15869.400000000001</v>
      </c>
      <c r="J910" s="499">
        <f t="shared" si="285"/>
        <v>15737.65</v>
      </c>
      <c r="K910" s="499">
        <f t="shared" si="285"/>
        <v>15712.880000000001</v>
      </c>
      <c r="L910" s="499">
        <f t="shared" si="285"/>
        <v>15658.990000000002</v>
      </c>
      <c r="M910" s="499">
        <f t="shared" si="285"/>
        <v>15661.75</v>
      </c>
      <c r="N910" s="499">
        <f t="shared" si="285"/>
        <v>16007.490000000002</v>
      </c>
      <c r="O910" s="499">
        <f t="shared" si="285"/>
        <v>16257.39</v>
      </c>
      <c r="P910" s="499">
        <f t="shared" si="285"/>
        <v>16324.840000000002</v>
      </c>
      <c r="Q910" s="499">
        <f>SUM(E910:P910)</f>
        <v>192716.81000000003</v>
      </c>
    </row>
    <row r="911" spans="1:17" s="224" customFormat="1" ht="10.8" thickTop="1" x14ac:dyDescent="0.2">
      <c r="A911" s="263"/>
      <c r="D911" s="290"/>
      <c r="F911" s="292"/>
      <c r="G911" s="476"/>
      <c r="H911" s="292"/>
      <c r="I911" s="297"/>
      <c r="J911" s="292"/>
      <c r="K911" s="292"/>
      <c r="L911" s="292"/>
      <c r="M911" s="292"/>
      <c r="N911" s="292"/>
      <c r="O911" s="292"/>
      <c r="P911" s="292"/>
      <c r="Q911" s="476"/>
    </row>
    <row r="912" spans="1:17" s="224" customFormat="1" x14ac:dyDescent="0.2">
      <c r="A912" s="263"/>
      <c r="D912" s="290"/>
      <c r="F912" s="292"/>
      <c r="G912" s="476"/>
      <c r="H912" s="292"/>
      <c r="I912" s="297"/>
      <c r="J912" s="292"/>
      <c r="K912" s="292"/>
      <c r="L912" s="292"/>
      <c r="M912" s="292"/>
      <c r="N912" s="292"/>
      <c r="O912" s="292"/>
      <c r="P912" s="292"/>
    </row>
    <row r="913" spans="1:17" s="224" customFormat="1" x14ac:dyDescent="0.2">
      <c r="A913" s="629" t="str">
        <f>$A$265</f>
        <v>[1] Reflects Normalized Volumes.</v>
      </c>
      <c r="D913" s="290"/>
      <c r="F913" s="292"/>
      <c r="G913" s="476"/>
      <c r="H913" s="292"/>
      <c r="I913" s="297"/>
      <c r="J913" s="292"/>
      <c r="K913" s="292"/>
      <c r="L913" s="292"/>
      <c r="M913" s="292"/>
      <c r="N913" s="292"/>
      <c r="O913" s="292"/>
      <c r="P913" s="292"/>
    </row>
    <row r="914" spans="1:17" s="224" customFormat="1" x14ac:dyDescent="0.2">
      <c r="A914" s="889" t="str">
        <f>CONAME</f>
        <v>Columbia Gas of Kentucky, Inc.</v>
      </c>
      <c r="B914" s="889"/>
      <c r="C914" s="889"/>
      <c r="D914" s="889"/>
      <c r="E914" s="889"/>
      <c r="F914" s="889"/>
      <c r="G914" s="889"/>
      <c r="H914" s="889"/>
      <c r="I914" s="889"/>
      <c r="J914" s="889"/>
      <c r="K914" s="889"/>
      <c r="L914" s="889"/>
      <c r="M914" s="889"/>
      <c r="N914" s="889"/>
      <c r="O914" s="889"/>
      <c r="P914" s="889"/>
      <c r="Q914" s="889"/>
    </row>
    <row r="915" spans="1:17" s="224" customFormat="1" x14ac:dyDescent="0.2">
      <c r="A915" s="872" t="str">
        <f>case</f>
        <v>Case No. 2016-00162</v>
      </c>
      <c r="B915" s="872"/>
      <c r="C915" s="872"/>
      <c r="D915" s="872"/>
      <c r="E915" s="872"/>
      <c r="F915" s="872"/>
      <c r="G915" s="872"/>
      <c r="H915" s="872"/>
      <c r="I915" s="872"/>
      <c r="J915" s="872"/>
      <c r="K915" s="872"/>
      <c r="L915" s="872"/>
      <c r="M915" s="872"/>
      <c r="N915" s="872"/>
      <c r="O915" s="872"/>
      <c r="P915" s="872"/>
      <c r="Q915" s="872"/>
    </row>
    <row r="916" spans="1:17" s="224" customFormat="1" x14ac:dyDescent="0.2">
      <c r="A916" s="892" t="s">
        <v>200</v>
      </c>
      <c r="B916" s="892"/>
      <c r="C916" s="892"/>
      <c r="D916" s="892"/>
      <c r="E916" s="892"/>
      <c r="F916" s="892"/>
      <c r="G916" s="892"/>
      <c r="H916" s="892"/>
      <c r="I916" s="892"/>
      <c r="J916" s="892"/>
      <c r="K916" s="892"/>
      <c r="L916" s="892"/>
      <c r="M916" s="892"/>
      <c r="N916" s="892"/>
      <c r="O916" s="892"/>
      <c r="P916" s="892"/>
      <c r="Q916" s="892"/>
    </row>
    <row r="917" spans="1:17" s="224" customFormat="1" x14ac:dyDescent="0.2">
      <c r="A917" s="889" t="str">
        <f>TYDESC</f>
        <v>For the 12 Months Ended December 31, 2017</v>
      </c>
      <c r="B917" s="889"/>
      <c r="C917" s="889"/>
      <c r="D917" s="889"/>
      <c r="E917" s="889"/>
      <c r="F917" s="889"/>
      <c r="G917" s="889"/>
      <c r="H917" s="889"/>
      <c r="I917" s="889"/>
      <c r="J917" s="889"/>
      <c r="K917" s="889"/>
      <c r="L917" s="889"/>
      <c r="M917" s="889"/>
      <c r="N917" s="889"/>
      <c r="O917" s="889"/>
      <c r="P917" s="889"/>
      <c r="Q917" s="889"/>
    </row>
    <row r="918" spans="1:17" s="224" customFormat="1" x14ac:dyDescent="0.2">
      <c r="A918" s="890" t="s">
        <v>39</v>
      </c>
      <c r="B918" s="890"/>
      <c r="C918" s="890"/>
      <c r="D918" s="890"/>
      <c r="E918" s="890"/>
      <c r="F918" s="890"/>
      <c r="G918" s="890"/>
      <c r="H918" s="890"/>
      <c r="I918" s="890"/>
      <c r="J918" s="890"/>
      <c r="K918" s="890"/>
      <c r="L918" s="890"/>
      <c r="M918" s="890"/>
      <c r="N918" s="890"/>
      <c r="O918" s="890"/>
      <c r="P918" s="890"/>
      <c r="Q918" s="890"/>
    </row>
    <row r="919" spans="1:17" s="224" customFormat="1" x14ac:dyDescent="0.2">
      <c r="A919" s="718" t="str">
        <f>$A$52</f>
        <v>Data: __ Base Period _X_ Forecasted Period</v>
      </c>
      <c r="D919" s="290"/>
      <c r="F919" s="292"/>
      <c r="G919" s="476"/>
      <c r="H919" s="292"/>
      <c r="I919" s="297"/>
      <c r="J919" s="292"/>
      <c r="K919" s="292"/>
      <c r="L919" s="292"/>
      <c r="M919" s="292"/>
      <c r="N919" s="292"/>
      <c r="O919" s="292"/>
      <c r="P919" s="292"/>
    </row>
    <row r="920" spans="1:17" s="224" customFormat="1" x14ac:dyDescent="0.2">
      <c r="A920" s="718" t="str">
        <f>$A$53</f>
        <v>Type of Filing: X Original _ Update _ Revised</v>
      </c>
      <c r="D920" s="290"/>
      <c r="F920" s="292"/>
      <c r="G920" s="476"/>
      <c r="H920" s="292"/>
      <c r="I920" s="297"/>
      <c r="J920" s="292"/>
      <c r="K920" s="292"/>
      <c r="L920" s="292"/>
      <c r="M920" s="292"/>
      <c r="N920" s="292"/>
      <c r="O920" s="292"/>
      <c r="P920" s="292"/>
      <c r="Q920" s="727" t="str">
        <f>$Q$53</f>
        <v>Schedule M-2.3</v>
      </c>
    </row>
    <row r="921" spans="1:17" s="224" customFormat="1" x14ac:dyDescent="0.2">
      <c r="A921" s="718" t="str">
        <f>$A$54</f>
        <v>Work Paper Reference No(s):</v>
      </c>
      <c r="D921" s="290"/>
      <c r="F921" s="292"/>
      <c r="G921" s="476"/>
      <c r="H921" s="292"/>
      <c r="I921" s="297"/>
      <c r="J921" s="292"/>
      <c r="K921" s="292"/>
      <c r="L921" s="292"/>
      <c r="M921" s="292"/>
      <c r="N921" s="292"/>
      <c r="O921" s="292"/>
      <c r="P921" s="292"/>
      <c r="Q921" s="727" t="s">
        <v>519</v>
      </c>
    </row>
    <row r="922" spans="1:17" s="224" customFormat="1" x14ac:dyDescent="0.2">
      <c r="A922" s="719" t="str">
        <f>$A$55</f>
        <v>12 Months Forecasted</v>
      </c>
      <c r="D922" s="290"/>
      <c r="F922" s="292"/>
      <c r="G922" s="476"/>
      <c r="H922" s="292"/>
      <c r="I922" s="297"/>
      <c r="J922" s="292"/>
      <c r="K922" s="292"/>
      <c r="L922" s="292"/>
      <c r="M922" s="292"/>
      <c r="N922" s="292"/>
      <c r="O922" s="292"/>
      <c r="P922" s="292"/>
      <c r="Q922" s="727" t="str">
        <f>Witness</f>
        <v>Witness:  M. J. Bell</v>
      </c>
    </row>
    <row r="923" spans="1:17" s="224" customFormat="1" x14ac:dyDescent="0.2">
      <c r="A923" s="891" t="s">
        <v>294</v>
      </c>
      <c r="B923" s="891"/>
      <c r="C923" s="891"/>
      <c r="D923" s="891"/>
      <c r="E923" s="891"/>
      <c r="F923" s="891"/>
      <c r="G923" s="891"/>
      <c r="H923" s="891"/>
      <c r="I923" s="891"/>
      <c r="J923" s="891"/>
      <c r="K923" s="891"/>
      <c r="L923" s="891"/>
      <c r="M923" s="891"/>
      <c r="N923" s="891"/>
      <c r="O923" s="891"/>
      <c r="P923" s="891"/>
      <c r="Q923" s="891"/>
    </row>
    <row r="924" spans="1:17" s="224" customFormat="1" x14ac:dyDescent="0.2">
      <c r="A924" s="227"/>
      <c r="B924" s="306"/>
      <c r="C924" s="306"/>
      <c r="D924" s="308"/>
      <c r="E924" s="306"/>
      <c r="F924" s="502"/>
      <c r="G924" s="503"/>
      <c r="H924" s="502"/>
      <c r="I924" s="504"/>
      <c r="J924" s="502"/>
      <c r="K924" s="502"/>
      <c r="L924" s="502"/>
      <c r="M924" s="502"/>
      <c r="N924" s="502"/>
      <c r="O924" s="502"/>
      <c r="P924" s="502"/>
      <c r="Q924" s="306"/>
    </row>
    <row r="925" spans="1:17" s="224" customFormat="1" x14ac:dyDescent="0.2">
      <c r="A925" s="416" t="s">
        <v>1</v>
      </c>
      <c r="B925" s="416" t="s">
        <v>0</v>
      </c>
      <c r="C925" s="416" t="s">
        <v>41</v>
      </c>
      <c r="D925" s="423" t="s">
        <v>30</v>
      </c>
      <c r="E925" s="416"/>
      <c r="F925" s="729"/>
      <c r="G925" s="732"/>
      <c r="H925" s="729"/>
      <c r="I925" s="733"/>
      <c r="J925" s="729"/>
      <c r="K925" s="729"/>
      <c r="L925" s="729"/>
      <c r="M925" s="729"/>
      <c r="N925" s="729"/>
      <c r="O925" s="729"/>
      <c r="P925" s="729"/>
      <c r="Q925" s="232"/>
    </row>
    <row r="926" spans="1:17" s="224" customFormat="1" x14ac:dyDescent="0.2">
      <c r="A926" s="285" t="s">
        <v>3</v>
      </c>
      <c r="B926" s="285" t="s">
        <v>40</v>
      </c>
      <c r="C926" s="285" t="s">
        <v>4</v>
      </c>
      <c r="D926" s="427" t="s">
        <v>48</v>
      </c>
      <c r="E926" s="428" t="str">
        <f>B!$D$11</f>
        <v>Jan-17</v>
      </c>
      <c r="F926" s="428" t="str">
        <f>B!$E$11</f>
        <v>Feb-17</v>
      </c>
      <c r="G926" s="428" t="str">
        <f>B!$F$11</f>
        <v>Mar-17</v>
      </c>
      <c r="H926" s="428" t="str">
        <f>B!$G$11</f>
        <v>Apr-17</v>
      </c>
      <c r="I926" s="428" t="str">
        <f>B!$H$11</f>
        <v>May-17</v>
      </c>
      <c r="J926" s="428" t="str">
        <f>B!$I$11</f>
        <v>Jun-17</v>
      </c>
      <c r="K926" s="428" t="str">
        <f>B!$J$11</f>
        <v>Jul-17</v>
      </c>
      <c r="L926" s="428" t="str">
        <f>B!$K$11</f>
        <v>Aug-17</v>
      </c>
      <c r="M926" s="428" t="str">
        <f>B!$L$11</f>
        <v>Sep-17</v>
      </c>
      <c r="N926" s="428" t="str">
        <f>B!$M$11</f>
        <v>Oct-17</v>
      </c>
      <c r="O926" s="428" t="str">
        <f>B!$N$11</f>
        <v>Nov-17</v>
      </c>
      <c r="P926" s="428" t="str">
        <f>B!$O$11</f>
        <v>Dec-17</v>
      </c>
      <c r="Q926" s="428" t="s">
        <v>9</v>
      </c>
    </row>
    <row r="927" spans="1:17" s="224" customFormat="1" x14ac:dyDescent="0.2">
      <c r="A927" s="416"/>
      <c r="B927" s="231" t="s">
        <v>42</v>
      </c>
      <c r="C927" s="231" t="s">
        <v>43</v>
      </c>
      <c r="D927" s="430" t="s">
        <v>45</v>
      </c>
      <c r="E927" s="431" t="s">
        <v>46</v>
      </c>
      <c r="F927" s="431" t="s">
        <v>49</v>
      </c>
      <c r="G927" s="431" t="s">
        <v>50</v>
      </c>
      <c r="H927" s="431" t="s">
        <v>51</v>
      </c>
      <c r="I927" s="431" t="s">
        <v>52</v>
      </c>
      <c r="J927" s="432" t="s">
        <v>53</v>
      </c>
      <c r="K927" s="432" t="s">
        <v>54</v>
      </c>
      <c r="L927" s="432" t="s">
        <v>55</v>
      </c>
      <c r="M927" s="432" t="s">
        <v>56</v>
      </c>
      <c r="N927" s="432" t="s">
        <v>57</v>
      </c>
      <c r="O927" s="432" t="s">
        <v>58</v>
      </c>
      <c r="P927" s="432" t="s">
        <v>59</v>
      </c>
      <c r="Q927" s="432" t="s">
        <v>203</v>
      </c>
    </row>
    <row r="928" spans="1:17" s="224" customFormat="1" x14ac:dyDescent="0.2">
      <c r="A928" s="263"/>
      <c r="D928" s="290"/>
      <c r="E928" s="232"/>
      <c r="F928" s="734"/>
      <c r="G928" s="730"/>
      <c r="H928" s="734"/>
      <c r="I928" s="731"/>
      <c r="J928" s="734"/>
      <c r="K928" s="734"/>
      <c r="L928" s="734"/>
      <c r="M928" s="734"/>
      <c r="N928" s="734"/>
      <c r="O928" s="734"/>
      <c r="P928" s="734"/>
      <c r="Q928" s="232"/>
    </row>
    <row r="929" spans="1:17" s="224" customFormat="1" x14ac:dyDescent="0.2">
      <c r="A929" s="263">
        <v>1</v>
      </c>
      <c r="B929" s="224" t="str">
        <f>B243</f>
        <v>DS</v>
      </c>
      <c r="C929" s="224" t="str">
        <f>C243</f>
        <v>GTS Delivery Service - Commercial</v>
      </c>
      <c r="D929" s="290"/>
      <c r="F929" s="292"/>
      <c r="G929" s="476"/>
      <c r="H929" s="292"/>
      <c r="I929" s="297"/>
      <c r="J929" s="292"/>
      <c r="K929" s="292"/>
      <c r="L929" s="292"/>
      <c r="M929" s="292"/>
      <c r="N929" s="292"/>
      <c r="O929" s="292"/>
      <c r="P929" s="292"/>
    </row>
    <row r="930" spans="1:17" s="224" customFormat="1" x14ac:dyDescent="0.2">
      <c r="A930" s="263"/>
      <c r="D930" s="290"/>
      <c r="F930" s="292"/>
      <c r="G930" s="476"/>
      <c r="H930" s="292"/>
      <c r="I930" s="297"/>
      <c r="J930" s="292"/>
      <c r="K930" s="292"/>
      <c r="L930" s="292"/>
      <c r="M930" s="292"/>
      <c r="N930" s="292"/>
      <c r="O930" s="292"/>
      <c r="P930" s="292"/>
    </row>
    <row r="931" spans="1:17" s="224" customFormat="1" x14ac:dyDescent="0.2">
      <c r="A931" s="263">
        <f>A929+1</f>
        <v>2</v>
      </c>
      <c r="C931" s="266" t="s">
        <v>111</v>
      </c>
      <c r="D931" s="290"/>
      <c r="F931" s="292"/>
      <c r="G931" s="476"/>
      <c r="H931" s="292"/>
      <c r="I931" s="297"/>
      <c r="J931" s="292"/>
      <c r="K931" s="292"/>
      <c r="L931" s="292"/>
      <c r="M931" s="292"/>
      <c r="N931" s="292"/>
      <c r="O931" s="292"/>
      <c r="P931" s="292"/>
    </row>
    <row r="932" spans="1:17" s="224" customFormat="1" x14ac:dyDescent="0.2">
      <c r="A932" s="263"/>
      <c r="C932" s="266"/>
      <c r="D932" s="290"/>
      <c r="F932" s="292"/>
      <c r="G932" s="476"/>
      <c r="H932" s="292"/>
      <c r="I932" s="297"/>
      <c r="J932" s="292"/>
      <c r="K932" s="292"/>
      <c r="L932" s="292"/>
      <c r="M932" s="292"/>
      <c r="N932" s="292"/>
      <c r="O932" s="292"/>
      <c r="P932" s="292"/>
    </row>
    <row r="933" spans="1:17" s="224" customFormat="1" x14ac:dyDescent="0.2">
      <c r="A933" s="263">
        <f>A931+1</f>
        <v>3</v>
      </c>
      <c r="C933" s="224" t="s">
        <v>202</v>
      </c>
      <c r="D933" s="290"/>
      <c r="E933" s="479">
        <f>B!D182</f>
        <v>41</v>
      </c>
      <c r="F933" s="479">
        <f>B!E182</f>
        <v>32</v>
      </c>
      <c r="G933" s="479">
        <f>B!F182</f>
        <v>32</v>
      </c>
      <c r="H933" s="479">
        <f>B!G182</f>
        <v>32</v>
      </c>
      <c r="I933" s="479">
        <f>B!H182</f>
        <v>32</v>
      </c>
      <c r="J933" s="479">
        <f>B!I182</f>
        <v>32</v>
      </c>
      <c r="K933" s="479">
        <f>B!J182</f>
        <v>34</v>
      </c>
      <c r="L933" s="479">
        <f>B!K182</f>
        <v>33</v>
      </c>
      <c r="M933" s="479">
        <f>B!L182</f>
        <v>33</v>
      </c>
      <c r="N933" s="479">
        <f>B!M182</f>
        <v>33</v>
      </c>
      <c r="O933" s="479">
        <f>B!N182</f>
        <v>34</v>
      </c>
      <c r="P933" s="479">
        <f>B!O182</f>
        <v>60</v>
      </c>
      <c r="Q933" s="479">
        <f>SUM(E933:P933)</f>
        <v>428</v>
      </c>
    </row>
    <row r="934" spans="1:17" s="224" customFormat="1" x14ac:dyDescent="0.2">
      <c r="A934" s="263">
        <f>A933+1</f>
        <v>4</v>
      </c>
      <c r="C934" s="224" t="s">
        <v>210</v>
      </c>
      <c r="D934" s="792">
        <f>Input!U44</f>
        <v>1461.9999999999998</v>
      </c>
      <c r="E934" s="434">
        <f t="shared" ref="E934:P934" si="286">ROUND(E933*$D$934,2)</f>
        <v>59942</v>
      </c>
      <c r="F934" s="434">
        <f t="shared" si="286"/>
        <v>46784</v>
      </c>
      <c r="G934" s="434">
        <f t="shared" si="286"/>
        <v>46784</v>
      </c>
      <c r="H934" s="434">
        <f t="shared" si="286"/>
        <v>46784</v>
      </c>
      <c r="I934" s="434">
        <f t="shared" si="286"/>
        <v>46784</v>
      </c>
      <c r="J934" s="434">
        <f t="shared" si="286"/>
        <v>46784</v>
      </c>
      <c r="K934" s="434">
        <f t="shared" si="286"/>
        <v>49708</v>
      </c>
      <c r="L934" s="434">
        <f t="shared" si="286"/>
        <v>48246</v>
      </c>
      <c r="M934" s="434">
        <f t="shared" si="286"/>
        <v>48246</v>
      </c>
      <c r="N934" s="434">
        <f t="shared" si="286"/>
        <v>48246</v>
      </c>
      <c r="O934" s="434">
        <f t="shared" si="286"/>
        <v>49708</v>
      </c>
      <c r="P934" s="434">
        <f t="shared" si="286"/>
        <v>87720</v>
      </c>
      <c r="Q934" s="434">
        <f>SUM(E934:P934)</f>
        <v>625736</v>
      </c>
    </row>
    <row r="935" spans="1:17" s="224" customFormat="1" x14ac:dyDescent="0.2">
      <c r="A935" s="263">
        <f>A934+1</f>
        <v>5</v>
      </c>
      <c r="C935" s="224" t="s">
        <v>217</v>
      </c>
      <c r="D935" s="792">
        <f>Input!V44</f>
        <v>0</v>
      </c>
      <c r="E935" s="434">
        <f t="shared" ref="E935:P935" si="287">ROUND(E933*$D$935,2)</f>
        <v>0</v>
      </c>
      <c r="F935" s="434">
        <f t="shared" si="287"/>
        <v>0</v>
      </c>
      <c r="G935" s="434">
        <f t="shared" si="287"/>
        <v>0</v>
      </c>
      <c r="H935" s="434">
        <f t="shared" si="287"/>
        <v>0</v>
      </c>
      <c r="I935" s="434">
        <f t="shared" si="287"/>
        <v>0</v>
      </c>
      <c r="J935" s="434">
        <f t="shared" si="287"/>
        <v>0</v>
      </c>
      <c r="K935" s="434">
        <f t="shared" si="287"/>
        <v>0</v>
      </c>
      <c r="L935" s="434">
        <f t="shared" si="287"/>
        <v>0</v>
      </c>
      <c r="M935" s="434">
        <f t="shared" si="287"/>
        <v>0</v>
      </c>
      <c r="N935" s="434">
        <f t="shared" si="287"/>
        <v>0</v>
      </c>
      <c r="O935" s="434">
        <f t="shared" si="287"/>
        <v>0</v>
      </c>
      <c r="P935" s="434">
        <f t="shared" si="287"/>
        <v>0</v>
      </c>
      <c r="Q935" s="434">
        <f>SUM(E935:P935)</f>
        <v>0</v>
      </c>
    </row>
    <row r="936" spans="1:17" s="224" customFormat="1" x14ac:dyDescent="0.2">
      <c r="A936" s="263">
        <f>A935+1</f>
        <v>6</v>
      </c>
      <c r="C936" s="224" t="s">
        <v>211</v>
      </c>
      <c r="D936" s="792">
        <f>Input!W44</f>
        <v>0</v>
      </c>
      <c r="E936" s="434">
        <f t="shared" ref="E936:P936" si="288">ROUND(E933*$D$936,2)</f>
        <v>0</v>
      </c>
      <c r="F936" s="434">
        <f t="shared" si="288"/>
        <v>0</v>
      </c>
      <c r="G936" s="434">
        <f t="shared" si="288"/>
        <v>0</v>
      </c>
      <c r="H936" s="434">
        <f t="shared" si="288"/>
        <v>0</v>
      </c>
      <c r="I936" s="434">
        <f t="shared" si="288"/>
        <v>0</v>
      </c>
      <c r="J936" s="434">
        <f t="shared" si="288"/>
        <v>0</v>
      </c>
      <c r="K936" s="434">
        <f t="shared" si="288"/>
        <v>0</v>
      </c>
      <c r="L936" s="434">
        <f t="shared" si="288"/>
        <v>0</v>
      </c>
      <c r="M936" s="434">
        <f t="shared" si="288"/>
        <v>0</v>
      </c>
      <c r="N936" s="434">
        <f t="shared" si="288"/>
        <v>0</v>
      </c>
      <c r="O936" s="434">
        <f t="shared" si="288"/>
        <v>0</v>
      </c>
      <c r="P936" s="434">
        <f t="shared" si="288"/>
        <v>0</v>
      </c>
      <c r="Q936" s="434">
        <f>SUM(E936:P936)</f>
        <v>0</v>
      </c>
    </row>
    <row r="937" spans="1:17" s="224" customFormat="1" x14ac:dyDescent="0.2">
      <c r="A937" s="263"/>
      <c r="D937" s="290"/>
      <c r="F937" s="292"/>
      <c r="G937" s="476"/>
      <c r="H937" s="292"/>
      <c r="I937" s="297"/>
      <c r="J937" s="292"/>
      <c r="K937" s="292"/>
      <c r="L937" s="292"/>
      <c r="M937" s="292"/>
      <c r="N937" s="292"/>
      <c r="O937" s="292"/>
      <c r="P937" s="292"/>
    </row>
    <row r="938" spans="1:17" s="224" customFormat="1" x14ac:dyDescent="0.2">
      <c r="A938" s="263">
        <f>A936+1</f>
        <v>7</v>
      </c>
      <c r="C938" s="224" t="s">
        <v>209</v>
      </c>
      <c r="D938" s="290"/>
      <c r="E938" s="521"/>
      <c r="F938" s="292"/>
      <c r="G938" s="476"/>
      <c r="H938" s="292"/>
      <c r="I938" s="297"/>
      <c r="J938" s="292"/>
      <c r="K938" s="292"/>
      <c r="L938" s="292"/>
      <c r="M938" s="292"/>
      <c r="N938" s="292"/>
      <c r="O938" s="292"/>
      <c r="P938" s="292"/>
    </row>
    <row r="939" spans="1:17" s="224" customFormat="1" x14ac:dyDescent="0.2">
      <c r="A939" s="263">
        <f>A938+1</f>
        <v>8</v>
      </c>
      <c r="C939" s="224" t="str">
        <f>'C'!B243</f>
        <v xml:space="preserve">    First 30,000 Mcf</v>
      </c>
      <c r="D939" s="290"/>
      <c r="E939" s="483">
        <f>'C'!D251</f>
        <v>188859</v>
      </c>
      <c r="F939" s="483">
        <f>'C'!E251</f>
        <v>169110.1</v>
      </c>
      <c r="G939" s="483">
        <f>'C'!F251</f>
        <v>147265.60000000001</v>
      </c>
      <c r="H939" s="483">
        <f>'C'!G251</f>
        <v>103565.2</v>
      </c>
      <c r="I939" s="483">
        <f>'C'!H251</f>
        <v>83423.100000000006</v>
      </c>
      <c r="J939" s="483">
        <f>'C'!I251</f>
        <v>69626.2</v>
      </c>
      <c r="K939" s="483">
        <f>'C'!J251</f>
        <v>68394.7</v>
      </c>
      <c r="L939" s="483">
        <f>'C'!K251</f>
        <v>69858.100000000006</v>
      </c>
      <c r="M939" s="483">
        <f>'C'!L251</f>
        <v>76451.3</v>
      </c>
      <c r="N939" s="483">
        <f>'C'!M251</f>
        <v>101603.3</v>
      </c>
      <c r="O939" s="483">
        <f>'C'!N251</f>
        <v>139898.5</v>
      </c>
      <c r="P939" s="483">
        <f>'C'!O251</f>
        <v>162514.9</v>
      </c>
      <c r="Q939" s="483">
        <f>SUM(E939:P939)</f>
        <v>1380569.9999999998</v>
      </c>
    </row>
    <row r="940" spans="1:17" s="224" customFormat="1" x14ac:dyDescent="0.2">
      <c r="A940" s="263">
        <f>A939+1</f>
        <v>9</v>
      </c>
      <c r="C940" s="224" t="str">
        <f>'C'!B244</f>
        <v xml:space="preserve">    Over 30,000 Mcf</v>
      </c>
      <c r="D940" s="519"/>
      <c r="E940" s="522">
        <f>'C'!D252</f>
        <v>0</v>
      </c>
      <c r="F940" s="522">
        <f>'C'!E252</f>
        <v>0</v>
      </c>
      <c r="G940" s="522">
        <f>'C'!F252</f>
        <v>0</v>
      </c>
      <c r="H940" s="522">
        <f>'C'!G252</f>
        <v>0</v>
      </c>
      <c r="I940" s="522">
        <f>'C'!H252</f>
        <v>0</v>
      </c>
      <c r="J940" s="522">
        <f>'C'!I252</f>
        <v>0</v>
      </c>
      <c r="K940" s="522">
        <f>'C'!J252</f>
        <v>0</v>
      </c>
      <c r="L940" s="522">
        <f>'C'!K252</f>
        <v>0</v>
      </c>
      <c r="M940" s="522">
        <f>'C'!L252</f>
        <v>0</v>
      </c>
      <c r="N940" s="522">
        <f>'C'!M252</f>
        <v>0</v>
      </c>
      <c r="O940" s="522">
        <f>'C'!N252</f>
        <v>0</v>
      </c>
      <c r="P940" s="522">
        <f>'C'!O252</f>
        <v>0</v>
      </c>
      <c r="Q940" s="522">
        <f>SUM(E940:P940)</f>
        <v>0</v>
      </c>
    </row>
    <row r="941" spans="1:17" s="224" customFormat="1" x14ac:dyDescent="0.2">
      <c r="A941" s="263"/>
      <c r="D941" s="519"/>
      <c r="E941" s="483">
        <f t="shared" ref="E941:P941" si="289">SUM(E937:E940)</f>
        <v>188859</v>
      </c>
      <c r="F941" s="483">
        <f t="shared" si="289"/>
        <v>169110.1</v>
      </c>
      <c r="G941" s="483">
        <f t="shared" si="289"/>
        <v>147265.60000000001</v>
      </c>
      <c r="H941" s="483">
        <f t="shared" si="289"/>
        <v>103565.2</v>
      </c>
      <c r="I941" s="483">
        <f t="shared" si="289"/>
        <v>83423.100000000006</v>
      </c>
      <c r="J941" s="483">
        <f t="shared" si="289"/>
        <v>69626.2</v>
      </c>
      <c r="K941" s="483">
        <f t="shared" si="289"/>
        <v>68394.7</v>
      </c>
      <c r="L941" s="483">
        <f t="shared" si="289"/>
        <v>69858.100000000006</v>
      </c>
      <c r="M941" s="483">
        <f t="shared" si="289"/>
        <v>76451.3</v>
      </c>
      <c r="N941" s="483">
        <f t="shared" si="289"/>
        <v>101603.3</v>
      </c>
      <c r="O941" s="483">
        <f t="shared" si="289"/>
        <v>139898.5</v>
      </c>
      <c r="P941" s="483">
        <f t="shared" si="289"/>
        <v>162514.9</v>
      </c>
      <c r="Q941" s="483">
        <f>SUM(E941:P941)</f>
        <v>1380569.9999999998</v>
      </c>
    </row>
    <row r="942" spans="1:17" s="224" customFormat="1" x14ac:dyDescent="0.2">
      <c r="A942" s="263">
        <f>A940+1</f>
        <v>10</v>
      </c>
      <c r="C942" s="224" t="s">
        <v>207</v>
      </c>
      <c r="D942" s="519"/>
      <c r="F942" s="502"/>
      <c r="G942" s="476"/>
      <c r="H942" s="502"/>
      <c r="I942" s="504"/>
      <c r="J942" s="537"/>
      <c r="K942" s="502"/>
      <c r="L942" s="502"/>
      <c r="M942" s="502"/>
      <c r="N942" s="502"/>
      <c r="O942" s="502"/>
      <c r="P942" s="502"/>
      <c r="Q942" s="476"/>
    </row>
    <row r="943" spans="1:17" s="224" customFormat="1" x14ac:dyDescent="0.2">
      <c r="A943" s="263">
        <f>A942+1</f>
        <v>11</v>
      </c>
      <c r="C943" s="224" t="str">
        <f>C939</f>
        <v xml:space="preserve">    First 30,000 Mcf</v>
      </c>
      <c r="D943" s="793">
        <f>Input!P44</f>
        <v>0.9002</v>
      </c>
      <c r="E943" s="434">
        <f t="shared" ref="E943:P943" si="290">ROUND(E939*$D$943,2)</f>
        <v>170010.87</v>
      </c>
      <c r="F943" s="434">
        <f t="shared" si="290"/>
        <v>152232.91</v>
      </c>
      <c r="G943" s="434">
        <f t="shared" si="290"/>
        <v>132568.49</v>
      </c>
      <c r="H943" s="434">
        <f t="shared" si="290"/>
        <v>93229.39</v>
      </c>
      <c r="I943" s="434">
        <f t="shared" si="290"/>
        <v>75097.47</v>
      </c>
      <c r="J943" s="434">
        <f t="shared" si="290"/>
        <v>62677.51</v>
      </c>
      <c r="K943" s="434">
        <f t="shared" si="290"/>
        <v>61568.91</v>
      </c>
      <c r="L943" s="434">
        <f t="shared" si="290"/>
        <v>62886.26</v>
      </c>
      <c r="M943" s="434">
        <f t="shared" si="290"/>
        <v>68821.460000000006</v>
      </c>
      <c r="N943" s="434">
        <f t="shared" si="290"/>
        <v>91463.29</v>
      </c>
      <c r="O943" s="434">
        <f t="shared" si="290"/>
        <v>125936.63</v>
      </c>
      <c r="P943" s="434">
        <f t="shared" si="290"/>
        <v>146295.91</v>
      </c>
      <c r="Q943" s="434">
        <f>SUM(E943:P943)</f>
        <v>1242789.0999999999</v>
      </c>
    </row>
    <row r="944" spans="1:17" s="224" customFormat="1" x14ac:dyDescent="0.2">
      <c r="A944" s="263">
        <f>A943+1</f>
        <v>12</v>
      </c>
      <c r="C944" s="224" t="str">
        <f>C940</f>
        <v xml:space="preserve">    Over 30,000 Mcf</v>
      </c>
      <c r="D944" s="793">
        <f>Input!Q44</f>
        <v>0.47809999999999997</v>
      </c>
      <c r="E944" s="277">
        <f t="shared" ref="E944:P944" si="291">ROUND(E940*$D$944,2)</f>
        <v>0</v>
      </c>
      <c r="F944" s="277">
        <f t="shared" si="291"/>
        <v>0</v>
      </c>
      <c r="G944" s="277">
        <f t="shared" si="291"/>
        <v>0</v>
      </c>
      <c r="H944" s="277">
        <f t="shared" si="291"/>
        <v>0</v>
      </c>
      <c r="I944" s="277">
        <f t="shared" si="291"/>
        <v>0</v>
      </c>
      <c r="J944" s="277">
        <f t="shared" si="291"/>
        <v>0</v>
      </c>
      <c r="K944" s="277">
        <f t="shared" si="291"/>
        <v>0</v>
      </c>
      <c r="L944" s="277">
        <f t="shared" si="291"/>
        <v>0</v>
      </c>
      <c r="M944" s="277">
        <f t="shared" si="291"/>
        <v>0</v>
      </c>
      <c r="N944" s="277">
        <f t="shared" si="291"/>
        <v>0</v>
      </c>
      <c r="O944" s="277">
        <f t="shared" si="291"/>
        <v>0</v>
      </c>
      <c r="P944" s="277">
        <f t="shared" si="291"/>
        <v>0</v>
      </c>
      <c r="Q944" s="277">
        <f>SUM(E944:P944)</f>
        <v>0</v>
      </c>
    </row>
    <row r="945" spans="1:17" s="224" customFormat="1" x14ac:dyDescent="0.2">
      <c r="A945" s="263"/>
      <c r="D945" s="519"/>
      <c r="E945" s="434">
        <f t="shared" ref="E945:P945" si="292">SUM(E943:E944)</f>
        <v>170010.87</v>
      </c>
      <c r="F945" s="434">
        <f t="shared" si="292"/>
        <v>152232.91</v>
      </c>
      <c r="G945" s="434">
        <f t="shared" si="292"/>
        <v>132568.49</v>
      </c>
      <c r="H945" s="434">
        <f t="shared" si="292"/>
        <v>93229.39</v>
      </c>
      <c r="I945" s="434">
        <f t="shared" si="292"/>
        <v>75097.47</v>
      </c>
      <c r="J945" s="434">
        <f t="shared" si="292"/>
        <v>62677.51</v>
      </c>
      <c r="K945" s="434">
        <f t="shared" si="292"/>
        <v>61568.91</v>
      </c>
      <c r="L945" s="434">
        <f t="shared" si="292"/>
        <v>62886.26</v>
      </c>
      <c r="M945" s="434">
        <f t="shared" si="292"/>
        <v>68821.460000000006</v>
      </c>
      <c r="N945" s="434">
        <f t="shared" si="292"/>
        <v>91463.29</v>
      </c>
      <c r="O945" s="434">
        <f t="shared" si="292"/>
        <v>125936.63</v>
      </c>
      <c r="P945" s="434">
        <f t="shared" si="292"/>
        <v>146295.91</v>
      </c>
      <c r="Q945" s="434">
        <f>SUM(E945:P945)</f>
        <v>1242789.0999999999</v>
      </c>
    </row>
    <row r="946" spans="1:17" s="224" customFormat="1" x14ac:dyDescent="0.2">
      <c r="A946" s="263"/>
      <c r="D946" s="519"/>
      <c r="F946" s="502"/>
      <c r="G946" s="476"/>
      <c r="H946" s="502"/>
      <c r="I946" s="504"/>
      <c r="J946" s="537"/>
      <c r="K946" s="502"/>
      <c r="L946" s="502"/>
      <c r="M946" s="502"/>
      <c r="N946" s="502"/>
      <c r="O946" s="502"/>
      <c r="P946" s="502"/>
      <c r="Q946" s="476"/>
    </row>
    <row r="947" spans="1:17" s="224" customFormat="1" x14ac:dyDescent="0.2">
      <c r="A947" s="263">
        <f>A944+1</f>
        <v>13</v>
      </c>
      <c r="C947" s="224" t="s">
        <v>204</v>
      </c>
      <c r="D947" s="519"/>
      <c r="E947" s="434">
        <f t="shared" ref="E947:P947" si="293">E934+E935+E936+E945</f>
        <v>229952.87</v>
      </c>
      <c r="F947" s="434">
        <f t="shared" si="293"/>
        <v>199016.91</v>
      </c>
      <c r="G947" s="434">
        <f t="shared" si="293"/>
        <v>179352.49</v>
      </c>
      <c r="H947" s="434">
        <f t="shared" si="293"/>
        <v>140013.39000000001</v>
      </c>
      <c r="I947" s="434">
        <f t="shared" si="293"/>
        <v>121881.47</v>
      </c>
      <c r="J947" s="434">
        <f t="shared" si="293"/>
        <v>109461.51000000001</v>
      </c>
      <c r="K947" s="434">
        <f t="shared" si="293"/>
        <v>111276.91</v>
      </c>
      <c r="L947" s="434">
        <f t="shared" si="293"/>
        <v>111132.26000000001</v>
      </c>
      <c r="M947" s="434">
        <f t="shared" si="293"/>
        <v>117067.46</v>
      </c>
      <c r="N947" s="434">
        <f t="shared" si="293"/>
        <v>139709.28999999998</v>
      </c>
      <c r="O947" s="434">
        <f t="shared" si="293"/>
        <v>175644.63</v>
      </c>
      <c r="P947" s="434">
        <f t="shared" si="293"/>
        <v>234015.91</v>
      </c>
      <c r="Q947" s="434">
        <f>SUM(E947:P947)</f>
        <v>1868525.0999999999</v>
      </c>
    </row>
    <row r="948" spans="1:17" s="224" customFormat="1" x14ac:dyDescent="0.2">
      <c r="A948" s="263"/>
      <c r="D948" s="519"/>
      <c r="E948" s="744"/>
      <c r="F948" s="744"/>
      <c r="G948" s="744"/>
      <c r="H948" s="744"/>
      <c r="I948" s="744"/>
      <c r="J948" s="744"/>
      <c r="K948" s="744"/>
      <c r="L948" s="744"/>
      <c r="M948" s="744"/>
      <c r="N948" s="744"/>
      <c r="O948" s="744"/>
      <c r="P948" s="744"/>
      <c r="Q948" s="745"/>
    </row>
    <row r="949" spans="1:17" s="224" customFormat="1" x14ac:dyDescent="0.2">
      <c r="A949" s="263">
        <f>A947+1</f>
        <v>14</v>
      </c>
      <c r="C949" s="224" t="s">
        <v>151</v>
      </c>
      <c r="D949" s="794">
        <v>0</v>
      </c>
      <c r="E949" s="517">
        <v>0</v>
      </c>
      <c r="F949" s="517">
        <v>0</v>
      </c>
      <c r="G949" s="517">
        <v>0</v>
      </c>
      <c r="H949" s="517">
        <v>0</v>
      </c>
      <c r="I949" s="517">
        <v>0</v>
      </c>
      <c r="J949" s="517">
        <v>0</v>
      </c>
      <c r="K949" s="517">
        <v>0</v>
      </c>
      <c r="L949" s="517">
        <v>0</v>
      </c>
      <c r="M949" s="517">
        <v>0</v>
      </c>
      <c r="N949" s="517">
        <v>0</v>
      </c>
      <c r="O949" s="517">
        <v>0</v>
      </c>
      <c r="P949" s="517">
        <v>0</v>
      </c>
      <c r="Q949" s="434">
        <f>SUM(E949:P949)</f>
        <v>0</v>
      </c>
    </row>
    <row r="950" spans="1:17" s="224" customFormat="1" x14ac:dyDescent="0.2">
      <c r="A950" s="263"/>
      <c r="D950" s="519"/>
      <c r="F950" s="542"/>
      <c r="G950" s="543"/>
      <c r="H950" s="542"/>
      <c r="I950" s="522"/>
      <c r="J950" s="544"/>
      <c r="K950" s="542"/>
      <c r="L950" s="542"/>
      <c r="M950" s="542"/>
      <c r="N950" s="542"/>
      <c r="O950" s="542"/>
      <c r="P950" s="542"/>
      <c r="Q950" s="476"/>
    </row>
    <row r="951" spans="1:17" s="224" customFormat="1" ht="10.8" thickBot="1" x14ac:dyDescent="0.25">
      <c r="A951" s="724">
        <f>A949+1</f>
        <v>15</v>
      </c>
      <c r="B951" s="496"/>
      <c r="C951" s="725" t="s">
        <v>205</v>
      </c>
      <c r="D951" s="726"/>
      <c r="E951" s="499">
        <f t="shared" ref="E951:P951" si="294">E947+E949</f>
        <v>229952.87</v>
      </c>
      <c r="F951" s="499">
        <f t="shared" si="294"/>
        <v>199016.91</v>
      </c>
      <c r="G951" s="499">
        <f t="shared" si="294"/>
        <v>179352.49</v>
      </c>
      <c r="H951" s="499">
        <f t="shared" si="294"/>
        <v>140013.39000000001</v>
      </c>
      <c r="I951" s="499">
        <f t="shared" si="294"/>
        <v>121881.47</v>
      </c>
      <c r="J951" s="499">
        <f t="shared" si="294"/>
        <v>109461.51000000001</v>
      </c>
      <c r="K951" s="499">
        <f t="shared" si="294"/>
        <v>111276.91</v>
      </c>
      <c r="L951" s="499">
        <f t="shared" si="294"/>
        <v>111132.26000000001</v>
      </c>
      <c r="M951" s="499">
        <f t="shared" si="294"/>
        <v>117067.46</v>
      </c>
      <c r="N951" s="499">
        <f t="shared" si="294"/>
        <v>139709.28999999998</v>
      </c>
      <c r="O951" s="499">
        <f t="shared" si="294"/>
        <v>175644.63</v>
      </c>
      <c r="P951" s="499">
        <f t="shared" si="294"/>
        <v>234015.91</v>
      </c>
      <c r="Q951" s="499">
        <f>SUM(E951:P951)</f>
        <v>1868525.0999999999</v>
      </c>
    </row>
    <row r="952" spans="1:17" s="224" customFormat="1" ht="10.8" thickTop="1" x14ac:dyDescent="0.2">
      <c r="A952" s="263"/>
      <c r="D952" s="290"/>
      <c r="F952" s="292"/>
      <c r="G952" s="476"/>
      <c r="H952" s="292"/>
      <c r="I952" s="297"/>
      <c r="J952" s="292"/>
      <c r="K952" s="292"/>
      <c r="L952" s="292"/>
      <c r="M952" s="292"/>
      <c r="N952" s="292"/>
      <c r="O952" s="292"/>
      <c r="P952" s="292"/>
    </row>
    <row r="953" spans="1:17" s="224" customFormat="1" x14ac:dyDescent="0.2">
      <c r="A953" s="263"/>
      <c r="D953" s="290"/>
      <c r="F953" s="292"/>
      <c r="G953" s="476"/>
      <c r="H953" s="292"/>
      <c r="I953" s="297"/>
      <c r="J953" s="292"/>
      <c r="K953" s="292"/>
      <c r="L953" s="292"/>
      <c r="M953" s="292"/>
      <c r="N953" s="292"/>
      <c r="O953" s="292"/>
      <c r="P953" s="292"/>
      <c r="Q953" s="476"/>
    </row>
    <row r="954" spans="1:17" s="224" customFormat="1" x14ac:dyDescent="0.2">
      <c r="A954" s="263">
        <f>A951+1</f>
        <v>16</v>
      </c>
      <c r="B954" s="224" t="str">
        <f>B250</f>
        <v>DS</v>
      </c>
      <c r="C954" s="224" t="str">
        <f>C250</f>
        <v>GTS Delivery Service - Industrial</v>
      </c>
      <c r="D954" s="290"/>
      <c r="F954" s="292"/>
      <c r="G954" s="476"/>
      <c r="H954" s="292"/>
      <c r="I954" s="297"/>
      <c r="J954" s="292"/>
      <c r="K954" s="292"/>
      <c r="L954" s="292"/>
      <c r="M954" s="292"/>
      <c r="N954" s="292"/>
      <c r="O954" s="292"/>
      <c r="P954" s="292"/>
    </row>
    <row r="955" spans="1:17" s="224" customFormat="1" x14ac:dyDescent="0.2">
      <c r="A955" s="263"/>
      <c r="D955" s="290"/>
      <c r="F955" s="292"/>
      <c r="G955" s="476"/>
      <c r="H955" s="292"/>
      <c r="I955" s="297"/>
      <c r="J955" s="292"/>
      <c r="K955" s="292"/>
      <c r="L955" s="292"/>
      <c r="M955" s="292"/>
      <c r="N955" s="292"/>
      <c r="O955" s="292"/>
      <c r="P955" s="292"/>
    </row>
    <row r="956" spans="1:17" s="224" customFormat="1" x14ac:dyDescent="0.2">
      <c r="A956" s="263">
        <f>A954+1</f>
        <v>17</v>
      </c>
      <c r="C956" s="266" t="s">
        <v>112</v>
      </c>
      <c r="D956" s="290"/>
      <c r="F956" s="292"/>
      <c r="G956" s="476"/>
      <c r="H956" s="292"/>
      <c r="I956" s="297"/>
      <c r="J956" s="292"/>
      <c r="K956" s="292"/>
      <c r="L956" s="292"/>
      <c r="M956" s="292"/>
      <c r="N956" s="292"/>
      <c r="O956" s="292"/>
      <c r="P956" s="292"/>
    </row>
    <row r="957" spans="1:17" s="224" customFormat="1" x14ac:dyDescent="0.2">
      <c r="A957" s="263"/>
      <c r="C957" s="266"/>
      <c r="D957" s="290"/>
      <c r="F957" s="292"/>
      <c r="G957" s="476"/>
      <c r="H957" s="292"/>
      <c r="I957" s="297"/>
      <c r="J957" s="292"/>
      <c r="K957" s="292"/>
      <c r="L957" s="292"/>
      <c r="M957" s="292"/>
      <c r="N957" s="292"/>
      <c r="O957" s="292"/>
      <c r="P957" s="292"/>
    </row>
    <row r="958" spans="1:17" s="224" customFormat="1" x14ac:dyDescent="0.2">
      <c r="A958" s="263">
        <f>A956+1</f>
        <v>18</v>
      </c>
      <c r="C958" s="224" t="s">
        <v>202</v>
      </c>
      <c r="D958" s="290"/>
      <c r="E958" s="479">
        <f>B!D188</f>
        <v>39</v>
      </c>
      <c r="F958" s="479">
        <f>B!E188</f>
        <v>39</v>
      </c>
      <c r="G958" s="479">
        <f>B!F188</f>
        <v>39</v>
      </c>
      <c r="H958" s="479">
        <f>B!G188</f>
        <v>39</v>
      </c>
      <c r="I958" s="479">
        <f>B!H188</f>
        <v>39</v>
      </c>
      <c r="J958" s="479">
        <f>B!I188</f>
        <v>39</v>
      </c>
      <c r="K958" s="479">
        <f>B!J188</f>
        <v>39</v>
      </c>
      <c r="L958" s="479">
        <f>B!K188</f>
        <v>39</v>
      </c>
      <c r="M958" s="479">
        <f>B!L188</f>
        <v>39</v>
      </c>
      <c r="N958" s="479">
        <f>B!M188</f>
        <v>39</v>
      </c>
      <c r="O958" s="479">
        <f>B!N188</f>
        <v>39</v>
      </c>
      <c r="P958" s="479">
        <f>B!O188</f>
        <v>39</v>
      </c>
      <c r="Q958" s="479">
        <f>SUM(E958:P958)</f>
        <v>468</v>
      </c>
    </row>
    <row r="959" spans="1:17" s="224" customFormat="1" x14ac:dyDescent="0.2">
      <c r="A959" s="263">
        <f>A958+1</f>
        <v>19</v>
      </c>
      <c r="C959" s="224" t="s">
        <v>210</v>
      </c>
      <c r="D959" s="792">
        <f>Input!U45</f>
        <v>1461.9999999999998</v>
      </c>
      <c r="E959" s="434">
        <f t="shared" ref="E959:P959" si="295">ROUND(E958*$D$959,2)</f>
        <v>57018</v>
      </c>
      <c r="F959" s="434">
        <f t="shared" si="295"/>
        <v>57018</v>
      </c>
      <c r="G959" s="434">
        <f t="shared" si="295"/>
        <v>57018</v>
      </c>
      <c r="H959" s="434">
        <f t="shared" si="295"/>
        <v>57018</v>
      </c>
      <c r="I959" s="434">
        <f t="shared" si="295"/>
        <v>57018</v>
      </c>
      <c r="J959" s="434">
        <f t="shared" si="295"/>
        <v>57018</v>
      </c>
      <c r="K959" s="434">
        <f t="shared" si="295"/>
        <v>57018</v>
      </c>
      <c r="L959" s="434">
        <f t="shared" si="295"/>
        <v>57018</v>
      </c>
      <c r="M959" s="434">
        <f t="shared" si="295"/>
        <v>57018</v>
      </c>
      <c r="N959" s="434">
        <f t="shared" si="295"/>
        <v>57018</v>
      </c>
      <c r="O959" s="434">
        <f t="shared" si="295"/>
        <v>57018</v>
      </c>
      <c r="P959" s="434">
        <f t="shared" si="295"/>
        <v>57018</v>
      </c>
      <c r="Q959" s="434">
        <f>SUM(E959:P959)</f>
        <v>684216</v>
      </c>
    </row>
    <row r="960" spans="1:17" s="224" customFormat="1" x14ac:dyDescent="0.2">
      <c r="A960" s="263">
        <f>A959+1</f>
        <v>20</v>
      </c>
      <c r="C960" s="224" t="s">
        <v>217</v>
      </c>
      <c r="D960" s="792">
        <f>Input!V45</f>
        <v>0</v>
      </c>
      <c r="E960" s="434">
        <f t="shared" ref="E960:P960" si="296">ROUND(E958*$D$960,2)</f>
        <v>0</v>
      </c>
      <c r="F960" s="434">
        <f t="shared" si="296"/>
        <v>0</v>
      </c>
      <c r="G960" s="434">
        <f t="shared" si="296"/>
        <v>0</v>
      </c>
      <c r="H960" s="434">
        <f t="shared" si="296"/>
        <v>0</v>
      </c>
      <c r="I960" s="434">
        <f t="shared" si="296"/>
        <v>0</v>
      </c>
      <c r="J960" s="434">
        <f t="shared" si="296"/>
        <v>0</v>
      </c>
      <c r="K960" s="434">
        <f t="shared" si="296"/>
        <v>0</v>
      </c>
      <c r="L960" s="434">
        <f t="shared" si="296"/>
        <v>0</v>
      </c>
      <c r="M960" s="434">
        <f t="shared" si="296"/>
        <v>0</v>
      </c>
      <c r="N960" s="434">
        <f t="shared" si="296"/>
        <v>0</v>
      </c>
      <c r="O960" s="434">
        <f t="shared" si="296"/>
        <v>0</v>
      </c>
      <c r="P960" s="434">
        <f t="shared" si="296"/>
        <v>0</v>
      </c>
      <c r="Q960" s="434">
        <f>SUM(E960:P960)</f>
        <v>0</v>
      </c>
    </row>
    <row r="961" spans="1:17" s="224" customFormat="1" x14ac:dyDescent="0.2">
      <c r="A961" s="263">
        <f>A960+1</f>
        <v>21</v>
      </c>
      <c r="C961" s="224" t="s">
        <v>211</v>
      </c>
      <c r="D961" s="792">
        <f>Input!W45</f>
        <v>0</v>
      </c>
      <c r="E961" s="434">
        <f t="shared" ref="E961:P961" si="297">ROUND(E958*$D$961,2)</f>
        <v>0</v>
      </c>
      <c r="F961" s="434">
        <f t="shared" si="297"/>
        <v>0</v>
      </c>
      <c r="G961" s="434">
        <f t="shared" si="297"/>
        <v>0</v>
      </c>
      <c r="H961" s="434">
        <f t="shared" si="297"/>
        <v>0</v>
      </c>
      <c r="I961" s="434">
        <f t="shared" si="297"/>
        <v>0</v>
      </c>
      <c r="J961" s="434">
        <f t="shared" si="297"/>
        <v>0</v>
      </c>
      <c r="K961" s="434">
        <f t="shared" si="297"/>
        <v>0</v>
      </c>
      <c r="L961" s="434">
        <f t="shared" si="297"/>
        <v>0</v>
      </c>
      <c r="M961" s="434">
        <f t="shared" si="297"/>
        <v>0</v>
      </c>
      <c r="N961" s="434">
        <f t="shared" si="297"/>
        <v>0</v>
      </c>
      <c r="O961" s="434">
        <f t="shared" si="297"/>
        <v>0</v>
      </c>
      <c r="P961" s="434">
        <f t="shared" si="297"/>
        <v>0</v>
      </c>
      <c r="Q961" s="434">
        <f>SUM(E961:P961)</f>
        <v>0</v>
      </c>
    </row>
    <row r="962" spans="1:17" s="224" customFormat="1" x14ac:dyDescent="0.2">
      <c r="A962" s="263"/>
      <c r="D962" s="290"/>
      <c r="F962" s="292"/>
      <c r="G962" s="476"/>
      <c r="H962" s="292"/>
      <c r="I962" s="297"/>
      <c r="J962" s="292"/>
      <c r="K962" s="292"/>
      <c r="L962" s="292"/>
      <c r="M962" s="292"/>
      <c r="N962" s="292"/>
      <c r="O962" s="292"/>
      <c r="P962" s="292"/>
    </row>
    <row r="963" spans="1:17" s="224" customFormat="1" x14ac:dyDescent="0.2">
      <c r="A963" s="263">
        <f>A961+1</f>
        <v>22</v>
      </c>
      <c r="C963" s="224" t="s">
        <v>209</v>
      </c>
      <c r="D963" s="290"/>
      <c r="E963" s="521"/>
      <c r="F963" s="292"/>
      <c r="G963" s="476"/>
      <c r="H963" s="292"/>
      <c r="I963" s="297"/>
      <c r="J963" s="292"/>
      <c r="K963" s="292"/>
      <c r="L963" s="292"/>
      <c r="M963" s="292"/>
      <c r="N963" s="292"/>
      <c r="O963" s="292"/>
      <c r="P963" s="292"/>
    </row>
    <row r="964" spans="1:17" s="224" customFormat="1" x14ac:dyDescent="0.2">
      <c r="A964" s="263">
        <f>A963+1</f>
        <v>23</v>
      </c>
      <c r="C964" s="224" t="str">
        <f>'C'!B257</f>
        <v xml:space="preserve">    First 30,000 Mcf</v>
      </c>
      <c r="D964" s="290"/>
      <c r="E964" s="483">
        <f>'C'!D265</f>
        <v>362633.5</v>
      </c>
      <c r="F964" s="483">
        <f>'C'!E265</f>
        <v>336268.5</v>
      </c>
      <c r="G964" s="483">
        <f>'C'!F265</f>
        <v>309008.7</v>
      </c>
      <c r="H964" s="483">
        <f>'C'!G265</f>
        <v>289709.59999999998</v>
      </c>
      <c r="I964" s="483">
        <f>'C'!H265</f>
        <v>275128.8</v>
      </c>
      <c r="J964" s="483">
        <f>'C'!I265</f>
        <v>268134.09999999998</v>
      </c>
      <c r="K964" s="483">
        <f>'C'!J265</f>
        <v>242645.5</v>
      </c>
      <c r="L964" s="483">
        <f>'C'!K265</f>
        <v>267869.2</v>
      </c>
      <c r="M964" s="483">
        <f>'C'!L265</f>
        <v>280511.7</v>
      </c>
      <c r="N964" s="483">
        <f>'C'!M265</f>
        <v>309636.40000000002</v>
      </c>
      <c r="O964" s="483">
        <f>'C'!N265</f>
        <v>327494</v>
      </c>
      <c r="P964" s="483">
        <f>'C'!O265</f>
        <v>334941.40000000002</v>
      </c>
      <c r="Q964" s="483">
        <f>SUM(E964:P964)</f>
        <v>3603981.4</v>
      </c>
    </row>
    <row r="965" spans="1:17" s="224" customFormat="1" x14ac:dyDescent="0.2">
      <c r="A965" s="263">
        <f>A964+1</f>
        <v>24</v>
      </c>
      <c r="C965" s="224" t="str">
        <f>'C'!B258</f>
        <v xml:space="preserve">    Over 30,000 Mcf</v>
      </c>
      <c r="D965" s="519"/>
      <c r="E965" s="522">
        <f>'C'!D266</f>
        <v>312276</v>
      </c>
      <c r="F965" s="522">
        <f>'C'!E266</f>
        <v>266310</v>
      </c>
      <c r="G965" s="522">
        <f>'C'!F266</f>
        <v>216432</v>
      </c>
      <c r="H965" s="522">
        <f>'C'!G266</f>
        <v>137874</v>
      </c>
      <c r="I965" s="522">
        <f>'C'!H266</f>
        <v>93864</v>
      </c>
      <c r="J965" s="522">
        <f>'C'!I266</f>
        <v>71370</v>
      </c>
      <c r="K965" s="522">
        <f>'C'!J266</f>
        <v>52470</v>
      </c>
      <c r="L965" s="522">
        <f>'C'!K266</f>
        <v>74304</v>
      </c>
      <c r="M965" s="522">
        <f>'C'!L266</f>
        <v>81150</v>
      </c>
      <c r="N965" s="522">
        <f>'C'!M266</f>
        <v>144720</v>
      </c>
      <c r="O965" s="522">
        <f>'C'!N266</f>
        <v>223938</v>
      </c>
      <c r="P965" s="522">
        <f>'C'!O266</f>
        <v>238608</v>
      </c>
      <c r="Q965" s="522">
        <f>SUM(E965:P965)</f>
        <v>1913316</v>
      </c>
    </row>
    <row r="966" spans="1:17" s="224" customFormat="1" x14ac:dyDescent="0.2">
      <c r="A966" s="263"/>
      <c r="D966" s="519"/>
      <c r="E966" s="483">
        <f t="shared" ref="E966:P966" si="298">SUM(E962:E965)</f>
        <v>674909.5</v>
      </c>
      <c r="F966" s="483">
        <f t="shared" si="298"/>
        <v>602578.5</v>
      </c>
      <c r="G966" s="483">
        <f t="shared" si="298"/>
        <v>525440.69999999995</v>
      </c>
      <c r="H966" s="483">
        <f t="shared" si="298"/>
        <v>427583.6</v>
      </c>
      <c r="I966" s="483">
        <f t="shared" si="298"/>
        <v>368992.8</v>
      </c>
      <c r="J966" s="483">
        <f t="shared" si="298"/>
        <v>339504.1</v>
      </c>
      <c r="K966" s="483">
        <f t="shared" si="298"/>
        <v>295115.5</v>
      </c>
      <c r="L966" s="483">
        <f t="shared" si="298"/>
        <v>342173.2</v>
      </c>
      <c r="M966" s="483">
        <f t="shared" si="298"/>
        <v>361661.7</v>
      </c>
      <c r="N966" s="483">
        <f t="shared" si="298"/>
        <v>454356.4</v>
      </c>
      <c r="O966" s="483">
        <f t="shared" si="298"/>
        <v>551432</v>
      </c>
      <c r="P966" s="483">
        <f t="shared" si="298"/>
        <v>573549.4</v>
      </c>
      <c r="Q966" s="483">
        <f>SUM(E966:P966)</f>
        <v>5517297.4000000004</v>
      </c>
    </row>
    <row r="967" spans="1:17" s="224" customFormat="1" x14ac:dyDescent="0.2">
      <c r="A967" s="263">
        <f>A965+1</f>
        <v>25</v>
      </c>
      <c r="C967" s="224" t="s">
        <v>207</v>
      </c>
      <c r="D967" s="519"/>
      <c r="F967" s="502"/>
      <c r="G967" s="476"/>
      <c r="H967" s="502"/>
      <c r="I967" s="504"/>
      <c r="J967" s="537"/>
      <c r="K967" s="502"/>
      <c r="L967" s="502"/>
      <c r="M967" s="502"/>
      <c r="N967" s="502"/>
      <c r="O967" s="502"/>
      <c r="P967" s="502"/>
      <c r="Q967" s="476"/>
    </row>
    <row r="968" spans="1:17" s="224" customFormat="1" x14ac:dyDescent="0.2">
      <c r="A968" s="263">
        <f>A967+1</f>
        <v>26</v>
      </c>
      <c r="C968" s="224" t="str">
        <f>C964</f>
        <v xml:space="preserve">    First 30,000 Mcf</v>
      </c>
      <c r="D968" s="793">
        <f>Input!P45</f>
        <v>0.9002</v>
      </c>
      <c r="E968" s="434">
        <f t="shared" ref="E968:P968" si="299">ROUND(E964*$D$968,2)</f>
        <v>326442.68</v>
      </c>
      <c r="F968" s="434">
        <f t="shared" si="299"/>
        <v>302708.90000000002</v>
      </c>
      <c r="G968" s="434">
        <f t="shared" si="299"/>
        <v>278169.63</v>
      </c>
      <c r="H968" s="434">
        <f t="shared" si="299"/>
        <v>260796.58</v>
      </c>
      <c r="I968" s="434">
        <f t="shared" si="299"/>
        <v>247670.95</v>
      </c>
      <c r="J968" s="434">
        <f t="shared" si="299"/>
        <v>241374.32</v>
      </c>
      <c r="K968" s="434">
        <f t="shared" si="299"/>
        <v>218429.48</v>
      </c>
      <c r="L968" s="434">
        <f t="shared" si="299"/>
        <v>241135.85</v>
      </c>
      <c r="M968" s="434">
        <f t="shared" si="299"/>
        <v>252516.63</v>
      </c>
      <c r="N968" s="434">
        <f t="shared" si="299"/>
        <v>278734.69</v>
      </c>
      <c r="O968" s="434">
        <f t="shared" si="299"/>
        <v>294810.09999999998</v>
      </c>
      <c r="P968" s="434">
        <f t="shared" si="299"/>
        <v>301514.25</v>
      </c>
      <c r="Q968" s="434">
        <f>SUM(E968:P968)</f>
        <v>3244304.06</v>
      </c>
    </row>
    <row r="969" spans="1:17" s="224" customFormat="1" x14ac:dyDescent="0.2">
      <c r="A969" s="263">
        <f>A968+1</f>
        <v>27</v>
      </c>
      <c r="C969" s="224" t="str">
        <f>C965</f>
        <v xml:space="preserve">    Over 30,000 Mcf</v>
      </c>
      <c r="D969" s="793">
        <f>Input!Q45</f>
        <v>0.47809999999999997</v>
      </c>
      <c r="E969" s="277">
        <f t="shared" ref="E969:P969" si="300">ROUND(E965*$D$969,2)</f>
        <v>149299.16</v>
      </c>
      <c r="F969" s="277">
        <f t="shared" si="300"/>
        <v>127322.81</v>
      </c>
      <c r="G969" s="277">
        <f t="shared" si="300"/>
        <v>103476.14</v>
      </c>
      <c r="H969" s="277">
        <f t="shared" si="300"/>
        <v>65917.56</v>
      </c>
      <c r="I969" s="277">
        <f t="shared" si="300"/>
        <v>44876.38</v>
      </c>
      <c r="J969" s="277">
        <f t="shared" si="300"/>
        <v>34122</v>
      </c>
      <c r="K969" s="277">
        <f t="shared" si="300"/>
        <v>25085.91</v>
      </c>
      <c r="L969" s="277">
        <f t="shared" si="300"/>
        <v>35524.74</v>
      </c>
      <c r="M969" s="277">
        <f t="shared" si="300"/>
        <v>38797.82</v>
      </c>
      <c r="N969" s="277">
        <f t="shared" si="300"/>
        <v>69190.63</v>
      </c>
      <c r="O969" s="277">
        <f t="shared" si="300"/>
        <v>107064.76</v>
      </c>
      <c r="P969" s="277">
        <f t="shared" si="300"/>
        <v>114078.48</v>
      </c>
      <c r="Q969" s="277">
        <f>SUM(E969:P969)</f>
        <v>914756.39</v>
      </c>
    </row>
    <row r="970" spans="1:17" s="224" customFormat="1" x14ac:dyDescent="0.2">
      <c r="A970" s="263"/>
      <c r="D970" s="519"/>
      <c r="E970" s="434">
        <f t="shared" ref="E970:P970" si="301">SUM(E968:E969)</f>
        <v>475741.83999999997</v>
      </c>
      <c r="F970" s="434">
        <f t="shared" si="301"/>
        <v>430031.71</v>
      </c>
      <c r="G970" s="434">
        <f t="shared" si="301"/>
        <v>381645.77</v>
      </c>
      <c r="H970" s="434">
        <f t="shared" si="301"/>
        <v>326714.14</v>
      </c>
      <c r="I970" s="434">
        <f t="shared" si="301"/>
        <v>292547.33</v>
      </c>
      <c r="J970" s="434">
        <f t="shared" si="301"/>
        <v>275496.32000000001</v>
      </c>
      <c r="K970" s="434">
        <f t="shared" si="301"/>
        <v>243515.39</v>
      </c>
      <c r="L970" s="434">
        <f t="shared" si="301"/>
        <v>276660.59000000003</v>
      </c>
      <c r="M970" s="434">
        <f t="shared" si="301"/>
        <v>291314.45</v>
      </c>
      <c r="N970" s="434">
        <f t="shared" si="301"/>
        <v>347925.32</v>
      </c>
      <c r="O970" s="434">
        <f t="shared" si="301"/>
        <v>401874.86</v>
      </c>
      <c r="P970" s="434">
        <f t="shared" si="301"/>
        <v>415592.73</v>
      </c>
      <c r="Q970" s="434">
        <f>SUM(E970:P970)</f>
        <v>4159060.4499999997</v>
      </c>
    </row>
    <row r="971" spans="1:17" s="224" customFormat="1" x14ac:dyDescent="0.2">
      <c r="A971" s="263"/>
      <c r="D971" s="519"/>
      <c r="F971" s="502"/>
      <c r="G971" s="476"/>
      <c r="H971" s="502"/>
      <c r="I971" s="504"/>
      <c r="J971" s="537"/>
      <c r="K971" s="502"/>
      <c r="L971" s="502"/>
      <c r="M971" s="502"/>
      <c r="N971" s="502"/>
      <c r="O971" s="502"/>
      <c r="P971" s="502"/>
      <c r="Q971" s="476"/>
    </row>
    <row r="972" spans="1:17" s="224" customFormat="1" x14ac:dyDescent="0.2">
      <c r="A972" s="263">
        <f>A969+1</f>
        <v>28</v>
      </c>
      <c r="C972" s="224" t="s">
        <v>204</v>
      </c>
      <c r="D972" s="519"/>
      <c r="E972" s="434">
        <f t="shared" ref="E972:P972" si="302">E959+E960+E961+E970</f>
        <v>532759.84</v>
      </c>
      <c r="F972" s="434">
        <f t="shared" si="302"/>
        <v>487049.71</v>
      </c>
      <c r="G972" s="434">
        <f t="shared" si="302"/>
        <v>438663.77</v>
      </c>
      <c r="H972" s="434">
        <f t="shared" si="302"/>
        <v>383732.14</v>
      </c>
      <c r="I972" s="434">
        <f t="shared" si="302"/>
        <v>349565.33</v>
      </c>
      <c r="J972" s="434">
        <f t="shared" si="302"/>
        <v>332514.32</v>
      </c>
      <c r="K972" s="434">
        <f t="shared" si="302"/>
        <v>300533.39</v>
      </c>
      <c r="L972" s="434">
        <f t="shared" si="302"/>
        <v>333678.59000000003</v>
      </c>
      <c r="M972" s="434">
        <f t="shared" si="302"/>
        <v>348332.45</v>
      </c>
      <c r="N972" s="434">
        <f t="shared" si="302"/>
        <v>404943.32</v>
      </c>
      <c r="O972" s="434">
        <f t="shared" si="302"/>
        <v>458892.86</v>
      </c>
      <c r="P972" s="434">
        <f t="shared" si="302"/>
        <v>472610.73</v>
      </c>
      <c r="Q972" s="434">
        <f>SUM(E972:P972)</f>
        <v>4843276.4499999993</v>
      </c>
    </row>
    <row r="973" spans="1:17" s="224" customFormat="1" x14ac:dyDescent="0.2">
      <c r="A973" s="263"/>
      <c r="D973" s="519"/>
      <c r="F973" s="502"/>
      <c r="G973" s="476"/>
      <c r="H973" s="502"/>
      <c r="I973" s="504"/>
      <c r="J973" s="537"/>
      <c r="K973" s="502"/>
      <c r="L973" s="502"/>
      <c r="M973" s="502"/>
      <c r="N973" s="502"/>
      <c r="O973" s="502"/>
      <c r="P973" s="502"/>
      <c r="Q973" s="476"/>
    </row>
    <row r="974" spans="1:17" s="224" customFormat="1" x14ac:dyDescent="0.2">
      <c r="A974" s="263">
        <f>A972+1</f>
        <v>29</v>
      </c>
      <c r="C974" s="224" t="s">
        <v>151</v>
      </c>
      <c r="D974" s="794">
        <v>0</v>
      </c>
      <c r="E974" s="517">
        <v>0</v>
      </c>
      <c r="F974" s="517">
        <v>0</v>
      </c>
      <c r="G974" s="517">
        <v>0</v>
      </c>
      <c r="H974" s="517">
        <v>0</v>
      </c>
      <c r="I974" s="517">
        <v>0</v>
      </c>
      <c r="J974" s="517">
        <v>0</v>
      </c>
      <c r="K974" s="517">
        <v>0</v>
      </c>
      <c r="L974" s="517">
        <v>0</v>
      </c>
      <c r="M974" s="517">
        <v>0</v>
      </c>
      <c r="N974" s="517">
        <v>0</v>
      </c>
      <c r="O974" s="517">
        <v>0</v>
      </c>
      <c r="P974" s="517">
        <v>0</v>
      </c>
      <c r="Q974" s="434">
        <f>SUM(E974:P974)</f>
        <v>0</v>
      </c>
    </row>
    <row r="975" spans="1:17" s="224" customFormat="1" x14ac:dyDescent="0.2">
      <c r="A975" s="263"/>
      <c r="D975" s="519"/>
      <c r="F975" s="542"/>
      <c r="G975" s="543"/>
      <c r="H975" s="542"/>
      <c r="I975" s="522"/>
      <c r="J975" s="544"/>
      <c r="K975" s="542"/>
      <c r="L975" s="542"/>
      <c r="M975" s="542"/>
      <c r="N975" s="542"/>
      <c r="O975" s="542"/>
      <c r="P975" s="542"/>
      <c r="Q975" s="476"/>
    </row>
    <row r="976" spans="1:17" s="224" customFormat="1" ht="10.8" thickBot="1" x14ac:dyDescent="0.25">
      <c r="A976" s="724">
        <f>A974+1</f>
        <v>30</v>
      </c>
      <c r="B976" s="496"/>
      <c r="C976" s="725" t="s">
        <v>205</v>
      </c>
      <c r="D976" s="726"/>
      <c r="E976" s="499">
        <f t="shared" ref="E976:P976" si="303">E972+E974</f>
        <v>532759.84</v>
      </c>
      <c r="F976" s="499">
        <f t="shared" si="303"/>
        <v>487049.71</v>
      </c>
      <c r="G976" s="499">
        <f t="shared" si="303"/>
        <v>438663.77</v>
      </c>
      <c r="H976" s="499">
        <f t="shared" si="303"/>
        <v>383732.14</v>
      </c>
      <c r="I976" s="499">
        <f t="shared" si="303"/>
        <v>349565.33</v>
      </c>
      <c r="J976" s="499">
        <f t="shared" si="303"/>
        <v>332514.32</v>
      </c>
      <c r="K976" s="499">
        <f t="shared" si="303"/>
        <v>300533.39</v>
      </c>
      <c r="L976" s="499">
        <f t="shared" si="303"/>
        <v>333678.59000000003</v>
      </c>
      <c r="M976" s="499">
        <f t="shared" si="303"/>
        <v>348332.45</v>
      </c>
      <c r="N976" s="499">
        <f t="shared" si="303"/>
        <v>404943.32</v>
      </c>
      <c r="O976" s="499">
        <f t="shared" si="303"/>
        <v>458892.86</v>
      </c>
      <c r="P976" s="499">
        <f t="shared" si="303"/>
        <v>472610.73</v>
      </c>
      <c r="Q976" s="499">
        <f>SUM(E976:P976)</f>
        <v>4843276.4499999993</v>
      </c>
    </row>
    <row r="977" spans="1:17" s="224" customFormat="1" ht="10.8" thickTop="1" x14ac:dyDescent="0.2">
      <c r="A977" s="263"/>
      <c r="D977" s="290"/>
      <c r="F977" s="292"/>
      <c r="G977" s="476"/>
      <c r="H977" s="292"/>
      <c r="I977" s="297"/>
      <c r="J977" s="292"/>
      <c r="K977" s="292"/>
      <c r="L977" s="292"/>
      <c r="M977" s="292"/>
      <c r="N977" s="292"/>
      <c r="O977" s="292"/>
      <c r="P977" s="292"/>
      <c r="Q977" s="543"/>
    </row>
    <row r="978" spans="1:17" s="224" customFormat="1" x14ac:dyDescent="0.2">
      <c r="A978" s="263"/>
      <c r="D978" s="290"/>
      <c r="F978" s="292"/>
      <c r="G978" s="476"/>
      <c r="H978" s="292"/>
      <c r="I978" s="297"/>
      <c r="J978" s="292"/>
      <c r="K978" s="292"/>
      <c r="L978" s="292"/>
      <c r="M978" s="292"/>
      <c r="N978" s="292"/>
      <c r="O978" s="292"/>
      <c r="P978" s="292"/>
      <c r="Q978" s="476"/>
    </row>
    <row r="979" spans="1:17" s="224" customFormat="1" x14ac:dyDescent="0.2">
      <c r="A979" s="629" t="str">
        <f>$A$265</f>
        <v>[1] Reflects Normalized Volumes.</v>
      </c>
      <c r="D979" s="290"/>
      <c r="F979" s="292"/>
      <c r="G979" s="476"/>
      <c r="H979" s="292"/>
      <c r="I979" s="297"/>
      <c r="J979" s="292"/>
      <c r="K979" s="292"/>
      <c r="L979" s="292"/>
      <c r="M979" s="292"/>
      <c r="N979" s="292"/>
      <c r="O979" s="292"/>
      <c r="P979" s="292"/>
    </row>
    <row r="980" spans="1:17" s="224" customFormat="1" x14ac:dyDescent="0.2">
      <c r="A980" s="889" t="str">
        <f>CONAME</f>
        <v>Columbia Gas of Kentucky, Inc.</v>
      </c>
      <c r="B980" s="889"/>
      <c r="C980" s="889"/>
      <c r="D980" s="889"/>
      <c r="E980" s="889"/>
      <c r="F980" s="889"/>
      <c r="G980" s="889"/>
      <c r="H980" s="889"/>
      <c r="I980" s="889"/>
      <c r="J980" s="889"/>
      <c r="K980" s="889"/>
      <c r="L980" s="889"/>
      <c r="M980" s="889"/>
      <c r="N980" s="889"/>
      <c r="O980" s="889"/>
      <c r="P980" s="889"/>
      <c r="Q980" s="889"/>
    </row>
    <row r="981" spans="1:17" s="224" customFormat="1" x14ac:dyDescent="0.2">
      <c r="A981" s="872" t="str">
        <f>case</f>
        <v>Case No. 2016-00162</v>
      </c>
      <c r="B981" s="872"/>
      <c r="C981" s="872"/>
      <c r="D981" s="872"/>
      <c r="E981" s="872"/>
      <c r="F981" s="872"/>
      <c r="G981" s="872"/>
      <c r="H981" s="872"/>
      <c r="I981" s="872"/>
      <c r="J981" s="872"/>
      <c r="K981" s="872"/>
      <c r="L981" s="872"/>
      <c r="M981" s="872"/>
      <c r="N981" s="872"/>
      <c r="O981" s="872"/>
      <c r="P981" s="872"/>
      <c r="Q981" s="872"/>
    </row>
    <row r="982" spans="1:17" s="224" customFormat="1" x14ac:dyDescent="0.2">
      <c r="A982" s="892" t="s">
        <v>200</v>
      </c>
      <c r="B982" s="892"/>
      <c r="C982" s="892"/>
      <c r="D982" s="892"/>
      <c r="E982" s="892"/>
      <c r="F982" s="892"/>
      <c r="G982" s="892"/>
      <c r="H982" s="892"/>
      <c r="I982" s="892"/>
      <c r="J982" s="892"/>
      <c r="K982" s="892"/>
      <c r="L982" s="892"/>
      <c r="M982" s="892"/>
      <c r="N982" s="892"/>
      <c r="O982" s="892"/>
      <c r="P982" s="892"/>
      <c r="Q982" s="892"/>
    </row>
    <row r="983" spans="1:17" s="224" customFormat="1" x14ac:dyDescent="0.2">
      <c r="A983" s="889" t="str">
        <f>TYDESC</f>
        <v>For the 12 Months Ended December 31, 2017</v>
      </c>
      <c r="B983" s="889"/>
      <c r="C983" s="889"/>
      <c r="D983" s="889"/>
      <c r="E983" s="889"/>
      <c r="F983" s="889"/>
      <c r="G983" s="889"/>
      <c r="H983" s="889"/>
      <c r="I983" s="889"/>
      <c r="J983" s="889"/>
      <c r="K983" s="889"/>
      <c r="L983" s="889"/>
      <c r="M983" s="889"/>
      <c r="N983" s="889"/>
      <c r="O983" s="889"/>
      <c r="P983" s="889"/>
      <c r="Q983" s="889"/>
    </row>
    <row r="984" spans="1:17" s="224" customFormat="1" x14ac:dyDescent="0.2">
      <c r="A984" s="890" t="s">
        <v>39</v>
      </c>
      <c r="B984" s="890"/>
      <c r="C984" s="890"/>
      <c r="D984" s="890"/>
      <c r="E984" s="890"/>
      <c r="F984" s="890"/>
      <c r="G984" s="890"/>
      <c r="H984" s="890"/>
      <c r="I984" s="890"/>
      <c r="J984" s="890"/>
      <c r="K984" s="890"/>
      <c r="L984" s="890"/>
      <c r="M984" s="890"/>
      <c r="N984" s="890"/>
      <c r="O984" s="890"/>
      <c r="P984" s="890"/>
      <c r="Q984" s="890"/>
    </row>
    <row r="985" spans="1:17" s="224" customFormat="1" x14ac:dyDescent="0.2">
      <c r="A985" s="718" t="str">
        <f>$A$52</f>
        <v>Data: __ Base Period _X_ Forecasted Period</v>
      </c>
      <c r="D985" s="290"/>
      <c r="F985" s="292"/>
      <c r="G985" s="476"/>
      <c r="H985" s="292"/>
      <c r="I985" s="297"/>
      <c r="J985" s="292"/>
      <c r="K985" s="292"/>
      <c r="L985" s="292"/>
      <c r="M985" s="292"/>
      <c r="N985" s="292"/>
      <c r="O985" s="292"/>
      <c r="P985" s="292"/>
    </row>
    <row r="986" spans="1:17" s="224" customFormat="1" x14ac:dyDescent="0.2">
      <c r="A986" s="718" t="str">
        <f>$A$53</f>
        <v>Type of Filing: X Original _ Update _ Revised</v>
      </c>
      <c r="D986" s="290"/>
      <c r="F986" s="292"/>
      <c r="G986" s="476"/>
      <c r="H986" s="292"/>
      <c r="I986" s="297"/>
      <c r="J986" s="292"/>
      <c r="K986" s="292"/>
      <c r="L986" s="292"/>
      <c r="M986" s="292"/>
      <c r="N986" s="292"/>
      <c r="O986" s="292"/>
      <c r="P986" s="292"/>
      <c r="Q986" s="727" t="str">
        <f>$Q$53</f>
        <v>Schedule M-2.3</v>
      </c>
    </row>
    <row r="987" spans="1:17" s="224" customFormat="1" x14ac:dyDescent="0.2">
      <c r="A987" s="718" t="str">
        <f>$A$54</f>
        <v>Work Paper Reference No(s):</v>
      </c>
      <c r="D987" s="290"/>
      <c r="F987" s="292"/>
      <c r="G987" s="476"/>
      <c r="H987" s="292"/>
      <c r="I987" s="297"/>
      <c r="J987" s="292"/>
      <c r="K987" s="292"/>
      <c r="L987" s="292"/>
      <c r="M987" s="292"/>
      <c r="N987" s="292"/>
      <c r="O987" s="292"/>
      <c r="P987" s="292"/>
      <c r="Q987" s="727" t="s">
        <v>515</v>
      </c>
    </row>
    <row r="988" spans="1:17" s="224" customFormat="1" x14ac:dyDescent="0.2">
      <c r="A988" s="719" t="str">
        <f>$A$55</f>
        <v>12 Months Forecasted</v>
      </c>
      <c r="D988" s="290"/>
      <c r="F988" s="292"/>
      <c r="G988" s="476"/>
      <c r="H988" s="292"/>
      <c r="I988" s="297"/>
      <c r="J988" s="292"/>
      <c r="K988" s="292"/>
      <c r="L988" s="292"/>
      <c r="M988" s="292"/>
      <c r="N988" s="292"/>
      <c r="O988" s="292"/>
      <c r="P988" s="292"/>
      <c r="Q988" s="727" t="str">
        <f>Witness</f>
        <v>Witness:  M. J. Bell</v>
      </c>
    </row>
    <row r="989" spans="1:17" s="224" customFormat="1" x14ac:dyDescent="0.2">
      <c r="A989" s="891" t="s">
        <v>294</v>
      </c>
      <c r="B989" s="891"/>
      <c r="C989" s="891"/>
      <c r="D989" s="891"/>
      <c r="E989" s="891"/>
      <c r="F989" s="891"/>
      <c r="G989" s="891"/>
      <c r="H989" s="891"/>
      <c r="I989" s="891"/>
      <c r="J989" s="891"/>
      <c r="K989" s="891"/>
      <c r="L989" s="891"/>
      <c r="M989" s="891"/>
      <c r="N989" s="891"/>
      <c r="O989" s="891"/>
      <c r="P989" s="891"/>
      <c r="Q989" s="891"/>
    </row>
    <row r="990" spans="1:17" s="224" customFormat="1" x14ac:dyDescent="0.2">
      <c r="A990" s="227"/>
      <c r="B990" s="306"/>
      <c r="C990" s="306"/>
      <c r="D990" s="308"/>
      <c r="E990" s="306"/>
      <c r="F990" s="502"/>
      <c r="G990" s="503"/>
      <c r="H990" s="502"/>
      <c r="I990" s="504"/>
      <c r="J990" s="502"/>
      <c r="K990" s="502"/>
      <c r="L990" s="502"/>
      <c r="M990" s="502"/>
      <c r="N990" s="502"/>
      <c r="O990" s="502"/>
      <c r="P990" s="502"/>
      <c r="Q990" s="306"/>
    </row>
    <row r="991" spans="1:17" s="224" customFormat="1" x14ac:dyDescent="0.2">
      <c r="A991" s="416" t="s">
        <v>1</v>
      </c>
      <c r="B991" s="416" t="s">
        <v>0</v>
      </c>
      <c r="C991" s="416" t="s">
        <v>41</v>
      </c>
      <c r="D991" s="423" t="s">
        <v>30</v>
      </c>
      <c r="E991" s="416"/>
      <c r="F991" s="729"/>
      <c r="G991" s="732"/>
      <c r="H991" s="729"/>
      <c r="I991" s="733"/>
      <c r="J991" s="729"/>
      <c r="K991" s="729"/>
      <c r="L991" s="729"/>
      <c r="M991" s="729"/>
      <c r="N991" s="729"/>
      <c r="O991" s="729"/>
      <c r="P991" s="729"/>
      <c r="Q991" s="232"/>
    </row>
    <row r="992" spans="1:17" s="224" customFormat="1" x14ac:dyDescent="0.2">
      <c r="A992" s="285" t="s">
        <v>3</v>
      </c>
      <c r="B992" s="285" t="s">
        <v>40</v>
      </c>
      <c r="C992" s="285" t="s">
        <v>4</v>
      </c>
      <c r="D992" s="427" t="s">
        <v>48</v>
      </c>
      <c r="E992" s="428" t="str">
        <f>B!$D$11</f>
        <v>Jan-17</v>
      </c>
      <c r="F992" s="428" t="str">
        <f>B!$E$11</f>
        <v>Feb-17</v>
      </c>
      <c r="G992" s="428" t="str">
        <f>B!$F$11</f>
        <v>Mar-17</v>
      </c>
      <c r="H992" s="428" t="str">
        <f>B!$G$11</f>
        <v>Apr-17</v>
      </c>
      <c r="I992" s="428" t="str">
        <f>B!$H$11</f>
        <v>May-17</v>
      </c>
      <c r="J992" s="428" t="str">
        <f>B!$I$11</f>
        <v>Jun-17</v>
      </c>
      <c r="K992" s="428" t="str">
        <f>B!$J$11</f>
        <v>Jul-17</v>
      </c>
      <c r="L992" s="428" t="str">
        <f>B!$K$11</f>
        <v>Aug-17</v>
      </c>
      <c r="M992" s="428" t="str">
        <f>B!$L$11</f>
        <v>Sep-17</v>
      </c>
      <c r="N992" s="428" t="str">
        <f>B!$M$11</f>
        <v>Oct-17</v>
      </c>
      <c r="O992" s="428" t="str">
        <f>B!$N$11</f>
        <v>Nov-17</v>
      </c>
      <c r="P992" s="428" t="str">
        <f>B!$O$11</f>
        <v>Dec-17</v>
      </c>
      <c r="Q992" s="428" t="s">
        <v>9</v>
      </c>
    </row>
    <row r="993" spans="1:17" s="224" customFormat="1" x14ac:dyDescent="0.2">
      <c r="A993" s="416"/>
      <c r="B993" s="231" t="s">
        <v>42</v>
      </c>
      <c r="C993" s="231" t="s">
        <v>43</v>
      </c>
      <c r="D993" s="430" t="s">
        <v>45</v>
      </c>
      <c r="E993" s="431" t="s">
        <v>46</v>
      </c>
      <c r="F993" s="431" t="s">
        <v>49</v>
      </c>
      <c r="G993" s="431" t="s">
        <v>50</v>
      </c>
      <c r="H993" s="431" t="s">
        <v>51</v>
      </c>
      <c r="I993" s="431" t="s">
        <v>52</v>
      </c>
      <c r="J993" s="432" t="s">
        <v>53</v>
      </c>
      <c r="K993" s="432" t="s">
        <v>54</v>
      </c>
      <c r="L993" s="432" t="s">
        <v>55</v>
      </c>
      <c r="M993" s="432" t="s">
        <v>56</v>
      </c>
      <c r="N993" s="432" t="s">
        <v>57</v>
      </c>
      <c r="O993" s="432" t="s">
        <v>58</v>
      </c>
      <c r="P993" s="432" t="s">
        <v>59</v>
      </c>
      <c r="Q993" s="432" t="s">
        <v>203</v>
      </c>
    </row>
    <row r="994" spans="1:17" s="224" customFormat="1" x14ac:dyDescent="0.2">
      <c r="A994" s="263"/>
      <c r="D994" s="290"/>
      <c r="E994" s="232"/>
      <c r="F994" s="734"/>
      <c r="G994" s="730"/>
      <c r="H994" s="734"/>
      <c r="I994" s="731"/>
      <c r="J994" s="734"/>
      <c r="K994" s="734"/>
      <c r="L994" s="734"/>
      <c r="M994" s="734"/>
      <c r="N994" s="734"/>
      <c r="O994" s="734"/>
      <c r="P994" s="734"/>
      <c r="Q994" s="232"/>
    </row>
    <row r="995" spans="1:17" s="224" customFormat="1" x14ac:dyDescent="0.2">
      <c r="A995" s="263">
        <v>1</v>
      </c>
      <c r="B995" s="224" t="str">
        <f>B257</f>
        <v>GDS</v>
      </c>
      <c r="C995" s="224" t="str">
        <f>C257</f>
        <v>GTS Grandfathered Delivery Service - Commercial</v>
      </c>
      <c r="D995" s="290"/>
      <c r="F995" s="292"/>
      <c r="G995" s="476"/>
      <c r="H995" s="292"/>
      <c r="I995" s="297"/>
      <c r="J995" s="292"/>
      <c r="K995" s="292"/>
      <c r="L995" s="292"/>
      <c r="M995" s="292"/>
      <c r="N995" s="292"/>
      <c r="O995" s="292"/>
      <c r="P995" s="292"/>
    </row>
    <row r="996" spans="1:17" s="224" customFormat="1" x14ac:dyDescent="0.2">
      <c r="A996" s="263"/>
      <c r="D996" s="290"/>
      <c r="F996" s="292"/>
      <c r="G996" s="476"/>
      <c r="H996" s="292"/>
      <c r="I996" s="297"/>
      <c r="J996" s="292"/>
      <c r="K996" s="292"/>
      <c r="L996" s="292"/>
      <c r="M996" s="292"/>
      <c r="N996" s="292"/>
      <c r="O996" s="292"/>
      <c r="P996" s="292"/>
    </row>
    <row r="997" spans="1:17" s="224" customFormat="1" x14ac:dyDescent="0.2">
      <c r="A997" s="263">
        <f>A995+1</f>
        <v>2</v>
      </c>
      <c r="C997" s="266" t="s">
        <v>111</v>
      </c>
      <c r="D997" s="290"/>
      <c r="F997" s="292"/>
      <c r="G997" s="476"/>
      <c r="H997" s="292"/>
      <c r="I997" s="297"/>
      <c r="J997" s="292"/>
      <c r="K997" s="292"/>
      <c r="L997" s="292"/>
      <c r="M997" s="292"/>
      <c r="N997" s="292"/>
      <c r="O997" s="292"/>
      <c r="P997" s="292"/>
    </row>
    <row r="998" spans="1:17" s="224" customFormat="1" x14ac:dyDescent="0.2">
      <c r="A998" s="263"/>
      <c r="C998" s="266"/>
      <c r="D998" s="290"/>
      <c r="F998" s="292"/>
      <c r="G998" s="476"/>
      <c r="H998" s="292"/>
      <c r="I998" s="297"/>
      <c r="J998" s="292"/>
      <c r="K998" s="292"/>
      <c r="L998" s="292"/>
      <c r="M998" s="292"/>
      <c r="N998" s="292"/>
      <c r="O998" s="292"/>
      <c r="P998" s="292"/>
    </row>
    <row r="999" spans="1:17" s="224" customFormat="1" x14ac:dyDescent="0.2">
      <c r="A999" s="263">
        <f>A997+1</f>
        <v>3</v>
      </c>
      <c r="C999" s="224" t="s">
        <v>202</v>
      </c>
      <c r="D999" s="290"/>
      <c r="E999" s="479">
        <f>B!D194</f>
        <v>12</v>
      </c>
      <c r="F999" s="479">
        <f>B!E194</f>
        <v>12</v>
      </c>
      <c r="G999" s="479">
        <f>B!F194</f>
        <v>12</v>
      </c>
      <c r="H999" s="479">
        <f>B!G194</f>
        <v>12</v>
      </c>
      <c r="I999" s="479">
        <f>B!H194</f>
        <v>12</v>
      </c>
      <c r="J999" s="479">
        <f>B!I194</f>
        <v>12</v>
      </c>
      <c r="K999" s="479">
        <f>B!J194</f>
        <v>12</v>
      </c>
      <c r="L999" s="479">
        <f>B!K194</f>
        <v>12</v>
      </c>
      <c r="M999" s="479">
        <f>B!L194</f>
        <v>12</v>
      </c>
      <c r="N999" s="479">
        <f>B!M194</f>
        <v>12</v>
      </c>
      <c r="O999" s="479">
        <f>B!N194</f>
        <v>13</v>
      </c>
      <c r="P999" s="479">
        <f>B!O194</f>
        <v>12</v>
      </c>
      <c r="Q999" s="479">
        <f>SUM(E999:P999)</f>
        <v>145</v>
      </c>
    </row>
    <row r="1000" spans="1:17" s="224" customFormat="1" x14ac:dyDescent="0.2">
      <c r="A1000" s="263">
        <f>A999+1</f>
        <v>4</v>
      </c>
      <c r="C1000" s="224" t="s">
        <v>210</v>
      </c>
      <c r="D1000" s="792">
        <f>Input!U46</f>
        <v>51</v>
      </c>
      <c r="E1000" s="434">
        <f t="shared" ref="E1000:P1000" si="304">ROUND(E999*$D$1000,2)</f>
        <v>612</v>
      </c>
      <c r="F1000" s="434">
        <f t="shared" si="304"/>
        <v>612</v>
      </c>
      <c r="G1000" s="434">
        <f t="shared" si="304"/>
        <v>612</v>
      </c>
      <c r="H1000" s="434">
        <f t="shared" si="304"/>
        <v>612</v>
      </c>
      <c r="I1000" s="434">
        <f t="shared" si="304"/>
        <v>612</v>
      </c>
      <c r="J1000" s="434">
        <f t="shared" si="304"/>
        <v>612</v>
      </c>
      <c r="K1000" s="434">
        <f t="shared" si="304"/>
        <v>612</v>
      </c>
      <c r="L1000" s="434">
        <f t="shared" si="304"/>
        <v>612</v>
      </c>
      <c r="M1000" s="434">
        <f t="shared" si="304"/>
        <v>612</v>
      </c>
      <c r="N1000" s="434">
        <f t="shared" si="304"/>
        <v>612</v>
      </c>
      <c r="O1000" s="434">
        <f t="shared" si="304"/>
        <v>663</v>
      </c>
      <c r="P1000" s="434">
        <f t="shared" si="304"/>
        <v>612</v>
      </c>
      <c r="Q1000" s="434">
        <f>SUM(E1000:P1000)</f>
        <v>7395</v>
      </c>
    </row>
    <row r="1001" spans="1:17" s="224" customFormat="1" x14ac:dyDescent="0.2">
      <c r="A1001" s="263">
        <f>A1000+1</f>
        <v>5</v>
      </c>
      <c r="C1001" s="224" t="s">
        <v>217</v>
      </c>
      <c r="D1001" s="792">
        <f>Input!V46</f>
        <v>0</v>
      </c>
      <c r="E1001" s="434">
        <f t="shared" ref="E1001:P1001" si="305">ROUND(E999*$D$1001,2)</f>
        <v>0</v>
      </c>
      <c r="F1001" s="434">
        <f t="shared" si="305"/>
        <v>0</v>
      </c>
      <c r="G1001" s="434">
        <f t="shared" si="305"/>
        <v>0</v>
      </c>
      <c r="H1001" s="434">
        <f t="shared" si="305"/>
        <v>0</v>
      </c>
      <c r="I1001" s="434">
        <f t="shared" si="305"/>
        <v>0</v>
      </c>
      <c r="J1001" s="434">
        <f t="shared" si="305"/>
        <v>0</v>
      </c>
      <c r="K1001" s="434">
        <f t="shared" si="305"/>
        <v>0</v>
      </c>
      <c r="L1001" s="434">
        <f t="shared" si="305"/>
        <v>0</v>
      </c>
      <c r="M1001" s="434">
        <f t="shared" si="305"/>
        <v>0</v>
      </c>
      <c r="N1001" s="434">
        <f t="shared" si="305"/>
        <v>0</v>
      </c>
      <c r="O1001" s="434">
        <f t="shared" si="305"/>
        <v>0</v>
      </c>
      <c r="P1001" s="434">
        <f t="shared" si="305"/>
        <v>0</v>
      </c>
      <c r="Q1001" s="434">
        <f>SUM(E1001:P1001)</f>
        <v>0</v>
      </c>
    </row>
    <row r="1002" spans="1:17" s="224" customFormat="1" x14ac:dyDescent="0.2">
      <c r="A1002" s="263">
        <f>A1001+1</f>
        <v>6</v>
      </c>
      <c r="C1002" s="224" t="s">
        <v>211</v>
      </c>
      <c r="D1002" s="792">
        <f>Input!W46</f>
        <v>0</v>
      </c>
      <c r="E1002" s="434">
        <f t="shared" ref="E1002:P1002" si="306">ROUND(E999*$D$1002,2)</f>
        <v>0</v>
      </c>
      <c r="F1002" s="434">
        <f t="shared" si="306"/>
        <v>0</v>
      </c>
      <c r="G1002" s="434">
        <f t="shared" si="306"/>
        <v>0</v>
      </c>
      <c r="H1002" s="434">
        <f t="shared" si="306"/>
        <v>0</v>
      </c>
      <c r="I1002" s="434">
        <f t="shared" si="306"/>
        <v>0</v>
      </c>
      <c r="J1002" s="434">
        <f t="shared" si="306"/>
        <v>0</v>
      </c>
      <c r="K1002" s="434">
        <f t="shared" si="306"/>
        <v>0</v>
      </c>
      <c r="L1002" s="434">
        <f t="shared" si="306"/>
        <v>0</v>
      </c>
      <c r="M1002" s="434">
        <f t="shared" si="306"/>
        <v>0</v>
      </c>
      <c r="N1002" s="434">
        <f t="shared" si="306"/>
        <v>0</v>
      </c>
      <c r="O1002" s="434">
        <f t="shared" si="306"/>
        <v>0</v>
      </c>
      <c r="P1002" s="434">
        <f t="shared" si="306"/>
        <v>0</v>
      </c>
      <c r="Q1002" s="434">
        <f>SUM(E1002:P1002)</f>
        <v>0</v>
      </c>
    </row>
    <row r="1003" spans="1:17" s="224" customFormat="1" x14ac:dyDescent="0.2">
      <c r="A1003" s="263"/>
      <c r="D1003" s="290"/>
      <c r="E1003" s="521"/>
      <c r="F1003" s="292"/>
      <c r="G1003" s="476"/>
      <c r="H1003" s="292"/>
      <c r="I1003" s="297"/>
      <c r="J1003" s="292"/>
      <c r="K1003" s="292"/>
      <c r="L1003" s="292"/>
      <c r="M1003" s="292"/>
      <c r="N1003" s="292"/>
      <c r="O1003" s="292"/>
      <c r="P1003" s="292"/>
    </row>
    <row r="1004" spans="1:17" s="224" customFormat="1" x14ac:dyDescent="0.2">
      <c r="A1004" s="263">
        <f>A1002+1</f>
        <v>7</v>
      </c>
      <c r="C1004" s="224" t="s">
        <v>209</v>
      </c>
      <c r="D1004" s="290"/>
    </row>
    <row r="1005" spans="1:17" s="224" customFormat="1" x14ac:dyDescent="0.2">
      <c r="A1005" s="263">
        <f>A1004+1</f>
        <v>8</v>
      </c>
      <c r="C1005" s="224" t="str">
        <f>'C'!B284</f>
        <v xml:space="preserve">    First 50 Mcf</v>
      </c>
      <c r="D1005" s="290"/>
      <c r="E1005" s="483">
        <f>'C'!D296</f>
        <v>600</v>
      </c>
      <c r="F1005" s="483">
        <f>'C'!E296</f>
        <v>600</v>
      </c>
      <c r="G1005" s="483">
        <f>'C'!F296</f>
        <v>600</v>
      </c>
      <c r="H1005" s="483">
        <f>'C'!G296</f>
        <v>600</v>
      </c>
      <c r="I1005" s="483">
        <f>'C'!H296</f>
        <v>600</v>
      </c>
      <c r="J1005" s="483">
        <f>'C'!I296</f>
        <v>600</v>
      </c>
      <c r="K1005" s="483">
        <f>'C'!J296</f>
        <v>600</v>
      </c>
      <c r="L1005" s="483">
        <f>'C'!K296</f>
        <v>600</v>
      </c>
      <c r="M1005" s="483">
        <f>'C'!L296</f>
        <v>600</v>
      </c>
      <c r="N1005" s="483">
        <f>'C'!M296</f>
        <v>600</v>
      </c>
      <c r="O1005" s="483">
        <f>'C'!N296</f>
        <v>550</v>
      </c>
      <c r="P1005" s="483">
        <f>'C'!O296</f>
        <v>600</v>
      </c>
      <c r="Q1005" s="483">
        <f>SUM(E1005:P1005)</f>
        <v>7150</v>
      </c>
    </row>
    <row r="1006" spans="1:17" s="224" customFormat="1" x14ac:dyDescent="0.2">
      <c r="A1006" s="263">
        <f>A1005+1</f>
        <v>9</v>
      </c>
      <c r="C1006" s="224" t="str">
        <f>'C'!B285</f>
        <v xml:space="preserve">    Next 350 Mcf</v>
      </c>
      <c r="D1006" s="519"/>
      <c r="E1006" s="483">
        <f>'C'!D297</f>
        <v>4200</v>
      </c>
      <c r="F1006" s="483">
        <f>'C'!E297</f>
        <v>4200</v>
      </c>
      <c r="G1006" s="483">
        <f>'C'!F297</f>
        <v>4200</v>
      </c>
      <c r="H1006" s="483">
        <f>'C'!G297</f>
        <v>4182.5</v>
      </c>
      <c r="I1006" s="483">
        <f>'C'!H297</f>
        <v>4127</v>
      </c>
      <c r="J1006" s="483">
        <f>'C'!I297</f>
        <v>4044.2</v>
      </c>
      <c r="K1006" s="483">
        <f>'C'!J297</f>
        <v>3998.9</v>
      </c>
      <c r="L1006" s="483">
        <f>'C'!K297</f>
        <v>3891.4</v>
      </c>
      <c r="M1006" s="483">
        <f>'C'!L297</f>
        <v>4069.2</v>
      </c>
      <c r="N1006" s="483">
        <f>'C'!M297</f>
        <v>4045</v>
      </c>
      <c r="O1006" s="483">
        <f>'C'!N297</f>
        <v>3850</v>
      </c>
      <c r="P1006" s="483">
        <f>'C'!O297</f>
        <v>4200</v>
      </c>
      <c r="Q1006" s="483">
        <f>SUM(E1006:P1006)</f>
        <v>49008.2</v>
      </c>
    </row>
    <row r="1007" spans="1:17" s="224" customFormat="1" x14ac:dyDescent="0.2">
      <c r="A1007" s="263">
        <f>A1006+1</f>
        <v>10</v>
      </c>
      <c r="C1007" s="224" t="str">
        <f>'C'!B286</f>
        <v xml:space="preserve">    Next 600 Mcf</v>
      </c>
      <c r="D1007" s="519"/>
      <c r="E1007" s="483">
        <f>'C'!D298</f>
        <v>7070</v>
      </c>
      <c r="F1007" s="483">
        <f>'C'!E298</f>
        <v>6882.7</v>
      </c>
      <c r="G1007" s="483">
        <f>'C'!F298</f>
        <v>6964.3</v>
      </c>
      <c r="H1007" s="483">
        <f>'C'!G298</f>
        <v>6167.1</v>
      </c>
      <c r="I1007" s="483">
        <f>'C'!H298</f>
        <v>6270.1</v>
      </c>
      <c r="J1007" s="483">
        <f>'C'!I298</f>
        <v>4699.5</v>
      </c>
      <c r="K1007" s="483">
        <f>'C'!J298</f>
        <v>5144.3</v>
      </c>
      <c r="L1007" s="483">
        <f>'C'!K298</f>
        <v>4257.5</v>
      </c>
      <c r="M1007" s="483">
        <f>'C'!L298</f>
        <v>4801.3</v>
      </c>
      <c r="N1007" s="483">
        <f>'C'!M298</f>
        <v>6031.9</v>
      </c>
      <c r="O1007" s="483">
        <f>'C'!N298</f>
        <v>6494.6</v>
      </c>
      <c r="P1007" s="483">
        <f>'C'!O298</f>
        <v>6960.4</v>
      </c>
      <c r="Q1007" s="483">
        <f>SUM(E1007:P1007)</f>
        <v>71743.7</v>
      </c>
    </row>
    <row r="1008" spans="1:17" s="224" customFormat="1" x14ac:dyDescent="0.2">
      <c r="A1008" s="263">
        <f>A1007+1</f>
        <v>11</v>
      </c>
      <c r="C1008" s="224" t="str">
        <f>'C'!B287</f>
        <v xml:space="preserve">    Over 1,000 Mcf</v>
      </c>
      <c r="D1008" s="519"/>
      <c r="E1008" s="522">
        <f>'C'!D299</f>
        <v>13932.9</v>
      </c>
      <c r="F1008" s="522">
        <f>'C'!E299</f>
        <v>13803.3</v>
      </c>
      <c r="G1008" s="522">
        <f>'C'!F299</f>
        <v>10302.299999999999</v>
      </c>
      <c r="H1008" s="522">
        <f>'C'!G299</f>
        <v>5333.3</v>
      </c>
      <c r="I1008" s="522">
        <f>'C'!H299</f>
        <v>4075.8</v>
      </c>
      <c r="J1008" s="522">
        <f>'C'!I299</f>
        <v>1525.9</v>
      </c>
      <c r="K1008" s="522">
        <f>'C'!J299</f>
        <v>2402.3000000000002</v>
      </c>
      <c r="L1008" s="522">
        <f>'C'!K299</f>
        <v>1889</v>
      </c>
      <c r="M1008" s="522">
        <f>'C'!L299</f>
        <v>1772.2</v>
      </c>
      <c r="N1008" s="522">
        <f>'C'!M299</f>
        <v>3743.8</v>
      </c>
      <c r="O1008" s="522">
        <f>'C'!N299</f>
        <v>7560.9</v>
      </c>
      <c r="P1008" s="522">
        <f>'C'!O299</f>
        <v>9386.9</v>
      </c>
      <c r="Q1008" s="522">
        <f>SUM(E1008:P1008)</f>
        <v>75728.600000000006</v>
      </c>
    </row>
    <row r="1009" spans="1:17" s="224" customFormat="1" x14ac:dyDescent="0.2">
      <c r="A1009" s="263"/>
      <c r="D1009" s="793"/>
      <c r="E1009" s="483">
        <f t="shared" ref="E1009:P1009" si="307">SUM(E1005:E1008)</f>
        <v>25802.9</v>
      </c>
      <c r="F1009" s="483">
        <f t="shared" si="307"/>
        <v>25486</v>
      </c>
      <c r="G1009" s="483">
        <f t="shared" si="307"/>
        <v>22066.6</v>
      </c>
      <c r="H1009" s="483">
        <f t="shared" si="307"/>
        <v>16282.900000000001</v>
      </c>
      <c r="I1009" s="483">
        <f t="shared" si="307"/>
        <v>15072.900000000001</v>
      </c>
      <c r="J1009" s="483">
        <f t="shared" si="307"/>
        <v>10869.6</v>
      </c>
      <c r="K1009" s="483">
        <f t="shared" si="307"/>
        <v>12145.5</v>
      </c>
      <c r="L1009" s="483">
        <f t="shared" si="307"/>
        <v>10637.9</v>
      </c>
      <c r="M1009" s="483">
        <f t="shared" si="307"/>
        <v>11242.7</v>
      </c>
      <c r="N1009" s="483">
        <f t="shared" si="307"/>
        <v>14420.7</v>
      </c>
      <c r="O1009" s="483">
        <f t="shared" si="307"/>
        <v>18455.5</v>
      </c>
      <c r="P1009" s="483">
        <f t="shared" si="307"/>
        <v>21147.3</v>
      </c>
      <c r="Q1009" s="483">
        <f>SUM(E1009:P1009)</f>
        <v>203630.5</v>
      </c>
    </row>
    <row r="1010" spans="1:17" s="224" customFormat="1" x14ac:dyDescent="0.2">
      <c r="A1010" s="263">
        <f>A1008+1</f>
        <v>12</v>
      </c>
      <c r="C1010" s="224" t="s">
        <v>207</v>
      </c>
      <c r="D1010" s="519"/>
      <c r="F1010" s="292"/>
      <c r="G1010" s="476"/>
      <c r="H1010" s="292"/>
      <c r="I1010" s="297"/>
      <c r="J1010" s="292"/>
      <c r="K1010" s="292"/>
      <c r="L1010" s="292"/>
      <c r="M1010" s="292"/>
      <c r="N1010" s="292"/>
      <c r="O1010" s="292"/>
      <c r="P1010" s="292"/>
      <c r="Q1010" s="543"/>
    </row>
    <row r="1011" spans="1:17" s="224" customFormat="1" x14ac:dyDescent="0.2">
      <c r="A1011" s="263">
        <f>A1010+1</f>
        <v>13</v>
      </c>
      <c r="C1011" s="224" t="str">
        <f>C1005</f>
        <v xml:space="preserve">    First 50 Mcf</v>
      </c>
      <c r="D1011" s="793">
        <f>Input!P46</f>
        <v>3.4714</v>
      </c>
      <c r="E1011" s="434">
        <f t="shared" ref="E1011:P1011" si="308">ROUND(E1005*$D$1011,2)</f>
        <v>2082.84</v>
      </c>
      <c r="F1011" s="434">
        <f t="shared" si="308"/>
        <v>2082.84</v>
      </c>
      <c r="G1011" s="434">
        <f t="shared" si="308"/>
        <v>2082.84</v>
      </c>
      <c r="H1011" s="434">
        <f t="shared" si="308"/>
        <v>2082.84</v>
      </c>
      <c r="I1011" s="434">
        <f t="shared" si="308"/>
        <v>2082.84</v>
      </c>
      <c r="J1011" s="434">
        <f t="shared" si="308"/>
        <v>2082.84</v>
      </c>
      <c r="K1011" s="434">
        <f t="shared" si="308"/>
        <v>2082.84</v>
      </c>
      <c r="L1011" s="434">
        <f t="shared" si="308"/>
        <v>2082.84</v>
      </c>
      <c r="M1011" s="434">
        <f t="shared" si="308"/>
        <v>2082.84</v>
      </c>
      <c r="N1011" s="434">
        <f t="shared" si="308"/>
        <v>2082.84</v>
      </c>
      <c r="O1011" s="434">
        <f t="shared" si="308"/>
        <v>1909.27</v>
      </c>
      <c r="P1011" s="434">
        <f t="shared" si="308"/>
        <v>2082.84</v>
      </c>
      <c r="Q1011" s="434">
        <f>SUM(E1011:P1011)</f>
        <v>24820.510000000002</v>
      </c>
    </row>
    <row r="1012" spans="1:17" s="224" customFormat="1" x14ac:dyDescent="0.2">
      <c r="A1012" s="263">
        <f>A1011+1</f>
        <v>14</v>
      </c>
      <c r="C1012" s="224" t="str">
        <f>C1006</f>
        <v xml:space="preserve">    Next 350 Mcf</v>
      </c>
      <c r="D1012" s="793">
        <f>Input!Q46</f>
        <v>2.6833</v>
      </c>
      <c r="E1012" s="479">
        <f t="shared" ref="E1012:P1012" si="309">ROUND(E1006*$D$1012,2)</f>
        <v>11269.86</v>
      </c>
      <c r="F1012" s="479">
        <f t="shared" si="309"/>
        <v>11269.86</v>
      </c>
      <c r="G1012" s="479">
        <f t="shared" si="309"/>
        <v>11269.86</v>
      </c>
      <c r="H1012" s="479">
        <f t="shared" si="309"/>
        <v>11222.9</v>
      </c>
      <c r="I1012" s="479">
        <f t="shared" si="309"/>
        <v>11073.98</v>
      </c>
      <c r="J1012" s="479">
        <f t="shared" si="309"/>
        <v>10851.8</v>
      </c>
      <c r="K1012" s="479">
        <f t="shared" si="309"/>
        <v>10730.25</v>
      </c>
      <c r="L1012" s="479">
        <f t="shared" si="309"/>
        <v>10441.790000000001</v>
      </c>
      <c r="M1012" s="479">
        <f t="shared" si="309"/>
        <v>10918.88</v>
      </c>
      <c r="N1012" s="479">
        <f t="shared" si="309"/>
        <v>10853.95</v>
      </c>
      <c r="O1012" s="479">
        <f t="shared" si="309"/>
        <v>10330.709999999999</v>
      </c>
      <c r="P1012" s="479">
        <f t="shared" si="309"/>
        <v>11269.86</v>
      </c>
      <c r="Q1012" s="479">
        <f>SUM(E1012:P1012)</f>
        <v>131503.70000000001</v>
      </c>
    </row>
    <row r="1013" spans="1:17" s="224" customFormat="1" x14ac:dyDescent="0.2">
      <c r="A1013" s="263">
        <f>A1012+1</f>
        <v>15</v>
      </c>
      <c r="C1013" s="224" t="str">
        <f>C1007</f>
        <v xml:space="preserve">    Next 600 Mcf</v>
      </c>
      <c r="D1013" s="793">
        <f>Input!R46</f>
        <v>2.5514000000000001</v>
      </c>
      <c r="E1013" s="479">
        <f t="shared" ref="E1013:O1013" si="310">ROUND(E1007*$D$1013,2)</f>
        <v>18038.400000000001</v>
      </c>
      <c r="F1013" s="479">
        <f t="shared" si="310"/>
        <v>17560.52</v>
      </c>
      <c r="G1013" s="479">
        <f t="shared" si="310"/>
        <v>17768.72</v>
      </c>
      <c r="H1013" s="479">
        <f t="shared" si="310"/>
        <v>15734.74</v>
      </c>
      <c r="I1013" s="479">
        <f t="shared" si="310"/>
        <v>15997.53</v>
      </c>
      <c r="J1013" s="479">
        <f t="shared" si="310"/>
        <v>11990.3</v>
      </c>
      <c r="K1013" s="479">
        <f t="shared" si="310"/>
        <v>13125.17</v>
      </c>
      <c r="L1013" s="479">
        <f t="shared" si="310"/>
        <v>10862.59</v>
      </c>
      <c r="M1013" s="479">
        <f t="shared" si="310"/>
        <v>12250.04</v>
      </c>
      <c r="N1013" s="479">
        <f t="shared" si="310"/>
        <v>15389.79</v>
      </c>
      <c r="O1013" s="479">
        <f t="shared" si="310"/>
        <v>16570.32</v>
      </c>
      <c r="P1013" s="479">
        <f>ROUND(P1007*$D$1013,2)</f>
        <v>17758.759999999998</v>
      </c>
      <c r="Q1013" s="479">
        <f>SUM(E1013:P1013)</f>
        <v>183046.88000000003</v>
      </c>
    </row>
    <row r="1014" spans="1:17" s="224" customFormat="1" x14ac:dyDescent="0.2">
      <c r="A1014" s="263">
        <f>A1013+1</f>
        <v>16</v>
      </c>
      <c r="C1014" s="224" t="str">
        <f>C1008</f>
        <v xml:space="preserve">    Over 1,000 Mcf</v>
      </c>
      <c r="D1014" s="793">
        <f>Input!S46</f>
        <v>2.3222999999999998</v>
      </c>
      <c r="E1014" s="528">
        <f t="shared" ref="E1014:O1014" si="311">ROUND(E1008*$D$1014,2)</f>
        <v>32356.37</v>
      </c>
      <c r="F1014" s="528">
        <f t="shared" si="311"/>
        <v>32055.4</v>
      </c>
      <c r="G1014" s="528">
        <f t="shared" si="311"/>
        <v>23925.03</v>
      </c>
      <c r="H1014" s="528">
        <f t="shared" si="311"/>
        <v>12385.52</v>
      </c>
      <c r="I1014" s="528">
        <f t="shared" si="311"/>
        <v>9465.23</v>
      </c>
      <c r="J1014" s="528">
        <f t="shared" si="311"/>
        <v>3543.6</v>
      </c>
      <c r="K1014" s="528">
        <f t="shared" si="311"/>
        <v>5578.86</v>
      </c>
      <c r="L1014" s="528">
        <f t="shared" si="311"/>
        <v>4386.82</v>
      </c>
      <c r="M1014" s="528">
        <f t="shared" si="311"/>
        <v>4115.58</v>
      </c>
      <c r="N1014" s="528">
        <f t="shared" si="311"/>
        <v>8694.23</v>
      </c>
      <c r="O1014" s="528">
        <f t="shared" si="311"/>
        <v>17558.68</v>
      </c>
      <c r="P1014" s="528">
        <f>ROUND(P1008*$D$1014,2)</f>
        <v>21799.200000000001</v>
      </c>
      <c r="Q1014" s="479">
        <f>SUM(E1014:P1014)</f>
        <v>175864.52000000002</v>
      </c>
    </row>
    <row r="1015" spans="1:17" s="224" customFormat="1" x14ac:dyDescent="0.2">
      <c r="A1015" s="263"/>
      <c r="D1015" s="519"/>
      <c r="E1015" s="434">
        <f t="shared" ref="E1015:P1015" si="312">SUM(E1011:E1014)</f>
        <v>63747.47</v>
      </c>
      <c r="F1015" s="434">
        <f t="shared" si="312"/>
        <v>62968.62</v>
      </c>
      <c r="G1015" s="434">
        <f t="shared" si="312"/>
        <v>55046.45</v>
      </c>
      <c r="H1015" s="434">
        <f t="shared" si="312"/>
        <v>41426</v>
      </c>
      <c r="I1015" s="434">
        <f t="shared" si="312"/>
        <v>38619.58</v>
      </c>
      <c r="J1015" s="434">
        <f t="shared" si="312"/>
        <v>28468.539999999997</v>
      </c>
      <c r="K1015" s="434">
        <f t="shared" si="312"/>
        <v>31517.120000000003</v>
      </c>
      <c r="L1015" s="434">
        <f t="shared" si="312"/>
        <v>27774.04</v>
      </c>
      <c r="M1015" s="434">
        <f t="shared" si="312"/>
        <v>29367.340000000004</v>
      </c>
      <c r="N1015" s="434">
        <f t="shared" si="312"/>
        <v>37020.81</v>
      </c>
      <c r="O1015" s="434">
        <f t="shared" si="312"/>
        <v>46368.979999999996</v>
      </c>
      <c r="P1015" s="434">
        <f t="shared" si="312"/>
        <v>52910.66</v>
      </c>
      <c r="Q1015" s="434">
        <f>SUM(E1015:P1015)</f>
        <v>515235.61</v>
      </c>
    </row>
    <row r="1016" spans="1:17" s="224" customFormat="1" x14ac:dyDescent="0.2">
      <c r="A1016" s="263"/>
      <c r="D1016" s="519"/>
      <c r="E1016" s="292"/>
      <c r="F1016" s="292"/>
      <c r="G1016" s="292"/>
      <c r="H1016" s="292"/>
      <c r="I1016" s="292"/>
      <c r="J1016" s="292"/>
      <c r="K1016" s="292"/>
      <c r="L1016" s="292"/>
      <c r="M1016" s="292"/>
      <c r="N1016" s="292"/>
      <c r="O1016" s="292"/>
      <c r="P1016" s="292"/>
      <c r="Q1016" s="292"/>
    </row>
    <row r="1017" spans="1:17" s="224" customFormat="1" x14ac:dyDescent="0.2">
      <c r="A1017" s="263">
        <f>A1014+1</f>
        <v>17</v>
      </c>
      <c r="C1017" s="224" t="s">
        <v>204</v>
      </c>
      <c r="D1017" s="519"/>
      <c r="E1017" s="434">
        <f t="shared" ref="E1017:P1017" si="313">E1000+E1001+E1002+E1015</f>
        <v>64359.47</v>
      </c>
      <c r="F1017" s="434">
        <f t="shared" si="313"/>
        <v>63580.62</v>
      </c>
      <c r="G1017" s="434">
        <f t="shared" si="313"/>
        <v>55658.45</v>
      </c>
      <c r="H1017" s="434">
        <f t="shared" si="313"/>
        <v>42038</v>
      </c>
      <c r="I1017" s="434">
        <f t="shared" si="313"/>
        <v>39231.58</v>
      </c>
      <c r="J1017" s="434">
        <f t="shared" si="313"/>
        <v>29080.539999999997</v>
      </c>
      <c r="K1017" s="434">
        <f t="shared" si="313"/>
        <v>32129.120000000003</v>
      </c>
      <c r="L1017" s="434">
        <f t="shared" si="313"/>
        <v>28386.04</v>
      </c>
      <c r="M1017" s="434">
        <f t="shared" si="313"/>
        <v>29979.340000000004</v>
      </c>
      <c r="N1017" s="434">
        <f t="shared" si="313"/>
        <v>37632.81</v>
      </c>
      <c r="O1017" s="434">
        <f t="shared" si="313"/>
        <v>47031.979999999996</v>
      </c>
      <c r="P1017" s="434">
        <f t="shared" si="313"/>
        <v>53522.66</v>
      </c>
      <c r="Q1017" s="434">
        <f>SUM(E1017:P1017)</f>
        <v>522630.61</v>
      </c>
    </row>
    <row r="1018" spans="1:17" s="224" customFormat="1" x14ac:dyDescent="0.2">
      <c r="A1018" s="263"/>
      <c r="D1018" s="519"/>
      <c r="E1018" s="489"/>
      <c r="F1018" s="489"/>
      <c r="G1018" s="489"/>
      <c r="H1018" s="489"/>
      <c r="I1018" s="489"/>
      <c r="J1018" s="489"/>
      <c r="K1018" s="489"/>
      <c r="L1018" s="489"/>
      <c r="M1018" s="489"/>
      <c r="N1018" s="489"/>
      <c r="O1018" s="489"/>
      <c r="P1018" s="489"/>
      <c r="Q1018" s="489"/>
    </row>
    <row r="1019" spans="1:17" s="224" customFormat="1" x14ac:dyDescent="0.2">
      <c r="A1019" s="263">
        <f>A1017+1</f>
        <v>18</v>
      </c>
      <c r="C1019" s="224" t="s">
        <v>151</v>
      </c>
      <c r="D1019" s="794">
        <v>0</v>
      </c>
      <c r="E1019" s="517">
        <v>0</v>
      </c>
      <c r="F1019" s="517">
        <v>0</v>
      </c>
      <c r="G1019" s="517">
        <v>0</v>
      </c>
      <c r="H1019" s="517">
        <v>0</v>
      </c>
      <c r="I1019" s="517">
        <v>0</v>
      </c>
      <c r="J1019" s="517">
        <v>0</v>
      </c>
      <c r="K1019" s="517">
        <v>0</v>
      </c>
      <c r="L1019" s="517">
        <v>0</v>
      </c>
      <c r="M1019" s="517">
        <v>0</v>
      </c>
      <c r="N1019" s="517">
        <v>0</v>
      </c>
      <c r="O1019" s="517">
        <v>0</v>
      </c>
      <c r="P1019" s="517">
        <v>0</v>
      </c>
      <c r="Q1019" s="434">
        <f>SUM(E1019:P1019)</f>
        <v>0</v>
      </c>
    </row>
    <row r="1020" spans="1:17" s="224" customFormat="1" x14ac:dyDescent="0.2">
      <c r="A1020" s="263"/>
      <c r="D1020" s="290"/>
      <c r="F1020" s="292"/>
      <c r="G1020" s="476"/>
      <c r="H1020" s="292"/>
      <c r="I1020" s="297"/>
      <c r="J1020" s="292"/>
      <c r="K1020" s="292"/>
      <c r="L1020" s="292"/>
      <c r="M1020" s="292"/>
      <c r="N1020" s="292"/>
      <c r="O1020" s="292"/>
      <c r="P1020" s="292"/>
      <c r="Q1020" s="476"/>
    </row>
    <row r="1021" spans="1:17" s="224" customFormat="1" ht="10.8" thickBot="1" x14ac:dyDescent="0.25">
      <c r="A1021" s="724">
        <f>A1019+1</f>
        <v>19</v>
      </c>
      <c r="B1021" s="496"/>
      <c r="C1021" s="725" t="s">
        <v>205</v>
      </c>
      <c r="D1021" s="726"/>
      <c r="E1021" s="499">
        <f t="shared" ref="E1021:P1021" si="314">E1017+E1019</f>
        <v>64359.47</v>
      </c>
      <c r="F1021" s="499">
        <f t="shared" si="314"/>
        <v>63580.62</v>
      </c>
      <c r="G1021" s="499">
        <f t="shared" si="314"/>
        <v>55658.45</v>
      </c>
      <c r="H1021" s="499">
        <f t="shared" si="314"/>
        <v>42038</v>
      </c>
      <c r="I1021" s="499">
        <f t="shared" si="314"/>
        <v>39231.58</v>
      </c>
      <c r="J1021" s="499">
        <f t="shared" si="314"/>
        <v>29080.539999999997</v>
      </c>
      <c r="K1021" s="499">
        <f t="shared" si="314"/>
        <v>32129.120000000003</v>
      </c>
      <c r="L1021" s="499">
        <f t="shared" si="314"/>
        <v>28386.04</v>
      </c>
      <c r="M1021" s="499">
        <f t="shared" si="314"/>
        <v>29979.340000000004</v>
      </c>
      <c r="N1021" s="499">
        <f t="shared" si="314"/>
        <v>37632.81</v>
      </c>
      <c r="O1021" s="499">
        <f t="shared" si="314"/>
        <v>47031.979999999996</v>
      </c>
      <c r="P1021" s="499">
        <f t="shared" si="314"/>
        <v>53522.66</v>
      </c>
      <c r="Q1021" s="499">
        <f>SUM(E1021:P1021)</f>
        <v>522630.61</v>
      </c>
    </row>
    <row r="1022" spans="1:17" s="224" customFormat="1" ht="10.8" thickTop="1" x14ac:dyDescent="0.2">
      <c r="A1022" s="263"/>
      <c r="D1022" s="290"/>
      <c r="F1022" s="292"/>
      <c r="G1022" s="476"/>
      <c r="H1022" s="292"/>
      <c r="I1022" s="297"/>
      <c r="J1022" s="292"/>
      <c r="K1022" s="292"/>
      <c r="L1022" s="292"/>
      <c r="M1022" s="292"/>
      <c r="N1022" s="292"/>
      <c r="O1022" s="292"/>
      <c r="P1022" s="292"/>
      <c r="Q1022" s="476"/>
    </row>
    <row r="1023" spans="1:17" s="224" customFormat="1" x14ac:dyDescent="0.2">
      <c r="A1023" s="263">
        <f>A1021+1</f>
        <v>20</v>
      </c>
      <c r="B1023" s="224" t="str">
        <f>B285</f>
        <v>GDS</v>
      </c>
      <c r="C1023" s="224" t="str">
        <f>C285</f>
        <v>GTS Grandfathered Delivery Service - Industrial</v>
      </c>
      <c r="D1023" s="290"/>
      <c r="F1023" s="292"/>
      <c r="G1023" s="476"/>
      <c r="H1023" s="292"/>
      <c r="I1023" s="297"/>
      <c r="J1023" s="292"/>
      <c r="K1023" s="292"/>
      <c r="L1023" s="292"/>
      <c r="M1023" s="292"/>
      <c r="N1023" s="292"/>
      <c r="O1023" s="292"/>
      <c r="P1023" s="292"/>
    </row>
    <row r="1024" spans="1:17" s="224" customFormat="1" x14ac:dyDescent="0.2">
      <c r="A1024" s="263"/>
      <c r="D1024" s="290"/>
      <c r="F1024" s="292"/>
      <c r="G1024" s="476"/>
      <c r="H1024" s="292"/>
      <c r="I1024" s="297"/>
      <c r="J1024" s="292"/>
      <c r="K1024" s="292"/>
      <c r="L1024" s="292"/>
      <c r="M1024" s="292"/>
      <c r="N1024" s="292"/>
      <c r="O1024" s="292"/>
      <c r="P1024" s="292"/>
    </row>
    <row r="1025" spans="1:17" s="224" customFormat="1" x14ac:dyDescent="0.2">
      <c r="A1025" s="263">
        <f>A1023+1</f>
        <v>21</v>
      </c>
      <c r="C1025" s="266" t="s">
        <v>112</v>
      </c>
      <c r="D1025" s="290"/>
      <c r="F1025" s="292"/>
      <c r="G1025" s="476"/>
      <c r="H1025" s="292"/>
      <c r="I1025" s="297"/>
      <c r="J1025" s="292"/>
      <c r="K1025" s="292"/>
      <c r="L1025" s="292"/>
      <c r="M1025" s="292"/>
      <c r="N1025" s="292"/>
      <c r="O1025" s="292"/>
      <c r="P1025" s="292"/>
    </row>
    <row r="1026" spans="1:17" s="224" customFormat="1" x14ac:dyDescent="0.2">
      <c r="A1026" s="263"/>
      <c r="C1026" s="266"/>
      <c r="D1026" s="290"/>
      <c r="F1026" s="292"/>
      <c r="G1026" s="476"/>
      <c r="H1026" s="292"/>
      <c r="I1026" s="297"/>
      <c r="J1026" s="292"/>
      <c r="K1026" s="292"/>
      <c r="L1026" s="292"/>
      <c r="M1026" s="292"/>
      <c r="N1026" s="292"/>
      <c r="O1026" s="292"/>
      <c r="P1026" s="292"/>
    </row>
    <row r="1027" spans="1:17" s="224" customFormat="1" x14ac:dyDescent="0.2">
      <c r="A1027" s="263">
        <f>A1025+1</f>
        <v>22</v>
      </c>
      <c r="C1027" s="224" t="s">
        <v>202</v>
      </c>
      <c r="D1027" s="290"/>
      <c r="E1027" s="479">
        <f>B!D200</f>
        <v>15</v>
      </c>
      <c r="F1027" s="479">
        <f>B!E200</f>
        <v>15</v>
      </c>
      <c r="G1027" s="479">
        <f>B!F200</f>
        <v>15</v>
      </c>
      <c r="H1027" s="479">
        <f>B!G200</f>
        <v>15</v>
      </c>
      <c r="I1027" s="479">
        <f>B!H200</f>
        <v>15</v>
      </c>
      <c r="J1027" s="479">
        <f>B!I200</f>
        <v>15</v>
      </c>
      <c r="K1027" s="479">
        <f>B!J200</f>
        <v>15</v>
      </c>
      <c r="L1027" s="479">
        <f>B!K200</f>
        <v>15</v>
      </c>
      <c r="M1027" s="479">
        <f>B!L200</f>
        <v>15</v>
      </c>
      <c r="N1027" s="479">
        <f>B!M200</f>
        <v>15</v>
      </c>
      <c r="O1027" s="479">
        <f>B!N200</f>
        <v>15</v>
      </c>
      <c r="P1027" s="479">
        <f>B!O200</f>
        <v>15</v>
      </c>
      <c r="Q1027" s="479">
        <f>SUM(E1027:P1027)</f>
        <v>180</v>
      </c>
    </row>
    <row r="1028" spans="1:17" s="224" customFormat="1" x14ac:dyDescent="0.2">
      <c r="A1028" s="263">
        <f>A1027+1</f>
        <v>23</v>
      </c>
      <c r="C1028" s="224" t="s">
        <v>210</v>
      </c>
      <c r="D1028" s="792">
        <f>Input!U47</f>
        <v>51</v>
      </c>
      <c r="E1028" s="434">
        <f t="shared" ref="E1028:P1028" si="315">ROUND(E1027*$D$1028,2)</f>
        <v>765</v>
      </c>
      <c r="F1028" s="434">
        <f t="shared" si="315"/>
        <v>765</v>
      </c>
      <c r="G1028" s="434">
        <f t="shared" si="315"/>
        <v>765</v>
      </c>
      <c r="H1028" s="434">
        <f t="shared" si="315"/>
        <v>765</v>
      </c>
      <c r="I1028" s="434">
        <f t="shared" si="315"/>
        <v>765</v>
      </c>
      <c r="J1028" s="434">
        <f t="shared" si="315"/>
        <v>765</v>
      </c>
      <c r="K1028" s="434">
        <f t="shared" si="315"/>
        <v>765</v>
      </c>
      <c r="L1028" s="434">
        <f t="shared" si="315"/>
        <v>765</v>
      </c>
      <c r="M1028" s="434">
        <f t="shared" si="315"/>
        <v>765</v>
      </c>
      <c r="N1028" s="434">
        <f t="shared" si="315"/>
        <v>765</v>
      </c>
      <c r="O1028" s="434">
        <f t="shared" si="315"/>
        <v>765</v>
      </c>
      <c r="P1028" s="434">
        <f t="shared" si="315"/>
        <v>765</v>
      </c>
      <c r="Q1028" s="434">
        <f>SUM(E1028:P1028)</f>
        <v>9180</v>
      </c>
    </row>
    <row r="1029" spans="1:17" s="224" customFormat="1" x14ac:dyDescent="0.2">
      <c r="A1029" s="263">
        <f>A1028+1</f>
        <v>24</v>
      </c>
      <c r="C1029" s="224" t="s">
        <v>217</v>
      </c>
      <c r="D1029" s="792">
        <f>Input!V47</f>
        <v>0</v>
      </c>
      <c r="E1029" s="434">
        <f t="shared" ref="E1029:P1029" si="316">ROUND(E1027*$D$1029,2)</f>
        <v>0</v>
      </c>
      <c r="F1029" s="434">
        <f t="shared" si="316"/>
        <v>0</v>
      </c>
      <c r="G1029" s="434">
        <f t="shared" si="316"/>
        <v>0</v>
      </c>
      <c r="H1029" s="434">
        <f t="shared" si="316"/>
        <v>0</v>
      </c>
      <c r="I1029" s="434">
        <f t="shared" si="316"/>
        <v>0</v>
      </c>
      <c r="J1029" s="434">
        <f t="shared" si="316"/>
        <v>0</v>
      </c>
      <c r="K1029" s="434">
        <f t="shared" si="316"/>
        <v>0</v>
      </c>
      <c r="L1029" s="434">
        <f t="shared" si="316"/>
        <v>0</v>
      </c>
      <c r="M1029" s="434">
        <f t="shared" si="316"/>
        <v>0</v>
      </c>
      <c r="N1029" s="434">
        <f t="shared" si="316"/>
        <v>0</v>
      </c>
      <c r="O1029" s="434">
        <f t="shared" si="316"/>
        <v>0</v>
      </c>
      <c r="P1029" s="434">
        <f t="shared" si="316"/>
        <v>0</v>
      </c>
      <c r="Q1029" s="434">
        <f>SUM(E1029:P1029)</f>
        <v>0</v>
      </c>
    </row>
    <row r="1030" spans="1:17" s="224" customFormat="1" x14ac:dyDescent="0.2">
      <c r="A1030" s="263">
        <f>A1029+1</f>
        <v>25</v>
      </c>
      <c r="C1030" s="224" t="s">
        <v>211</v>
      </c>
      <c r="D1030" s="792">
        <f>Input!W47</f>
        <v>0</v>
      </c>
      <c r="E1030" s="434">
        <f t="shared" ref="E1030:P1030" si="317">ROUND(E1027*$D$1030,2)</f>
        <v>0</v>
      </c>
      <c r="F1030" s="434">
        <f t="shared" si="317"/>
        <v>0</v>
      </c>
      <c r="G1030" s="434">
        <f t="shared" si="317"/>
        <v>0</v>
      </c>
      <c r="H1030" s="434">
        <f t="shared" si="317"/>
        <v>0</v>
      </c>
      <c r="I1030" s="434">
        <f t="shared" si="317"/>
        <v>0</v>
      </c>
      <c r="J1030" s="434">
        <f t="shared" si="317"/>
        <v>0</v>
      </c>
      <c r="K1030" s="434">
        <f t="shared" si="317"/>
        <v>0</v>
      </c>
      <c r="L1030" s="434">
        <f t="shared" si="317"/>
        <v>0</v>
      </c>
      <c r="M1030" s="434">
        <f t="shared" si="317"/>
        <v>0</v>
      </c>
      <c r="N1030" s="434">
        <f t="shared" si="317"/>
        <v>0</v>
      </c>
      <c r="O1030" s="434">
        <f t="shared" si="317"/>
        <v>0</v>
      </c>
      <c r="P1030" s="434">
        <f t="shared" si="317"/>
        <v>0</v>
      </c>
      <c r="Q1030" s="434">
        <f>SUM(E1030:P1030)</f>
        <v>0</v>
      </c>
    </row>
    <row r="1031" spans="1:17" s="224" customFormat="1" x14ac:dyDescent="0.2">
      <c r="A1031" s="263"/>
      <c r="D1031" s="290"/>
      <c r="E1031" s="434"/>
      <c r="F1031" s="434"/>
      <c r="G1031" s="434"/>
      <c r="H1031" s="434"/>
      <c r="I1031" s="434"/>
      <c r="J1031" s="434"/>
      <c r="K1031" s="434"/>
      <c r="L1031" s="434"/>
      <c r="M1031" s="434"/>
      <c r="N1031" s="434"/>
      <c r="O1031" s="434"/>
      <c r="P1031" s="434"/>
      <c r="Q1031" s="434"/>
    </row>
    <row r="1032" spans="1:17" s="224" customFormat="1" x14ac:dyDescent="0.2">
      <c r="A1032" s="263">
        <f>A1030+1</f>
        <v>26</v>
      </c>
      <c r="C1032" s="224" t="s">
        <v>209</v>
      </c>
      <c r="D1032" s="290"/>
    </row>
    <row r="1033" spans="1:17" s="224" customFormat="1" x14ac:dyDescent="0.2">
      <c r="A1033" s="263">
        <f>A1032+1</f>
        <v>27</v>
      </c>
      <c r="C1033" s="224" t="str">
        <f>'C'!B304</f>
        <v xml:space="preserve">    First 50 Mcf</v>
      </c>
      <c r="D1033" s="290"/>
      <c r="E1033" s="483">
        <f>'C'!D316</f>
        <v>609.9</v>
      </c>
      <c r="F1033" s="483">
        <f>'C'!E316</f>
        <v>622.4</v>
      </c>
      <c r="G1033" s="483">
        <f>'C'!F316</f>
        <v>750</v>
      </c>
      <c r="H1033" s="483">
        <f>'C'!G316</f>
        <v>735.6</v>
      </c>
      <c r="I1033" s="483">
        <f>'C'!H316</f>
        <v>694.2</v>
      </c>
      <c r="J1033" s="483">
        <f>'C'!I316</f>
        <v>473.6</v>
      </c>
      <c r="K1033" s="483">
        <f>'C'!J316</f>
        <v>460</v>
      </c>
      <c r="L1033" s="483">
        <f>'C'!K316</f>
        <v>510.6</v>
      </c>
      <c r="M1033" s="483">
        <f>'C'!L316</f>
        <v>530.29999999999995</v>
      </c>
      <c r="N1033" s="483">
        <f>'C'!M316</f>
        <v>604.5</v>
      </c>
      <c r="O1033" s="483">
        <f>'C'!N316</f>
        <v>606.1</v>
      </c>
      <c r="P1033" s="483">
        <f>'C'!O316</f>
        <v>666.9</v>
      </c>
      <c r="Q1033" s="483">
        <f>SUM(E1033:P1033)</f>
        <v>7264.1000000000013</v>
      </c>
    </row>
    <row r="1034" spans="1:17" s="224" customFormat="1" x14ac:dyDescent="0.2">
      <c r="A1034" s="263">
        <f>A1033+1</f>
        <v>28</v>
      </c>
      <c r="C1034" s="224" t="str">
        <f>'C'!B305</f>
        <v xml:space="preserve">    Next 350 Mcf</v>
      </c>
      <c r="D1034" s="519"/>
      <c r="E1034" s="483">
        <f>'C'!D317</f>
        <v>3896.3</v>
      </c>
      <c r="F1034" s="483">
        <f>'C'!E317</f>
        <v>3965.4</v>
      </c>
      <c r="G1034" s="483">
        <f>'C'!F317</f>
        <v>4483.7</v>
      </c>
      <c r="H1034" s="483">
        <f>'C'!G317</f>
        <v>4484.3999999999996</v>
      </c>
      <c r="I1034" s="483">
        <f>'C'!H317</f>
        <v>3857.7</v>
      </c>
      <c r="J1034" s="483">
        <f>'C'!I317</f>
        <v>2799.5</v>
      </c>
      <c r="K1034" s="483">
        <f>'C'!J317</f>
        <v>2736.4</v>
      </c>
      <c r="L1034" s="483">
        <f>'C'!K317</f>
        <v>3003.2</v>
      </c>
      <c r="M1034" s="483">
        <f>'C'!L317</f>
        <v>2907</v>
      </c>
      <c r="N1034" s="483">
        <f>'C'!M317</f>
        <v>3132.7</v>
      </c>
      <c r="O1034" s="483">
        <f>'C'!N317</f>
        <v>3912.5</v>
      </c>
      <c r="P1034" s="483">
        <f>'C'!O317</f>
        <v>4183.5</v>
      </c>
      <c r="Q1034" s="483">
        <f>SUM(E1034:P1034)</f>
        <v>43362.3</v>
      </c>
    </row>
    <row r="1035" spans="1:17" s="224" customFormat="1" x14ac:dyDescent="0.2">
      <c r="A1035" s="263">
        <f>A1034+1</f>
        <v>29</v>
      </c>
      <c r="C1035" s="224" t="str">
        <f>'C'!B306</f>
        <v xml:space="preserve">    Next 600 Mcf</v>
      </c>
      <c r="D1035" s="519"/>
      <c r="E1035" s="483">
        <f>'C'!D318</f>
        <v>5621.7</v>
      </c>
      <c r="F1035" s="483">
        <f>'C'!E318</f>
        <v>5802.3</v>
      </c>
      <c r="G1035" s="483">
        <f>'C'!F318</f>
        <v>6622.1</v>
      </c>
      <c r="H1035" s="483">
        <f>'C'!G318</f>
        <v>5166.3999999999996</v>
      </c>
      <c r="I1035" s="483">
        <f>'C'!H318</f>
        <v>4115.7</v>
      </c>
      <c r="J1035" s="483">
        <f>'C'!I318</f>
        <v>2754.1</v>
      </c>
      <c r="K1035" s="483">
        <f>'C'!J318</f>
        <v>2958.6</v>
      </c>
      <c r="L1035" s="483">
        <f>'C'!K318</f>
        <v>3457.3</v>
      </c>
      <c r="M1035" s="483">
        <f>'C'!L318</f>
        <v>3411.2</v>
      </c>
      <c r="N1035" s="483">
        <f>'C'!M318</f>
        <v>3405.2</v>
      </c>
      <c r="O1035" s="483">
        <f>'C'!N318</f>
        <v>4279.3999999999996</v>
      </c>
      <c r="P1035" s="483">
        <f>'C'!O318</f>
        <v>5280.7</v>
      </c>
      <c r="Q1035" s="483">
        <f>SUM(E1035:P1035)</f>
        <v>52874.7</v>
      </c>
    </row>
    <row r="1036" spans="1:17" s="224" customFormat="1" x14ac:dyDescent="0.2">
      <c r="A1036" s="263">
        <f>A1035+1</f>
        <v>30</v>
      </c>
      <c r="C1036" s="224" t="str">
        <f>'C'!B307</f>
        <v xml:space="preserve">    Over 1,000 Mcf</v>
      </c>
      <c r="D1036" s="519"/>
      <c r="E1036" s="522">
        <f>'C'!D319</f>
        <v>7716.4</v>
      </c>
      <c r="F1036" s="522">
        <f>'C'!E319</f>
        <v>6439.2</v>
      </c>
      <c r="G1036" s="522">
        <f>'C'!F319</f>
        <v>7195.5</v>
      </c>
      <c r="H1036" s="522">
        <f>'C'!G319</f>
        <v>3680.8</v>
      </c>
      <c r="I1036" s="522">
        <f>'C'!H319</f>
        <v>4450.7</v>
      </c>
      <c r="J1036" s="522">
        <f>'C'!I319</f>
        <v>2848.5</v>
      </c>
      <c r="K1036" s="522">
        <f>'C'!J319</f>
        <v>1893.4</v>
      </c>
      <c r="L1036" s="522">
        <f>'C'!K319</f>
        <v>2095.6999999999998</v>
      </c>
      <c r="M1036" s="522">
        <f>'C'!L319</f>
        <v>2937.8</v>
      </c>
      <c r="N1036" s="522">
        <f>'C'!M319</f>
        <v>2954.3</v>
      </c>
      <c r="O1036" s="522">
        <f>'C'!N319</f>
        <v>3905</v>
      </c>
      <c r="P1036" s="522">
        <f>'C'!O319</f>
        <v>4849.5</v>
      </c>
      <c r="Q1036" s="522">
        <f>SUM(E1036:P1036)</f>
        <v>50966.8</v>
      </c>
    </row>
    <row r="1037" spans="1:17" s="224" customFormat="1" x14ac:dyDescent="0.2">
      <c r="A1037" s="263"/>
      <c r="D1037" s="793"/>
      <c r="E1037" s="483">
        <f t="shared" ref="E1037:P1037" si="318">SUM(E1033:E1036)</f>
        <v>17844.3</v>
      </c>
      <c r="F1037" s="483">
        <f t="shared" si="318"/>
        <v>16829.3</v>
      </c>
      <c r="G1037" s="483">
        <f t="shared" si="318"/>
        <v>19051.3</v>
      </c>
      <c r="H1037" s="483">
        <f t="shared" si="318"/>
        <v>14067.2</v>
      </c>
      <c r="I1037" s="483">
        <f t="shared" si="318"/>
        <v>13118.3</v>
      </c>
      <c r="J1037" s="483">
        <f t="shared" si="318"/>
        <v>8875.7000000000007</v>
      </c>
      <c r="K1037" s="483">
        <f t="shared" si="318"/>
        <v>8048.4</v>
      </c>
      <c r="L1037" s="483">
        <f t="shared" si="318"/>
        <v>9066.7999999999993</v>
      </c>
      <c r="M1037" s="483">
        <f t="shared" si="318"/>
        <v>9786.2999999999993</v>
      </c>
      <c r="N1037" s="483">
        <f t="shared" si="318"/>
        <v>10096.700000000001</v>
      </c>
      <c r="O1037" s="483">
        <f t="shared" si="318"/>
        <v>12703</v>
      </c>
      <c r="P1037" s="483">
        <f t="shared" si="318"/>
        <v>14980.599999999999</v>
      </c>
      <c r="Q1037" s="483">
        <f>SUM(E1037:P1037)</f>
        <v>154467.9</v>
      </c>
    </row>
    <row r="1038" spans="1:17" s="224" customFormat="1" x14ac:dyDescent="0.2">
      <c r="A1038" s="263">
        <f>A1036+1</f>
        <v>31</v>
      </c>
      <c r="C1038" s="224" t="s">
        <v>207</v>
      </c>
      <c r="D1038" s="519"/>
      <c r="F1038" s="292"/>
      <c r="G1038" s="476"/>
      <c r="H1038" s="292"/>
      <c r="I1038" s="297"/>
      <c r="J1038" s="292"/>
      <c r="K1038" s="292"/>
      <c r="L1038" s="292"/>
      <c r="M1038" s="292"/>
      <c r="N1038" s="292"/>
      <c r="O1038" s="292"/>
      <c r="P1038" s="292"/>
      <c r="Q1038" s="543"/>
    </row>
    <row r="1039" spans="1:17" s="224" customFormat="1" x14ac:dyDescent="0.2">
      <c r="A1039" s="263">
        <f>A1038+1</f>
        <v>32</v>
      </c>
      <c r="C1039" s="224" t="str">
        <f>C1033</f>
        <v xml:space="preserve">    First 50 Mcf</v>
      </c>
      <c r="D1039" s="793">
        <f>Input!P47</f>
        <v>3.4714</v>
      </c>
      <c r="E1039" s="434">
        <f t="shared" ref="E1039:P1039" si="319">ROUND(E1033*$D$1039,2)</f>
        <v>2117.21</v>
      </c>
      <c r="F1039" s="434">
        <f t="shared" si="319"/>
        <v>2160.6</v>
      </c>
      <c r="G1039" s="434">
        <f t="shared" si="319"/>
        <v>2603.5500000000002</v>
      </c>
      <c r="H1039" s="434">
        <f t="shared" si="319"/>
        <v>2553.56</v>
      </c>
      <c r="I1039" s="434">
        <f t="shared" si="319"/>
        <v>2409.85</v>
      </c>
      <c r="J1039" s="434">
        <f t="shared" si="319"/>
        <v>1644.06</v>
      </c>
      <c r="K1039" s="434">
        <f t="shared" si="319"/>
        <v>1596.84</v>
      </c>
      <c r="L1039" s="434">
        <f t="shared" si="319"/>
        <v>1772.5</v>
      </c>
      <c r="M1039" s="434">
        <f t="shared" si="319"/>
        <v>1840.88</v>
      </c>
      <c r="N1039" s="434">
        <f t="shared" si="319"/>
        <v>2098.46</v>
      </c>
      <c r="O1039" s="434">
        <f t="shared" si="319"/>
        <v>2104.02</v>
      </c>
      <c r="P1039" s="434">
        <f t="shared" si="319"/>
        <v>2315.08</v>
      </c>
      <c r="Q1039" s="434">
        <f>SUM(E1039:P1039)</f>
        <v>25216.61</v>
      </c>
    </row>
    <row r="1040" spans="1:17" s="224" customFormat="1" x14ac:dyDescent="0.2">
      <c r="A1040" s="263">
        <f>A1039+1</f>
        <v>33</v>
      </c>
      <c r="C1040" s="224" t="str">
        <f>C1034</f>
        <v xml:space="preserve">    Next 350 Mcf</v>
      </c>
      <c r="D1040" s="793">
        <f>Input!Q47</f>
        <v>2.6833</v>
      </c>
      <c r="E1040" s="479">
        <f t="shared" ref="E1040:P1040" si="320">ROUND(E1034*$D$1040,2)</f>
        <v>10454.94</v>
      </c>
      <c r="F1040" s="479">
        <f t="shared" si="320"/>
        <v>10640.36</v>
      </c>
      <c r="G1040" s="479">
        <f t="shared" si="320"/>
        <v>12031.11</v>
      </c>
      <c r="H1040" s="479">
        <f t="shared" si="320"/>
        <v>12032.99</v>
      </c>
      <c r="I1040" s="479">
        <f t="shared" si="320"/>
        <v>10351.370000000001</v>
      </c>
      <c r="J1040" s="479">
        <f t="shared" si="320"/>
        <v>7511.9</v>
      </c>
      <c r="K1040" s="479">
        <f t="shared" si="320"/>
        <v>7342.58</v>
      </c>
      <c r="L1040" s="479">
        <f t="shared" si="320"/>
        <v>8058.49</v>
      </c>
      <c r="M1040" s="479">
        <f t="shared" si="320"/>
        <v>7800.35</v>
      </c>
      <c r="N1040" s="479">
        <f t="shared" si="320"/>
        <v>8405.9699999999993</v>
      </c>
      <c r="O1040" s="479">
        <f t="shared" si="320"/>
        <v>10498.41</v>
      </c>
      <c r="P1040" s="479">
        <f t="shared" si="320"/>
        <v>11225.59</v>
      </c>
      <c r="Q1040" s="479">
        <f>SUM(E1040:P1040)</f>
        <v>116354.06000000001</v>
      </c>
    </row>
    <row r="1041" spans="1:17" s="224" customFormat="1" x14ac:dyDescent="0.2">
      <c r="A1041" s="263">
        <f>A1040+1</f>
        <v>34</v>
      </c>
      <c r="C1041" s="224" t="str">
        <f>C1035</f>
        <v xml:space="preserve">    Next 600 Mcf</v>
      </c>
      <c r="D1041" s="793">
        <f>Input!R47</f>
        <v>2.5514000000000001</v>
      </c>
      <c r="E1041" s="479">
        <f t="shared" ref="E1041:O1041" si="321">ROUND(E1035*$D$1041,2)</f>
        <v>14343.21</v>
      </c>
      <c r="F1041" s="479">
        <f t="shared" si="321"/>
        <v>14803.99</v>
      </c>
      <c r="G1041" s="479">
        <f t="shared" si="321"/>
        <v>16895.63</v>
      </c>
      <c r="H1041" s="479">
        <f t="shared" si="321"/>
        <v>13181.55</v>
      </c>
      <c r="I1041" s="479">
        <f t="shared" si="321"/>
        <v>10500.8</v>
      </c>
      <c r="J1041" s="479">
        <f t="shared" si="321"/>
        <v>7026.81</v>
      </c>
      <c r="K1041" s="479">
        <f t="shared" si="321"/>
        <v>7548.57</v>
      </c>
      <c r="L1041" s="479">
        <f t="shared" si="321"/>
        <v>8820.9599999999991</v>
      </c>
      <c r="M1041" s="479">
        <f t="shared" si="321"/>
        <v>8703.34</v>
      </c>
      <c r="N1041" s="479">
        <f t="shared" si="321"/>
        <v>8688.0300000000007</v>
      </c>
      <c r="O1041" s="479">
        <f t="shared" si="321"/>
        <v>10918.46</v>
      </c>
      <c r="P1041" s="479">
        <f>ROUND(P1035*$D$1041,2)</f>
        <v>13473.18</v>
      </c>
      <c r="Q1041" s="479">
        <f>SUM(E1041:P1041)</f>
        <v>134904.52999999997</v>
      </c>
    </row>
    <row r="1042" spans="1:17" s="224" customFormat="1" ht="12" x14ac:dyDescent="0.35">
      <c r="A1042" s="263">
        <f>A1041+1</f>
        <v>35</v>
      </c>
      <c r="C1042" s="224" t="str">
        <f>C1036</f>
        <v xml:space="preserve">    Over 1,000 Mcf</v>
      </c>
      <c r="D1042" s="793">
        <f>Input!S47</f>
        <v>2.3222999999999998</v>
      </c>
      <c r="E1042" s="528">
        <f t="shared" ref="E1042:O1042" si="322">ROUND(E1036*$D$1042,2)</f>
        <v>17919.8</v>
      </c>
      <c r="F1042" s="528">
        <f t="shared" si="322"/>
        <v>14953.75</v>
      </c>
      <c r="G1042" s="528">
        <f t="shared" si="322"/>
        <v>16710.11</v>
      </c>
      <c r="H1042" s="528">
        <f t="shared" si="322"/>
        <v>8547.92</v>
      </c>
      <c r="I1042" s="528">
        <f t="shared" si="322"/>
        <v>10335.86</v>
      </c>
      <c r="J1042" s="528">
        <f t="shared" si="322"/>
        <v>6615.07</v>
      </c>
      <c r="K1042" s="528">
        <f t="shared" si="322"/>
        <v>4397.04</v>
      </c>
      <c r="L1042" s="528">
        <f t="shared" si="322"/>
        <v>4866.84</v>
      </c>
      <c r="M1042" s="528">
        <f t="shared" si="322"/>
        <v>6822.45</v>
      </c>
      <c r="N1042" s="528">
        <f t="shared" si="322"/>
        <v>6860.77</v>
      </c>
      <c r="O1042" s="528">
        <f t="shared" si="322"/>
        <v>9068.58</v>
      </c>
      <c r="P1042" s="528">
        <f>ROUND(P1036*$D$1042,2)</f>
        <v>11261.99</v>
      </c>
      <c r="Q1042" s="746">
        <f>SUM(E1042:P1042)</f>
        <v>118360.18000000001</v>
      </c>
    </row>
    <row r="1043" spans="1:17" s="224" customFormat="1" x14ac:dyDescent="0.2">
      <c r="A1043" s="263"/>
      <c r="D1043" s="519"/>
      <c r="E1043" s="434">
        <f t="shared" ref="E1043:P1043" si="323">SUM(E1039:E1042)</f>
        <v>44835.16</v>
      </c>
      <c r="F1043" s="434">
        <f t="shared" si="323"/>
        <v>42558.7</v>
      </c>
      <c r="G1043" s="434">
        <f t="shared" si="323"/>
        <v>48240.4</v>
      </c>
      <c r="H1043" s="434">
        <f t="shared" si="323"/>
        <v>36316.019999999997</v>
      </c>
      <c r="I1043" s="434">
        <f t="shared" si="323"/>
        <v>33597.880000000005</v>
      </c>
      <c r="J1043" s="434">
        <f t="shared" si="323"/>
        <v>22797.84</v>
      </c>
      <c r="K1043" s="434">
        <f t="shared" si="323"/>
        <v>20885.03</v>
      </c>
      <c r="L1043" s="434">
        <f t="shared" si="323"/>
        <v>23518.789999999997</v>
      </c>
      <c r="M1043" s="434">
        <f t="shared" si="323"/>
        <v>25167.02</v>
      </c>
      <c r="N1043" s="434">
        <f t="shared" si="323"/>
        <v>26053.23</v>
      </c>
      <c r="O1043" s="434">
        <f t="shared" si="323"/>
        <v>32589.47</v>
      </c>
      <c r="P1043" s="434">
        <f t="shared" si="323"/>
        <v>38275.839999999997</v>
      </c>
      <c r="Q1043" s="434">
        <f>SUM(E1043:P1043)</f>
        <v>394835.38</v>
      </c>
    </row>
    <row r="1044" spans="1:17" s="224" customFormat="1" x14ac:dyDescent="0.2">
      <c r="A1044" s="263"/>
      <c r="D1044" s="519"/>
      <c r="E1044" s="292"/>
      <c r="F1044" s="292"/>
      <c r="G1044" s="292"/>
      <c r="H1044" s="292"/>
      <c r="I1044" s="292"/>
      <c r="J1044" s="292"/>
      <c r="K1044" s="292"/>
      <c r="L1044" s="292"/>
      <c r="M1044" s="292"/>
      <c r="N1044" s="292"/>
      <c r="O1044" s="292"/>
      <c r="P1044" s="292"/>
      <c r="Q1044" s="292"/>
    </row>
    <row r="1045" spans="1:17" s="224" customFormat="1" x14ac:dyDescent="0.2">
      <c r="A1045" s="263">
        <f>A1042+1</f>
        <v>36</v>
      </c>
      <c r="C1045" s="224" t="s">
        <v>204</v>
      </c>
      <c r="D1045" s="519"/>
      <c r="E1045" s="434">
        <f t="shared" ref="E1045:P1045" si="324">E1028+E1029+E1030+E1043</f>
        <v>45600.160000000003</v>
      </c>
      <c r="F1045" s="434">
        <f t="shared" si="324"/>
        <v>43323.7</v>
      </c>
      <c r="G1045" s="434">
        <f t="shared" si="324"/>
        <v>49005.4</v>
      </c>
      <c r="H1045" s="434">
        <f t="shared" si="324"/>
        <v>37081.019999999997</v>
      </c>
      <c r="I1045" s="434">
        <f t="shared" si="324"/>
        <v>34362.880000000005</v>
      </c>
      <c r="J1045" s="434">
        <f t="shared" si="324"/>
        <v>23562.84</v>
      </c>
      <c r="K1045" s="434">
        <f t="shared" si="324"/>
        <v>21650.03</v>
      </c>
      <c r="L1045" s="434">
        <f t="shared" si="324"/>
        <v>24283.789999999997</v>
      </c>
      <c r="M1045" s="434">
        <f t="shared" si="324"/>
        <v>25932.02</v>
      </c>
      <c r="N1045" s="434">
        <f t="shared" si="324"/>
        <v>26818.23</v>
      </c>
      <c r="O1045" s="434">
        <f t="shared" si="324"/>
        <v>33354.47</v>
      </c>
      <c r="P1045" s="434">
        <f t="shared" si="324"/>
        <v>39040.839999999997</v>
      </c>
      <c r="Q1045" s="434">
        <f>SUM(E1045:P1045)</f>
        <v>404015.38</v>
      </c>
    </row>
    <row r="1046" spans="1:17" s="224" customFormat="1" x14ac:dyDescent="0.2">
      <c r="A1046" s="263"/>
      <c r="D1046" s="519"/>
      <c r="E1046" s="737"/>
      <c r="F1046" s="542"/>
      <c r="G1046" s="543"/>
      <c r="H1046" s="542"/>
      <c r="I1046" s="522"/>
      <c r="J1046" s="544"/>
      <c r="K1046" s="542"/>
      <c r="L1046" s="542"/>
      <c r="M1046" s="542"/>
      <c r="N1046" s="542"/>
      <c r="O1046" s="542"/>
      <c r="P1046" s="542"/>
      <c r="Q1046" s="489"/>
    </row>
    <row r="1047" spans="1:17" s="224" customFormat="1" x14ac:dyDescent="0.2">
      <c r="A1047" s="263">
        <f>A1045+1</f>
        <v>37</v>
      </c>
      <c r="C1047" s="224" t="s">
        <v>151</v>
      </c>
      <c r="D1047" s="794">
        <v>0</v>
      </c>
      <c r="E1047" s="517">
        <v>0</v>
      </c>
      <c r="F1047" s="517">
        <v>0</v>
      </c>
      <c r="G1047" s="517">
        <v>0</v>
      </c>
      <c r="H1047" s="517">
        <v>0</v>
      </c>
      <c r="I1047" s="517">
        <v>0</v>
      </c>
      <c r="J1047" s="517">
        <v>0</v>
      </c>
      <c r="K1047" s="517">
        <v>0</v>
      </c>
      <c r="L1047" s="517">
        <v>0</v>
      </c>
      <c r="M1047" s="517">
        <v>0</v>
      </c>
      <c r="N1047" s="517">
        <v>0</v>
      </c>
      <c r="O1047" s="517">
        <v>0</v>
      </c>
      <c r="P1047" s="517">
        <v>0</v>
      </c>
      <c r="Q1047" s="434">
        <f>SUM(E1047:P1047)</f>
        <v>0</v>
      </c>
    </row>
    <row r="1048" spans="1:17" s="224" customFormat="1" x14ac:dyDescent="0.2">
      <c r="A1048" s="263"/>
      <c r="D1048" s="290"/>
      <c r="F1048" s="292"/>
      <c r="G1048" s="476"/>
      <c r="H1048" s="292"/>
      <c r="I1048" s="297"/>
      <c r="J1048" s="292"/>
      <c r="K1048" s="292"/>
      <c r="L1048" s="292"/>
      <c r="M1048" s="292"/>
      <c r="N1048" s="292"/>
      <c r="O1048" s="292"/>
      <c r="P1048" s="292"/>
      <c r="Q1048" s="476"/>
    </row>
    <row r="1049" spans="1:17" s="224" customFormat="1" ht="10.8" thickBot="1" x14ac:dyDescent="0.25">
      <c r="A1049" s="724">
        <f>A1047+1</f>
        <v>38</v>
      </c>
      <c r="B1049" s="496"/>
      <c r="C1049" s="725" t="s">
        <v>205</v>
      </c>
      <c r="D1049" s="726"/>
      <c r="E1049" s="499">
        <f t="shared" ref="E1049:P1049" si="325">E1045+E1047</f>
        <v>45600.160000000003</v>
      </c>
      <c r="F1049" s="499">
        <f t="shared" si="325"/>
        <v>43323.7</v>
      </c>
      <c r="G1049" s="499">
        <f t="shared" si="325"/>
        <v>49005.4</v>
      </c>
      <c r="H1049" s="499">
        <f t="shared" si="325"/>
        <v>37081.019999999997</v>
      </c>
      <c r="I1049" s="499">
        <f t="shared" si="325"/>
        <v>34362.880000000005</v>
      </c>
      <c r="J1049" s="499">
        <f t="shared" si="325"/>
        <v>23562.84</v>
      </c>
      <c r="K1049" s="499">
        <f t="shared" si="325"/>
        <v>21650.03</v>
      </c>
      <c r="L1049" s="499">
        <f t="shared" si="325"/>
        <v>24283.789999999997</v>
      </c>
      <c r="M1049" s="499">
        <f t="shared" si="325"/>
        <v>25932.02</v>
      </c>
      <c r="N1049" s="499">
        <f t="shared" si="325"/>
        <v>26818.23</v>
      </c>
      <c r="O1049" s="499">
        <f t="shared" si="325"/>
        <v>33354.47</v>
      </c>
      <c r="P1049" s="499">
        <f t="shared" si="325"/>
        <v>39040.839999999997</v>
      </c>
      <c r="Q1049" s="499">
        <f>SUM(E1049:P1049)</f>
        <v>404015.38</v>
      </c>
    </row>
    <row r="1050" spans="1:17" s="224" customFormat="1" ht="10.8" thickTop="1" x14ac:dyDescent="0.2">
      <c r="A1050" s="263"/>
      <c r="D1050" s="290"/>
      <c r="F1050" s="292"/>
      <c r="G1050" s="476"/>
      <c r="H1050" s="292"/>
      <c r="I1050" s="297"/>
      <c r="J1050" s="292"/>
      <c r="K1050" s="292"/>
      <c r="L1050" s="292"/>
      <c r="M1050" s="292"/>
      <c r="N1050" s="292"/>
      <c r="O1050" s="292"/>
      <c r="P1050" s="292"/>
    </row>
    <row r="1051" spans="1:17" s="224" customFormat="1" x14ac:dyDescent="0.2">
      <c r="A1051" s="263"/>
      <c r="D1051" s="290"/>
      <c r="F1051" s="292"/>
      <c r="G1051" s="476"/>
      <c r="H1051" s="292"/>
      <c r="I1051" s="297"/>
      <c r="J1051" s="292"/>
      <c r="K1051" s="292"/>
      <c r="L1051" s="292"/>
      <c r="M1051" s="292"/>
      <c r="N1051" s="292"/>
      <c r="O1051" s="292"/>
      <c r="P1051" s="292"/>
    </row>
    <row r="1052" spans="1:17" s="224" customFormat="1" x14ac:dyDescent="0.2">
      <c r="A1052" s="629" t="str">
        <f>$A$265</f>
        <v>[1] Reflects Normalized Volumes.</v>
      </c>
      <c r="D1052" s="290"/>
      <c r="F1052" s="292"/>
      <c r="G1052" s="476"/>
      <c r="H1052" s="292"/>
      <c r="I1052" s="297"/>
      <c r="J1052" s="292"/>
      <c r="K1052" s="292"/>
      <c r="L1052" s="292"/>
      <c r="M1052" s="292"/>
      <c r="N1052" s="292"/>
      <c r="O1052" s="292"/>
      <c r="P1052" s="292"/>
    </row>
    <row r="1053" spans="1:17" s="224" customFormat="1" x14ac:dyDescent="0.2">
      <c r="A1053" s="889" t="str">
        <f>CONAME</f>
        <v>Columbia Gas of Kentucky, Inc.</v>
      </c>
      <c r="B1053" s="889"/>
      <c r="C1053" s="889"/>
      <c r="D1053" s="889"/>
      <c r="E1053" s="889"/>
      <c r="F1053" s="889"/>
      <c r="G1053" s="889"/>
      <c r="H1053" s="889"/>
      <c r="I1053" s="889"/>
      <c r="J1053" s="889"/>
      <c r="K1053" s="889"/>
      <c r="L1053" s="889"/>
      <c r="M1053" s="889"/>
      <c r="N1053" s="889"/>
      <c r="O1053" s="889"/>
      <c r="P1053" s="889"/>
      <c r="Q1053" s="889"/>
    </row>
    <row r="1054" spans="1:17" s="224" customFormat="1" x14ac:dyDescent="0.2">
      <c r="A1054" s="872" t="str">
        <f>case</f>
        <v>Case No. 2016-00162</v>
      </c>
      <c r="B1054" s="872"/>
      <c r="C1054" s="872"/>
      <c r="D1054" s="872"/>
      <c r="E1054" s="872"/>
      <c r="F1054" s="872"/>
      <c r="G1054" s="872"/>
      <c r="H1054" s="872"/>
      <c r="I1054" s="872"/>
      <c r="J1054" s="872"/>
      <c r="K1054" s="872"/>
      <c r="L1054" s="872"/>
      <c r="M1054" s="872"/>
      <c r="N1054" s="872"/>
      <c r="O1054" s="872"/>
      <c r="P1054" s="872"/>
      <c r="Q1054" s="872"/>
    </row>
    <row r="1055" spans="1:17" s="224" customFormat="1" x14ac:dyDescent="0.2">
      <c r="A1055" s="892" t="s">
        <v>200</v>
      </c>
      <c r="B1055" s="892"/>
      <c r="C1055" s="892"/>
      <c r="D1055" s="892"/>
      <c r="E1055" s="892"/>
      <c r="F1055" s="892"/>
      <c r="G1055" s="892"/>
      <c r="H1055" s="892"/>
      <c r="I1055" s="892"/>
      <c r="J1055" s="892"/>
      <c r="K1055" s="892"/>
      <c r="L1055" s="892"/>
      <c r="M1055" s="892"/>
      <c r="N1055" s="892"/>
      <c r="O1055" s="892"/>
      <c r="P1055" s="892"/>
      <c r="Q1055" s="892"/>
    </row>
    <row r="1056" spans="1:17" s="224" customFormat="1" x14ac:dyDescent="0.2">
      <c r="A1056" s="889" t="str">
        <f>TYDESC</f>
        <v>For the 12 Months Ended December 31, 2017</v>
      </c>
      <c r="B1056" s="889"/>
      <c r="C1056" s="889"/>
      <c r="D1056" s="889"/>
      <c r="E1056" s="889"/>
      <c r="F1056" s="889"/>
      <c r="G1056" s="889"/>
      <c r="H1056" s="889"/>
      <c r="I1056" s="889"/>
      <c r="J1056" s="889"/>
      <c r="K1056" s="889"/>
      <c r="L1056" s="889"/>
      <c r="M1056" s="889"/>
      <c r="N1056" s="889"/>
      <c r="O1056" s="889"/>
      <c r="P1056" s="889"/>
      <c r="Q1056" s="889"/>
    </row>
    <row r="1057" spans="1:17" s="224" customFormat="1" x14ac:dyDescent="0.2">
      <c r="A1057" s="890" t="s">
        <v>39</v>
      </c>
      <c r="B1057" s="890"/>
      <c r="C1057" s="890"/>
      <c r="D1057" s="890"/>
      <c r="E1057" s="890"/>
      <c r="F1057" s="890"/>
      <c r="G1057" s="890"/>
      <c r="H1057" s="890"/>
      <c r="I1057" s="890"/>
      <c r="J1057" s="890"/>
      <c r="K1057" s="890"/>
      <c r="L1057" s="890"/>
      <c r="M1057" s="890"/>
      <c r="N1057" s="890"/>
      <c r="O1057" s="890"/>
      <c r="P1057" s="890"/>
      <c r="Q1057" s="890"/>
    </row>
    <row r="1058" spans="1:17" s="224" customFormat="1" x14ac:dyDescent="0.2">
      <c r="A1058" s="718" t="str">
        <f>$A$52</f>
        <v>Data: __ Base Period _X_ Forecasted Period</v>
      </c>
      <c r="D1058" s="290"/>
      <c r="F1058" s="292"/>
      <c r="G1058" s="476"/>
      <c r="H1058" s="292"/>
      <c r="I1058" s="297"/>
      <c r="J1058" s="292"/>
      <c r="K1058" s="292"/>
      <c r="L1058" s="292"/>
      <c r="M1058" s="292"/>
      <c r="N1058" s="292"/>
      <c r="O1058" s="292"/>
      <c r="P1058" s="292"/>
    </row>
    <row r="1059" spans="1:17" s="224" customFormat="1" x14ac:dyDescent="0.2">
      <c r="A1059" s="718" t="str">
        <f>$A$53</f>
        <v>Type of Filing: X Original _ Update _ Revised</v>
      </c>
      <c r="D1059" s="290"/>
      <c r="F1059" s="292"/>
      <c r="G1059" s="476"/>
      <c r="H1059" s="292"/>
      <c r="I1059" s="297"/>
      <c r="J1059" s="292"/>
      <c r="K1059" s="292"/>
      <c r="L1059" s="292"/>
      <c r="M1059" s="292"/>
      <c r="N1059" s="292"/>
      <c r="O1059" s="292"/>
      <c r="P1059" s="292"/>
      <c r="Q1059" s="727" t="str">
        <f>$Q$53</f>
        <v>Schedule M-2.3</v>
      </c>
    </row>
    <row r="1060" spans="1:17" s="224" customFormat="1" x14ac:dyDescent="0.2">
      <c r="A1060" s="718" t="str">
        <f>$A$54</f>
        <v>Work Paper Reference No(s):</v>
      </c>
      <c r="D1060" s="290"/>
      <c r="F1060" s="292"/>
      <c r="G1060" s="476"/>
      <c r="H1060" s="292"/>
      <c r="I1060" s="297"/>
      <c r="J1060" s="292"/>
      <c r="K1060" s="292"/>
      <c r="L1060" s="292"/>
      <c r="M1060" s="292"/>
      <c r="N1060" s="292"/>
      <c r="O1060" s="292"/>
      <c r="P1060" s="292"/>
      <c r="Q1060" s="727" t="s">
        <v>518</v>
      </c>
    </row>
    <row r="1061" spans="1:17" s="224" customFormat="1" x14ac:dyDescent="0.2">
      <c r="A1061" s="719" t="str">
        <f>$A$55</f>
        <v>12 Months Forecasted</v>
      </c>
      <c r="D1061" s="290"/>
      <c r="F1061" s="292"/>
      <c r="G1061" s="476"/>
      <c r="H1061" s="292"/>
      <c r="I1061" s="297"/>
      <c r="J1061" s="292"/>
      <c r="K1061" s="292"/>
      <c r="L1061" s="292"/>
      <c r="M1061" s="292"/>
      <c r="N1061" s="292"/>
      <c r="O1061" s="292"/>
      <c r="P1061" s="292"/>
      <c r="Q1061" s="727" t="str">
        <f>Witness</f>
        <v>Witness:  M. J. Bell</v>
      </c>
    </row>
    <row r="1062" spans="1:17" s="224" customFormat="1" x14ac:dyDescent="0.2">
      <c r="A1062" s="891" t="s">
        <v>294</v>
      </c>
      <c r="B1062" s="891"/>
      <c r="C1062" s="891"/>
      <c r="D1062" s="891"/>
      <c r="E1062" s="891"/>
      <c r="F1062" s="891"/>
      <c r="G1062" s="891"/>
      <c r="H1062" s="891"/>
      <c r="I1062" s="891"/>
      <c r="J1062" s="891"/>
      <c r="K1062" s="891"/>
      <c r="L1062" s="891"/>
      <c r="M1062" s="891"/>
      <c r="N1062" s="891"/>
      <c r="O1062" s="891"/>
      <c r="P1062" s="891"/>
      <c r="Q1062" s="891"/>
    </row>
    <row r="1063" spans="1:17" s="224" customFormat="1" x14ac:dyDescent="0.2">
      <c r="A1063" s="227"/>
      <c r="B1063" s="306"/>
      <c r="C1063" s="306"/>
      <c r="D1063" s="308"/>
      <c r="E1063" s="306"/>
      <c r="F1063" s="502"/>
      <c r="G1063" s="503"/>
      <c r="H1063" s="502"/>
      <c r="I1063" s="504"/>
      <c r="J1063" s="502"/>
      <c r="K1063" s="502"/>
      <c r="L1063" s="502"/>
      <c r="M1063" s="502"/>
      <c r="N1063" s="502"/>
      <c r="O1063" s="502"/>
      <c r="P1063" s="502"/>
      <c r="Q1063" s="306"/>
    </row>
    <row r="1064" spans="1:17" s="224" customFormat="1" x14ac:dyDescent="0.2">
      <c r="A1064" s="416" t="s">
        <v>1</v>
      </c>
      <c r="B1064" s="416" t="s">
        <v>0</v>
      </c>
      <c r="C1064" s="416" t="s">
        <v>41</v>
      </c>
      <c r="D1064" s="423" t="s">
        <v>30</v>
      </c>
      <c r="E1064" s="416"/>
      <c r="F1064" s="729"/>
      <c r="G1064" s="732"/>
      <c r="H1064" s="729"/>
      <c r="I1064" s="733"/>
      <c r="J1064" s="729"/>
      <c r="K1064" s="729"/>
      <c r="L1064" s="729"/>
      <c r="M1064" s="729"/>
      <c r="N1064" s="729"/>
      <c r="O1064" s="729"/>
      <c r="P1064" s="729"/>
      <c r="Q1064" s="232"/>
    </row>
    <row r="1065" spans="1:17" s="224" customFormat="1" x14ac:dyDescent="0.2">
      <c r="A1065" s="285" t="s">
        <v>3</v>
      </c>
      <c r="B1065" s="285" t="s">
        <v>40</v>
      </c>
      <c r="C1065" s="285" t="s">
        <v>4</v>
      </c>
      <c r="D1065" s="427" t="s">
        <v>48</v>
      </c>
      <c r="E1065" s="428" t="str">
        <f>B!$D$11</f>
        <v>Jan-17</v>
      </c>
      <c r="F1065" s="428" t="str">
        <f>B!$E$11</f>
        <v>Feb-17</v>
      </c>
      <c r="G1065" s="428" t="str">
        <f>B!$F$11</f>
        <v>Mar-17</v>
      </c>
      <c r="H1065" s="428" t="str">
        <f>B!$G$11</f>
        <v>Apr-17</v>
      </c>
      <c r="I1065" s="428" t="str">
        <f>B!$H$11</f>
        <v>May-17</v>
      </c>
      <c r="J1065" s="428" t="str">
        <f>B!$I$11</f>
        <v>Jun-17</v>
      </c>
      <c r="K1065" s="428" t="str">
        <f>B!$J$11</f>
        <v>Jul-17</v>
      </c>
      <c r="L1065" s="428" t="str">
        <f>B!$K$11</f>
        <v>Aug-17</v>
      </c>
      <c r="M1065" s="428" t="str">
        <f>B!$L$11</f>
        <v>Sep-17</v>
      </c>
      <c r="N1065" s="428" t="str">
        <f>B!$M$11</f>
        <v>Oct-17</v>
      </c>
      <c r="O1065" s="428" t="str">
        <f>B!$N$11</f>
        <v>Nov-17</v>
      </c>
      <c r="P1065" s="428" t="str">
        <f>B!$O$11</f>
        <v>Dec-17</v>
      </c>
      <c r="Q1065" s="428" t="s">
        <v>9</v>
      </c>
    </row>
    <row r="1066" spans="1:17" s="224" customFormat="1" ht="20.100000000000001" customHeight="1" x14ac:dyDescent="0.2">
      <c r="A1066" s="416"/>
      <c r="B1066" s="231" t="s">
        <v>42</v>
      </c>
      <c r="C1066" s="231" t="s">
        <v>43</v>
      </c>
      <c r="D1066" s="430" t="s">
        <v>45</v>
      </c>
      <c r="E1066" s="431" t="s">
        <v>46</v>
      </c>
      <c r="F1066" s="431" t="s">
        <v>49</v>
      </c>
      <c r="G1066" s="431" t="s">
        <v>50</v>
      </c>
      <c r="H1066" s="431" t="s">
        <v>51</v>
      </c>
      <c r="I1066" s="431" t="s">
        <v>52</v>
      </c>
      <c r="J1066" s="432" t="s">
        <v>53</v>
      </c>
      <c r="K1066" s="432" t="s">
        <v>54</v>
      </c>
      <c r="L1066" s="432" t="s">
        <v>55</v>
      </c>
      <c r="M1066" s="432" t="s">
        <v>56</v>
      </c>
      <c r="N1066" s="432" t="s">
        <v>57</v>
      </c>
      <c r="O1066" s="432" t="s">
        <v>58</v>
      </c>
      <c r="P1066" s="432" t="s">
        <v>59</v>
      </c>
      <c r="Q1066" s="432" t="s">
        <v>203</v>
      </c>
    </row>
    <row r="1067" spans="1:17" s="224" customFormat="1" x14ac:dyDescent="0.2">
      <c r="A1067" s="263"/>
      <c r="D1067" s="290"/>
      <c r="E1067" s="232"/>
      <c r="F1067" s="734"/>
      <c r="G1067" s="730"/>
      <c r="H1067" s="734"/>
      <c r="I1067" s="731"/>
      <c r="J1067" s="734"/>
      <c r="K1067" s="734"/>
      <c r="L1067" s="734"/>
      <c r="M1067" s="734"/>
      <c r="N1067" s="734"/>
      <c r="O1067" s="734"/>
      <c r="P1067" s="734"/>
      <c r="Q1067" s="232"/>
    </row>
    <row r="1068" spans="1:17" s="224" customFormat="1" x14ac:dyDescent="0.2">
      <c r="A1068" s="263">
        <v>1</v>
      </c>
      <c r="B1068" s="224" t="str">
        <f>B292</f>
        <v>DS3</v>
      </c>
      <c r="C1068" s="224" t="str">
        <f>C292</f>
        <v>GTS Main Line Service - Industrial</v>
      </c>
      <c r="D1068" s="290"/>
      <c r="F1068" s="292"/>
      <c r="G1068" s="476"/>
      <c r="H1068" s="292"/>
      <c r="I1068" s="297"/>
      <c r="J1068" s="292"/>
      <c r="K1068" s="292"/>
      <c r="L1068" s="292"/>
      <c r="M1068" s="292"/>
      <c r="N1068" s="292"/>
      <c r="O1068" s="292"/>
      <c r="P1068" s="292"/>
    </row>
    <row r="1069" spans="1:17" s="224" customFormat="1" x14ac:dyDescent="0.2">
      <c r="A1069" s="263"/>
      <c r="D1069" s="290"/>
      <c r="F1069" s="292"/>
      <c r="G1069" s="476"/>
      <c r="H1069" s="292"/>
      <c r="I1069" s="297"/>
      <c r="J1069" s="292"/>
      <c r="K1069" s="292"/>
      <c r="L1069" s="292"/>
      <c r="M1069" s="292"/>
      <c r="N1069" s="292"/>
      <c r="O1069" s="292"/>
      <c r="P1069" s="292"/>
    </row>
    <row r="1070" spans="1:17" s="224" customFormat="1" x14ac:dyDescent="0.2">
      <c r="A1070" s="263">
        <f>A1068+1</f>
        <v>2</v>
      </c>
      <c r="C1070" s="266" t="s">
        <v>112</v>
      </c>
      <c r="D1070" s="290"/>
      <c r="F1070" s="292"/>
      <c r="G1070" s="476"/>
      <c r="H1070" s="292"/>
      <c r="I1070" s="297"/>
      <c r="J1070" s="292"/>
      <c r="K1070" s="292"/>
      <c r="L1070" s="292"/>
      <c r="M1070" s="292"/>
      <c r="N1070" s="292"/>
      <c r="O1070" s="292"/>
      <c r="P1070" s="292"/>
    </row>
    <row r="1071" spans="1:17" s="224" customFormat="1" x14ac:dyDescent="0.2">
      <c r="A1071" s="263"/>
      <c r="C1071" s="266"/>
      <c r="D1071" s="290"/>
      <c r="F1071" s="292"/>
      <c r="G1071" s="476"/>
      <c r="H1071" s="292"/>
      <c r="I1071" s="297"/>
      <c r="J1071" s="292"/>
      <c r="K1071" s="292"/>
      <c r="L1071" s="292"/>
      <c r="M1071" s="292"/>
      <c r="N1071" s="292"/>
      <c r="O1071" s="292"/>
      <c r="P1071" s="292"/>
    </row>
    <row r="1072" spans="1:17" s="224" customFormat="1" x14ac:dyDescent="0.2">
      <c r="A1072" s="263">
        <f>A1070+1</f>
        <v>3</v>
      </c>
      <c r="C1072" s="224" t="s">
        <v>202</v>
      </c>
      <c r="D1072" s="290"/>
      <c r="E1072" s="479">
        <f>B!D222</f>
        <v>3</v>
      </c>
      <c r="F1072" s="479">
        <f>B!E222</f>
        <v>3</v>
      </c>
      <c r="G1072" s="479">
        <f>B!F222</f>
        <v>3</v>
      </c>
      <c r="H1072" s="479">
        <f>B!G222</f>
        <v>3</v>
      </c>
      <c r="I1072" s="479">
        <f>B!H222</f>
        <v>3</v>
      </c>
      <c r="J1072" s="479">
        <f>B!I222</f>
        <v>3</v>
      </c>
      <c r="K1072" s="479">
        <f>B!J222</f>
        <v>3</v>
      </c>
      <c r="L1072" s="479">
        <f>B!K222</f>
        <v>3</v>
      </c>
      <c r="M1072" s="479">
        <f>B!L222</f>
        <v>3</v>
      </c>
      <c r="N1072" s="479">
        <f>B!M222</f>
        <v>3</v>
      </c>
      <c r="O1072" s="479">
        <f>B!N222</f>
        <v>3</v>
      </c>
      <c r="P1072" s="479">
        <f>B!O222</f>
        <v>3</v>
      </c>
      <c r="Q1072" s="479">
        <f>SUM(E1072:P1072)</f>
        <v>36</v>
      </c>
    </row>
    <row r="1073" spans="1:17" s="224" customFormat="1" x14ac:dyDescent="0.2">
      <c r="A1073" s="263">
        <f>A1072+1</f>
        <v>4</v>
      </c>
      <c r="C1073" s="224" t="s">
        <v>210</v>
      </c>
      <c r="D1073" s="792">
        <f>Input!U48</f>
        <v>255.9</v>
      </c>
      <c r="E1073" s="434">
        <f t="shared" ref="E1073:P1073" si="326">ROUND(E1072*$D$1073,2)</f>
        <v>767.7</v>
      </c>
      <c r="F1073" s="434">
        <f t="shared" si="326"/>
        <v>767.7</v>
      </c>
      <c r="G1073" s="434">
        <f t="shared" si="326"/>
        <v>767.7</v>
      </c>
      <c r="H1073" s="434">
        <f t="shared" si="326"/>
        <v>767.7</v>
      </c>
      <c r="I1073" s="434">
        <f t="shared" si="326"/>
        <v>767.7</v>
      </c>
      <c r="J1073" s="434">
        <f t="shared" si="326"/>
        <v>767.7</v>
      </c>
      <c r="K1073" s="434">
        <f t="shared" si="326"/>
        <v>767.7</v>
      </c>
      <c r="L1073" s="434">
        <f t="shared" si="326"/>
        <v>767.7</v>
      </c>
      <c r="M1073" s="434">
        <f t="shared" si="326"/>
        <v>767.7</v>
      </c>
      <c r="N1073" s="434">
        <f t="shared" si="326"/>
        <v>767.7</v>
      </c>
      <c r="O1073" s="434">
        <f t="shared" si="326"/>
        <v>767.7</v>
      </c>
      <c r="P1073" s="434">
        <f t="shared" si="326"/>
        <v>767.7</v>
      </c>
      <c r="Q1073" s="434">
        <f>SUM(E1073:P1073)</f>
        <v>9212.4</v>
      </c>
    </row>
    <row r="1074" spans="1:17" s="224" customFormat="1" x14ac:dyDescent="0.2">
      <c r="A1074" s="263">
        <f>A1073+1</f>
        <v>5</v>
      </c>
      <c r="C1074" s="224" t="s">
        <v>217</v>
      </c>
      <c r="D1074" s="792">
        <f>Input!V48</f>
        <v>0</v>
      </c>
      <c r="E1074" s="434">
        <f t="shared" ref="E1074:P1074" si="327">ROUND(E1072*$D$1074,2)</f>
        <v>0</v>
      </c>
      <c r="F1074" s="434">
        <f t="shared" si="327"/>
        <v>0</v>
      </c>
      <c r="G1074" s="434">
        <f t="shared" si="327"/>
        <v>0</v>
      </c>
      <c r="H1074" s="434">
        <f t="shared" si="327"/>
        <v>0</v>
      </c>
      <c r="I1074" s="434">
        <f t="shared" si="327"/>
        <v>0</v>
      </c>
      <c r="J1074" s="434">
        <f t="shared" si="327"/>
        <v>0</v>
      </c>
      <c r="K1074" s="434">
        <f t="shared" si="327"/>
        <v>0</v>
      </c>
      <c r="L1074" s="434">
        <f t="shared" si="327"/>
        <v>0</v>
      </c>
      <c r="M1074" s="434">
        <f t="shared" si="327"/>
        <v>0</v>
      </c>
      <c r="N1074" s="434">
        <f t="shared" si="327"/>
        <v>0</v>
      </c>
      <c r="O1074" s="434">
        <f t="shared" si="327"/>
        <v>0</v>
      </c>
      <c r="P1074" s="434">
        <f t="shared" si="327"/>
        <v>0</v>
      </c>
      <c r="Q1074" s="434">
        <f>SUM(E1074:P1074)</f>
        <v>0</v>
      </c>
    </row>
    <row r="1075" spans="1:17" s="224" customFormat="1" x14ac:dyDescent="0.2">
      <c r="A1075" s="263"/>
      <c r="D1075" s="290"/>
      <c r="F1075" s="292"/>
      <c r="G1075" s="476"/>
      <c r="H1075" s="292"/>
      <c r="I1075" s="297"/>
      <c r="J1075" s="292"/>
      <c r="K1075" s="292"/>
      <c r="L1075" s="292"/>
      <c r="M1075" s="292"/>
      <c r="N1075" s="292"/>
      <c r="O1075" s="292"/>
      <c r="P1075" s="292"/>
    </row>
    <row r="1076" spans="1:17" s="224" customFormat="1" x14ac:dyDescent="0.2">
      <c r="A1076" s="263">
        <f>A1074+1</f>
        <v>6</v>
      </c>
      <c r="C1076" s="224" t="s">
        <v>218</v>
      </c>
      <c r="D1076" s="290"/>
      <c r="E1076" s="297">
        <f>'C'!D325</f>
        <v>58289</v>
      </c>
      <c r="F1076" s="297">
        <f>'C'!E325</f>
        <v>56724</v>
      </c>
      <c r="G1076" s="297">
        <f>'C'!F325</f>
        <v>56724</v>
      </c>
      <c r="H1076" s="297">
        <f>'C'!G325</f>
        <v>57213</v>
      </c>
      <c r="I1076" s="297">
        <f>'C'!H325</f>
        <v>57995</v>
      </c>
      <c r="J1076" s="297">
        <f>'C'!I325</f>
        <v>58484</v>
      </c>
      <c r="K1076" s="297">
        <f>'C'!J325</f>
        <v>55942</v>
      </c>
      <c r="L1076" s="297">
        <f>'C'!K325</f>
        <v>54866</v>
      </c>
      <c r="M1076" s="297">
        <f>'C'!L325</f>
        <v>55746</v>
      </c>
      <c r="N1076" s="297">
        <f>'C'!M325</f>
        <v>58093</v>
      </c>
      <c r="O1076" s="297">
        <f>'C'!N325</f>
        <v>57604</v>
      </c>
      <c r="P1076" s="297">
        <f>'C'!O325</f>
        <v>53301</v>
      </c>
      <c r="Q1076" s="297">
        <f>SUM(E1076:P1076)</f>
        <v>680981</v>
      </c>
    </row>
    <row r="1077" spans="1:17" s="224" customFormat="1" x14ac:dyDescent="0.2">
      <c r="A1077" s="263">
        <f>A1076+1</f>
        <v>7</v>
      </c>
      <c r="C1077" s="290" t="s">
        <v>207</v>
      </c>
      <c r="D1077" s="793">
        <f>Input!P48</f>
        <v>8.5800000000000001E-2</v>
      </c>
      <c r="E1077" s="434">
        <f t="shared" ref="E1077:P1077" si="328">ROUND(E1076*$D$1077,2)</f>
        <v>5001.2</v>
      </c>
      <c r="F1077" s="434">
        <f t="shared" si="328"/>
        <v>4866.92</v>
      </c>
      <c r="G1077" s="434">
        <f t="shared" si="328"/>
        <v>4866.92</v>
      </c>
      <c r="H1077" s="434">
        <f t="shared" si="328"/>
        <v>4908.88</v>
      </c>
      <c r="I1077" s="434">
        <f t="shared" si="328"/>
        <v>4975.97</v>
      </c>
      <c r="J1077" s="434">
        <f t="shared" si="328"/>
        <v>5017.93</v>
      </c>
      <c r="K1077" s="434">
        <f t="shared" si="328"/>
        <v>4799.82</v>
      </c>
      <c r="L1077" s="434">
        <f t="shared" si="328"/>
        <v>4707.5</v>
      </c>
      <c r="M1077" s="434">
        <f t="shared" si="328"/>
        <v>4783.01</v>
      </c>
      <c r="N1077" s="434">
        <f t="shared" si="328"/>
        <v>4984.38</v>
      </c>
      <c r="O1077" s="434">
        <f t="shared" si="328"/>
        <v>4942.42</v>
      </c>
      <c r="P1077" s="434">
        <f t="shared" si="328"/>
        <v>4573.2299999999996</v>
      </c>
      <c r="Q1077" s="434">
        <f>SUM(E1077:P1077)</f>
        <v>58428.179999999993</v>
      </c>
    </row>
    <row r="1078" spans="1:17" s="224" customFormat="1" x14ac:dyDescent="0.2">
      <c r="A1078" s="263"/>
      <c r="D1078" s="290"/>
      <c r="F1078" s="292"/>
      <c r="G1078" s="476"/>
      <c r="H1078" s="292"/>
      <c r="I1078" s="297"/>
      <c r="J1078" s="292"/>
      <c r="K1078" s="292"/>
      <c r="L1078" s="292"/>
      <c r="M1078" s="292"/>
      <c r="N1078" s="292"/>
      <c r="O1078" s="292"/>
      <c r="P1078" s="292"/>
      <c r="Q1078" s="543"/>
    </row>
    <row r="1079" spans="1:17" s="224" customFormat="1" x14ac:dyDescent="0.2">
      <c r="A1079" s="263">
        <f>A1077+1</f>
        <v>8</v>
      </c>
      <c r="C1079" s="224" t="s">
        <v>204</v>
      </c>
      <c r="D1079" s="290"/>
      <c r="E1079" s="434">
        <f t="shared" ref="E1079:P1079" si="329">E1073+E1074+E1077</f>
        <v>5768.9</v>
      </c>
      <c r="F1079" s="434">
        <f t="shared" si="329"/>
        <v>5634.62</v>
      </c>
      <c r="G1079" s="434">
        <f t="shared" si="329"/>
        <v>5634.62</v>
      </c>
      <c r="H1079" s="434">
        <f t="shared" si="329"/>
        <v>5676.58</v>
      </c>
      <c r="I1079" s="434">
        <f t="shared" si="329"/>
        <v>5743.67</v>
      </c>
      <c r="J1079" s="434">
        <f t="shared" si="329"/>
        <v>5785.63</v>
      </c>
      <c r="K1079" s="434">
        <f t="shared" si="329"/>
        <v>5567.5199999999995</v>
      </c>
      <c r="L1079" s="434">
        <f t="shared" si="329"/>
        <v>5475.2</v>
      </c>
      <c r="M1079" s="434">
        <f t="shared" si="329"/>
        <v>5550.71</v>
      </c>
      <c r="N1079" s="434">
        <f t="shared" si="329"/>
        <v>5752.08</v>
      </c>
      <c r="O1079" s="434">
        <f t="shared" si="329"/>
        <v>5710.12</v>
      </c>
      <c r="P1079" s="434">
        <f t="shared" si="329"/>
        <v>5340.9299999999994</v>
      </c>
      <c r="Q1079" s="434">
        <f>SUM(E1079:P1079)</f>
        <v>67640.579999999987</v>
      </c>
    </row>
    <row r="1080" spans="1:17" s="224" customFormat="1" x14ac:dyDescent="0.2">
      <c r="A1080" s="263"/>
      <c r="D1080" s="290"/>
      <c r="F1080" s="292"/>
      <c r="G1080" s="476"/>
      <c r="H1080" s="292"/>
      <c r="I1080" s="297"/>
      <c r="J1080" s="292"/>
      <c r="K1080" s="292"/>
      <c r="L1080" s="292"/>
      <c r="M1080" s="292"/>
      <c r="N1080" s="292"/>
      <c r="O1080" s="292"/>
      <c r="P1080" s="292"/>
      <c r="Q1080" s="543"/>
    </row>
    <row r="1081" spans="1:17" s="224" customFormat="1" x14ac:dyDescent="0.2">
      <c r="A1081" s="263">
        <f>A1079+1</f>
        <v>9</v>
      </c>
      <c r="C1081" s="224" t="s">
        <v>151</v>
      </c>
      <c r="D1081" s="794">
        <v>0</v>
      </c>
      <c r="E1081" s="517">
        <v>0</v>
      </c>
      <c r="F1081" s="517">
        <v>0</v>
      </c>
      <c r="G1081" s="517">
        <v>0</v>
      </c>
      <c r="H1081" s="517">
        <v>0</v>
      </c>
      <c r="I1081" s="517">
        <v>0</v>
      </c>
      <c r="J1081" s="517">
        <v>0</v>
      </c>
      <c r="K1081" s="517">
        <v>0</v>
      </c>
      <c r="L1081" s="517">
        <v>0</v>
      </c>
      <c r="M1081" s="517">
        <v>0</v>
      </c>
      <c r="N1081" s="517">
        <v>0</v>
      </c>
      <c r="O1081" s="517">
        <v>0</v>
      </c>
      <c r="P1081" s="517">
        <v>0</v>
      </c>
      <c r="Q1081" s="434">
        <f>SUM(E1081:P1081)</f>
        <v>0</v>
      </c>
    </row>
    <row r="1082" spans="1:17" s="224" customFormat="1" x14ac:dyDescent="0.2">
      <c r="A1082" s="263"/>
      <c r="D1082" s="290"/>
      <c r="F1082" s="292"/>
      <c r="G1082" s="476"/>
      <c r="H1082" s="292"/>
      <c r="I1082" s="297"/>
      <c r="J1082" s="292"/>
      <c r="K1082" s="292"/>
      <c r="L1082" s="292"/>
      <c r="M1082" s="292"/>
      <c r="N1082" s="292"/>
      <c r="O1082" s="292"/>
      <c r="P1082" s="292"/>
      <c r="Q1082" s="476"/>
    </row>
    <row r="1083" spans="1:17" s="224" customFormat="1" ht="10.8" thickBot="1" x14ac:dyDescent="0.25">
      <c r="A1083" s="724">
        <f>A1081+1</f>
        <v>10</v>
      </c>
      <c r="B1083" s="496"/>
      <c r="C1083" s="725" t="s">
        <v>205</v>
      </c>
      <c r="D1083" s="726"/>
      <c r="E1083" s="499">
        <f t="shared" ref="E1083:P1083" si="330">E1079+E1081</f>
        <v>5768.9</v>
      </c>
      <c r="F1083" s="499">
        <f t="shared" si="330"/>
        <v>5634.62</v>
      </c>
      <c r="G1083" s="499">
        <f t="shared" si="330"/>
        <v>5634.62</v>
      </c>
      <c r="H1083" s="499">
        <f t="shared" si="330"/>
        <v>5676.58</v>
      </c>
      <c r="I1083" s="499">
        <f t="shared" si="330"/>
        <v>5743.67</v>
      </c>
      <c r="J1083" s="499">
        <f t="shared" si="330"/>
        <v>5785.63</v>
      </c>
      <c r="K1083" s="499">
        <f t="shared" si="330"/>
        <v>5567.5199999999995</v>
      </c>
      <c r="L1083" s="499">
        <f t="shared" si="330"/>
        <v>5475.2</v>
      </c>
      <c r="M1083" s="499">
        <f t="shared" si="330"/>
        <v>5550.71</v>
      </c>
      <c r="N1083" s="499">
        <f t="shared" si="330"/>
        <v>5752.08</v>
      </c>
      <c r="O1083" s="499">
        <f t="shared" si="330"/>
        <v>5710.12</v>
      </c>
      <c r="P1083" s="499">
        <f t="shared" si="330"/>
        <v>5340.9299999999994</v>
      </c>
      <c r="Q1083" s="499">
        <f>SUM(E1083:P1083)</f>
        <v>67640.579999999987</v>
      </c>
    </row>
    <row r="1084" spans="1:17" s="224" customFormat="1" ht="10.8" thickTop="1" x14ac:dyDescent="0.2">
      <c r="A1084" s="263"/>
      <c r="D1084" s="290"/>
      <c r="F1084" s="292"/>
      <c r="G1084" s="476"/>
      <c r="H1084" s="292"/>
      <c r="I1084" s="297"/>
      <c r="J1084" s="292"/>
      <c r="K1084" s="292"/>
      <c r="L1084" s="292"/>
      <c r="M1084" s="292"/>
      <c r="N1084" s="292"/>
      <c r="O1084" s="292"/>
      <c r="P1084" s="292"/>
    </row>
    <row r="1085" spans="1:17" s="224" customFormat="1" x14ac:dyDescent="0.2">
      <c r="A1085" s="263"/>
      <c r="D1085" s="290"/>
      <c r="F1085" s="292"/>
      <c r="G1085" s="476"/>
      <c r="H1085" s="292"/>
      <c r="I1085" s="297"/>
      <c r="J1085" s="292"/>
      <c r="K1085" s="292"/>
      <c r="L1085" s="292"/>
      <c r="M1085" s="292"/>
      <c r="N1085" s="292"/>
      <c r="O1085" s="292"/>
      <c r="P1085" s="292"/>
    </row>
    <row r="1086" spans="1:17" s="224" customFormat="1" x14ac:dyDescent="0.2">
      <c r="A1086" s="263">
        <f>A1083+1</f>
        <v>11</v>
      </c>
      <c r="B1086" s="224" t="str">
        <f>B299</f>
        <v>FX1</v>
      </c>
      <c r="C1086" s="224" t="str">
        <f>C299</f>
        <v>GTS Flex Rate - Commercial</v>
      </c>
      <c r="D1086" s="290"/>
      <c r="F1086" s="292"/>
      <c r="G1086" s="476"/>
      <c r="H1086" s="292"/>
      <c r="I1086" s="297"/>
      <c r="J1086" s="292"/>
      <c r="K1086" s="292"/>
      <c r="L1086" s="292"/>
      <c r="M1086" s="292"/>
      <c r="N1086" s="292"/>
      <c r="O1086" s="292"/>
      <c r="P1086" s="292"/>
    </row>
    <row r="1087" spans="1:17" s="224" customFormat="1" x14ac:dyDescent="0.2">
      <c r="A1087" s="263"/>
      <c r="D1087" s="290"/>
      <c r="F1087" s="292"/>
      <c r="G1087" s="476"/>
      <c r="H1087" s="292"/>
      <c r="I1087" s="297"/>
      <c r="J1087" s="292"/>
      <c r="K1087" s="292"/>
      <c r="L1087" s="292"/>
      <c r="M1087" s="292"/>
      <c r="N1087" s="292"/>
      <c r="O1087" s="292"/>
      <c r="P1087" s="292"/>
    </row>
    <row r="1088" spans="1:17" s="224" customFormat="1" x14ac:dyDescent="0.2">
      <c r="A1088" s="263">
        <f>A1086+1</f>
        <v>12</v>
      </c>
      <c r="C1088" s="266" t="s">
        <v>111</v>
      </c>
      <c r="D1088" s="290"/>
      <c r="F1088" s="292"/>
      <c r="G1088" s="476"/>
      <c r="H1088" s="292"/>
      <c r="I1088" s="297"/>
      <c r="J1088" s="292"/>
      <c r="K1088" s="292"/>
      <c r="L1088" s="292"/>
      <c r="M1088" s="292"/>
      <c r="N1088" s="292"/>
      <c r="O1088" s="292"/>
      <c r="P1088" s="292"/>
    </row>
    <row r="1089" spans="1:17" s="224" customFormat="1" x14ac:dyDescent="0.2">
      <c r="A1089" s="263"/>
      <c r="C1089" s="266"/>
      <c r="D1089" s="290"/>
      <c r="F1089" s="292"/>
      <c r="G1089" s="476"/>
      <c r="H1089" s="292"/>
      <c r="I1089" s="297"/>
      <c r="J1089" s="292"/>
      <c r="K1089" s="292"/>
      <c r="L1089" s="292"/>
      <c r="M1089" s="292"/>
      <c r="N1089" s="292"/>
      <c r="O1089" s="292"/>
      <c r="P1089" s="292"/>
    </row>
    <row r="1090" spans="1:17" s="224" customFormat="1" x14ac:dyDescent="0.2">
      <c r="A1090" s="263">
        <f>A1088+1</f>
        <v>13</v>
      </c>
      <c r="C1090" s="224" t="s">
        <v>202</v>
      </c>
      <c r="D1090" s="290"/>
      <c r="E1090" s="479">
        <f>B!D228</f>
        <v>1</v>
      </c>
      <c r="F1090" s="479">
        <f>B!E228</f>
        <v>1</v>
      </c>
      <c r="G1090" s="479">
        <f>B!F228</f>
        <v>1</v>
      </c>
      <c r="H1090" s="479">
        <f>B!G228</f>
        <v>1</v>
      </c>
      <c r="I1090" s="479">
        <f>B!H228</f>
        <v>1</v>
      </c>
      <c r="J1090" s="479">
        <f>B!I228</f>
        <v>1</v>
      </c>
      <c r="K1090" s="479">
        <f>B!J228</f>
        <v>1</v>
      </c>
      <c r="L1090" s="479">
        <f>B!K228</f>
        <v>1</v>
      </c>
      <c r="M1090" s="479">
        <f>B!L228</f>
        <v>1</v>
      </c>
      <c r="N1090" s="479">
        <f>B!M228</f>
        <v>1</v>
      </c>
      <c r="O1090" s="479">
        <f>B!N228</f>
        <v>1</v>
      </c>
      <c r="P1090" s="479">
        <f>B!O228</f>
        <v>1</v>
      </c>
      <c r="Q1090" s="479">
        <f>SUM(E1090:P1090)</f>
        <v>12</v>
      </c>
    </row>
    <row r="1091" spans="1:17" s="224" customFormat="1" x14ac:dyDescent="0.2">
      <c r="A1091" s="263">
        <f>A1090+1</f>
        <v>14</v>
      </c>
      <c r="C1091" s="224" t="s">
        <v>210</v>
      </c>
      <c r="D1091" s="792">
        <f>Input!U49</f>
        <v>1062.95</v>
      </c>
      <c r="E1091" s="434">
        <f t="shared" ref="E1091:P1091" si="331">ROUND(E1090*$D$1091,2)</f>
        <v>1062.95</v>
      </c>
      <c r="F1091" s="434">
        <f t="shared" si="331"/>
        <v>1062.95</v>
      </c>
      <c r="G1091" s="434">
        <f t="shared" si="331"/>
        <v>1062.95</v>
      </c>
      <c r="H1091" s="434">
        <f t="shared" si="331"/>
        <v>1062.95</v>
      </c>
      <c r="I1091" s="434">
        <f t="shared" si="331"/>
        <v>1062.95</v>
      </c>
      <c r="J1091" s="434">
        <f t="shared" si="331"/>
        <v>1062.95</v>
      </c>
      <c r="K1091" s="434">
        <f t="shared" si="331"/>
        <v>1062.95</v>
      </c>
      <c r="L1091" s="434">
        <f t="shared" si="331"/>
        <v>1062.95</v>
      </c>
      <c r="M1091" s="434">
        <f t="shared" si="331"/>
        <v>1062.95</v>
      </c>
      <c r="N1091" s="434">
        <f t="shared" si="331"/>
        <v>1062.95</v>
      </c>
      <c r="O1091" s="434">
        <f t="shared" si="331"/>
        <v>1062.95</v>
      </c>
      <c r="P1091" s="434">
        <f t="shared" si="331"/>
        <v>1062.95</v>
      </c>
      <c r="Q1091" s="434">
        <f>SUM(E1091:P1091)</f>
        <v>12755.400000000003</v>
      </c>
    </row>
    <row r="1092" spans="1:17" s="224" customFormat="1" x14ac:dyDescent="0.2">
      <c r="A1092" s="263">
        <f>A1091+1</f>
        <v>15</v>
      </c>
      <c r="C1092" s="224" t="s">
        <v>217</v>
      </c>
      <c r="D1092" s="792">
        <f>Input!V49</f>
        <v>0</v>
      </c>
      <c r="E1092" s="434">
        <f t="shared" ref="E1092:P1092" si="332">ROUND(E1090*$D$1092,2)</f>
        <v>0</v>
      </c>
      <c r="F1092" s="434">
        <f t="shared" si="332"/>
        <v>0</v>
      </c>
      <c r="G1092" s="434">
        <f t="shared" si="332"/>
        <v>0</v>
      </c>
      <c r="H1092" s="434">
        <f t="shared" si="332"/>
        <v>0</v>
      </c>
      <c r="I1092" s="434">
        <f t="shared" si="332"/>
        <v>0</v>
      </c>
      <c r="J1092" s="434">
        <f t="shared" si="332"/>
        <v>0</v>
      </c>
      <c r="K1092" s="434">
        <f t="shared" si="332"/>
        <v>0</v>
      </c>
      <c r="L1092" s="434">
        <f t="shared" si="332"/>
        <v>0</v>
      </c>
      <c r="M1092" s="434">
        <f t="shared" si="332"/>
        <v>0</v>
      </c>
      <c r="N1092" s="434">
        <f t="shared" si="332"/>
        <v>0</v>
      </c>
      <c r="O1092" s="434">
        <f t="shared" si="332"/>
        <v>0</v>
      </c>
      <c r="P1092" s="434">
        <f t="shared" si="332"/>
        <v>0</v>
      </c>
      <c r="Q1092" s="434">
        <f>SUM(E1092:P1092)</f>
        <v>0</v>
      </c>
    </row>
    <row r="1093" spans="1:17" s="224" customFormat="1" x14ac:dyDescent="0.2">
      <c r="A1093" s="263"/>
      <c r="D1093" s="290"/>
      <c r="F1093" s="292"/>
      <c r="G1093" s="476"/>
      <c r="H1093" s="292"/>
      <c r="I1093" s="297"/>
      <c r="J1093" s="292"/>
      <c r="K1093" s="292"/>
      <c r="L1093" s="292"/>
      <c r="M1093" s="292"/>
      <c r="N1093" s="292"/>
      <c r="O1093" s="292"/>
      <c r="P1093" s="292"/>
    </row>
    <row r="1094" spans="1:17" s="224" customFormat="1" x14ac:dyDescent="0.2">
      <c r="A1094" s="263">
        <f>A1092+1</f>
        <v>16</v>
      </c>
      <c r="C1094" s="224" t="s">
        <v>209</v>
      </c>
      <c r="D1094" s="290"/>
      <c r="E1094" s="297">
        <f>'C'!D330</f>
        <v>74328</v>
      </c>
      <c r="F1094" s="297">
        <f>'C'!E330</f>
        <v>58680</v>
      </c>
      <c r="G1094" s="297">
        <f>'C'!F330</f>
        <v>70416</v>
      </c>
      <c r="H1094" s="297">
        <f>'C'!G330</f>
        <v>34230</v>
      </c>
      <c r="I1094" s="297">
        <f>'C'!H330</f>
        <v>29340</v>
      </c>
      <c r="J1094" s="297">
        <f>'C'!I330</f>
        <v>29340</v>
      </c>
      <c r="K1094" s="297">
        <f>'C'!J330</f>
        <v>29340</v>
      </c>
      <c r="L1094" s="297">
        <f>'C'!K330</f>
        <v>29340</v>
      </c>
      <c r="M1094" s="297">
        <f>'C'!L330</f>
        <v>34230</v>
      </c>
      <c r="N1094" s="297">
        <f>'C'!M330</f>
        <v>39120</v>
      </c>
      <c r="O1094" s="297">
        <f>'C'!N330</f>
        <v>49878</v>
      </c>
      <c r="P1094" s="297">
        <f>'C'!O330</f>
        <v>63570</v>
      </c>
      <c r="Q1094" s="297">
        <f>SUM(E1094:P1094)</f>
        <v>541812</v>
      </c>
    </row>
    <row r="1095" spans="1:17" s="224" customFormat="1" x14ac:dyDescent="0.2">
      <c r="A1095" s="263">
        <f>A1094+1</f>
        <v>17</v>
      </c>
      <c r="C1095" s="224" t="s">
        <v>207</v>
      </c>
      <c r="D1095" s="793">
        <f>Input!P49</f>
        <v>0.39</v>
      </c>
      <c r="E1095" s="434">
        <f t="shared" ref="E1095:P1095" si="333">ROUND(E1094*$D$1095,2)</f>
        <v>28987.919999999998</v>
      </c>
      <c r="F1095" s="434">
        <f t="shared" si="333"/>
        <v>22885.200000000001</v>
      </c>
      <c r="G1095" s="434">
        <f t="shared" si="333"/>
        <v>27462.240000000002</v>
      </c>
      <c r="H1095" s="434">
        <f t="shared" si="333"/>
        <v>13349.7</v>
      </c>
      <c r="I1095" s="434">
        <f t="shared" si="333"/>
        <v>11442.6</v>
      </c>
      <c r="J1095" s="434">
        <f t="shared" si="333"/>
        <v>11442.6</v>
      </c>
      <c r="K1095" s="434">
        <f t="shared" si="333"/>
        <v>11442.6</v>
      </c>
      <c r="L1095" s="434">
        <f t="shared" si="333"/>
        <v>11442.6</v>
      </c>
      <c r="M1095" s="434">
        <f t="shared" si="333"/>
        <v>13349.7</v>
      </c>
      <c r="N1095" s="434">
        <f t="shared" si="333"/>
        <v>15256.8</v>
      </c>
      <c r="O1095" s="434">
        <f t="shared" si="333"/>
        <v>19452.419999999998</v>
      </c>
      <c r="P1095" s="434">
        <f t="shared" si="333"/>
        <v>24792.3</v>
      </c>
      <c r="Q1095" s="434">
        <f>SUM(E1095:P1095)</f>
        <v>211306.68</v>
      </c>
    </row>
    <row r="1096" spans="1:17" s="224" customFormat="1" x14ac:dyDescent="0.2">
      <c r="A1096" s="263"/>
      <c r="D1096" s="290"/>
      <c r="F1096" s="292"/>
      <c r="G1096" s="476"/>
      <c r="H1096" s="292"/>
      <c r="I1096" s="297"/>
      <c r="J1096" s="292"/>
      <c r="K1096" s="292"/>
      <c r="L1096" s="292"/>
      <c r="M1096" s="292"/>
      <c r="N1096" s="292"/>
      <c r="O1096" s="292"/>
      <c r="P1096" s="292"/>
      <c r="Q1096" s="543"/>
    </row>
    <row r="1097" spans="1:17" s="224" customFormat="1" x14ac:dyDescent="0.2">
      <c r="A1097" s="263">
        <f>A1095+1</f>
        <v>18</v>
      </c>
      <c r="C1097" s="224" t="s">
        <v>204</v>
      </c>
      <c r="D1097" s="290"/>
      <c r="E1097" s="434">
        <f t="shared" ref="E1097:P1097" si="334">E1091+E1092+E1095</f>
        <v>30050.87</v>
      </c>
      <c r="F1097" s="434">
        <f t="shared" si="334"/>
        <v>23948.15</v>
      </c>
      <c r="G1097" s="434">
        <f t="shared" si="334"/>
        <v>28525.190000000002</v>
      </c>
      <c r="H1097" s="434">
        <f t="shared" si="334"/>
        <v>14412.650000000001</v>
      </c>
      <c r="I1097" s="434">
        <f t="shared" si="334"/>
        <v>12505.550000000001</v>
      </c>
      <c r="J1097" s="434">
        <f t="shared" si="334"/>
        <v>12505.550000000001</v>
      </c>
      <c r="K1097" s="434">
        <f t="shared" si="334"/>
        <v>12505.550000000001</v>
      </c>
      <c r="L1097" s="434">
        <f t="shared" si="334"/>
        <v>12505.550000000001</v>
      </c>
      <c r="M1097" s="434">
        <f t="shared" si="334"/>
        <v>14412.650000000001</v>
      </c>
      <c r="N1097" s="434">
        <f t="shared" si="334"/>
        <v>16319.75</v>
      </c>
      <c r="O1097" s="434">
        <f t="shared" si="334"/>
        <v>20515.37</v>
      </c>
      <c r="P1097" s="434">
        <f t="shared" si="334"/>
        <v>25855.25</v>
      </c>
      <c r="Q1097" s="434">
        <f>SUM(E1097:P1097)</f>
        <v>224062.07999999999</v>
      </c>
    </row>
    <row r="1098" spans="1:17" s="224" customFormat="1" x14ac:dyDescent="0.2">
      <c r="A1098" s="263"/>
      <c r="D1098" s="290"/>
      <c r="F1098" s="292"/>
      <c r="G1098" s="476"/>
      <c r="H1098" s="292"/>
      <c r="I1098" s="297"/>
      <c r="J1098" s="292"/>
      <c r="K1098" s="292"/>
      <c r="L1098" s="292"/>
      <c r="M1098" s="292"/>
      <c r="N1098" s="292"/>
      <c r="O1098" s="292"/>
      <c r="P1098" s="292"/>
      <c r="Q1098" s="543"/>
    </row>
    <row r="1099" spans="1:17" s="224" customFormat="1" x14ac:dyDescent="0.2">
      <c r="A1099" s="263">
        <f>A1097+1</f>
        <v>19</v>
      </c>
      <c r="C1099" s="224" t="s">
        <v>151</v>
      </c>
      <c r="D1099" s="794">
        <v>0</v>
      </c>
      <c r="E1099" s="517">
        <v>0</v>
      </c>
      <c r="F1099" s="517">
        <v>0</v>
      </c>
      <c r="G1099" s="517">
        <v>0</v>
      </c>
      <c r="H1099" s="517">
        <v>0</v>
      </c>
      <c r="I1099" s="517">
        <v>0</v>
      </c>
      <c r="J1099" s="517">
        <v>0</v>
      </c>
      <c r="K1099" s="517">
        <v>0</v>
      </c>
      <c r="L1099" s="517">
        <v>0</v>
      </c>
      <c r="M1099" s="517">
        <v>0</v>
      </c>
      <c r="N1099" s="517">
        <v>0</v>
      </c>
      <c r="O1099" s="517">
        <v>0</v>
      </c>
      <c r="P1099" s="517">
        <v>0</v>
      </c>
      <c r="Q1099" s="434">
        <f>SUM(E1099:P1099)</f>
        <v>0</v>
      </c>
    </row>
    <row r="1100" spans="1:17" s="224" customFormat="1" x14ac:dyDescent="0.2">
      <c r="A1100" s="263"/>
      <c r="D1100" s="290"/>
      <c r="F1100" s="292"/>
      <c r="G1100" s="476"/>
      <c r="H1100" s="292"/>
      <c r="I1100" s="297"/>
      <c r="J1100" s="292"/>
      <c r="K1100" s="292"/>
      <c r="L1100" s="292"/>
      <c r="M1100" s="292"/>
      <c r="N1100" s="292"/>
      <c r="O1100" s="292"/>
      <c r="P1100" s="292"/>
      <c r="Q1100" s="476"/>
    </row>
    <row r="1101" spans="1:17" s="224" customFormat="1" ht="10.8" thickBot="1" x14ac:dyDescent="0.25">
      <c r="A1101" s="724">
        <f>A1099+1</f>
        <v>20</v>
      </c>
      <c r="B1101" s="496"/>
      <c r="C1101" s="725" t="s">
        <v>205</v>
      </c>
      <c r="D1101" s="726"/>
      <c r="E1101" s="499">
        <f t="shared" ref="E1101:P1101" si="335">E1097+E1099</f>
        <v>30050.87</v>
      </c>
      <c r="F1101" s="499">
        <f t="shared" si="335"/>
        <v>23948.15</v>
      </c>
      <c r="G1101" s="499">
        <f t="shared" si="335"/>
        <v>28525.190000000002</v>
      </c>
      <c r="H1101" s="499">
        <f t="shared" si="335"/>
        <v>14412.650000000001</v>
      </c>
      <c r="I1101" s="499">
        <f t="shared" si="335"/>
        <v>12505.550000000001</v>
      </c>
      <c r="J1101" s="499">
        <f t="shared" si="335"/>
        <v>12505.550000000001</v>
      </c>
      <c r="K1101" s="499">
        <f t="shared" si="335"/>
        <v>12505.550000000001</v>
      </c>
      <c r="L1101" s="499">
        <f t="shared" si="335"/>
        <v>12505.550000000001</v>
      </c>
      <c r="M1101" s="499">
        <f t="shared" si="335"/>
        <v>14412.650000000001</v>
      </c>
      <c r="N1101" s="499">
        <f t="shared" si="335"/>
        <v>16319.75</v>
      </c>
      <c r="O1101" s="499">
        <f t="shared" si="335"/>
        <v>20515.37</v>
      </c>
      <c r="P1101" s="499">
        <f t="shared" si="335"/>
        <v>25855.25</v>
      </c>
      <c r="Q1101" s="499">
        <f>SUM(E1101:P1101)</f>
        <v>224062.07999999999</v>
      </c>
    </row>
    <row r="1102" spans="1:17" s="224" customFormat="1" ht="10.8" thickTop="1" x14ac:dyDescent="0.2">
      <c r="A1102" s="263"/>
      <c r="D1102" s="290"/>
      <c r="F1102" s="292"/>
      <c r="G1102" s="476"/>
      <c r="H1102" s="292"/>
      <c r="I1102" s="297"/>
      <c r="J1102" s="292"/>
      <c r="K1102" s="292"/>
      <c r="L1102" s="292"/>
      <c r="M1102" s="292"/>
      <c r="N1102" s="292"/>
      <c r="O1102" s="292"/>
      <c r="P1102" s="292"/>
    </row>
    <row r="1103" spans="1:17" s="224" customFormat="1" x14ac:dyDescent="0.2">
      <c r="A1103" s="263"/>
      <c r="D1103" s="290"/>
      <c r="F1103" s="292"/>
      <c r="G1103" s="476"/>
      <c r="H1103" s="292"/>
      <c r="I1103" s="297"/>
      <c r="J1103" s="292"/>
      <c r="K1103" s="292"/>
      <c r="L1103" s="292"/>
      <c r="M1103" s="292"/>
      <c r="N1103" s="292"/>
      <c r="O1103" s="292"/>
      <c r="P1103" s="292"/>
    </row>
    <row r="1104" spans="1:17" s="224" customFormat="1" x14ac:dyDescent="0.2">
      <c r="A1104" s="263">
        <f>A1101+1</f>
        <v>21</v>
      </c>
      <c r="B1104" s="224" t="str">
        <f>B306</f>
        <v>FX2</v>
      </c>
      <c r="C1104" s="224" t="str">
        <f>C306</f>
        <v>GTS Flex Rate - Commercial</v>
      </c>
      <c r="D1104" s="290"/>
      <c r="F1104" s="292"/>
      <c r="G1104" s="476"/>
      <c r="H1104" s="292"/>
      <c r="I1104" s="297"/>
      <c r="J1104" s="292"/>
      <c r="K1104" s="292"/>
      <c r="L1104" s="292"/>
      <c r="M1104" s="292"/>
      <c r="N1104" s="292"/>
      <c r="O1104" s="292"/>
      <c r="P1104" s="292"/>
    </row>
    <row r="1105" spans="1:17" s="224" customFormat="1" x14ac:dyDescent="0.2">
      <c r="A1105" s="263"/>
      <c r="D1105" s="290"/>
      <c r="F1105" s="292"/>
      <c r="G1105" s="476"/>
      <c r="H1105" s="292"/>
      <c r="I1105" s="297"/>
      <c r="J1105" s="292"/>
      <c r="K1105" s="292"/>
      <c r="L1105" s="292"/>
      <c r="M1105" s="292"/>
      <c r="N1105" s="292"/>
      <c r="O1105" s="292"/>
      <c r="P1105" s="292"/>
    </row>
    <row r="1106" spans="1:17" s="224" customFormat="1" x14ac:dyDescent="0.2">
      <c r="A1106" s="263">
        <f>A1104+1</f>
        <v>22</v>
      </c>
      <c r="C1106" s="266" t="s">
        <v>111</v>
      </c>
      <c r="D1106" s="290"/>
      <c r="F1106" s="292"/>
      <c r="G1106" s="476"/>
      <c r="H1106" s="292"/>
      <c r="I1106" s="297"/>
      <c r="J1106" s="292"/>
      <c r="K1106" s="292"/>
      <c r="L1106" s="292"/>
      <c r="M1106" s="292"/>
      <c r="N1106" s="292"/>
      <c r="O1106" s="292"/>
      <c r="P1106" s="292"/>
    </row>
    <row r="1107" spans="1:17" s="224" customFormat="1" x14ac:dyDescent="0.2">
      <c r="A1107" s="263"/>
      <c r="C1107" s="266"/>
      <c r="D1107" s="290"/>
      <c r="F1107" s="292"/>
      <c r="G1107" s="476"/>
      <c r="H1107" s="292"/>
      <c r="I1107" s="297"/>
      <c r="J1107" s="292"/>
      <c r="K1107" s="292"/>
      <c r="L1107" s="292"/>
      <c r="M1107" s="292"/>
      <c r="N1107" s="292"/>
      <c r="O1107" s="292"/>
      <c r="P1107" s="292"/>
    </row>
    <row r="1108" spans="1:17" s="224" customFormat="1" x14ac:dyDescent="0.2">
      <c r="A1108" s="263">
        <f>A1106+1</f>
        <v>23</v>
      </c>
      <c r="C1108" s="224" t="s">
        <v>202</v>
      </c>
      <c r="D1108" s="290"/>
      <c r="E1108" s="479">
        <f>B!D234</f>
        <v>1</v>
      </c>
      <c r="F1108" s="479">
        <f>B!E234</f>
        <v>1</v>
      </c>
      <c r="G1108" s="479">
        <f>B!F234</f>
        <v>1</v>
      </c>
      <c r="H1108" s="479">
        <f>B!G234</f>
        <v>1</v>
      </c>
      <c r="I1108" s="479">
        <f>B!H234</f>
        <v>1</v>
      </c>
      <c r="J1108" s="479">
        <f>B!I234</f>
        <v>1</v>
      </c>
      <c r="K1108" s="479">
        <f>B!J234</f>
        <v>1</v>
      </c>
      <c r="L1108" s="479">
        <f>B!K234</f>
        <v>1</v>
      </c>
      <c r="M1108" s="479">
        <f>B!L234</f>
        <v>1</v>
      </c>
      <c r="N1108" s="479">
        <f>B!M234</f>
        <v>1</v>
      </c>
      <c r="O1108" s="479">
        <f>B!N234</f>
        <v>1</v>
      </c>
      <c r="P1108" s="479">
        <f>B!O234</f>
        <v>1</v>
      </c>
      <c r="Q1108" s="479">
        <f>SUM(E1108:P1108)</f>
        <v>12</v>
      </c>
    </row>
    <row r="1109" spans="1:17" s="224" customFormat="1" x14ac:dyDescent="0.2">
      <c r="A1109" s="263">
        <f>A1108+1</f>
        <v>24</v>
      </c>
      <c r="C1109" s="224" t="s">
        <v>210</v>
      </c>
      <c r="D1109" s="792">
        <f>Input!U50</f>
        <v>1062.95</v>
      </c>
      <c r="E1109" s="434">
        <f t="shared" ref="E1109:P1109" si="336">ROUND(E1108*$D$1109,2)</f>
        <v>1062.95</v>
      </c>
      <c r="F1109" s="434">
        <f t="shared" si="336"/>
        <v>1062.95</v>
      </c>
      <c r="G1109" s="434">
        <f t="shared" si="336"/>
        <v>1062.95</v>
      </c>
      <c r="H1109" s="434">
        <f t="shared" si="336"/>
        <v>1062.95</v>
      </c>
      <c r="I1109" s="434">
        <f t="shared" si="336"/>
        <v>1062.95</v>
      </c>
      <c r="J1109" s="434">
        <f t="shared" si="336"/>
        <v>1062.95</v>
      </c>
      <c r="K1109" s="434">
        <f t="shared" si="336"/>
        <v>1062.95</v>
      </c>
      <c r="L1109" s="434">
        <f t="shared" si="336"/>
        <v>1062.95</v>
      </c>
      <c r="M1109" s="434">
        <f t="shared" si="336"/>
        <v>1062.95</v>
      </c>
      <c r="N1109" s="434">
        <f t="shared" si="336"/>
        <v>1062.95</v>
      </c>
      <c r="O1109" s="434">
        <f t="shared" si="336"/>
        <v>1062.95</v>
      </c>
      <c r="P1109" s="434">
        <f t="shared" si="336"/>
        <v>1062.95</v>
      </c>
      <c r="Q1109" s="434">
        <f>SUM(E1109:P1109)</f>
        <v>12755.400000000003</v>
      </c>
    </row>
    <row r="1110" spans="1:17" s="224" customFormat="1" x14ac:dyDescent="0.2">
      <c r="A1110" s="263">
        <f>A1109+1</f>
        <v>25</v>
      </c>
      <c r="C1110" s="224" t="s">
        <v>217</v>
      </c>
      <c r="D1110" s="792">
        <f>Input!V50</f>
        <v>0</v>
      </c>
      <c r="E1110" s="434">
        <f t="shared" ref="E1110:P1110" si="337">ROUND(E1108*$D$1110,2)</f>
        <v>0</v>
      </c>
      <c r="F1110" s="434">
        <f t="shared" si="337"/>
        <v>0</v>
      </c>
      <c r="G1110" s="434">
        <f t="shared" si="337"/>
        <v>0</v>
      </c>
      <c r="H1110" s="434">
        <f t="shared" si="337"/>
        <v>0</v>
      </c>
      <c r="I1110" s="434">
        <f t="shared" si="337"/>
        <v>0</v>
      </c>
      <c r="J1110" s="434">
        <f t="shared" si="337"/>
        <v>0</v>
      </c>
      <c r="K1110" s="434">
        <f t="shared" si="337"/>
        <v>0</v>
      </c>
      <c r="L1110" s="434">
        <f t="shared" si="337"/>
        <v>0</v>
      </c>
      <c r="M1110" s="434">
        <f t="shared" si="337"/>
        <v>0</v>
      </c>
      <c r="N1110" s="434">
        <f t="shared" si="337"/>
        <v>0</v>
      </c>
      <c r="O1110" s="434">
        <f t="shared" si="337"/>
        <v>0</v>
      </c>
      <c r="P1110" s="434">
        <f t="shared" si="337"/>
        <v>0</v>
      </c>
      <c r="Q1110" s="434">
        <f>SUM(E1110:P1110)</f>
        <v>0</v>
      </c>
    </row>
    <row r="1111" spans="1:17" s="224" customFormat="1" x14ac:dyDescent="0.2">
      <c r="A1111" s="263"/>
      <c r="D1111" s="290"/>
      <c r="F1111" s="292"/>
      <c r="G1111" s="476"/>
      <c r="H1111" s="292"/>
      <c r="I1111" s="297"/>
      <c r="J1111" s="292"/>
      <c r="K1111" s="292"/>
      <c r="L1111" s="292"/>
      <c r="M1111" s="292"/>
      <c r="N1111" s="292"/>
      <c r="O1111" s="292"/>
      <c r="P1111" s="292"/>
    </row>
    <row r="1112" spans="1:17" s="224" customFormat="1" x14ac:dyDescent="0.2">
      <c r="A1112" s="263">
        <f>A1110+1</f>
        <v>26</v>
      </c>
      <c r="C1112" s="224" t="s">
        <v>209</v>
      </c>
      <c r="D1112" s="290"/>
      <c r="E1112" s="297">
        <f>'C'!D348</f>
        <v>44010</v>
      </c>
      <c r="F1112" s="297">
        <f>'C'!E348</f>
        <v>56724</v>
      </c>
      <c r="G1112" s="297">
        <f>'C'!F348</f>
        <v>33252</v>
      </c>
      <c r="H1112" s="297">
        <f>'C'!G348</f>
        <v>47922</v>
      </c>
      <c r="I1112" s="297">
        <f>'C'!H348</f>
        <v>37164</v>
      </c>
      <c r="J1112" s="297">
        <f>'C'!I348</f>
        <v>37164</v>
      </c>
      <c r="K1112" s="297">
        <f>'C'!J348</f>
        <v>39120</v>
      </c>
      <c r="L1112" s="297">
        <f>'C'!K348</f>
        <v>37164</v>
      </c>
      <c r="M1112" s="297">
        <f>'C'!L348</f>
        <v>41076</v>
      </c>
      <c r="N1112" s="297">
        <f>'C'!M348</f>
        <v>50856</v>
      </c>
      <c r="O1112" s="297">
        <f>'C'!N348</f>
        <v>54768</v>
      </c>
      <c r="P1112" s="297">
        <f>'C'!O348</f>
        <v>54768</v>
      </c>
      <c r="Q1112" s="297">
        <f>SUM(E1112:P1112)</f>
        <v>533988</v>
      </c>
    </row>
    <row r="1113" spans="1:17" s="224" customFormat="1" x14ac:dyDescent="0.2">
      <c r="A1113" s="263">
        <f>A1112+1</f>
        <v>27</v>
      </c>
      <c r="C1113" s="290" t="s">
        <v>207</v>
      </c>
      <c r="D1113" s="793">
        <f>Input!P50</f>
        <v>0.39</v>
      </c>
      <c r="E1113" s="434">
        <f t="shared" ref="E1113:P1113" si="338">ROUND(E1112*$D$1113,2)</f>
        <v>17163.900000000001</v>
      </c>
      <c r="F1113" s="434">
        <f t="shared" si="338"/>
        <v>22122.36</v>
      </c>
      <c r="G1113" s="434">
        <f t="shared" si="338"/>
        <v>12968.28</v>
      </c>
      <c r="H1113" s="434">
        <f t="shared" si="338"/>
        <v>18689.580000000002</v>
      </c>
      <c r="I1113" s="434">
        <f t="shared" si="338"/>
        <v>14493.96</v>
      </c>
      <c r="J1113" s="434">
        <f t="shared" si="338"/>
        <v>14493.96</v>
      </c>
      <c r="K1113" s="434">
        <f t="shared" si="338"/>
        <v>15256.8</v>
      </c>
      <c r="L1113" s="434">
        <f t="shared" si="338"/>
        <v>14493.96</v>
      </c>
      <c r="M1113" s="434">
        <f t="shared" si="338"/>
        <v>16019.64</v>
      </c>
      <c r="N1113" s="434">
        <f t="shared" si="338"/>
        <v>19833.84</v>
      </c>
      <c r="O1113" s="434">
        <f t="shared" si="338"/>
        <v>21359.52</v>
      </c>
      <c r="P1113" s="434">
        <f t="shared" si="338"/>
        <v>21359.52</v>
      </c>
      <c r="Q1113" s="434">
        <f>SUM(E1113:P1113)</f>
        <v>208255.31999999998</v>
      </c>
    </row>
    <row r="1114" spans="1:17" s="224" customFormat="1" x14ac:dyDescent="0.2">
      <c r="A1114" s="263"/>
      <c r="C1114" s="290"/>
      <c r="D1114" s="290"/>
      <c r="F1114" s="292"/>
      <c r="G1114" s="476"/>
      <c r="H1114" s="292"/>
      <c r="I1114" s="297"/>
      <c r="J1114" s="292"/>
      <c r="K1114" s="292"/>
      <c r="L1114" s="292"/>
      <c r="M1114" s="292"/>
      <c r="N1114" s="292"/>
      <c r="O1114" s="292"/>
      <c r="P1114" s="292"/>
      <c r="Q1114" s="543"/>
    </row>
    <row r="1115" spans="1:17" s="224" customFormat="1" x14ac:dyDescent="0.2">
      <c r="A1115" s="263">
        <f>A1113+1</f>
        <v>28</v>
      </c>
      <c r="C1115" s="290" t="s">
        <v>204</v>
      </c>
      <c r="D1115" s="290"/>
      <c r="E1115" s="434">
        <f t="shared" ref="E1115:P1115" si="339">E1109+E1110+E1113</f>
        <v>18226.850000000002</v>
      </c>
      <c r="F1115" s="434">
        <f t="shared" si="339"/>
        <v>23185.31</v>
      </c>
      <c r="G1115" s="434">
        <f t="shared" si="339"/>
        <v>14031.230000000001</v>
      </c>
      <c r="H1115" s="434">
        <f t="shared" si="339"/>
        <v>19752.530000000002</v>
      </c>
      <c r="I1115" s="434">
        <f t="shared" si="339"/>
        <v>15556.91</v>
      </c>
      <c r="J1115" s="434">
        <f t="shared" si="339"/>
        <v>15556.91</v>
      </c>
      <c r="K1115" s="434">
        <f t="shared" si="339"/>
        <v>16319.75</v>
      </c>
      <c r="L1115" s="434">
        <f t="shared" si="339"/>
        <v>15556.91</v>
      </c>
      <c r="M1115" s="434">
        <f t="shared" si="339"/>
        <v>17082.59</v>
      </c>
      <c r="N1115" s="434">
        <f t="shared" si="339"/>
        <v>20896.79</v>
      </c>
      <c r="O1115" s="434">
        <f t="shared" si="339"/>
        <v>22422.47</v>
      </c>
      <c r="P1115" s="434">
        <f t="shared" si="339"/>
        <v>22422.47</v>
      </c>
      <c r="Q1115" s="434">
        <f>SUM(E1115:P1115)</f>
        <v>221010.72000000003</v>
      </c>
    </row>
    <row r="1116" spans="1:17" s="224" customFormat="1" x14ac:dyDescent="0.2">
      <c r="A1116" s="263"/>
      <c r="C1116" s="290"/>
      <c r="D1116" s="290"/>
      <c r="F1116" s="292"/>
      <c r="G1116" s="476"/>
      <c r="H1116" s="292"/>
      <c r="I1116" s="297"/>
      <c r="J1116" s="292"/>
      <c r="K1116" s="292"/>
      <c r="L1116" s="292"/>
      <c r="M1116" s="292"/>
      <c r="N1116" s="292"/>
      <c r="O1116" s="292"/>
      <c r="P1116" s="292"/>
      <c r="Q1116" s="543"/>
    </row>
    <row r="1117" spans="1:17" s="224" customFormat="1" x14ac:dyDescent="0.2">
      <c r="A1117" s="263">
        <f>A1115+1</f>
        <v>29</v>
      </c>
      <c r="C1117" s="224" t="s">
        <v>151</v>
      </c>
      <c r="D1117" s="794">
        <v>0</v>
      </c>
      <c r="E1117" s="517">
        <v>0</v>
      </c>
      <c r="F1117" s="517">
        <v>0</v>
      </c>
      <c r="G1117" s="517">
        <v>0</v>
      </c>
      <c r="H1117" s="517">
        <v>0</v>
      </c>
      <c r="I1117" s="517">
        <v>0</v>
      </c>
      <c r="J1117" s="517">
        <v>0</v>
      </c>
      <c r="K1117" s="517">
        <v>0</v>
      </c>
      <c r="L1117" s="517">
        <v>0</v>
      </c>
      <c r="M1117" s="517">
        <v>0</v>
      </c>
      <c r="N1117" s="517">
        <v>0</v>
      </c>
      <c r="O1117" s="517">
        <v>0</v>
      </c>
      <c r="P1117" s="517">
        <v>0</v>
      </c>
      <c r="Q1117" s="434">
        <f>SUM(E1117:P1117)</f>
        <v>0</v>
      </c>
    </row>
    <row r="1118" spans="1:17" s="224" customFormat="1" x14ac:dyDescent="0.2">
      <c r="A1118" s="263"/>
      <c r="D1118" s="290"/>
      <c r="F1118" s="292"/>
      <c r="G1118" s="476"/>
      <c r="H1118" s="292"/>
      <c r="I1118" s="297"/>
      <c r="J1118" s="292"/>
      <c r="K1118" s="292"/>
      <c r="L1118" s="292"/>
      <c r="M1118" s="292"/>
      <c r="N1118" s="292"/>
      <c r="O1118" s="292"/>
      <c r="P1118" s="292"/>
      <c r="Q1118" s="476"/>
    </row>
    <row r="1119" spans="1:17" s="224" customFormat="1" ht="10.8" thickBot="1" x14ac:dyDescent="0.25">
      <c r="A1119" s="724">
        <f>A1117+1</f>
        <v>30</v>
      </c>
      <c r="B1119" s="496"/>
      <c r="C1119" s="725" t="s">
        <v>205</v>
      </c>
      <c r="D1119" s="726"/>
      <c r="E1119" s="499">
        <f t="shared" ref="E1119:P1119" si="340">E1115+E1117</f>
        <v>18226.850000000002</v>
      </c>
      <c r="F1119" s="499">
        <f t="shared" si="340"/>
        <v>23185.31</v>
      </c>
      <c r="G1119" s="499">
        <f t="shared" si="340"/>
        <v>14031.230000000001</v>
      </c>
      <c r="H1119" s="499">
        <f t="shared" si="340"/>
        <v>19752.530000000002</v>
      </c>
      <c r="I1119" s="499">
        <f t="shared" si="340"/>
        <v>15556.91</v>
      </c>
      <c r="J1119" s="499">
        <f t="shared" si="340"/>
        <v>15556.91</v>
      </c>
      <c r="K1119" s="499">
        <f t="shared" si="340"/>
        <v>16319.75</v>
      </c>
      <c r="L1119" s="499">
        <f t="shared" si="340"/>
        <v>15556.91</v>
      </c>
      <c r="M1119" s="499">
        <f t="shared" si="340"/>
        <v>17082.59</v>
      </c>
      <c r="N1119" s="499">
        <f t="shared" si="340"/>
        <v>20896.79</v>
      </c>
      <c r="O1119" s="499">
        <f t="shared" si="340"/>
        <v>22422.47</v>
      </c>
      <c r="P1119" s="499">
        <f t="shared" si="340"/>
        <v>22422.47</v>
      </c>
      <c r="Q1119" s="499">
        <f>SUM(E1119:P1119)</f>
        <v>221010.72000000003</v>
      </c>
    </row>
    <row r="1120" spans="1:17" s="224" customFormat="1" ht="10.8" thickTop="1" x14ac:dyDescent="0.2">
      <c r="A1120" s="263"/>
      <c r="D1120" s="290"/>
      <c r="F1120" s="292"/>
      <c r="G1120" s="476"/>
      <c r="H1120" s="292"/>
      <c r="I1120" s="297"/>
      <c r="J1120" s="292"/>
      <c r="K1120" s="292"/>
      <c r="L1120" s="292"/>
      <c r="M1120" s="292"/>
      <c r="N1120" s="292"/>
      <c r="O1120" s="292"/>
      <c r="P1120" s="292"/>
      <c r="Q1120" s="476"/>
    </row>
    <row r="1121" spans="1:17" s="224" customFormat="1" x14ac:dyDescent="0.2">
      <c r="A1121" s="263"/>
      <c r="D1121" s="290"/>
      <c r="F1121" s="292"/>
      <c r="G1121" s="476"/>
      <c r="H1121" s="292"/>
      <c r="I1121" s="297"/>
      <c r="J1121" s="292"/>
      <c r="K1121" s="292"/>
      <c r="L1121" s="292"/>
      <c r="M1121" s="292"/>
      <c r="N1121" s="292"/>
      <c r="O1121" s="292"/>
      <c r="P1121" s="292"/>
    </row>
    <row r="1122" spans="1:17" s="224" customFormat="1" x14ac:dyDescent="0.2">
      <c r="A1122" s="629" t="str">
        <f>$A$265</f>
        <v>[1] Reflects Normalized Volumes.</v>
      </c>
      <c r="D1122" s="290"/>
      <c r="F1122" s="292"/>
      <c r="G1122" s="476"/>
      <c r="H1122" s="292"/>
      <c r="I1122" s="297"/>
      <c r="J1122" s="292"/>
      <c r="K1122" s="292"/>
      <c r="L1122" s="292"/>
      <c r="M1122" s="292"/>
      <c r="N1122" s="292"/>
      <c r="O1122" s="292"/>
      <c r="P1122" s="292"/>
    </row>
    <row r="1123" spans="1:17" s="224" customFormat="1" x14ac:dyDescent="0.2">
      <c r="A1123" s="889" t="str">
        <f>CONAME</f>
        <v>Columbia Gas of Kentucky, Inc.</v>
      </c>
      <c r="B1123" s="889"/>
      <c r="C1123" s="889"/>
      <c r="D1123" s="889"/>
      <c r="E1123" s="889"/>
      <c r="F1123" s="889"/>
      <c r="G1123" s="889"/>
      <c r="H1123" s="889"/>
      <c r="I1123" s="889"/>
      <c r="J1123" s="889"/>
      <c r="K1123" s="889"/>
      <c r="L1123" s="889"/>
      <c r="M1123" s="889"/>
      <c r="N1123" s="889"/>
      <c r="O1123" s="889"/>
      <c r="P1123" s="889"/>
      <c r="Q1123" s="889"/>
    </row>
    <row r="1124" spans="1:17" s="224" customFormat="1" x14ac:dyDescent="0.2">
      <c r="A1124" s="872" t="str">
        <f>case</f>
        <v>Case No. 2016-00162</v>
      </c>
      <c r="B1124" s="872"/>
      <c r="C1124" s="872"/>
      <c r="D1124" s="872"/>
      <c r="E1124" s="872"/>
      <c r="F1124" s="872"/>
      <c r="G1124" s="872"/>
      <c r="H1124" s="872"/>
      <c r="I1124" s="872"/>
      <c r="J1124" s="872"/>
      <c r="K1124" s="872"/>
      <c r="L1124" s="872"/>
      <c r="M1124" s="872"/>
      <c r="N1124" s="872"/>
      <c r="O1124" s="872"/>
      <c r="P1124" s="872"/>
      <c r="Q1124" s="872"/>
    </row>
    <row r="1125" spans="1:17" s="224" customFormat="1" x14ac:dyDescent="0.2">
      <c r="A1125" s="892" t="s">
        <v>200</v>
      </c>
      <c r="B1125" s="892"/>
      <c r="C1125" s="892"/>
      <c r="D1125" s="892"/>
      <c r="E1125" s="892"/>
      <c r="F1125" s="892"/>
      <c r="G1125" s="892"/>
      <c r="H1125" s="892"/>
      <c r="I1125" s="892"/>
      <c r="J1125" s="892"/>
      <c r="K1125" s="892"/>
      <c r="L1125" s="892"/>
      <c r="M1125" s="892"/>
      <c r="N1125" s="892"/>
      <c r="O1125" s="892"/>
      <c r="P1125" s="892"/>
      <c r="Q1125" s="892"/>
    </row>
    <row r="1126" spans="1:17" s="224" customFormat="1" x14ac:dyDescent="0.2">
      <c r="A1126" s="889" t="str">
        <f>TYDESC</f>
        <v>For the 12 Months Ended December 31, 2017</v>
      </c>
      <c r="B1126" s="889"/>
      <c r="C1126" s="889"/>
      <c r="D1126" s="889"/>
      <c r="E1126" s="889"/>
      <c r="F1126" s="889"/>
      <c r="G1126" s="889"/>
      <c r="H1126" s="889"/>
      <c r="I1126" s="889"/>
      <c r="J1126" s="889"/>
      <c r="K1126" s="889"/>
      <c r="L1126" s="889"/>
      <c r="M1126" s="889"/>
      <c r="N1126" s="889"/>
      <c r="O1126" s="889"/>
      <c r="P1126" s="889"/>
      <c r="Q1126" s="889"/>
    </row>
    <row r="1127" spans="1:17" s="224" customFormat="1" x14ac:dyDescent="0.2">
      <c r="A1127" s="890" t="s">
        <v>39</v>
      </c>
      <c r="B1127" s="890"/>
      <c r="C1127" s="890"/>
      <c r="D1127" s="890"/>
      <c r="E1127" s="890"/>
      <c r="F1127" s="890"/>
      <c r="G1127" s="890"/>
      <c r="H1127" s="890"/>
      <c r="I1127" s="890"/>
      <c r="J1127" s="890"/>
      <c r="K1127" s="890"/>
      <c r="L1127" s="890"/>
      <c r="M1127" s="890"/>
      <c r="N1127" s="890"/>
      <c r="O1127" s="890"/>
      <c r="P1127" s="890"/>
      <c r="Q1127" s="890"/>
    </row>
    <row r="1128" spans="1:17" s="224" customFormat="1" x14ac:dyDescent="0.2">
      <c r="A1128" s="718" t="str">
        <f>$A$52</f>
        <v>Data: __ Base Period _X_ Forecasted Period</v>
      </c>
      <c r="D1128" s="290"/>
      <c r="F1128" s="292"/>
      <c r="G1128" s="476"/>
      <c r="H1128" s="292"/>
      <c r="I1128" s="297"/>
      <c r="J1128" s="292"/>
      <c r="K1128" s="292"/>
      <c r="L1128" s="292"/>
      <c r="M1128" s="292"/>
      <c r="N1128" s="292"/>
      <c r="O1128" s="292"/>
      <c r="P1128" s="292"/>
    </row>
    <row r="1129" spans="1:17" s="224" customFormat="1" x14ac:dyDescent="0.2">
      <c r="A1129" s="718" t="str">
        <f>$A$53</f>
        <v>Type of Filing: X Original _ Update _ Revised</v>
      </c>
      <c r="D1129" s="290"/>
      <c r="F1129" s="292"/>
      <c r="G1129" s="476"/>
      <c r="H1129" s="292"/>
      <c r="I1129" s="297"/>
      <c r="J1129" s="292"/>
      <c r="K1129" s="292"/>
      <c r="L1129" s="292"/>
      <c r="M1129" s="292"/>
      <c r="N1129" s="292"/>
      <c r="O1129" s="292"/>
      <c r="P1129" s="292"/>
      <c r="Q1129" s="727" t="str">
        <f>$Q$53</f>
        <v>Schedule M-2.3</v>
      </c>
    </row>
    <row r="1130" spans="1:17" s="224" customFormat="1" x14ac:dyDescent="0.2">
      <c r="A1130" s="718" t="str">
        <f>$A$54</f>
        <v>Work Paper Reference No(s):</v>
      </c>
      <c r="D1130" s="290"/>
      <c r="F1130" s="292"/>
      <c r="G1130" s="476"/>
      <c r="H1130" s="292"/>
      <c r="I1130" s="297"/>
      <c r="J1130" s="292"/>
      <c r="K1130" s="292"/>
      <c r="L1130" s="292"/>
      <c r="M1130" s="292"/>
      <c r="N1130" s="292"/>
      <c r="O1130" s="292"/>
      <c r="P1130" s="292"/>
      <c r="Q1130" s="727" t="s">
        <v>516</v>
      </c>
    </row>
    <row r="1131" spans="1:17" s="224" customFormat="1" x14ac:dyDescent="0.2">
      <c r="A1131" s="719" t="str">
        <f>$A$55</f>
        <v>12 Months Forecasted</v>
      </c>
      <c r="D1131" s="290"/>
      <c r="F1131" s="292"/>
      <c r="G1131" s="476"/>
      <c r="H1131" s="292"/>
      <c r="I1131" s="297"/>
      <c r="J1131" s="292"/>
      <c r="K1131" s="292"/>
      <c r="L1131" s="292"/>
      <c r="M1131" s="292"/>
      <c r="N1131" s="292"/>
      <c r="O1131" s="292"/>
      <c r="P1131" s="292"/>
      <c r="Q1131" s="727" t="str">
        <f>Witness</f>
        <v>Witness:  M. J. Bell</v>
      </c>
    </row>
    <row r="1132" spans="1:17" s="224" customFormat="1" x14ac:dyDescent="0.2">
      <c r="A1132" s="891" t="s">
        <v>294</v>
      </c>
      <c r="B1132" s="891"/>
      <c r="C1132" s="891"/>
      <c r="D1132" s="891"/>
      <c r="E1132" s="891"/>
      <c r="F1132" s="891"/>
      <c r="G1132" s="891"/>
      <c r="H1132" s="891"/>
      <c r="I1132" s="891"/>
      <c r="J1132" s="891"/>
      <c r="K1132" s="891"/>
      <c r="L1132" s="891"/>
      <c r="M1132" s="891"/>
      <c r="N1132" s="891"/>
      <c r="O1132" s="891"/>
      <c r="P1132" s="891"/>
      <c r="Q1132" s="891"/>
    </row>
    <row r="1133" spans="1:17" s="224" customFormat="1" x14ac:dyDescent="0.2">
      <c r="A1133" s="227"/>
      <c r="B1133" s="306"/>
      <c r="C1133" s="306"/>
      <c r="D1133" s="308"/>
      <c r="E1133" s="306"/>
      <c r="F1133" s="502"/>
      <c r="G1133" s="503"/>
      <c r="H1133" s="502"/>
      <c r="I1133" s="504"/>
      <c r="J1133" s="502"/>
      <c r="K1133" s="502"/>
      <c r="L1133" s="502"/>
      <c r="M1133" s="502"/>
      <c r="N1133" s="502"/>
      <c r="O1133" s="502"/>
      <c r="P1133" s="502"/>
      <c r="Q1133" s="306"/>
    </row>
    <row r="1134" spans="1:17" s="224" customFormat="1" x14ac:dyDescent="0.2">
      <c r="A1134" s="416" t="s">
        <v>1</v>
      </c>
      <c r="B1134" s="416" t="s">
        <v>0</v>
      </c>
      <c r="C1134" s="416" t="s">
        <v>41</v>
      </c>
      <c r="D1134" s="423" t="s">
        <v>30</v>
      </c>
      <c r="E1134" s="416"/>
      <c r="F1134" s="729"/>
      <c r="G1134" s="732"/>
      <c r="H1134" s="729"/>
      <c r="I1134" s="733"/>
      <c r="J1134" s="729"/>
      <c r="K1134" s="729"/>
      <c r="L1134" s="729"/>
      <c r="M1134" s="729"/>
      <c r="N1134" s="729"/>
      <c r="O1134" s="729"/>
      <c r="P1134" s="428"/>
      <c r="Q1134" s="232"/>
    </row>
    <row r="1135" spans="1:17" s="224" customFormat="1" x14ac:dyDescent="0.2">
      <c r="A1135" s="285" t="s">
        <v>3</v>
      </c>
      <c r="B1135" s="285" t="s">
        <v>40</v>
      </c>
      <c r="C1135" s="285" t="s">
        <v>4</v>
      </c>
      <c r="D1135" s="427" t="s">
        <v>48</v>
      </c>
      <c r="E1135" s="428" t="str">
        <f>B!$D$11</f>
        <v>Jan-17</v>
      </c>
      <c r="F1135" s="428" t="str">
        <f>B!$E$11</f>
        <v>Feb-17</v>
      </c>
      <c r="G1135" s="428" t="str">
        <f>B!$F$11</f>
        <v>Mar-17</v>
      </c>
      <c r="H1135" s="428" t="str">
        <f>B!$G$11</f>
        <v>Apr-17</v>
      </c>
      <c r="I1135" s="428" t="str">
        <f>B!$H$11</f>
        <v>May-17</v>
      </c>
      <c r="J1135" s="428" t="str">
        <f>B!$I$11</f>
        <v>Jun-17</v>
      </c>
      <c r="K1135" s="428" t="str">
        <f>B!$J$11</f>
        <v>Jul-17</v>
      </c>
      <c r="L1135" s="428" t="str">
        <f>B!$K$11</f>
        <v>Aug-17</v>
      </c>
      <c r="M1135" s="428" t="str">
        <f>B!$L$11</f>
        <v>Sep-17</v>
      </c>
      <c r="N1135" s="428" t="str">
        <f>B!$M$11</f>
        <v>Oct-17</v>
      </c>
      <c r="O1135" s="428" t="str">
        <f>B!$N$11</f>
        <v>Nov-17</v>
      </c>
      <c r="P1135" s="428" t="str">
        <f>B!$O$11</f>
        <v>Dec-17</v>
      </c>
      <c r="Q1135" s="428" t="s">
        <v>9</v>
      </c>
    </row>
    <row r="1136" spans="1:17" s="224" customFormat="1" ht="20.100000000000001" customHeight="1" x14ac:dyDescent="0.2">
      <c r="A1136" s="416"/>
      <c r="B1136" s="231" t="s">
        <v>42</v>
      </c>
      <c r="C1136" s="231" t="s">
        <v>43</v>
      </c>
      <c r="D1136" s="430" t="s">
        <v>45</v>
      </c>
      <c r="E1136" s="431" t="s">
        <v>46</v>
      </c>
      <c r="F1136" s="431" t="s">
        <v>49</v>
      </c>
      <c r="G1136" s="431" t="s">
        <v>50</v>
      </c>
      <c r="H1136" s="431" t="s">
        <v>51</v>
      </c>
      <c r="I1136" s="431" t="s">
        <v>52</v>
      </c>
      <c r="J1136" s="432" t="s">
        <v>53</v>
      </c>
      <c r="K1136" s="432" t="s">
        <v>54</v>
      </c>
      <c r="L1136" s="432" t="s">
        <v>55</v>
      </c>
      <c r="M1136" s="432" t="s">
        <v>56</v>
      </c>
      <c r="N1136" s="432" t="s">
        <v>57</v>
      </c>
      <c r="O1136" s="432" t="s">
        <v>58</v>
      </c>
      <c r="P1136" s="432" t="s">
        <v>59</v>
      </c>
      <c r="Q1136" s="432" t="s">
        <v>203</v>
      </c>
    </row>
    <row r="1137" spans="1:17" s="224" customFormat="1" x14ac:dyDescent="0.2">
      <c r="A1137" s="263"/>
      <c r="D1137" s="290"/>
      <c r="E1137" s="232"/>
      <c r="F1137" s="734"/>
      <c r="G1137" s="730"/>
      <c r="H1137" s="734"/>
      <c r="I1137" s="731"/>
      <c r="J1137" s="734"/>
      <c r="K1137" s="734"/>
      <c r="L1137" s="734"/>
      <c r="M1137" s="734"/>
      <c r="N1137" s="734"/>
      <c r="O1137" s="734"/>
      <c r="P1137" s="734"/>
      <c r="Q1137" s="232"/>
    </row>
    <row r="1138" spans="1:17" s="224" customFormat="1" x14ac:dyDescent="0.2">
      <c r="A1138" s="263">
        <v>1</v>
      </c>
      <c r="B1138" s="224" t="str">
        <f>B313</f>
        <v>FX5</v>
      </c>
      <c r="C1138" s="224" t="str">
        <f>C313</f>
        <v>GTS Flex Rate - Industrial</v>
      </c>
      <c r="D1138" s="290"/>
      <c r="F1138" s="292"/>
      <c r="G1138" s="476"/>
      <c r="H1138" s="292"/>
      <c r="I1138" s="297"/>
      <c r="J1138" s="292"/>
      <c r="K1138" s="292"/>
      <c r="L1138" s="292"/>
      <c r="M1138" s="292"/>
      <c r="N1138" s="292"/>
      <c r="O1138" s="292"/>
      <c r="P1138" s="292"/>
    </row>
    <row r="1139" spans="1:17" s="224" customFormat="1" x14ac:dyDescent="0.2">
      <c r="A1139" s="263"/>
      <c r="D1139" s="290"/>
      <c r="F1139" s="292"/>
      <c r="G1139" s="476"/>
      <c r="H1139" s="292"/>
      <c r="I1139" s="297"/>
      <c r="J1139" s="292"/>
      <c r="K1139" s="292"/>
      <c r="L1139" s="292"/>
      <c r="M1139" s="292"/>
      <c r="N1139" s="292"/>
      <c r="O1139" s="292"/>
      <c r="P1139" s="292"/>
    </row>
    <row r="1140" spans="1:17" s="224" customFormat="1" x14ac:dyDescent="0.2">
      <c r="A1140" s="263">
        <f>A1138+1</f>
        <v>2</v>
      </c>
      <c r="C1140" s="266" t="s">
        <v>112</v>
      </c>
      <c r="D1140" s="290"/>
      <c r="F1140" s="292"/>
      <c r="G1140" s="476"/>
      <c r="H1140" s="292"/>
      <c r="I1140" s="297"/>
      <c r="J1140" s="292"/>
      <c r="K1140" s="292"/>
      <c r="L1140" s="292"/>
      <c r="M1140" s="292"/>
      <c r="N1140" s="292"/>
      <c r="O1140" s="292"/>
      <c r="P1140" s="292"/>
    </row>
    <row r="1141" spans="1:17" s="224" customFormat="1" x14ac:dyDescent="0.2">
      <c r="A1141" s="263"/>
      <c r="C1141" s="266"/>
      <c r="D1141" s="290"/>
      <c r="F1141" s="292"/>
      <c r="G1141" s="476"/>
      <c r="H1141" s="292"/>
      <c r="I1141" s="297"/>
      <c r="J1141" s="292"/>
      <c r="K1141" s="292"/>
      <c r="L1141" s="292"/>
      <c r="M1141" s="292"/>
      <c r="N1141" s="292"/>
      <c r="O1141" s="292"/>
      <c r="P1141" s="292"/>
    </row>
    <row r="1142" spans="1:17" s="224" customFormat="1" x14ac:dyDescent="0.2">
      <c r="A1142" s="263">
        <f>A1140+1</f>
        <v>3</v>
      </c>
      <c r="C1142" s="224" t="s">
        <v>202</v>
      </c>
      <c r="D1142" s="290"/>
      <c r="E1142" s="479">
        <f>B!D240</f>
        <v>3</v>
      </c>
      <c r="F1142" s="479">
        <f>B!E240</f>
        <v>3</v>
      </c>
      <c r="G1142" s="479">
        <f>B!F240</f>
        <v>3</v>
      </c>
      <c r="H1142" s="479">
        <f>B!G240</f>
        <v>3</v>
      </c>
      <c r="I1142" s="479">
        <f>B!H240</f>
        <v>3</v>
      </c>
      <c r="J1142" s="479">
        <f>B!I240</f>
        <v>3</v>
      </c>
      <c r="K1142" s="479">
        <f>B!J240</f>
        <v>3</v>
      </c>
      <c r="L1142" s="479">
        <f>B!K240</f>
        <v>3</v>
      </c>
      <c r="M1142" s="479">
        <f>B!L240</f>
        <v>3</v>
      </c>
      <c r="N1142" s="479">
        <f>B!M240</f>
        <v>3</v>
      </c>
      <c r="O1142" s="479">
        <f>B!N240</f>
        <v>3</v>
      </c>
      <c r="P1142" s="479">
        <f>B!O240</f>
        <v>3</v>
      </c>
      <c r="Q1142" s="479">
        <f>SUM(E1142:P1142)</f>
        <v>36</v>
      </c>
    </row>
    <row r="1143" spans="1:17" s="224" customFormat="1" x14ac:dyDescent="0.2">
      <c r="A1143" s="263">
        <f>A1142+1</f>
        <v>4</v>
      </c>
      <c r="C1143" s="224" t="s">
        <v>210</v>
      </c>
      <c r="D1143" s="792">
        <f>Input!U51</f>
        <v>255.9</v>
      </c>
      <c r="E1143" s="434">
        <f t="shared" ref="E1143:P1143" si="341">ROUND(E1142*$D$1143,2)</f>
        <v>767.7</v>
      </c>
      <c r="F1143" s="434">
        <f t="shared" si="341"/>
        <v>767.7</v>
      </c>
      <c r="G1143" s="434">
        <f t="shared" si="341"/>
        <v>767.7</v>
      </c>
      <c r="H1143" s="434">
        <f t="shared" si="341"/>
        <v>767.7</v>
      </c>
      <c r="I1143" s="434">
        <f t="shared" si="341"/>
        <v>767.7</v>
      </c>
      <c r="J1143" s="434">
        <f t="shared" si="341"/>
        <v>767.7</v>
      </c>
      <c r="K1143" s="434">
        <f t="shared" si="341"/>
        <v>767.7</v>
      </c>
      <c r="L1143" s="434">
        <f t="shared" si="341"/>
        <v>767.7</v>
      </c>
      <c r="M1143" s="434">
        <f t="shared" si="341"/>
        <v>767.7</v>
      </c>
      <c r="N1143" s="434">
        <f t="shared" si="341"/>
        <v>767.7</v>
      </c>
      <c r="O1143" s="434">
        <f t="shared" si="341"/>
        <v>767.7</v>
      </c>
      <c r="P1143" s="434">
        <f t="shared" si="341"/>
        <v>767.7</v>
      </c>
      <c r="Q1143" s="434">
        <f>SUM(E1143:P1143)</f>
        <v>9212.4</v>
      </c>
    </row>
    <row r="1144" spans="1:17" s="224" customFormat="1" x14ac:dyDescent="0.2">
      <c r="A1144" s="263">
        <f>A1143+1</f>
        <v>5</v>
      </c>
      <c r="C1144" s="224" t="s">
        <v>217</v>
      </c>
      <c r="D1144" s="792">
        <f>Input!V51</f>
        <v>0</v>
      </c>
      <c r="E1144" s="434">
        <f t="shared" ref="E1144:P1144" si="342">ROUND(E1142*$D$1144,2)</f>
        <v>0</v>
      </c>
      <c r="F1144" s="434">
        <f t="shared" si="342"/>
        <v>0</v>
      </c>
      <c r="G1144" s="434">
        <f t="shared" si="342"/>
        <v>0</v>
      </c>
      <c r="H1144" s="434">
        <f t="shared" si="342"/>
        <v>0</v>
      </c>
      <c r="I1144" s="434">
        <f t="shared" si="342"/>
        <v>0</v>
      </c>
      <c r="J1144" s="434">
        <f t="shared" si="342"/>
        <v>0</v>
      </c>
      <c r="K1144" s="434">
        <f t="shared" si="342"/>
        <v>0</v>
      </c>
      <c r="L1144" s="434">
        <f t="shared" si="342"/>
        <v>0</v>
      </c>
      <c r="M1144" s="434">
        <f t="shared" si="342"/>
        <v>0</v>
      </c>
      <c r="N1144" s="434">
        <f t="shared" si="342"/>
        <v>0</v>
      </c>
      <c r="O1144" s="434">
        <f t="shared" si="342"/>
        <v>0</v>
      </c>
      <c r="P1144" s="434">
        <f t="shared" si="342"/>
        <v>0</v>
      </c>
      <c r="Q1144" s="434">
        <f>SUM(E1144:P1144)</f>
        <v>0</v>
      </c>
    </row>
    <row r="1145" spans="1:17" s="224" customFormat="1" x14ac:dyDescent="0.2">
      <c r="A1145" s="263"/>
      <c r="D1145" s="290"/>
      <c r="F1145" s="292"/>
      <c r="G1145" s="476"/>
      <c r="H1145" s="292"/>
      <c r="I1145" s="297"/>
      <c r="J1145" s="292"/>
      <c r="K1145" s="292"/>
      <c r="L1145" s="292"/>
      <c r="M1145" s="292"/>
      <c r="N1145" s="292"/>
      <c r="O1145" s="292"/>
      <c r="P1145" s="292"/>
    </row>
    <row r="1146" spans="1:17" s="224" customFormat="1" x14ac:dyDescent="0.2">
      <c r="A1146" s="263">
        <f>A1144+1</f>
        <v>6</v>
      </c>
      <c r="C1146" s="224" t="s">
        <v>209</v>
      </c>
      <c r="D1146" s="290"/>
      <c r="E1146" s="297">
        <f>'C'!D351</f>
        <v>411738</v>
      </c>
      <c r="F1146" s="297">
        <f>'C'!E351</f>
        <v>369684</v>
      </c>
      <c r="G1146" s="297">
        <f>'C'!F351</f>
        <v>397068</v>
      </c>
      <c r="H1146" s="297">
        <f>'C'!G351</f>
        <v>381420</v>
      </c>
      <c r="I1146" s="297">
        <f>'C'!H351</f>
        <v>392178</v>
      </c>
      <c r="J1146" s="297">
        <f>'C'!I351</f>
        <v>381420</v>
      </c>
      <c r="K1146" s="297">
        <f>'C'!J351</f>
        <v>392178</v>
      </c>
      <c r="L1146" s="297">
        <f>'C'!K351</f>
        <v>392178</v>
      </c>
      <c r="M1146" s="297">
        <f>'C'!L351</f>
        <v>381420</v>
      </c>
      <c r="N1146" s="297">
        <f>'C'!M351</f>
        <v>397068</v>
      </c>
      <c r="O1146" s="297">
        <f>'C'!N351</f>
        <v>391200</v>
      </c>
      <c r="P1146" s="297">
        <f>'C'!O351</f>
        <v>401958</v>
      </c>
      <c r="Q1146" s="297">
        <f>SUM(E1146:P1146)</f>
        <v>4689510</v>
      </c>
    </row>
    <row r="1147" spans="1:17" s="224" customFormat="1" x14ac:dyDescent="0.2">
      <c r="A1147" s="263">
        <f>A1146+1</f>
        <v>7</v>
      </c>
      <c r="C1147" s="290" t="s">
        <v>207</v>
      </c>
      <c r="D1147" s="793">
        <f>Input!P51</f>
        <v>8.5800000000000001E-2</v>
      </c>
      <c r="E1147" s="434">
        <f t="shared" ref="E1147:P1147" si="343">ROUND(E1146*$D$1147,2)</f>
        <v>35327.120000000003</v>
      </c>
      <c r="F1147" s="434">
        <f t="shared" si="343"/>
        <v>31718.89</v>
      </c>
      <c r="G1147" s="434">
        <f t="shared" si="343"/>
        <v>34068.43</v>
      </c>
      <c r="H1147" s="434">
        <f t="shared" si="343"/>
        <v>32725.84</v>
      </c>
      <c r="I1147" s="434">
        <f t="shared" si="343"/>
        <v>33648.870000000003</v>
      </c>
      <c r="J1147" s="434">
        <f t="shared" si="343"/>
        <v>32725.84</v>
      </c>
      <c r="K1147" s="434">
        <f t="shared" si="343"/>
        <v>33648.870000000003</v>
      </c>
      <c r="L1147" s="434">
        <f t="shared" si="343"/>
        <v>33648.870000000003</v>
      </c>
      <c r="M1147" s="434">
        <f t="shared" si="343"/>
        <v>32725.84</v>
      </c>
      <c r="N1147" s="434">
        <f t="shared" si="343"/>
        <v>34068.43</v>
      </c>
      <c r="O1147" s="434">
        <f t="shared" si="343"/>
        <v>33564.959999999999</v>
      </c>
      <c r="P1147" s="434">
        <f t="shared" si="343"/>
        <v>34488</v>
      </c>
      <c r="Q1147" s="434">
        <f>SUM(E1147:P1147)</f>
        <v>402359.96</v>
      </c>
    </row>
    <row r="1148" spans="1:17" s="224" customFormat="1" x14ac:dyDescent="0.2">
      <c r="A1148" s="263"/>
      <c r="C1148" s="290"/>
      <c r="D1148" s="290"/>
      <c r="F1148" s="292"/>
      <c r="G1148" s="476"/>
      <c r="H1148" s="292"/>
      <c r="I1148" s="297"/>
      <c r="J1148" s="292"/>
      <c r="K1148" s="292"/>
      <c r="L1148" s="292"/>
      <c r="M1148" s="292"/>
      <c r="N1148" s="292"/>
      <c r="O1148" s="292"/>
      <c r="P1148" s="292"/>
      <c r="Q1148" s="543"/>
    </row>
    <row r="1149" spans="1:17" s="224" customFormat="1" x14ac:dyDescent="0.2">
      <c r="A1149" s="263">
        <f>A1147+1</f>
        <v>8</v>
      </c>
      <c r="C1149" s="290" t="s">
        <v>204</v>
      </c>
      <c r="D1149" s="290"/>
      <c r="E1149" s="434">
        <f t="shared" ref="E1149:P1149" si="344">E1143+E1144+E1147</f>
        <v>36094.82</v>
      </c>
      <c r="F1149" s="434">
        <f t="shared" si="344"/>
        <v>32486.59</v>
      </c>
      <c r="G1149" s="434">
        <f t="shared" si="344"/>
        <v>34836.129999999997</v>
      </c>
      <c r="H1149" s="434">
        <f t="shared" si="344"/>
        <v>33493.54</v>
      </c>
      <c r="I1149" s="434">
        <f t="shared" si="344"/>
        <v>34416.57</v>
      </c>
      <c r="J1149" s="434">
        <f t="shared" si="344"/>
        <v>33493.54</v>
      </c>
      <c r="K1149" s="434">
        <f t="shared" si="344"/>
        <v>34416.57</v>
      </c>
      <c r="L1149" s="434">
        <f t="shared" si="344"/>
        <v>34416.57</v>
      </c>
      <c r="M1149" s="434">
        <f t="shared" si="344"/>
        <v>33493.54</v>
      </c>
      <c r="N1149" s="434">
        <f t="shared" si="344"/>
        <v>34836.129999999997</v>
      </c>
      <c r="O1149" s="434">
        <f t="shared" si="344"/>
        <v>34332.659999999996</v>
      </c>
      <c r="P1149" s="434">
        <f t="shared" si="344"/>
        <v>35255.699999999997</v>
      </c>
      <c r="Q1149" s="434">
        <f>SUM(E1149:P1149)</f>
        <v>411572.36</v>
      </c>
    </row>
    <row r="1150" spans="1:17" s="224" customFormat="1" x14ac:dyDescent="0.2">
      <c r="A1150" s="263"/>
      <c r="C1150" s="290"/>
      <c r="D1150" s="290"/>
      <c r="F1150" s="292"/>
      <c r="G1150" s="476"/>
      <c r="H1150" s="292"/>
      <c r="I1150" s="297"/>
      <c r="J1150" s="292"/>
      <c r="K1150" s="292"/>
      <c r="L1150" s="292"/>
      <c r="M1150" s="292"/>
      <c r="N1150" s="292"/>
      <c r="O1150" s="292"/>
      <c r="P1150" s="292"/>
      <c r="Q1150" s="543"/>
    </row>
    <row r="1151" spans="1:17" s="224" customFormat="1" x14ac:dyDescent="0.2">
      <c r="A1151" s="263">
        <f>A1149+1</f>
        <v>9</v>
      </c>
      <c r="C1151" s="224" t="s">
        <v>151</v>
      </c>
      <c r="D1151" s="794">
        <v>0</v>
      </c>
      <c r="E1151" s="517">
        <v>0</v>
      </c>
      <c r="F1151" s="517">
        <v>0</v>
      </c>
      <c r="G1151" s="517">
        <v>0</v>
      </c>
      <c r="H1151" s="517">
        <v>0</v>
      </c>
      <c r="I1151" s="517">
        <v>0</v>
      </c>
      <c r="J1151" s="517">
        <v>0</v>
      </c>
      <c r="K1151" s="517">
        <v>0</v>
      </c>
      <c r="L1151" s="517">
        <v>0</v>
      </c>
      <c r="M1151" s="517">
        <v>0</v>
      </c>
      <c r="N1151" s="517">
        <v>0</v>
      </c>
      <c r="O1151" s="517">
        <v>0</v>
      </c>
      <c r="P1151" s="517">
        <v>0</v>
      </c>
      <c r="Q1151" s="434">
        <f>SUM(E1151:P1151)</f>
        <v>0</v>
      </c>
    </row>
    <row r="1152" spans="1:17" s="224" customFormat="1" x14ac:dyDescent="0.2">
      <c r="A1152" s="263"/>
      <c r="D1152" s="290"/>
      <c r="F1152" s="292"/>
      <c r="G1152" s="476"/>
      <c r="H1152" s="292"/>
      <c r="I1152" s="297"/>
      <c r="J1152" s="292"/>
      <c r="K1152" s="292"/>
      <c r="L1152" s="292"/>
      <c r="M1152" s="292"/>
      <c r="N1152" s="292"/>
      <c r="O1152" s="292"/>
      <c r="P1152" s="292"/>
      <c r="Q1152" s="476"/>
    </row>
    <row r="1153" spans="1:17" s="224" customFormat="1" ht="10.8" thickBot="1" x14ac:dyDescent="0.25">
      <c r="A1153" s="724">
        <f>A1151+1</f>
        <v>10</v>
      </c>
      <c r="B1153" s="496"/>
      <c r="C1153" s="725" t="s">
        <v>205</v>
      </c>
      <c r="D1153" s="726"/>
      <c r="E1153" s="499">
        <f t="shared" ref="E1153:P1153" si="345">E1149+E1151</f>
        <v>36094.82</v>
      </c>
      <c r="F1153" s="499">
        <f t="shared" si="345"/>
        <v>32486.59</v>
      </c>
      <c r="G1153" s="499">
        <f t="shared" si="345"/>
        <v>34836.129999999997</v>
      </c>
      <c r="H1153" s="499">
        <f t="shared" si="345"/>
        <v>33493.54</v>
      </c>
      <c r="I1153" s="499">
        <f t="shared" si="345"/>
        <v>34416.57</v>
      </c>
      <c r="J1153" s="499">
        <f t="shared" si="345"/>
        <v>33493.54</v>
      </c>
      <c r="K1153" s="499">
        <f t="shared" si="345"/>
        <v>34416.57</v>
      </c>
      <c r="L1153" s="499">
        <f t="shared" si="345"/>
        <v>34416.57</v>
      </c>
      <c r="M1153" s="499">
        <f t="shared" si="345"/>
        <v>33493.54</v>
      </c>
      <c r="N1153" s="499">
        <f t="shared" si="345"/>
        <v>34836.129999999997</v>
      </c>
      <c r="O1153" s="499">
        <f t="shared" si="345"/>
        <v>34332.659999999996</v>
      </c>
      <c r="P1153" s="499">
        <f t="shared" si="345"/>
        <v>35255.699999999997</v>
      </c>
      <c r="Q1153" s="499">
        <f>SUM(E1153:P1153)</f>
        <v>411572.36</v>
      </c>
    </row>
    <row r="1154" spans="1:17" s="224" customFormat="1" ht="10.8" thickTop="1" x14ac:dyDescent="0.2">
      <c r="A1154" s="263"/>
      <c r="D1154" s="290"/>
      <c r="F1154" s="292"/>
      <c r="G1154" s="476"/>
      <c r="H1154" s="292"/>
      <c r="I1154" s="297"/>
      <c r="J1154" s="292"/>
      <c r="K1154" s="292"/>
      <c r="L1154" s="292"/>
      <c r="M1154" s="292"/>
      <c r="N1154" s="292"/>
      <c r="O1154" s="292"/>
      <c r="P1154" s="292"/>
      <c r="Q1154" s="476"/>
    </row>
    <row r="1155" spans="1:17" s="224" customFormat="1" x14ac:dyDescent="0.2">
      <c r="A1155" s="263"/>
      <c r="D1155" s="290"/>
      <c r="F1155" s="292"/>
      <c r="G1155" s="476"/>
      <c r="H1155" s="292"/>
      <c r="I1155" s="297"/>
      <c r="J1155" s="292"/>
      <c r="K1155" s="292"/>
      <c r="L1155" s="292"/>
      <c r="M1155" s="292"/>
      <c r="N1155" s="292"/>
      <c r="O1155" s="292"/>
      <c r="P1155" s="292"/>
    </row>
    <row r="1156" spans="1:17" s="224" customFormat="1" x14ac:dyDescent="0.2">
      <c r="A1156" s="263">
        <f>A1153+1</f>
        <v>11</v>
      </c>
      <c r="B1156" s="224" t="str">
        <f>B320</f>
        <v>FX7</v>
      </c>
      <c r="C1156" s="224" t="str">
        <f>C320</f>
        <v>GTS Flex Rate - Industrial</v>
      </c>
      <c r="D1156" s="290"/>
      <c r="F1156" s="292"/>
      <c r="G1156" s="476"/>
      <c r="H1156" s="292"/>
      <c r="I1156" s="297"/>
      <c r="J1156" s="292"/>
      <c r="K1156" s="292"/>
      <c r="L1156" s="292"/>
      <c r="M1156" s="292"/>
      <c r="N1156" s="292"/>
      <c r="O1156" s="292"/>
      <c r="P1156" s="292"/>
    </row>
    <row r="1157" spans="1:17" s="224" customFormat="1" x14ac:dyDescent="0.2">
      <c r="A1157" s="263"/>
      <c r="D1157" s="290"/>
      <c r="F1157" s="292"/>
      <c r="G1157" s="476"/>
      <c r="H1157" s="292"/>
      <c r="I1157" s="297"/>
      <c r="J1157" s="292"/>
      <c r="K1157" s="292"/>
      <c r="L1157" s="292"/>
      <c r="M1157" s="292"/>
      <c r="N1157" s="292"/>
      <c r="O1157" s="292"/>
      <c r="P1157" s="292"/>
    </row>
    <row r="1158" spans="1:17" s="224" customFormat="1" x14ac:dyDescent="0.2">
      <c r="A1158" s="263">
        <f>A1156+1</f>
        <v>12</v>
      </c>
      <c r="C1158" s="266" t="s">
        <v>112</v>
      </c>
      <c r="D1158" s="290"/>
      <c r="F1158" s="292"/>
      <c r="G1158" s="476"/>
      <c r="H1158" s="292"/>
      <c r="I1158" s="297"/>
      <c r="J1158" s="292"/>
      <c r="K1158" s="292"/>
      <c r="L1158" s="292"/>
      <c r="M1158" s="292"/>
      <c r="N1158" s="292"/>
      <c r="O1158" s="292"/>
      <c r="P1158" s="292"/>
    </row>
    <row r="1159" spans="1:17" s="224" customFormat="1" x14ac:dyDescent="0.2">
      <c r="A1159" s="263"/>
      <c r="C1159" s="266"/>
      <c r="D1159" s="290"/>
      <c r="F1159" s="292"/>
      <c r="G1159" s="476"/>
      <c r="H1159" s="292"/>
      <c r="I1159" s="297"/>
      <c r="J1159" s="292"/>
      <c r="K1159" s="292"/>
      <c r="L1159" s="292"/>
      <c r="M1159" s="292"/>
      <c r="N1159" s="292"/>
      <c r="O1159" s="292"/>
      <c r="P1159" s="292"/>
    </row>
    <row r="1160" spans="1:17" s="224" customFormat="1" x14ac:dyDescent="0.2">
      <c r="A1160" s="263">
        <f>A1158+1</f>
        <v>13</v>
      </c>
      <c r="C1160" s="224" t="s">
        <v>202</v>
      </c>
      <c r="D1160" s="290"/>
      <c r="E1160" s="479">
        <f>B!D246</f>
        <v>1</v>
      </c>
      <c r="F1160" s="479">
        <f>B!E246</f>
        <v>1</v>
      </c>
      <c r="G1160" s="479">
        <f>B!F246</f>
        <v>1</v>
      </c>
      <c r="H1160" s="479">
        <f>B!G246</f>
        <v>1</v>
      </c>
      <c r="I1160" s="479">
        <f>B!H246</f>
        <v>1</v>
      </c>
      <c r="J1160" s="479">
        <f>B!I246</f>
        <v>1</v>
      </c>
      <c r="K1160" s="479">
        <f>B!J246</f>
        <v>1</v>
      </c>
      <c r="L1160" s="479">
        <f>B!K246</f>
        <v>1</v>
      </c>
      <c r="M1160" s="479">
        <f>B!L246</f>
        <v>1</v>
      </c>
      <c r="N1160" s="479">
        <f>B!M246</f>
        <v>1</v>
      </c>
      <c r="O1160" s="479">
        <f>B!N246</f>
        <v>1</v>
      </c>
      <c r="P1160" s="479">
        <f>B!O246</f>
        <v>1</v>
      </c>
      <c r="Q1160" s="479">
        <f>SUM(E1160:P1160)</f>
        <v>12</v>
      </c>
    </row>
    <row r="1161" spans="1:17" s="224" customFormat="1" x14ac:dyDescent="0.2">
      <c r="A1161" s="263">
        <f>A1160+1</f>
        <v>14</v>
      </c>
      <c r="C1161" s="224" t="s">
        <v>210</v>
      </c>
      <c r="D1161" s="792">
        <f>Input!U52</f>
        <v>1062.95</v>
      </c>
      <c r="E1161" s="434">
        <f t="shared" ref="E1161:P1161" si="346">ROUND(E1160*$D$1161,2)</f>
        <v>1062.95</v>
      </c>
      <c r="F1161" s="434">
        <f t="shared" si="346"/>
        <v>1062.95</v>
      </c>
      <c r="G1161" s="434">
        <f t="shared" si="346"/>
        <v>1062.95</v>
      </c>
      <c r="H1161" s="434">
        <f t="shared" si="346"/>
        <v>1062.95</v>
      </c>
      <c r="I1161" s="434">
        <f t="shared" si="346"/>
        <v>1062.95</v>
      </c>
      <c r="J1161" s="434">
        <f t="shared" si="346"/>
        <v>1062.95</v>
      </c>
      <c r="K1161" s="434">
        <f t="shared" si="346"/>
        <v>1062.95</v>
      </c>
      <c r="L1161" s="434">
        <f t="shared" si="346"/>
        <v>1062.95</v>
      </c>
      <c r="M1161" s="434">
        <f t="shared" si="346"/>
        <v>1062.95</v>
      </c>
      <c r="N1161" s="434">
        <f t="shared" si="346"/>
        <v>1062.95</v>
      </c>
      <c r="O1161" s="434">
        <f t="shared" si="346"/>
        <v>1062.95</v>
      </c>
      <c r="P1161" s="434">
        <f t="shared" si="346"/>
        <v>1062.95</v>
      </c>
      <c r="Q1161" s="434">
        <f>SUM(E1161:P1161)</f>
        <v>12755.400000000003</v>
      </c>
    </row>
    <row r="1162" spans="1:17" s="224" customFormat="1" x14ac:dyDescent="0.2">
      <c r="A1162" s="263">
        <f>A1161+1</f>
        <v>15</v>
      </c>
      <c r="C1162" s="224" t="s">
        <v>217</v>
      </c>
      <c r="D1162" s="792">
        <f>Input!V52</f>
        <v>0</v>
      </c>
      <c r="E1162" s="434">
        <f t="shared" ref="E1162:P1162" si="347">ROUND(E1160*$D$1162,2)</f>
        <v>0</v>
      </c>
      <c r="F1162" s="434">
        <f t="shared" si="347"/>
        <v>0</v>
      </c>
      <c r="G1162" s="434">
        <f t="shared" si="347"/>
        <v>0</v>
      </c>
      <c r="H1162" s="434">
        <f t="shared" si="347"/>
        <v>0</v>
      </c>
      <c r="I1162" s="434">
        <f t="shared" si="347"/>
        <v>0</v>
      </c>
      <c r="J1162" s="434">
        <f t="shared" si="347"/>
        <v>0</v>
      </c>
      <c r="K1162" s="434">
        <f t="shared" si="347"/>
        <v>0</v>
      </c>
      <c r="L1162" s="434">
        <f t="shared" si="347"/>
        <v>0</v>
      </c>
      <c r="M1162" s="434">
        <f t="shared" si="347"/>
        <v>0</v>
      </c>
      <c r="N1162" s="434">
        <f t="shared" si="347"/>
        <v>0</v>
      </c>
      <c r="O1162" s="434">
        <f t="shared" si="347"/>
        <v>0</v>
      </c>
      <c r="P1162" s="434">
        <f t="shared" si="347"/>
        <v>0</v>
      </c>
      <c r="Q1162" s="434">
        <f>SUM(E1162:P1162)</f>
        <v>0</v>
      </c>
    </row>
    <row r="1163" spans="1:17" s="224" customFormat="1" x14ac:dyDescent="0.2">
      <c r="A1163" s="263"/>
      <c r="D1163" s="290"/>
      <c r="F1163" s="292"/>
      <c r="G1163" s="476"/>
      <c r="H1163" s="292"/>
      <c r="I1163" s="297"/>
      <c r="J1163" s="514"/>
      <c r="K1163" s="292"/>
      <c r="L1163" s="292"/>
      <c r="M1163" s="292"/>
      <c r="N1163" s="292"/>
      <c r="O1163" s="292"/>
      <c r="P1163" s="292"/>
    </row>
    <row r="1164" spans="1:17" s="224" customFormat="1" x14ac:dyDescent="0.2">
      <c r="A1164" s="263">
        <f>A1162+1</f>
        <v>16</v>
      </c>
      <c r="C1164" s="224" t="s">
        <v>209</v>
      </c>
      <c r="D1164" s="290"/>
      <c r="E1164" s="521"/>
      <c r="F1164" s="292"/>
      <c r="G1164" s="476"/>
      <c r="H1164" s="292"/>
      <c r="I1164" s="297"/>
      <c r="J1164" s="514"/>
      <c r="K1164" s="292"/>
      <c r="L1164" s="292"/>
      <c r="M1164" s="292"/>
      <c r="N1164" s="292"/>
      <c r="O1164" s="292"/>
      <c r="P1164" s="292"/>
    </row>
    <row r="1165" spans="1:17" s="224" customFormat="1" x14ac:dyDescent="0.2">
      <c r="A1165" s="263">
        <f>A1164+1</f>
        <v>17</v>
      </c>
      <c r="C1165" s="290" t="str">
        <f>'C'!B357</f>
        <v xml:space="preserve">    First 25,000 Mcf</v>
      </c>
      <c r="D1165" s="793"/>
      <c r="E1165" s="297">
        <f>'C'!D365</f>
        <v>25000</v>
      </c>
      <c r="F1165" s="297">
        <f>'C'!E365</f>
        <v>25000</v>
      </c>
      <c r="G1165" s="297">
        <f>'C'!F365</f>
        <v>25000</v>
      </c>
      <c r="H1165" s="297">
        <f>'C'!G365</f>
        <v>25000</v>
      </c>
      <c r="I1165" s="297">
        <f>'C'!H365</f>
        <v>25000</v>
      </c>
      <c r="J1165" s="297">
        <f>'C'!I365</f>
        <v>25000</v>
      </c>
      <c r="K1165" s="297">
        <f>'C'!J365</f>
        <v>25000</v>
      </c>
      <c r="L1165" s="297">
        <f>'C'!K365</f>
        <v>25000</v>
      </c>
      <c r="M1165" s="297">
        <f>'C'!L365</f>
        <v>25000</v>
      </c>
      <c r="N1165" s="297">
        <f>'C'!M365</f>
        <v>25000</v>
      </c>
      <c r="O1165" s="297">
        <f>'C'!N365</f>
        <v>25000</v>
      </c>
      <c r="P1165" s="297">
        <f>'C'!O365</f>
        <v>25000</v>
      </c>
      <c r="Q1165" s="297">
        <f>SUM(E1165:P1165)</f>
        <v>300000</v>
      </c>
    </row>
    <row r="1166" spans="1:17" s="224" customFormat="1" x14ac:dyDescent="0.2">
      <c r="A1166" s="263">
        <f>A1165+1</f>
        <v>18</v>
      </c>
      <c r="C1166" s="290" t="str">
        <f>'C'!B358</f>
        <v xml:space="preserve">    Over 25,000 Mcf</v>
      </c>
      <c r="E1166" s="522">
        <f>'C'!D366</f>
        <v>18107</v>
      </c>
      <c r="F1166" s="522">
        <f>'C'!E366</f>
        <v>808</v>
      </c>
      <c r="G1166" s="522">
        <f>'C'!F366</f>
        <v>4340</v>
      </c>
      <c r="H1166" s="522">
        <f>'C'!G366</f>
        <v>4340</v>
      </c>
      <c r="I1166" s="522">
        <f>'C'!H366</f>
        <v>4340</v>
      </c>
      <c r="J1166" s="522">
        <f>'C'!I366</f>
        <v>4340</v>
      </c>
      <c r="K1166" s="522">
        <f>'C'!J366</f>
        <v>4340</v>
      </c>
      <c r="L1166" s="522">
        <f>'C'!K366</f>
        <v>4340</v>
      </c>
      <c r="M1166" s="522">
        <f>'C'!L366</f>
        <v>19010</v>
      </c>
      <c r="N1166" s="522">
        <f>'C'!M366</f>
        <v>19010</v>
      </c>
      <c r="O1166" s="522">
        <f>'C'!N366</f>
        <v>13685</v>
      </c>
      <c r="P1166" s="522">
        <f>'C'!O366</f>
        <v>14099</v>
      </c>
      <c r="Q1166" s="522">
        <f>SUM(E1166:P1166)</f>
        <v>110759</v>
      </c>
    </row>
    <row r="1167" spans="1:17" s="224" customFormat="1" x14ac:dyDescent="0.2">
      <c r="A1167" s="263"/>
      <c r="C1167" s="290"/>
      <c r="D1167" s="299"/>
      <c r="E1167" s="297">
        <f t="shared" ref="E1167:P1167" si="348">SUM(E1165:E1166)</f>
        <v>43107</v>
      </c>
      <c r="F1167" s="297">
        <f t="shared" si="348"/>
        <v>25808</v>
      </c>
      <c r="G1167" s="297">
        <f t="shared" si="348"/>
        <v>29340</v>
      </c>
      <c r="H1167" s="297">
        <f t="shared" si="348"/>
        <v>29340</v>
      </c>
      <c r="I1167" s="297">
        <f t="shared" si="348"/>
        <v>29340</v>
      </c>
      <c r="J1167" s="297">
        <f t="shared" si="348"/>
        <v>29340</v>
      </c>
      <c r="K1167" s="297">
        <f t="shared" si="348"/>
        <v>29340</v>
      </c>
      <c r="L1167" s="297">
        <f t="shared" si="348"/>
        <v>29340</v>
      </c>
      <c r="M1167" s="297">
        <f t="shared" si="348"/>
        <v>44010</v>
      </c>
      <c r="N1167" s="297">
        <f t="shared" si="348"/>
        <v>44010</v>
      </c>
      <c r="O1167" s="297">
        <f t="shared" si="348"/>
        <v>38685</v>
      </c>
      <c r="P1167" s="297">
        <f t="shared" si="348"/>
        <v>39099</v>
      </c>
      <c r="Q1167" s="297">
        <f>SUM(E1167:P1167)</f>
        <v>410759</v>
      </c>
    </row>
    <row r="1168" spans="1:17" s="224" customFormat="1" x14ac:dyDescent="0.2">
      <c r="A1168" s="263">
        <f>A1166+1</f>
        <v>19</v>
      </c>
      <c r="C1168" s="290" t="s">
        <v>207</v>
      </c>
      <c r="D1168" s="519"/>
      <c r="E1168" s="299"/>
      <c r="F1168" s="542"/>
      <c r="G1168" s="543"/>
      <c r="H1168" s="542"/>
      <c r="I1168" s="522"/>
      <c r="J1168" s="544"/>
      <c r="K1168" s="542"/>
      <c r="L1168" s="542"/>
      <c r="M1168" s="542"/>
      <c r="N1168" s="542"/>
      <c r="O1168" s="542"/>
      <c r="P1168" s="542"/>
      <c r="Q1168" s="476"/>
    </row>
    <row r="1169" spans="1:17" s="224" customFormat="1" x14ac:dyDescent="0.2">
      <c r="A1169" s="263">
        <f>A1168+1</f>
        <v>20</v>
      </c>
      <c r="C1169" s="290" t="str">
        <f>C1165</f>
        <v xml:space="preserve">    First 25,000 Mcf</v>
      </c>
      <c r="D1169" s="793">
        <f>Input!P52</f>
        <v>0.49</v>
      </c>
      <c r="E1169" s="434">
        <f t="shared" ref="E1169:P1169" si="349">ROUND(E1165*$D$1169,2)</f>
        <v>12250</v>
      </c>
      <c r="F1169" s="434">
        <f t="shared" si="349"/>
        <v>12250</v>
      </c>
      <c r="G1169" s="434">
        <f t="shared" si="349"/>
        <v>12250</v>
      </c>
      <c r="H1169" s="434">
        <f t="shared" si="349"/>
        <v>12250</v>
      </c>
      <c r="I1169" s="434">
        <f t="shared" si="349"/>
        <v>12250</v>
      </c>
      <c r="J1169" s="434">
        <f t="shared" si="349"/>
        <v>12250</v>
      </c>
      <c r="K1169" s="434">
        <f t="shared" si="349"/>
        <v>12250</v>
      </c>
      <c r="L1169" s="434">
        <f t="shared" si="349"/>
        <v>12250</v>
      </c>
      <c r="M1169" s="434">
        <f t="shared" si="349"/>
        <v>12250</v>
      </c>
      <c r="N1169" s="434">
        <f t="shared" si="349"/>
        <v>12250</v>
      </c>
      <c r="O1169" s="434">
        <f t="shared" si="349"/>
        <v>12250</v>
      </c>
      <c r="P1169" s="434">
        <f t="shared" si="349"/>
        <v>12250</v>
      </c>
      <c r="Q1169" s="434">
        <f>SUM(E1169:P1169)</f>
        <v>147000</v>
      </c>
    </row>
    <row r="1170" spans="1:17" s="224" customFormat="1" x14ac:dyDescent="0.2">
      <c r="A1170" s="263">
        <f>A1169+1</f>
        <v>21</v>
      </c>
      <c r="C1170" s="290" t="str">
        <f>C1166</f>
        <v xml:space="preserve">    Over 25,000 Mcf</v>
      </c>
      <c r="D1170" s="793">
        <f>Input!Q52</f>
        <v>0.27</v>
      </c>
      <c r="E1170" s="277">
        <f t="shared" ref="E1170:P1170" si="350">ROUND(E1166*$D$1170,2)</f>
        <v>4888.8900000000003</v>
      </c>
      <c r="F1170" s="277">
        <f t="shared" si="350"/>
        <v>218.16</v>
      </c>
      <c r="G1170" s="277">
        <f t="shared" si="350"/>
        <v>1171.8</v>
      </c>
      <c r="H1170" s="277">
        <f t="shared" si="350"/>
        <v>1171.8</v>
      </c>
      <c r="I1170" s="277">
        <f t="shared" si="350"/>
        <v>1171.8</v>
      </c>
      <c r="J1170" s="277">
        <f t="shared" si="350"/>
        <v>1171.8</v>
      </c>
      <c r="K1170" s="277">
        <f t="shared" si="350"/>
        <v>1171.8</v>
      </c>
      <c r="L1170" s="277">
        <f t="shared" si="350"/>
        <v>1171.8</v>
      </c>
      <c r="M1170" s="277">
        <f t="shared" si="350"/>
        <v>5132.7</v>
      </c>
      <c r="N1170" s="277">
        <f t="shared" si="350"/>
        <v>5132.7</v>
      </c>
      <c r="O1170" s="277">
        <f t="shared" si="350"/>
        <v>3694.95</v>
      </c>
      <c r="P1170" s="277">
        <f t="shared" si="350"/>
        <v>3806.73</v>
      </c>
      <c r="Q1170" s="277">
        <f>SUM(E1170:P1170)</f>
        <v>29904.93</v>
      </c>
    </row>
    <row r="1171" spans="1:17" s="224" customFormat="1" x14ac:dyDescent="0.2">
      <c r="A1171" s="263"/>
      <c r="C1171" s="290"/>
      <c r="D1171" s="519"/>
      <c r="E1171" s="434">
        <f t="shared" ref="E1171:P1171" si="351">SUM(E1169:E1170)</f>
        <v>17138.89</v>
      </c>
      <c r="F1171" s="434">
        <f t="shared" si="351"/>
        <v>12468.16</v>
      </c>
      <c r="G1171" s="434">
        <f t="shared" si="351"/>
        <v>13421.8</v>
      </c>
      <c r="H1171" s="434">
        <f t="shared" si="351"/>
        <v>13421.8</v>
      </c>
      <c r="I1171" s="434">
        <f t="shared" si="351"/>
        <v>13421.8</v>
      </c>
      <c r="J1171" s="434">
        <f t="shared" si="351"/>
        <v>13421.8</v>
      </c>
      <c r="K1171" s="434">
        <f t="shared" si="351"/>
        <v>13421.8</v>
      </c>
      <c r="L1171" s="434">
        <f t="shared" si="351"/>
        <v>13421.8</v>
      </c>
      <c r="M1171" s="434">
        <f t="shared" si="351"/>
        <v>17382.7</v>
      </c>
      <c r="N1171" s="434">
        <f t="shared" si="351"/>
        <v>17382.7</v>
      </c>
      <c r="O1171" s="434">
        <f t="shared" si="351"/>
        <v>15944.95</v>
      </c>
      <c r="P1171" s="434">
        <f t="shared" si="351"/>
        <v>16056.73</v>
      </c>
      <c r="Q1171" s="434">
        <f>SUM(E1171:P1171)</f>
        <v>176904.93000000002</v>
      </c>
    </row>
    <row r="1172" spans="1:17" s="224" customFormat="1" x14ac:dyDescent="0.2">
      <c r="A1172" s="263"/>
      <c r="C1172" s="290"/>
      <c r="D1172" s="519"/>
      <c r="E1172" s="299"/>
      <c r="F1172" s="542"/>
      <c r="G1172" s="543"/>
      <c r="H1172" s="542"/>
      <c r="I1172" s="522"/>
      <c r="J1172" s="544"/>
      <c r="K1172" s="542"/>
      <c r="L1172" s="542"/>
      <c r="M1172" s="542"/>
      <c r="N1172" s="542"/>
      <c r="O1172" s="542"/>
      <c r="P1172" s="542"/>
      <c r="Q1172" s="476"/>
    </row>
    <row r="1173" spans="1:17" s="224" customFormat="1" x14ac:dyDescent="0.2">
      <c r="A1173" s="263">
        <f>A1170+1</f>
        <v>22</v>
      </c>
      <c r="C1173" s="290" t="s">
        <v>204</v>
      </c>
      <c r="D1173" s="519"/>
      <c r="E1173" s="434">
        <f t="shared" ref="E1173:P1173" si="352">E1161+E1162+E1171</f>
        <v>18201.84</v>
      </c>
      <c r="F1173" s="434">
        <f t="shared" si="352"/>
        <v>13531.11</v>
      </c>
      <c r="G1173" s="434">
        <f t="shared" si="352"/>
        <v>14484.75</v>
      </c>
      <c r="H1173" s="434">
        <f t="shared" si="352"/>
        <v>14484.75</v>
      </c>
      <c r="I1173" s="434">
        <f t="shared" si="352"/>
        <v>14484.75</v>
      </c>
      <c r="J1173" s="434">
        <f t="shared" si="352"/>
        <v>14484.75</v>
      </c>
      <c r="K1173" s="434">
        <f t="shared" si="352"/>
        <v>14484.75</v>
      </c>
      <c r="L1173" s="434">
        <f t="shared" si="352"/>
        <v>14484.75</v>
      </c>
      <c r="M1173" s="434">
        <f t="shared" si="352"/>
        <v>18445.650000000001</v>
      </c>
      <c r="N1173" s="434">
        <f t="shared" si="352"/>
        <v>18445.650000000001</v>
      </c>
      <c r="O1173" s="434">
        <f t="shared" si="352"/>
        <v>17007.900000000001</v>
      </c>
      <c r="P1173" s="434">
        <f t="shared" si="352"/>
        <v>17119.68</v>
      </c>
      <c r="Q1173" s="434">
        <f>SUM(E1173:P1173)</f>
        <v>189660.33</v>
      </c>
    </row>
    <row r="1174" spans="1:17" s="224" customFormat="1" x14ac:dyDescent="0.2">
      <c r="A1174" s="263"/>
      <c r="C1174" s="290"/>
      <c r="E1174" s="299"/>
      <c r="F1174" s="542"/>
      <c r="G1174" s="543"/>
      <c r="H1174" s="542"/>
      <c r="I1174" s="522"/>
      <c r="J1174" s="544"/>
      <c r="K1174" s="542"/>
      <c r="L1174" s="542"/>
      <c r="M1174" s="542"/>
      <c r="N1174" s="542"/>
      <c r="O1174" s="542"/>
      <c r="P1174" s="542"/>
      <c r="Q1174" s="476"/>
    </row>
    <row r="1175" spans="1:17" s="224" customFormat="1" x14ac:dyDescent="0.2">
      <c r="A1175" s="263">
        <f>A1173+1</f>
        <v>23</v>
      </c>
      <c r="C1175" s="224" t="s">
        <v>151</v>
      </c>
      <c r="D1175" s="794">
        <v>0</v>
      </c>
      <c r="E1175" s="517">
        <v>0</v>
      </c>
      <c r="F1175" s="517">
        <v>0</v>
      </c>
      <c r="G1175" s="517">
        <v>0</v>
      </c>
      <c r="H1175" s="517">
        <v>0</v>
      </c>
      <c r="I1175" s="517">
        <v>0</v>
      </c>
      <c r="J1175" s="517">
        <v>0</v>
      </c>
      <c r="K1175" s="517">
        <v>0</v>
      </c>
      <c r="L1175" s="517">
        <v>0</v>
      </c>
      <c r="M1175" s="517">
        <v>0</v>
      </c>
      <c r="N1175" s="517">
        <v>0</v>
      </c>
      <c r="O1175" s="517">
        <v>0</v>
      </c>
      <c r="P1175" s="517">
        <v>0</v>
      </c>
      <c r="Q1175" s="434">
        <f>SUM(E1175:P1175)</f>
        <v>0</v>
      </c>
    </row>
    <row r="1176" spans="1:17" s="224" customFormat="1" x14ac:dyDescent="0.2">
      <c r="A1176" s="263"/>
      <c r="D1176" s="290"/>
      <c r="F1176" s="292"/>
      <c r="G1176" s="476"/>
      <c r="H1176" s="292"/>
      <c r="I1176" s="297"/>
      <c r="J1176" s="292"/>
      <c r="K1176" s="292"/>
      <c r="L1176" s="292"/>
      <c r="M1176" s="292"/>
      <c r="N1176" s="292"/>
      <c r="O1176" s="292"/>
      <c r="P1176" s="292"/>
    </row>
    <row r="1177" spans="1:17" s="224" customFormat="1" ht="10.8" thickBot="1" x14ac:dyDescent="0.25">
      <c r="A1177" s="724">
        <f>A1175+1</f>
        <v>24</v>
      </c>
      <c r="B1177" s="496"/>
      <c r="C1177" s="725" t="s">
        <v>205</v>
      </c>
      <c r="D1177" s="726"/>
      <c r="E1177" s="499">
        <f t="shared" ref="E1177:P1177" si="353">E1173+E1175</f>
        <v>18201.84</v>
      </c>
      <c r="F1177" s="499">
        <f t="shared" si="353"/>
        <v>13531.11</v>
      </c>
      <c r="G1177" s="499">
        <f t="shared" si="353"/>
        <v>14484.75</v>
      </c>
      <c r="H1177" s="499">
        <f t="shared" si="353"/>
        <v>14484.75</v>
      </c>
      <c r="I1177" s="499">
        <f t="shared" si="353"/>
        <v>14484.75</v>
      </c>
      <c r="J1177" s="499">
        <f t="shared" si="353"/>
        <v>14484.75</v>
      </c>
      <c r="K1177" s="499">
        <f t="shared" si="353"/>
        <v>14484.75</v>
      </c>
      <c r="L1177" s="499">
        <f t="shared" si="353"/>
        <v>14484.75</v>
      </c>
      <c r="M1177" s="499">
        <f t="shared" si="353"/>
        <v>18445.650000000001</v>
      </c>
      <c r="N1177" s="499">
        <f t="shared" si="353"/>
        <v>18445.650000000001</v>
      </c>
      <c r="O1177" s="499">
        <f t="shared" si="353"/>
        <v>17007.900000000001</v>
      </c>
      <c r="P1177" s="499">
        <f t="shared" si="353"/>
        <v>17119.68</v>
      </c>
      <c r="Q1177" s="499">
        <f>SUM(E1177:P1177)</f>
        <v>189660.33</v>
      </c>
    </row>
    <row r="1178" spans="1:17" s="224" customFormat="1" ht="10.8" thickTop="1" x14ac:dyDescent="0.2">
      <c r="A1178" s="263"/>
      <c r="C1178" s="306"/>
      <c r="D1178" s="290"/>
      <c r="F1178" s="292"/>
      <c r="G1178" s="476"/>
      <c r="H1178" s="292"/>
      <c r="I1178" s="297"/>
      <c r="J1178" s="292"/>
      <c r="K1178" s="292"/>
      <c r="L1178" s="292"/>
      <c r="M1178" s="292"/>
      <c r="N1178" s="292"/>
      <c r="O1178" s="292"/>
      <c r="P1178" s="292"/>
      <c r="Q1178" s="476"/>
    </row>
    <row r="1179" spans="1:17" s="224" customFormat="1" x14ac:dyDescent="0.2">
      <c r="A1179" s="263"/>
      <c r="D1179" s="290"/>
      <c r="F1179" s="292"/>
      <c r="G1179" s="476"/>
      <c r="H1179" s="292"/>
      <c r="I1179" s="297"/>
      <c r="J1179" s="292"/>
      <c r="K1179" s="292"/>
      <c r="L1179" s="292"/>
      <c r="M1179" s="292"/>
      <c r="N1179" s="292"/>
      <c r="O1179" s="292"/>
      <c r="P1179" s="292"/>
    </row>
    <row r="1180" spans="1:17" s="224" customFormat="1" x14ac:dyDescent="0.2">
      <c r="A1180" s="629" t="str">
        <f>$A$265</f>
        <v>[1] Reflects Normalized Volumes.</v>
      </c>
      <c r="D1180" s="290"/>
      <c r="F1180" s="292"/>
      <c r="G1180" s="476"/>
      <c r="H1180" s="292"/>
      <c r="I1180" s="297"/>
      <c r="J1180" s="292"/>
      <c r="K1180" s="292"/>
      <c r="L1180" s="292"/>
      <c r="M1180" s="292"/>
      <c r="N1180" s="292"/>
      <c r="O1180" s="292"/>
      <c r="P1180" s="292"/>
    </row>
    <row r="1181" spans="1:17" s="224" customFormat="1" x14ac:dyDescent="0.2">
      <c r="A1181" s="889" t="str">
        <f>CONAME</f>
        <v>Columbia Gas of Kentucky, Inc.</v>
      </c>
      <c r="B1181" s="889"/>
      <c r="C1181" s="889"/>
      <c r="D1181" s="889"/>
      <c r="E1181" s="889"/>
      <c r="F1181" s="889"/>
      <c r="G1181" s="889"/>
      <c r="H1181" s="889"/>
      <c r="I1181" s="889"/>
      <c r="J1181" s="889"/>
      <c r="K1181" s="889"/>
      <c r="L1181" s="889"/>
      <c r="M1181" s="889"/>
      <c r="N1181" s="889"/>
      <c r="O1181" s="889"/>
      <c r="P1181" s="889"/>
      <c r="Q1181" s="889"/>
    </row>
    <row r="1182" spans="1:17" s="224" customFormat="1" x14ac:dyDescent="0.2">
      <c r="A1182" s="872" t="str">
        <f>case</f>
        <v>Case No. 2016-00162</v>
      </c>
      <c r="B1182" s="872"/>
      <c r="C1182" s="872"/>
      <c r="D1182" s="872"/>
      <c r="E1182" s="872"/>
      <c r="F1182" s="872"/>
      <c r="G1182" s="872"/>
      <c r="H1182" s="872"/>
      <c r="I1182" s="872"/>
      <c r="J1182" s="872"/>
      <c r="K1182" s="872"/>
      <c r="L1182" s="872"/>
      <c r="M1182" s="872"/>
      <c r="N1182" s="872"/>
      <c r="O1182" s="872"/>
      <c r="P1182" s="872"/>
      <c r="Q1182" s="872"/>
    </row>
    <row r="1183" spans="1:17" s="224" customFormat="1" x14ac:dyDescent="0.2">
      <c r="A1183" s="892" t="s">
        <v>200</v>
      </c>
      <c r="B1183" s="892"/>
      <c r="C1183" s="892"/>
      <c r="D1183" s="892"/>
      <c r="E1183" s="892"/>
      <c r="F1183" s="892"/>
      <c r="G1183" s="892"/>
      <c r="H1183" s="892"/>
      <c r="I1183" s="892"/>
      <c r="J1183" s="892"/>
      <c r="K1183" s="892"/>
      <c r="L1183" s="892"/>
      <c r="M1183" s="892"/>
      <c r="N1183" s="892"/>
      <c r="O1183" s="892"/>
      <c r="P1183" s="892"/>
      <c r="Q1183" s="892"/>
    </row>
    <row r="1184" spans="1:17" s="224" customFormat="1" x14ac:dyDescent="0.2">
      <c r="A1184" s="889" t="str">
        <f>TYDESC</f>
        <v>For the 12 Months Ended December 31, 2017</v>
      </c>
      <c r="B1184" s="889"/>
      <c r="C1184" s="889"/>
      <c r="D1184" s="889"/>
      <c r="E1184" s="889"/>
      <c r="F1184" s="889"/>
      <c r="G1184" s="889"/>
      <c r="H1184" s="889"/>
      <c r="I1184" s="889"/>
      <c r="J1184" s="889"/>
      <c r="K1184" s="889"/>
      <c r="L1184" s="889"/>
      <c r="M1184" s="889"/>
      <c r="N1184" s="889"/>
      <c r="O1184" s="889"/>
      <c r="P1184" s="889"/>
      <c r="Q1184" s="889"/>
    </row>
    <row r="1185" spans="1:17" s="224" customFormat="1" x14ac:dyDescent="0.2">
      <c r="A1185" s="890" t="s">
        <v>39</v>
      </c>
      <c r="B1185" s="890"/>
      <c r="C1185" s="890"/>
      <c r="D1185" s="890"/>
      <c r="E1185" s="890"/>
      <c r="F1185" s="890"/>
      <c r="G1185" s="890"/>
      <c r="H1185" s="890"/>
      <c r="I1185" s="890"/>
      <c r="J1185" s="890"/>
      <c r="K1185" s="890"/>
      <c r="L1185" s="890"/>
      <c r="M1185" s="890"/>
      <c r="N1185" s="890"/>
      <c r="O1185" s="890"/>
      <c r="P1185" s="890"/>
      <c r="Q1185" s="890"/>
    </row>
    <row r="1186" spans="1:17" s="224" customFormat="1" x14ac:dyDescent="0.2">
      <c r="A1186" s="718" t="str">
        <f>$A$52</f>
        <v>Data: __ Base Period _X_ Forecasted Period</v>
      </c>
      <c r="D1186" s="290"/>
      <c r="F1186" s="292"/>
      <c r="G1186" s="476"/>
      <c r="H1186" s="292"/>
      <c r="I1186" s="297"/>
      <c r="J1186" s="292"/>
      <c r="K1186" s="292"/>
      <c r="L1186" s="292"/>
      <c r="M1186" s="292"/>
      <c r="N1186" s="292"/>
      <c r="O1186" s="292"/>
      <c r="P1186" s="292"/>
    </row>
    <row r="1187" spans="1:17" s="224" customFormat="1" x14ac:dyDescent="0.2">
      <c r="A1187" s="718" t="str">
        <f>$A$53</f>
        <v>Type of Filing: X Original _ Update _ Revised</v>
      </c>
      <c r="D1187" s="290"/>
      <c r="F1187" s="292"/>
      <c r="G1187" s="476"/>
      <c r="H1187" s="292"/>
      <c r="I1187" s="297"/>
      <c r="J1187" s="292"/>
      <c r="K1187" s="292"/>
      <c r="L1187" s="292"/>
      <c r="M1187" s="292"/>
      <c r="N1187" s="292"/>
      <c r="O1187" s="292"/>
      <c r="P1187" s="292"/>
      <c r="Q1187" s="727" t="str">
        <f>$Q$53</f>
        <v>Schedule M-2.3</v>
      </c>
    </row>
    <row r="1188" spans="1:17" s="224" customFormat="1" x14ac:dyDescent="0.2">
      <c r="A1188" s="718" t="str">
        <f>$A$54</f>
        <v>Work Paper Reference No(s):</v>
      </c>
      <c r="D1188" s="290"/>
      <c r="F1188" s="292"/>
      <c r="G1188" s="476"/>
      <c r="H1188" s="292"/>
      <c r="I1188" s="297"/>
      <c r="J1188" s="292"/>
      <c r="K1188" s="292"/>
      <c r="L1188" s="292"/>
      <c r="M1188" s="292"/>
      <c r="N1188" s="292"/>
      <c r="O1188" s="292"/>
      <c r="P1188" s="292"/>
      <c r="Q1188" s="727" t="s">
        <v>517</v>
      </c>
    </row>
    <row r="1189" spans="1:17" s="224" customFormat="1" x14ac:dyDescent="0.2">
      <c r="A1189" s="719" t="str">
        <f>$A$55</f>
        <v>12 Months Forecasted</v>
      </c>
      <c r="D1189" s="290"/>
      <c r="F1189" s="292"/>
      <c r="G1189" s="476"/>
      <c r="H1189" s="292"/>
      <c r="I1189" s="297"/>
      <c r="J1189" s="292"/>
      <c r="K1189" s="292"/>
      <c r="L1189" s="292"/>
      <c r="M1189" s="292"/>
      <c r="N1189" s="292"/>
      <c r="O1189" s="292"/>
      <c r="P1189" s="292"/>
      <c r="Q1189" s="727" t="str">
        <f>Witness</f>
        <v>Witness:  M. J. Bell</v>
      </c>
    </row>
    <row r="1190" spans="1:17" s="224" customFormat="1" x14ac:dyDescent="0.2">
      <c r="A1190" s="891" t="s">
        <v>294</v>
      </c>
      <c r="B1190" s="891"/>
      <c r="C1190" s="891"/>
      <c r="D1190" s="891"/>
      <c r="E1190" s="891"/>
      <c r="F1190" s="891"/>
      <c r="G1190" s="891"/>
      <c r="H1190" s="891"/>
      <c r="I1190" s="891"/>
      <c r="J1190" s="891"/>
      <c r="K1190" s="891"/>
      <c r="L1190" s="891"/>
      <c r="M1190" s="891"/>
      <c r="N1190" s="891"/>
      <c r="O1190" s="891"/>
      <c r="P1190" s="891"/>
      <c r="Q1190" s="891"/>
    </row>
    <row r="1191" spans="1:17" s="224" customFormat="1" x14ac:dyDescent="0.2">
      <c r="A1191" s="227"/>
      <c r="B1191" s="306"/>
      <c r="C1191" s="306"/>
      <c r="D1191" s="308"/>
      <c r="E1191" s="306"/>
      <c r="F1191" s="502"/>
      <c r="G1191" s="503"/>
      <c r="H1191" s="502"/>
      <c r="I1191" s="504"/>
      <c r="J1191" s="502"/>
      <c r="K1191" s="502"/>
      <c r="L1191" s="502"/>
      <c r="M1191" s="502"/>
      <c r="N1191" s="502"/>
      <c r="O1191" s="502"/>
      <c r="P1191" s="502"/>
      <c r="Q1191" s="306"/>
    </row>
    <row r="1192" spans="1:17" s="224" customFormat="1" x14ac:dyDescent="0.2">
      <c r="A1192" s="416"/>
      <c r="B1192" s="416"/>
      <c r="C1192" s="416"/>
      <c r="D1192" s="423"/>
      <c r="E1192" s="416"/>
      <c r="F1192" s="729"/>
      <c r="G1192" s="732"/>
      <c r="H1192" s="729"/>
      <c r="I1192" s="733"/>
      <c r="J1192" s="729"/>
      <c r="K1192" s="729"/>
      <c r="L1192" s="729"/>
      <c r="M1192" s="729"/>
      <c r="N1192" s="729"/>
      <c r="O1192" s="729"/>
      <c r="P1192" s="729"/>
      <c r="Q1192" s="416"/>
    </row>
    <row r="1193" spans="1:17" s="224" customFormat="1" x14ac:dyDescent="0.2">
      <c r="A1193" s="416" t="s">
        <v>1</v>
      </c>
      <c r="B1193" s="416" t="s">
        <v>0</v>
      </c>
      <c r="C1193" s="416" t="s">
        <v>41</v>
      </c>
      <c r="D1193" s="423" t="s">
        <v>30</v>
      </c>
      <c r="E1193" s="416"/>
      <c r="F1193" s="729"/>
      <c r="G1193" s="732"/>
      <c r="H1193" s="729"/>
      <c r="I1193" s="733"/>
      <c r="J1193" s="729"/>
      <c r="K1193" s="729"/>
      <c r="L1193" s="729"/>
      <c r="M1193" s="729"/>
      <c r="N1193" s="729"/>
      <c r="O1193" s="729"/>
      <c r="P1193" s="729"/>
      <c r="Q1193" s="232"/>
    </row>
    <row r="1194" spans="1:17" s="224" customFormat="1" x14ac:dyDescent="0.2">
      <c r="A1194" s="285" t="s">
        <v>3</v>
      </c>
      <c r="B1194" s="285" t="s">
        <v>40</v>
      </c>
      <c r="C1194" s="285" t="s">
        <v>4</v>
      </c>
      <c r="D1194" s="427" t="s">
        <v>48</v>
      </c>
      <c r="E1194" s="428" t="str">
        <f>B!$D$11</f>
        <v>Jan-17</v>
      </c>
      <c r="F1194" s="428" t="str">
        <f>B!$E$11</f>
        <v>Feb-17</v>
      </c>
      <c r="G1194" s="428" t="str">
        <f>B!$F$11</f>
        <v>Mar-17</v>
      </c>
      <c r="H1194" s="428" t="str">
        <f>B!$G$11</f>
        <v>Apr-17</v>
      </c>
      <c r="I1194" s="428" t="str">
        <f>B!$H$11</f>
        <v>May-17</v>
      </c>
      <c r="J1194" s="428" t="str">
        <f>B!$I$11</f>
        <v>Jun-17</v>
      </c>
      <c r="K1194" s="428" t="str">
        <f>B!$J$11</f>
        <v>Jul-17</v>
      </c>
      <c r="L1194" s="428" t="str">
        <f>B!$K$11</f>
        <v>Aug-17</v>
      </c>
      <c r="M1194" s="428" t="str">
        <f>B!$L$11</f>
        <v>Sep-17</v>
      </c>
      <c r="N1194" s="428" t="str">
        <f>B!$M$11</f>
        <v>Oct-17</v>
      </c>
      <c r="O1194" s="428" t="str">
        <f>B!$N$11</f>
        <v>Nov-17</v>
      </c>
      <c r="P1194" s="428" t="str">
        <f>B!$O$11</f>
        <v>Dec-17</v>
      </c>
      <c r="Q1194" s="428" t="s">
        <v>9</v>
      </c>
    </row>
    <row r="1195" spans="1:17" s="224" customFormat="1" x14ac:dyDescent="0.2">
      <c r="A1195" s="416"/>
      <c r="B1195" s="231" t="s">
        <v>42</v>
      </c>
      <c r="C1195" s="231" t="s">
        <v>43</v>
      </c>
      <c r="D1195" s="430" t="s">
        <v>45</v>
      </c>
      <c r="E1195" s="431" t="s">
        <v>46</v>
      </c>
      <c r="F1195" s="431" t="s">
        <v>49</v>
      </c>
      <c r="G1195" s="431" t="s">
        <v>50</v>
      </c>
      <c r="H1195" s="431" t="s">
        <v>51</v>
      </c>
      <c r="I1195" s="431" t="s">
        <v>52</v>
      </c>
      <c r="J1195" s="432" t="s">
        <v>53</v>
      </c>
      <c r="K1195" s="432" t="s">
        <v>54</v>
      </c>
      <c r="L1195" s="432" t="s">
        <v>55</v>
      </c>
      <c r="M1195" s="432" t="s">
        <v>56</v>
      </c>
      <c r="N1195" s="432" t="s">
        <v>57</v>
      </c>
      <c r="O1195" s="432" t="s">
        <v>58</v>
      </c>
      <c r="P1195" s="432" t="s">
        <v>59</v>
      </c>
      <c r="Q1195" s="432" t="s">
        <v>203</v>
      </c>
    </row>
    <row r="1196" spans="1:17" s="224" customFormat="1" x14ac:dyDescent="0.2">
      <c r="A1196" s="263"/>
      <c r="D1196" s="290"/>
      <c r="E1196" s="232"/>
      <c r="F1196" s="734"/>
      <c r="G1196" s="730"/>
      <c r="H1196" s="734"/>
      <c r="I1196" s="731"/>
      <c r="J1196" s="734"/>
      <c r="K1196" s="734"/>
      <c r="L1196" s="734"/>
      <c r="M1196" s="734"/>
      <c r="N1196" s="734"/>
      <c r="O1196" s="734"/>
      <c r="P1196" s="734"/>
      <c r="Q1196" s="232"/>
    </row>
    <row r="1197" spans="1:17" s="224" customFormat="1" x14ac:dyDescent="0.2">
      <c r="A1197" s="263">
        <v>1</v>
      </c>
      <c r="B1197" s="224" t="str">
        <f>B347</f>
        <v>SAS</v>
      </c>
      <c r="C1197" s="224" t="str">
        <f>C347</f>
        <v>GTS Special Agency Service</v>
      </c>
      <c r="D1197" s="290"/>
      <c r="F1197" s="292"/>
      <c r="G1197" s="476"/>
      <c r="H1197" s="292"/>
      <c r="I1197" s="297"/>
      <c r="J1197" s="292"/>
      <c r="K1197" s="292"/>
      <c r="L1197" s="292"/>
      <c r="M1197" s="292"/>
      <c r="N1197" s="292"/>
      <c r="O1197" s="292"/>
      <c r="P1197" s="292"/>
    </row>
    <row r="1198" spans="1:17" s="224" customFormat="1" x14ac:dyDescent="0.2">
      <c r="A1198" s="263"/>
      <c r="D1198" s="290"/>
      <c r="F1198" s="292"/>
      <c r="G1198" s="476"/>
      <c r="H1198" s="292"/>
      <c r="I1198" s="297"/>
      <c r="J1198" s="292"/>
      <c r="K1198" s="292"/>
      <c r="L1198" s="292"/>
      <c r="M1198" s="292"/>
      <c r="N1198" s="292"/>
      <c r="O1198" s="292"/>
      <c r="P1198" s="292"/>
    </row>
    <row r="1199" spans="1:17" s="224" customFormat="1" x14ac:dyDescent="0.2">
      <c r="A1199" s="263">
        <f>A1197+1</f>
        <v>2</v>
      </c>
      <c r="C1199" s="266" t="s">
        <v>111</v>
      </c>
      <c r="D1199" s="290"/>
      <c r="F1199" s="292"/>
      <c r="G1199" s="476"/>
      <c r="H1199" s="292"/>
      <c r="I1199" s="297"/>
      <c r="J1199" s="292"/>
      <c r="K1199" s="292"/>
      <c r="L1199" s="292"/>
      <c r="M1199" s="292"/>
      <c r="N1199" s="292"/>
      <c r="O1199" s="292"/>
      <c r="P1199" s="292"/>
    </row>
    <row r="1200" spans="1:17" s="224" customFormat="1" x14ac:dyDescent="0.2">
      <c r="A1200" s="263"/>
      <c r="C1200" s="266"/>
      <c r="D1200" s="290"/>
      <c r="F1200" s="292"/>
      <c r="G1200" s="476"/>
      <c r="H1200" s="292"/>
      <c r="I1200" s="297"/>
      <c r="J1200" s="292"/>
      <c r="K1200" s="292"/>
      <c r="L1200" s="292"/>
      <c r="M1200" s="292"/>
      <c r="N1200" s="292"/>
      <c r="O1200" s="292"/>
      <c r="P1200" s="292"/>
    </row>
    <row r="1201" spans="1:17" s="224" customFormat="1" x14ac:dyDescent="0.2">
      <c r="A1201" s="263">
        <f>A1199+1</f>
        <v>3</v>
      </c>
      <c r="C1201" s="224" t="s">
        <v>202</v>
      </c>
      <c r="D1201" s="290"/>
      <c r="E1201" s="290">
        <f>B!D252</f>
        <v>0</v>
      </c>
      <c r="F1201" s="290">
        <f>B!E252</f>
        <v>0</v>
      </c>
      <c r="G1201" s="290">
        <f>B!F252</f>
        <v>0</v>
      </c>
      <c r="H1201" s="290">
        <f>B!G252</f>
        <v>0</v>
      </c>
      <c r="I1201" s="290">
        <f>B!H252</f>
        <v>0</v>
      </c>
      <c r="J1201" s="290">
        <f>B!I252</f>
        <v>0</v>
      </c>
      <c r="K1201" s="290">
        <f>B!J252</f>
        <v>0</v>
      </c>
      <c r="L1201" s="290">
        <f>B!K252</f>
        <v>0</v>
      </c>
      <c r="M1201" s="290">
        <f>B!L252</f>
        <v>0</v>
      </c>
      <c r="N1201" s="290">
        <f>B!M252</f>
        <v>0</v>
      </c>
      <c r="O1201" s="290">
        <f>B!N252</f>
        <v>0</v>
      </c>
      <c r="P1201" s="290">
        <f>B!O252</f>
        <v>0</v>
      </c>
      <c r="Q1201" s="290">
        <f>SUM(E1201:P1201)</f>
        <v>0</v>
      </c>
    </row>
    <row r="1202" spans="1:17" s="224" customFormat="1" x14ac:dyDescent="0.2">
      <c r="A1202" s="263">
        <f>A1201+1</f>
        <v>4</v>
      </c>
      <c r="C1202" s="224" t="s">
        <v>210</v>
      </c>
      <c r="D1202" s="792">
        <f>Input!U53</f>
        <v>1461.9999999999998</v>
      </c>
      <c r="E1202" s="434">
        <f t="shared" ref="E1202:P1202" si="354">ROUND(E1201*$D$1202,2)</f>
        <v>0</v>
      </c>
      <c r="F1202" s="434">
        <f t="shared" si="354"/>
        <v>0</v>
      </c>
      <c r="G1202" s="434">
        <f t="shared" si="354"/>
        <v>0</v>
      </c>
      <c r="H1202" s="434">
        <f t="shared" si="354"/>
        <v>0</v>
      </c>
      <c r="I1202" s="434">
        <f t="shared" si="354"/>
        <v>0</v>
      </c>
      <c r="J1202" s="434">
        <f t="shared" si="354"/>
        <v>0</v>
      </c>
      <c r="K1202" s="434">
        <f t="shared" si="354"/>
        <v>0</v>
      </c>
      <c r="L1202" s="434">
        <f t="shared" si="354"/>
        <v>0</v>
      </c>
      <c r="M1202" s="434">
        <f t="shared" si="354"/>
        <v>0</v>
      </c>
      <c r="N1202" s="434">
        <f t="shared" si="354"/>
        <v>0</v>
      </c>
      <c r="O1202" s="434">
        <f t="shared" si="354"/>
        <v>0</v>
      </c>
      <c r="P1202" s="434">
        <f t="shared" si="354"/>
        <v>0</v>
      </c>
      <c r="Q1202" s="434">
        <f>SUM(E1202:P1202)</f>
        <v>0</v>
      </c>
    </row>
    <row r="1203" spans="1:17" s="224" customFormat="1" x14ac:dyDescent="0.2">
      <c r="A1203" s="263">
        <f>A1202+1</f>
        <v>5</v>
      </c>
      <c r="C1203" s="224" t="s">
        <v>217</v>
      </c>
      <c r="D1203" s="792">
        <f>Input!V53</f>
        <v>0</v>
      </c>
      <c r="E1203" s="434">
        <f t="shared" ref="E1203:P1203" si="355">ROUND(E1201*$D$1203,2)</f>
        <v>0</v>
      </c>
      <c r="F1203" s="434">
        <f t="shared" si="355"/>
        <v>0</v>
      </c>
      <c r="G1203" s="434">
        <f t="shared" si="355"/>
        <v>0</v>
      </c>
      <c r="H1203" s="434">
        <f t="shared" si="355"/>
        <v>0</v>
      </c>
      <c r="I1203" s="434">
        <f t="shared" si="355"/>
        <v>0</v>
      </c>
      <c r="J1203" s="434">
        <f t="shared" si="355"/>
        <v>0</v>
      </c>
      <c r="K1203" s="434">
        <f t="shared" si="355"/>
        <v>0</v>
      </c>
      <c r="L1203" s="434">
        <f t="shared" si="355"/>
        <v>0</v>
      </c>
      <c r="M1203" s="434">
        <f t="shared" si="355"/>
        <v>0</v>
      </c>
      <c r="N1203" s="434">
        <f t="shared" si="355"/>
        <v>0</v>
      </c>
      <c r="O1203" s="434">
        <f t="shared" si="355"/>
        <v>0</v>
      </c>
      <c r="P1203" s="434">
        <f t="shared" si="355"/>
        <v>0</v>
      </c>
      <c r="Q1203" s="434">
        <f>SUM(E1203:P1203)</f>
        <v>0</v>
      </c>
    </row>
    <row r="1204" spans="1:17" s="224" customFormat="1" x14ac:dyDescent="0.2">
      <c r="A1204" s="263">
        <f>A1203+1</f>
        <v>6</v>
      </c>
      <c r="C1204" s="224" t="s">
        <v>211</v>
      </c>
      <c r="D1204" s="792">
        <f>Input!W53</f>
        <v>0</v>
      </c>
      <c r="E1204" s="434">
        <f t="shared" ref="E1204:P1204" si="356">ROUND(E1201*$D$1204,2)</f>
        <v>0</v>
      </c>
      <c r="F1204" s="434">
        <f t="shared" si="356"/>
        <v>0</v>
      </c>
      <c r="G1204" s="434">
        <f t="shared" si="356"/>
        <v>0</v>
      </c>
      <c r="H1204" s="434">
        <f t="shared" si="356"/>
        <v>0</v>
      </c>
      <c r="I1204" s="434">
        <f t="shared" si="356"/>
        <v>0</v>
      </c>
      <c r="J1204" s="434">
        <f t="shared" si="356"/>
        <v>0</v>
      </c>
      <c r="K1204" s="434">
        <f t="shared" si="356"/>
        <v>0</v>
      </c>
      <c r="L1204" s="434">
        <f t="shared" si="356"/>
        <v>0</v>
      </c>
      <c r="M1204" s="434">
        <f t="shared" si="356"/>
        <v>0</v>
      </c>
      <c r="N1204" s="434">
        <f t="shared" si="356"/>
        <v>0</v>
      </c>
      <c r="O1204" s="434">
        <f t="shared" si="356"/>
        <v>0</v>
      </c>
      <c r="P1204" s="434">
        <f t="shared" si="356"/>
        <v>0</v>
      </c>
      <c r="Q1204" s="434">
        <f>SUM(E1204:P1204)</f>
        <v>0</v>
      </c>
    </row>
    <row r="1205" spans="1:17" s="224" customFormat="1" x14ac:dyDescent="0.2">
      <c r="A1205" s="263"/>
      <c r="D1205" s="290"/>
      <c r="F1205" s="292"/>
      <c r="G1205" s="476"/>
      <c r="H1205" s="292"/>
      <c r="I1205" s="297"/>
      <c r="J1205" s="292"/>
      <c r="K1205" s="292"/>
      <c r="L1205" s="292"/>
      <c r="M1205" s="292"/>
      <c r="N1205" s="292"/>
      <c r="O1205" s="292"/>
      <c r="P1205" s="292"/>
    </row>
    <row r="1206" spans="1:17" s="224" customFormat="1" x14ac:dyDescent="0.2">
      <c r="A1206" s="263">
        <f>A1204+1</f>
        <v>7</v>
      </c>
      <c r="C1206" s="224" t="s">
        <v>209</v>
      </c>
      <c r="D1206" s="290"/>
      <c r="E1206" s="521"/>
      <c r="F1206" s="292"/>
      <c r="G1206" s="476"/>
      <c r="H1206" s="292"/>
      <c r="I1206" s="297"/>
      <c r="J1206" s="292"/>
      <c r="K1206" s="292"/>
      <c r="L1206" s="292"/>
      <c r="M1206" s="292"/>
      <c r="N1206" s="292"/>
      <c r="O1206" s="292"/>
      <c r="P1206" s="292"/>
    </row>
    <row r="1207" spans="1:17" s="224" customFormat="1" x14ac:dyDescent="0.2">
      <c r="A1207" s="263">
        <f>A1206+1</f>
        <v>8</v>
      </c>
      <c r="C1207" s="224" t="str">
        <f>'C'!B371</f>
        <v xml:space="preserve">    First 30,000 Mcf</v>
      </c>
      <c r="D1207" s="290"/>
      <c r="E1207" s="297">
        <f>'C'!D379</f>
        <v>0</v>
      </c>
      <c r="F1207" s="297">
        <f>'C'!E379</f>
        <v>0</v>
      </c>
      <c r="G1207" s="297">
        <f>'C'!F379</f>
        <v>0</v>
      </c>
      <c r="H1207" s="297">
        <f>'C'!G379</f>
        <v>0</v>
      </c>
      <c r="I1207" s="297">
        <f>'C'!H379</f>
        <v>0</v>
      </c>
      <c r="J1207" s="297">
        <f>'C'!I379</f>
        <v>0</v>
      </c>
      <c r="K1207" s="297">
        <f>'C'!J379</f>
        <v>0</v>
      </c>
      <c r="L1207" s="297">
        <f>'C'!K379</f>
        <v>0</v>
      </c>
      <c r="M1207" s="297">
        <f>'C'!L379</f>
        <v>0</v>
      </c>
      <c r="N1207" s="297">
        <f>'C'!M379</f>
        <v>0</v>
      </c>
      <c r="O1207" s="297">
        <f>'C'!N379</f>
        <v>0</v>
      </c>
      <c r="P1207" s="297">
        <f>'C'!O379</f>
        <v>0</v>
      </c>
      <c r="Q1207" s="297">
        <f>SUM(E1207:P1207)</f>
        <v>0</v>
      </c>
    </row>
    <row r="1208" spans="1:17" s="224" customFormat="1" x14ac:dyDescent="0.2">
      <c r="A1208" s="263">
        <f>A1207+1</f>
        <v>9</v>
      </c>
      <c r="C1208" s="224" t="str">
        <f>'C'!B372</f>
        <v xml:space="preserve">    Over 30,000 Mcf</v>
      </c>
      <c r="D1208" s="290"/>
      <c r="E1208" s="522">
        <f>'C'!D380</f>
        <v>0</v>
      </c>
      <c r="F1208" s="522">
        <f>'C'!E380</f>
        <v>0</v>
      </c>
      <c r="G1208" s="522">
        <f>'C'!F380</f>
        <v>0</v>
      </c>
      <c r="H1208" s="522">
        <f>'C'!G380</f>
        <v>0</v>
      </c>
      <c r="I1208" s="522">
        <f>'C'!H380</f>
        <v>0</v>
      </c>
      <c r="J1208" s="522">
        <f>'C'!I380</f>
        <v>0</v>
      </c>
      <c r="K1208" s="522">
        <f>'C'!J380</f>
        <v>0</v>
      </c>
      <c r="L1208" s="522">
        <f>'C'!K380</f>
        <v>0</v>
      </c>
      <c r="M1208" s="522">
        <f>'C'!L380</f>
        <v>0</v>
      </c>
      <c r="N1208" s="522">
        <f>'C'!M380</f>
        <v>0</v>
      </c>
      <c r="O1208" s="522">
        <f>'C'!N380</f>
        <v>0</v>
      </c>
      <c r="P1208" s="522">
        <f>'C'!O380</f>
        <v>0</v>
      </c>
      <c r="Q1208" s="522">
        <f>SUM(E1208:P1208)</f>
        <v>0</v>
      </c>
    </row>
    <row r="1209" spans="1:17" s="224" customFormat="1" x14ac:dyDescent="0.2">
      <c r="A1209" s="263"/>
      <c r="D1209" s="290"/>
      <c r="E1209" s="297">
        <f t="shared" ref="E1209:P1209" si="357">SUM(E1207:E1208)</f>
        <v>0</v>
      </c>
      <c r="F1209" s="297">
        <f t="shared" si="357"/>
        <v>0</v>
      </c>
      <c r="G1209" s="297">
        <f t="shared" si="357"/>
        <v>0</v>
      </c>
      <c r="H1209" s="297">
        <f t="shared" si="357"/>
        <v>0</v>
      </c>
      <c r="I1209" s="297">
        <f t="shared" si="357"/>
        <v>0</v>
      </c>
      <c r="J1209" s="297">
        <f t="shared" si="357"/>
        <v>0</v>
      </c>
      <c r="K1209" s="297">
        <f t="shared" si="357"/>
        <v>0</v>
      </c>
      <c r="L1209" s="297">
        <f t="shared" si="357"/>
        <v>0</v>
      </c>
      <c r="M1209" s="297">
        <f t="shared" si="357"/>
        <v>0</v>
      </c>
      <c r="N1209" s="297">
        <f t="shared" si="357"/>
        <v>0</v>
      </c>
      <c r="O1209" s="297">
        <f t="shared" si="357"/>
        <v>0</v>
      </c>
      <c r="P1209" s="297">
        <f t="shared" si="357"/>
        <v>0</v>
      </c>
      <c r="Q1209" s="297">
        <f>SUM(E1209:P1209)</f>
        <v>0</v>
      </c>
    </row>
    <row r="1210" spans="1:17" s="224" customFormat="1" x14ac:dyDescent="0.2">
      <c r="A1210" s="263">
        <f>A1208+1</f>
        <v>10</v>
      </c>
      <c r="C1210" s="290" t="s">
        <v>207</v>
      </c>
      <c r="D1210" s="290"/>
      <c r="E1210" s="299"/>
      <c r="F1210" s="542"/>
      <c r="G1210" s="543"/>
      <c r="H1210" s="542"/>
      <c r="I1210" s="522"/>
      <c r="J1210" s="544"/>
      <c r="K1210" s="542"/>
      <c r="L1210" s="542"/>
      <c r="M1210" s="542"/>
      <c r="N1210" s="542"/>
      <c r="O1210" s="542"/>
      <c r="P1210" s="542"/>
      <c r="Q1210" s="476"/>
    </row>
    <row r="1211" spans="1:17" s="224" customFormat="1" x14ac:dyDescent="0.2">
      <c r="A1211" s="263">
        <f>A1210+1</f>
        <v>11</v>
      </c>
      <c r="C1211" s="290" t="str">
        <f>C1207</f>
        <v xml:space="preserve">    First 30,000 Mcf</v>
      </c>
      <c r="D1211" s="793">
        <f>Input!P53</f>
        <v>0.9002</v>
      </c>
      <c r="E1211" s="434">
        <f t="shared" ref="E1211:P1211" si="358">ROUND(E1207*$D$1211,2)</f>
        <v>0</v>
      </c>
      <c r="F1211" s="434">
        <f t="shared" si="358"/>
        <v>0</v>
      </c>
      <c r="G1211" s="434">
        <f t="shared" si="358"/>
        <v>0</v>
      </c>
      <c r="H1211" s="434">
        <f t="shared" si="358"/>
        <v>0</v>
      </c>
      <c r="I1211" s="434">
        <f t="shared" si="358"/>
        <v>0</v>
      </c>
      <c r="J1211" s="434">
        <f t="shared" si="358"/>
        <v>0</v>
      </c>
      <c r="K1211" s="434">
        <f t="shared" si="358"/>
        <v>0</v>
      </c>
      <c r="L1211" s="434">
        <f t="shared" si="358"/>
        <v>0</v>
      </c>
      <c r="M1211" s="434">
        <f t="shared" si="358"/>
        <v>0</v>
      </c>
      <c r="N1211" s="434">
        <f t="shared" si="358"/>
        <v>0</v>
      </c>
      <c r="O1211" s="434">
        <f t="shared" si="358"/>
        <v>0</v>
      </c>
      <c r="P1211" s="434">
        <f t="shared" si="358"/>
        <v>0</v>
      </c>
      <c r="Q1211" s="434">
        <f>SUM(E1211:P1211)</f>
        <v>0</v>
      </c>
    </row>
    <row r="1212" spans="1:17" s="224" customFormat="1" x14ac:dyDescent="0.2">
      <c r="A1212" s="263">
        <f>A1211+1</f>
        <v>12</v>
      </c>
      <c r="C1212" s="290" t="str">
        <f>C1208</f>
        <v xml:space="preserve">    Over 30,000 Mcf</v>
      </c>
      <c r="D1212" s="793">
        <f>Input!Q53</f>
        <v>0.47809999999999997</v>
      </c>
      <c r="E1212" s="542">
        <f t="shared" ref="E1212:P1212" si="359">ROUND(E1208*$D$1212,2)</f>
        <v>0</v>
      </c>
      <c r="F1212" s="542">
        <f t="shared" si="359"/>
        <v>0</v>
      </c>
      <c r="G1212" s="542">
        <f t="shared" si="359"/>
        <v>0</v>
      </c>
      <c r="H1212" s="542">
        <f t="shared" si="359"/>
        <v>0</v>
      </c>
      <c r="I1212" s="542">
        <f t="shared" si="359"/>
        <v>0</v>
      </c>
      <c r="J1212" s="542">
        <f t="shared" si="359"/>
        <v>0</v>
      </c>
      <c r="K1212" s="542">
        <f t="shared" si="359"/>
        <v>0</v>
      </c>
      <c r="L1212" s="542">
        <f t="shared" si="359"/>
        <v>0</v>
      </c>
      <c r="M1212" s="542">
        <f t="shared" si="359"/>
        <v>0</v>
      </c>
      <c r="N1212" s="542">
        <f t="shared" si="359"/>
        <v>0</v>
      </c>
      <c r="O1212" s="542">
        <f t="shared" si="359"/>
        <v>0</v>
      </c>
      <c r="P1212" s="542">
        <f t="shared" si="359"/>
        <v>0</v>
      </c>
      <c r="Q1212" s="542">
        <f>SUM(E1212:P1212)</f>
        <v>0</v>
      </c>
    </row>
    <row r="1213" spans="1:17" s="224" customFormat="1" x14ac:dyDescent="0.2">
      <c r="A1213" s="263"/>
      <c r="C1213" s="290"/>
      <c r="D1213" s="290"/>
      <c r="E1213" s="434">
        <f t="shared" ref="E1213:P1213" si="360">SUM(E1211:E1212)</f>
        <v>0</v>
      </c>
      <c r="F1213" s="434">
        <f t="shared" si="360"/>
        <v>0</v>
      </c>
      <c r="G1213" s="434">
        <f t="shared" si="360"/>
        <v>0</v>
      </c>
      <c r="H1213" s="434">
        <f t="shared" si="360"/>
        <v>0</v>
      </c>
      <c r="I1213" s="434">
        <f t="shared" si="360"/>
        <v>0</v>
      </c>
      <c r="J1213" s="434">
        <f t="shared" si="360"/>
        <v>0</v>
      </c>
      <c r="K1213" s="434">
        <f t="shared" si="360"/>
        <v>0</v>
      </c>
      <c r="L1213" s="434">
        <f t="shared" si="360"/>
        <v>0</v>
      </c>
      <c r="M1213" s="434">
        <f t="shared" si="360"/>
        <v>0</v>
      </c>
      <c r="N1213" s="434">
        <f t="shared" si="360"/>
        <v>0</v>
      </c>
      <c r="O1213" s="434">
        <f t="shared" si="360"/>
        <v>0</v>
      </c>
      <c r="P1213" s="434">
        <f t="shared" si="360"/>
        <v>0</v>
      </c>
      <c r="Q1213" s="434">
        <f>SUM(E1213:P1213)</f>
        <v>0</v>
      </c>
    </row>
    <row r="1214" spans="1:17" s="224" customFormat="1" x14ac:dyDescent="0.2">
      <c r="A1214" s="263"/>
      <c r="C1214" s="290"/>
      <c r="D1214" s="290"/>
      <c r="E1214" s="299"/>
      <c r="F1214" s="542"/>
      <c r="G1214" s="543"/>
      <c r="H1214" s="542"/>
      <c r="I1214" s="522"/>
      <c r="J1214" s="544"/>
      <c r="K1214" s="542"/>
      <c r="L1214" s="542"/>
      <c r="M1214" s="542"/>
      <c r="N1214" s="542"/>
      <c r="O1214" s="542"/>
      <c r="P1214" s="542"/>
      <c r="Q1214" s="476"/>
    </row>
    <row r="1215" spans="1:17" s="224" customFormat="1" x14ac:dyDescent="0.2">
      <c r="A1215" s="263">
        <f>A1212+1</f>
        <v>13</v>
      </c>
      <c r="C1215" s="290" t="s">
        <v>204</v>
      </c>
      <c r="D1215" s="290"/>
      <c r="E1215" s="434">
        <f t="shared" ref="E1215:P1215" si="361">E1202+E1203+E1204+E1213</f>
        <v>0</v>
      </c>
      <c r="F1215" s="434">
        <f t="shared" si="361"/>
        <v>0</v>
      </c>
      <c r="G1215" s="434">
        <f t="shared" si="361"/>
        <v>0</v>
      </c>
      <c r="H1215" s="434">
        <f t="shared" si="361"/>
        <v>0</v>
      </c>
      <c r="I1215" s="434">
        <f t="shared" si="361"/>
        <v>0</v>
      </c>
      <c r="J1215" s="434">
        <f t="shared" si="361"/>
        <v>0</v>
      </c>
      <c r="K1215" s="434">
        <f t="shared" si="361"/>
        <v>0</v>
      </c>
      <c r="L1215" s="434">
        <f t="shared" si="361"/>
        <v>0</v>
      </c>
      <c r="M1215" s="434">
        <f t="shared" si="361"/>
        <v>0</v>
      </c>
      <c r="N1215" s="434">
        <f t="shared" si="361"/>
        <v>0</v>
      </c>
      <c r="O1215" s="434">
        <f t="shared" si="361"/>
        <v>0</v>
      </c>
      <c r="P1215" s="434">
        <f t="shared" si="361"/>
        <v>0</v>
      </c>
      <c r="Q1215" s="434">
        <f>SUM(E1215:P1215)</f>
        <v>0</v>
      </c>
    </row>
    <row r="1216" spans="1:17" s="224" customFormat="1" x14ac:dyDescent="0.2">
      <c r="A1216" s="263"/>
      <c r="C1216" s="290"/>
      <c r="D1216" s="290"/>
      <c r="E1216" s="299"/>
      <c r="F1216" s="542"/>
      <c r="G1216" s="543"/>
      <c r="H1216" s="542"/>
      <c r="I1216" s="522"/>
      <c r="J1216" s="544"/>
      <c r="K1216" s="542"/>
      <c r="L1216" s="542"/>
      <c r="M1216" s="542"/>
      <c r="N1216" s="542"/>
      <c r="O1216" s="542"/>
      <c r="P1216" s="542"/>
      <c r="Q1216" s="476"/>
    </row>
    <row r="1217" spans="1:17" s="224" customFormat="1" x14ac:dyDescent="0.2">
      <c r="A1217" s="263">
        <f>A1215+1</f>
        <v>14</v>
      </c>
      <c r="C1217" s="224" t="s">
        <v>151</v>
      </c>
      <c r="D1217" s="793">
        <v>0</v>
      </c>
      <c r="E1217" s="517">
        <v>0</v>
      </c>
      <c r="F1217" s="517">
        <v>0</v>
      </c>
      <c r="G1217" s="517">
        <v>0</v>
      </c>
      <c r="H1217" s="517">
        <v>0</v>
      </c>
      <c r="I1217" s="517">
        <v>0</v>
      </c>
      <c r="J1217" s="517">
        <v>0</v>
      </c>
      <c r="K1217" s="517">
        <v>0</v>
      </c>
      <c r="L1217" s="517">
        <v>0</v>
      </c>
      <c r="M1217" s="517">
        <v>0</v>
      </c>
      <c r="N1217" s="517">
        <v>0</v>
      </c>
      <c r="O1217" s="517">
        <v>0</v>
      </c>
      <c r="P1217" s="517">
        <v>0</v>
      </c>
      <c r="Q1217" s="434">
        <f>SUM(E1217:P1217)</f>
        <v>0</v>
      </c>
    </row>
    <row r="1218" spans="1:17" s="224" customFormat="1" x14ac:dyDescent="0.2">
      <c r="A1218" s="263"/>
      <c r="D1218" s="290"/>
      <c r="F1218" s="292"/>
      <c r="G1218" s="476"/>
      <c r="H1218" s="292"/>
      <c r="I1218" s="297"/>
      <c r="J1218" s="292"/>
      <c r="K1218" s="292"/>
      <c r="L1218" s="292"/>
      <c r="M1218" s="292"/>
      <c r="N1218" s="292"/>
      <c r="O1218" s="292"/>
      <c r="P1218" s="292"/>
    </row>
    <row r="1219" spans="1:17" s="224" customFormat="1" ht="10.8" thickBot="1" x14ac:dyDescent="0.25">
      <c r="A1219" s="724">
        <f>A1217+1</f>
        <v>15</v>
      </c>
      <c r="B1219" s="496"/>
      <c r="C1219" s="725" t="s">
        <v>205</v>
      </c>
      <c r="D1219" s="726"/>
      <c r="E1219" s="499">
        <f t="shared" ref="E1219:P1219" si="362">E1215+E1217</f>
        <v>0</v>
      </c>
      <c r="F1219" s="499">
        <f t="shared" si="362"/>
        <v>0</v>
      </c>
      <c r="G1219" s="499">
        <f t="shared" si="362"/>
        <v>0</v>
      </c>
      <c r="H1219" s="499">
        <f t="shared" si="362"/>
        <v>0</v>
      </c>
      <c r="I1219" s="499">
        <f t="shared" si="362"/>
        <v>0</v>
      </c>
      <c r="J1219" s="499">
        <f t="shared" si="362"/>
        <v>0</v>
      </c>
      <c r="K1219" s="499">
        <f t="shared" si="362"/>
        <v>0</v>
      </c>
      <c r="L1219" s="499">
        <f t="shared" si="362"/>
        <v>0</v>
      </c>
      <c r="M1219" s="499">
        <f t="shared" si="362"/>
        <v>0</v>
      </c>
      <c r="N1219" s="499">
        <f t="shared" si="362"/>
        <v>0</v>
      </c>
      <c r="O1219" s="499">
        <f t="shared" si="362"/>
        <v>0</v>
      </c>
      <c r="P1219" s="499">
        <f t="shared" si="362"/>
        <v>0</v>
      </c>
      <c r="Q1219" s="499">
        <f>SUM(E1219:P1219)</f>
        <v>0</v>
      </c>
    </row>
    <row r="1220" spans="1:17" s="224" customFormat="1" ht="10.8" thickTop="1" x14ac:dyDescent="0.2">
      <c r="A1220" s="263"/>
      <c r="D1220" s="290"/>
      <c r="F1220" s="292"/>
      <c r="G1220" s="476"/>
      <c r="H1220" s="292"/>
      <c r="I1220" s="297"/>
      <c r="J1220" s="292"/>
      <c r="K1220" s="292"/>
      <c r="L1220" s="292"/>
      <c r="M1220" s="292"/>
      <c r="N1220" s="292"/>
      <c r="O1220" s="292"/>
      <c r="P1220" s="292"/>
    </row>
    <row r="1221" spans="1:17" s="224" customFormat="1" x14ac:dyDescent="0.2">
      <c r="A1221" s="263"/>
      <c r="D1221" s="290"/>
      <c r="E1221" s="232"/>
      <c r="F1221" s="734"/>
      <c r="G1221" s="730"/>
      <c r="H1221" s="734"/>
      <c r="I1221" s="731"/>
      <c r="J1221" s="734"/>
      <c r="K1221" s="734"/>
      <c r="L1221" s="734"/>
      <c r="M1221" s="734"/>
      <c r="N1221" s="734"/>
      <c r="O1221" s="734"/>
      <c r="P1221" s="734"/>
      <c r="Q1221" s="232"/>
    </row>
    <row r="1222" spans="1:17" s="224" customFormat="1" x14ac:dyDescent="0.2">
      <c r="A1222" s="263">
        <f>A1219+1</f>
        <v>16</v>
      </c>
      <c r="B1222" s="224" t="str">
        <f>B354</f>
        <v>SC3</v>
      </c>
      <c r="C1222" s="224" t="str">
        <f>C354</f>
        <v>GTS Special Rate - Industrial</v>
      </c>
      <c r="D1222" s="290"/>
      <c r="F1222" s="292"/>
      <c r="G1222" s="476"/>
      <c r="H1222" s="292"/>
      <c r="I1222" s="297"/>
      <c r="J1222" s="292"/>
      <c r="K1222" s="292"/>
      <c r="L1222" s="292"/>
      <c r="M1222" s="292"/>
      <c r="N1222" s="292"/>
      <c r="O1222" s="292"/>
      <c r="P1222" s="292"/>
    </row>
    <row r="1223" spans="1:17" s="224" customFormat="1" x14ac:dyDescent="0.2">
      <c r="A1223" s="263"/>
      <c r="D1223" s="290"/>
      <c r="F1223" s="292"/>
      <c r="G1223" s="476"/>
      <c r="H1223" s="292"/>
      <c r="I1223" s="297"/>
      <c r="J1223" s="292"/>
      <c r="K1223" s="292"/>
      <c r="L1223" s="292"/>
      <c r="M1223" s="292"/>
      <c r="N1223" s="292"/>
      <c r="O1223" s="292"/>
      <c r="P1223" s="292"/>
    </row>
    <row r="1224" spans="1:17" s="224" customFormat="1" x14ac:dyDescent="0.2">
      <c r="A1224" s="263">
        <f>A1222+1</f>
        <v>17</v>
      </c>
      <c r="C1224" s="266" t="s">
        <v>112</v>
      </c>
      <c r="D1224" s="290"/>
      <c r="F1224" s="292"/>
      <c r="G1224" s="476"/>
      <c r="H1224" s="292"/>
      <c r="I1224" s="297"/>
      <c r="J1224" s="292"/>
      <c r="K1224" s="292"/>
      <c r="L1224" s="292"/>
      <c r="M1224" s="292"/>
      <c r="N1224" s="292"/>
      <c r="O1224" s="292"/>
      <c r="P1224" s="292"/>
    </row>
    <row r="1225" spans="1:17" s="224" customFormat="1" x14ac:dyDescent="0.2">
      <c r="A1225" s="263"/>
      <c r="C1225" s="266"/>
      <c r="D1225" s="290"/>
      <c r="F1225" s="292"/>
      <c r="G1225" s="476"/>
      <c r="H1225" s="292"/>
      <c r="I1225" s="297"/>
      <c r="J1225" s="292"/>
      <c r="K1225" s="292"/>
      <c r="L1225" s="292"/>
      <c r="M1225" s="292"/>
      <c r="N1225" s="292"/>
      <c r="O1225" s="292"/>
      <c r="P1225" s="292"/>
    </row>
    <row r="1226" spans="1:17" s="224" customFormat="1" x14ac:dyDescent="0.2">
      <c r="A1226" s="263">
        <f>A1224+1</f>
        <v>18</v>
      </c>
      <c r="C1226" s="224" t="s">
        <v>202</v>
      </c>
      <c r="D1226" s="290"/>
      <c r="E1226" s="479">
        <f>B!D271</f>
        <v>1</v>
      </c>
      <c r="F1226" s="479">
        <f>B!E271</f>
        <v>1</v>
      </c>
      <c r="G1226" s="479">
        <f>B!F271</f>
        <v>1</v>
      </c>
      <c r="H1226" s="479">
        <f>B!G271</f>
        <v>1</v>
      </c>
      <c r="I1226" s="479">
        <f>B!H271</f>
        <v>1</v>
      </c>
      <c r="J1226" s="479">
        <f>B!I271</f>
        <v>1</v>
      </c>
      <c r="K1226" s="479">
        <f>B!J271</f>
        <v>1</v>
      </c>
      <c r="L1226" s="479">
        <f>B!K271</f>
        <v>1</v>
      </c>
      <c r="M1226" s="479">
        <f>B!L271</f>
        <v>1</v>
      </c>
      <c r="N1226" s="479">
        <f>B!M271</f>
        <v>1</v>
      </c>
      <c r="O1226" s="479">
        <f>B!N271</f>
        <v>1</v>
      </c>
      <c r="P1226" s="479">
        <f>B!O271</f>
        <v>1</v>
      </c>
      <c r="Q1226" s="479">
        <f>SUM(E1226:P1226)</f>
        <v>12</v>
      </c>
    </row>
    <row r="1227" spans="1:17" s="224" customFormat="1" x14ac:dyDescent="0.2">
      <c r="A1227" s="263">
        <f>A1226+1</f>
        <v>19</v>
      </c>
      <c r="C1227" s="224" t="s">
        <v>210</v>
      </c>
      <c r="D1227" s="792">
        <f>Input!U54</f>
        <v>1062.95</v>
      </c>
      <c r="E1227" s="434">
        <f t="shared" ref="E1227:P1227" si="363">ROUND(E1226*$D$1227,2)</f>
        <v>1062.95</v>
      </c>
      <c r="F1227" s="434">
        <f t="shared" si="363"/>
        <v>1062.95</v>
      </c>
      <c r="G1227" s="434">
        <f t="shared" si="363"/>
        <v>1062.95</v>
      </c>
      <c r="H1227" s="434">
        <f t="shared" si="363"/>
        <v>1062.95</v>
      </c>
      <c r="I1227" s="434">
        <f t="shared" si="363"/>
        <v>1062.95</v>
      </c>
      <c r="J1227" s="434">
        <f t="shared" si="363"/>
        <v>1062.95</v>
      </c>
      <c r="K1227" s="434">
        <f t="shared" si="363"/>
        <v>1062.95</v>
      </c>
      <c r="L1227" s="434">
        <f t="shared" si="363"/>
        <v>1062.95</v>
      </c>
      <c r="M1227" s="434">
        <f t="shared" si="363"/>
        <v>1062.95</v>
      </c>
      <c r="N1227" s="434">
        <f t="shared" si="363"/>
        <v>1062.95</v>
      </c>
      <c r="O1227" s="434">
        <f t="shared" si="363"/>
        <v>1062.95</v>
      </c>
      <c r="P1227" s="434">
        <f t="shared" si="363"/>
        <v>1062.95</v>
      </c>
      <c r="Q1227" s="434">
        <f>SUM(E1227:P1227)</f>
        <v>12755.400000000003</v>
      </c>
    </row>
    <row r="1228" spans="1:17" s="224" customFormat="1" x14ac:dyDescent="0.2">
      <c r="A1228" s="263">
        <f>A1227+1</f>
        <v>20</v>
      </c>
      <c r="C1228" s="224" t="s">
        <v>217</v>
      </c>
      <c r="D1228" s="792">
        <f>Input!V54</f>
        <v>0</v>
      </c>
      <c r="E1228" s="434">
        <f t="shared" ref="E1228:P1228" si="364">ROUND(E1226*$D$1228,2)</f>
        <v>0</v>
      </c>
      <c r="F1228" s="434">
        <f t="shared" si="364"/>
        <v>0</v>
      </c>
      <c r="G1228" s="434">
        <f t="shared" si="364"/>
        <v>0</v>
      </c>
      <c r="H1228" s="434">
        <f t="shared" si="364"/>
        <v>0</v>
      </c>
      <c r="I1228" s="434">
        <f t="shared" si="364"/>
        <v>0</v>
      </c>
      <c r="J1228" s="434">
        <f t="shared" si="364"/>
        <v>0</v>
      </c>
      <c r="K1228" s="434">
        <f t="shared" si="364"/>
        <v>0</v>
      </c>
      <c r="L1228" s="434">
        <f t="shared" si="364"/>
        <v>0</v>
      </c>
      <c r="M1228" s="434">
        <f t="shared" si="364"/>
        <v>0</v>
      </c>
      <c r="N1228" s="434">
        <f t="shared" si="364"/>
        <v>0</v>
      </c>
      <c r="O1228" s="434">
        <f t="shared" si="364"/>
        <v>0</v>
      </c>
      <c r="P1228" s="434">
        <f t="shared" si="364"/>
        <v>0</v>
      </c>
      <c r="Q1228" s="434">
        <f>SUM(E1228:P1228)</f>
        <v>0</v>
      </c>
    </row>
    <row r="1229" spans="1:17" s="224" customFormat="1" x14ac:dyDescent="0.2">
      <c r="A1229" s="263"/>
      <c r="D1229" s="290"/>
      <c r="F1229" s="292"/>
      <c r="G1229" s="476"/>
      <c r="H1229" s="292"/>
      <c r="I1229" s="297"/>
      <c r="J1229" s="292"/>
      <c r="K1229" s="292"/>
      <c r="L1229" s="292"/>
      <c r="M1229" s="292"/>
      <c r="N1229" s="292"/>
      <c r="O1229" s="292"/>
      <c r="P1229" s="292"/>
    </row>
    <row r="1230" spans="1:17" s="224" customFormat="1" x14ac:dyDescent="0.2">
      <c r="A1230" s="263">
        <f>A1228+1</f>
        <v>21</v>
      </c>
      <c r="C1230" s="224" t="s">
        <v>209</v>
      </c>
      <c r="D1230" s="290"/>
      <c r="F1230" s="292"/>
      <c r="G1230" s="476"/>
      <c r="H1230" s="292"/>
      <c r="I1230" s="297"/>
      <c r="J1230" s="292"/>
      <c r="K1230" s="292"/>
      <c r="L1230" s="292"/>
      <c r="M1230" s="292"/>
      <c r="N1230" s="292"/>
      <c r="O1230" s="292"/>
      <c r="P1230" s="292"/>
    </row>
    <row r="1231" spans="1:17" s="224" customFormat="1" x14ac:dyDescent="0.2">
      <c r="A1231" s="263">
        <f>A1230+1</f>
        <v>22</v>
      </c>
      <c r="C1231" s="290" t="str">
        <f>'C'!B385</f>
        <v xml:space="preserve">    First 150,000 Mcf</v>
      </c>
      <c r="D1231" s="519"/>
      <c r="E1231" s="297">
        <f>'C'!D393</f>
        <v>150000</v>
      </c>
      <c r="F1231" s="297">
        <f>'C'!E393</f>
        <v>150000</v>
      </c>
      <c r="G1231" s="297">
        <f>'C'!F393</f>
        <v>140000</v>
      </c>
      <c r="H1231" s="297">
        <f>'C'!G393</f>
        <v>140000</v>
      </c>
      <c r="I1231" s="297">
        <f>'C'!H393</f>
        <v>130000</v>
      </c>
      <c r="J1231" s="297">
        <f>'C'!I393</f>
        <v>130000</v>
      </c>
      <c r="K1231" s="297">
        <f>'C'!J393</f>
        <v>130000</v>
      </c>
      <c r="L1231" s="297">
        <f>'C'!K393</f>
        <v>130000</v>
      </c>
      <c r="M1231" s="297">
        <f>'C'!L393</f>
        <v>130000</v>
      </c>
      <c r="N1231" s="297">
        <f>'C'!M393</f>
        <v>130000</v>
      </c>
      <c r="O1231" s="297">
        <f>'C'!N393</f>
        <v>140000</v>
      </c>
      <c r="P1231" s="297">
        <f>'C'!O393</f>
        <v>150000</v>
      </c>
      <c r="Q1231" s="297">
        <f>SUM(E1231:P1231)</f>
        <v>1650000</v>
      </c>
    </row>
    <row r="1232" spans="1:17" s="224" customFormat="1" x14ac:dyDescent="0.2">
      <c r="A1232" s="263">
        <f>A1231+1</f>
        <v>23</v>
      </c>
      <c r="C1232" s="290" t="str">
        <f>'C'!B386</f>
        <v xml:space="preserve">    Over 150,000 Mcf</v>
      </c>
      <c r="D1232" s="519"/>
      <c r="E1232" s="522">
        <f>'C'!D394</f>
        <v>20000</v>
      </c>
      <c r="F1232" s="522">
        <f>'C'!E394</f>
        <v>20000</v>
      </c>
      <c r="G1232" s="522">
        <f>'C'!F394</f>
        <v>0</v>
      </c>
      <c r="H1232" s="522">
        <f>'C'!G394</f>
        <v>0</v>
      </c>
      <c r="I1232" s="522">
        <f>'C'!H394</f>
        <v>0</v>
      </c>
      <c r="J1232" s="522">
        <f>'C'!I394</f>
        <v>0</v>
      </c>
      <c r="K1232" s="522">
        <f>'C'!J394</f>
        <v>0</v>
      </c>
      <c r="L1232" s="522">
        <f>'C'!K394</f>
        <v>0</v>
      </c>
      <c r="M1232" s="522">
        <f>'C'!L394</f>
        <v>0</v>
      </c>
      <c r="N1232" s="522">
        <f>'C'!M394</f>
        <v>0</v>
      </c>
      <c r="O1232" s="522">
        <f>'C'!N394</f>
        <v>0</v>
      </c>
      <c r="P1232" s="522">
        <f>'C'!O394</f>
        <v>20000</v>
      </c>
      <c r="Q1232" s="522">
        <f>SUM(E1232:P1232)</f>
        <v>60000</v>
      </c>
    </row>
    <row r="1233" spans="1:17" s="224" customFormat="1" x14ac:dyDescent="0.2">
      <c r="A1233" s="263"/>
      <c r="C1233" s="290"/>
      <c r="D1233" s="519"/>
      <c r="E1233" s="297">
        <f t="shared" ref="E1233:P1233" si="365">SUM(E1231:E1232)</f>
        <v>170000</v>
      </c>
      <c r="F1233" s="297">
        <f t="shared" si="365"/>
        <v>170000</v>
      </c>
      <c r="G1233" s="297">
        <f t="shared" si="365"/>
        <v>140000</v>
      </c>
      <c r="H1233" s="297">
        <f t="shared" si="365"/>
        <v>140000</v>
      </c>
      <c r="I1233" s="297">
        <f t="shared" si="365"/>
        <v>130000</v>
      </c>
      <c r="J1233" s="297">
        <f t="shared" si="365"/>
        <v>130000</v>
      </c>
      <c r="K1233" s="297">
        <f t="shared" si="365"/>
        <v>130000</v>
      </c>
      <c r="L1233" s="297">
        <f t="shared" si="365"/>
        <v>130000</v>
      </c>
      <c r="M1233" s="297">
        <f t="shared" si="365"/>
        <v>130000</v>
      </c>
      <c r="N1233" s="297">
        <f t="shared" si="365"/>
        <v>130000</v>
      </c>
      <c r="O1233" s="297">
        <f t="shared" si="365"/>
        <v>140000</v>
      </c>
      <c r="P1233" s="297">
        <f t="shared" si="365"/>
        <v>170000</v>
      </c>
      <c r="Q1233" s="297">
        <f>SUM(E1233:P1233)</f>
        <v>1710000</v>
      </c>
    </row>
    <row r="1234" spans="1:17" s="224" customFormat="1" x14ac:dyDescent="0.2">
      <c r="A1234" s="263">
        <f>A1232+1</f>
        <v>24</v>
      </c>
      <c r="C1234" s="290" t="s">
        <v>207</v>
      </c>
      <c r="D1234" s="519"/>
      <c r="E1234" s="299"/>
      <c r="F1234" s="542"/>
      <c r="G1234" s="543"/>
      <c r="H1234" s="542"/>
      <c r="I1234" s="522"/>
      <c r="J1234" s="544"/>
      <c r="K1234" s="542"/>
      <c r="L1234" s="542"/>
      <c r="M1234" s="542"/>
      <c r="N1234" s="542"/>
      <c r="O1234" s="542"/>
      <c r="P1234" s="542"/>
      <c r="Q1234" s="476"/>
    </row>
    <row r="1235" spans="1:17" s="224" customFormat="1" x14ac:dyDescent="0.2">
      <c r="A1235" s="263">
        <f>A1234+1</f>
        <v>25</v>
      </c>
      <c r="C1235" s="290" t="str">
        <f>C1231</f>
        <v xml:space="preserve">    First 150,000 Mcf</v>
      </c>
      <c r="D1235" s="793">
        <f>Input!P54</f>
        <v>0.28999999999999998</v>
      </c>
      <c r="E1235" s="434">
        <f t="shared" ref="E1235:P1235" si="366">ROUND(E1231*$D$1235,2)</f>
        <v>43500</v>
      </c>
      <c r="F1235" s="434">
        <f t="shared" si="366"/>
        <v>43500</v>
      </c>
      <c r="G1235" s="434">
        <f t="shared" si="366"/>
        <v>40600</v>
      </c>
      <c r="H1235" s="434">
        <f t="shared" si="366"/>
        <v>40600</v>
      </c>
      <c r="I1235" s="434">
        <f t="shared" si="366"/>
        <v>37700</v>
      </c>
      <c r="J1235" s="434">
        <f t="shared" si="366"/>
        <v>37700</v>
      </c>
      <c r="K1235" s="434">
        <f t="shared" si="366"/>
        <v>37700</v>
      </c>
      <c r="L1235" s="434">
        <f t="shared" si="366"/>
        <v>37700</v>
      </c>
      <c r="M1235" s="434">
        <f t="shared" si="366"/>
        <v>37700</v>
      </c>
      <c r="N1235" s="434">
        <f t="shared" si="366"/>
        <v>37700</v>
      </c>
      <c r="O1235" s="434">
        <f t="shared" si="366"/>
        <v>40600</v>
      </c>
      <c r="P1235" s="434">
        <f t="shared" si="366"/>
        <v>43500</v>
      </c>
      <c r="Q1235" s="434">
        <f>SUM(E1235:P1235)</f>
        <v>478500</v>
      </c>
    </row>
    <row r="1236" spans="1:17" s="224" customFormat="1" x14ac:dyDescent="0.2">
      <c r="A1236" s="263">
        <f>A1235+1</f>
        <v>26</v>
      </c>
      <c r="C1236" s="290" t="str">
        <f>C1232</f>
        <v xml:space="preserve">    Over 150,000 Mcf</v>
      </c>
      <c r="D1236" s="793">
        <f>Input!Q54</f>
        <v>0.16</v>
      </c>
      <c r="E1236" s="277">
        <f t="shared" ref="E1236:P1236" si="367">ROUND(E1232*$D$1236,2)</f>
        <v>3200</v>
      </c>
      <c r="F1236" s="277">
        <f t="shared" si="367"/>
        <v>3200</v>
      </c>
      <c r="G1236" s="277">
        <f t="shared" si="367"/>
        <v>0</v>
      </c>
      <c r="H1236" s="277">
        <f t="shared" si="367"/>
        <v>0</v>
      </c>
      <c r="I1236" s="277">
        <f t="shared" si="367"/>
        <v>0</v>
      </c>
      <c r="J1236" s="277">
        <f t="shared" si="367"/>
        <v>0</v>
      </c>
      <c r="K1236" s="277">
        <f t="shared" si="367"/>
        <v>0</v>
      </c>
      <c r="L1236" s="277">
        <f t="shared" si="367"/>
        <v>0</v>
      </c>
      <c r="M1236" s="277">
        <f t="shared" si="367"/>
        <v>0</v>
      </c>
      <c r="N1236" s="277">
        <f t="shared" si="367"/>
        <v>0</v>
      </c>
      <c r="O1236" s="277">
        <f t="shared" si="367"/>
        <v>0</v>
      </c>
      <c r="P1236" s="277">
        <f t="shared" si="367"/>
        <v>3200</v>
      </c>
      <c r="Q1236" s="277">
        <f>SUM(E1236:P1236)</f>
        <v>9600</v>
      </c>
    </row>
    <row r="1237" spans="1:17" s="224" customFormat="1" x14ac:dyDescent="0.2">
      <c r="A1237" s="263"/>
      <c r="C1237" s="290"/>
      <c r="D1237" s="519"/>
      <c r="E1237" s="434">
        <f t="shared" ref="E1237:P1237" si="368">SUM(E1235:E1236)</f>
        <v>46700</v>
      </c>
      <c r="F1237" s="434">
        <f t="shared" si="368"/>
        <v>46700</v>
      </c>
      <c r="G1237" s="434">
        <f t="shared" si="368"/>
        <v>40600</v>
      </c>
      <c r="H1237" s="434">
        <f t="shared" si="368"/>
        <v>40600</v>
      </c>
      <c r="I1237" s="434">
        <f t="shared" si="368"/>
        <v>37700</v>
      </c>
      <c r="J1237" s="434">
        <f t="shared" si="368"/>
        <v>37700</v>
      </c>
      <c r="K1237" s="434">
        <f t="shared" si="368"/>
        <v>37700</v>
      </c>
      <c r="L1237" s="434">
        <f t="shared" si="368"/>
        <v>37700</v>
      </c>
      <c r="M1237" s="434">
        <f t="shared" si="368"/>
        <v>37700</v>
      </c>
      <c r="N1237" s="434">
        <f t="shared" si="368"/>
        <v>37700</v>
      </c>
      <c r="O1237" s="434">
        <f t="shared" si="368"/>
        <v>40600</v>
      </c>
      <c r="P1237" s="434">
        <f t="shared" si="368"/>
        <v>46700</v>
      </c>
      <c r="Q1237" s="434">
        <f>SUM(E1237:P1237)</f>
        <v>488100</v>
      </c>
    </row>
    <row r="1238" spans="1:17" s="224" customFormat="1" x14ac:dyDescent="0.2">
      <c r="A1238" s="263"/>
      <c r="C1238" s="290"/>
      <c r="D1238" s="519"/>
      <c r="E1238" s="299"/>
      <c r="F1238" s="542"/>
      <c r="G1238" s="543"/>
      <c r="H1238" s="542"/>
      <c r="I1238" s="522"/>
      <c r="J1238" s="544"/>
      <c r="K1238" s="542"/>
      <c r="L1238" s="542"/>
      <c r="M1238" s="542"/>
      <c r="N1238" s="542"/>
      <c r="O1238" s="542"/>
      <c r="P1238" s="542"/>
      <c r="Q1238" s="476"/>
    </row>
    <row r="1239" spans="1:17" s="224" customFormat="1" x14ac:dyDescent="0.2">
      <c r="A1239" s="263">
        <f>A1236+1</f>
        <v>27</v>
      </c>
      <c r="C1239" s="290" t="s">
        <v>204</v>
      </c>
      <c r="D1239" s="290"/>
      <c r="E1239" s="434">
        <f>E1227+E1228+E1237</f>
        <v>47762.95</v>
      </c>
      <c r="F1239" s="434">
        <f t="shared" ref="F1239:P1239" si="369">F1227+F1228+F1237</f>
        <v>47762.95</v>
      </c>
      <c r="G1239" s="434">
        <f t="shared" si="369"/>
        <v>41662.949999999997</v>
      </c>
      <c r="H1239" s="434">
        <f t="shared" si="369"/>
        <v>41662.949999999997</v>
      </c>
      <c r="I1239" s="434">
        <f t="shared" si="369"/>
        <v>38762.949999999997</v>
      </c>
      <c r="J1239" s="434">
        <f t="shared" si="369"/>
        <v>38762.949999999997</v>
      </c>
      <c r="K1239" s="434">
        <f t="shared" si="369"/>
        <v>38762.949999999997</v>
      </c>
      <c r="L1239" s="434">
        <f t="shared" si="369"/>
        <v>38762.949999999997</v>
      </c>
      <c r="M1239" s="434">
        <f t="shared" si="369"/>
        <v>38762.949999999997</v>
      </c>
      <c r="N1239" s="434">
        <f t="shared" si="369"/>
        <v>38762.949999999997</v>
      </c>
      <c r="O1239" s="434">
        <f t="shared" si="369"/>
        <v>41662.949999999997</v>
      </c>
      <c r="P1239" s="434">
        <f t="shared" si="369"/>
        <v>47762.95</v>
      </c>
      <c r="Q1239" s="434">
        <f>SUM(E1239:P1239)</f>
        <v>500855.40000000008</v>
      </c>
    </row>
    <row r="1240" spans="1:17" s="224" customFormat="1" x14ac:dyDescent="0.2">
      <c r="A1240" s="263"/>
      <c r="C1240" s="290"/>
      <c r="D1240" s="290"/>
      <c r="E1240" s="299"/>
      <c r="F1240" s="542"/>
      <c r="G1240" s="543"/>
      <c r="H1240" s="542"/>
      <c r="I1240" s="522"/>
      <c r="J1240" s="544"/>
      <c r="K1240" s="542"/>
      <c r="L1240" s="542"/>
      <c r="M1240" s="542"/>
      <c r="N1240" s="542"/>
      <c r="O1240" s="542"/>
      <c r="P1240" s="542"/>
      <c r="Q1240" s="476"/>
    </row>
    <row r="1241" spans="1:17" s="224" customFormat="1" x14ac:dyDescent="0.2">
      <c r="A1241" s="263">
        <f>A1239+1</f>
        <v>28</v>
      </c>
      <c r="C1241" s="224" t="s">
        <v>151</v>
      </c>
      <c r="D1241" s="794">
        <v>0</v>
      </c>
      <c r="E1241" s="517">
        <v>0</v>
      </c>
      <c r="F1241" s="517">
        <v>0</v>
      </c>
      <c r="G1241" s="517">
        <v>0</v>
      </c>
      <c r="H1241" s="517">
        <v>0</v>
      </c>
      <c r="I1241" s="517">
        <v>0</v>
      </c>
      <c r="J1241" s="517">
        <v>0</v>
      </c>
      <c r="K1241" s="517">
        <v>0</v>
      </c>
      <c r="L1241" s="517">
        <v>0</v>
      </c>
      <c r="M1241" s="517">
        <v>0</v>
      </c>
      <c r="N1241" s="517">
        <v>0</v>
      </c>
      <c r="O1241" s="517">
        <v>0</v>
      </c>
      <c r="P1241" s="517">
        <v>0</v>
      </c>
      <c r="Q1241" s="434">
        <f>SUM(E1241:P1241)</f>
        <v>0</v>
      </c>
    </row>
    <row r="1242" spans="1:17" s="224" customFormat="1" x14ac:dyDescent="0.2">
      <c r="A1242" s="263"/>
      <c r="D1242" s="290"/>
      <c r="F1242" s="292"/>
      <c r="G1242" s="476"/>
      <c r="H1242" s="292"/>
      <c r="I1242" s="297"/>
      <c r="J1242" s="292"/>
      <c r="K1242" s="292"/>
      <c r="L1242" s="292"/>
      <c r="M1242" s="292"/>
      <c r="N1242" s="292"/>
      <c r="O1242" s="292"/>
      <c r="P1242" s="292"/>
    </row>
    <row r="1243" spans="1:17" s="224" customFormat="1" ht="10.8" thickBot="1" x14ac:dyDescent="0.25">
      <c r="A1243" s="724">
        <f>A1241+1</f>
        <v>29</v>
      </c>
      <c r="B1243" s="496"/>
      <c r="C1243" s="725" t="s">
        <v>205</v>
      </c>
      <c r="D1243" s="726"/>
      <c r="E1243" s="499">
        <f t="shared" ref="E1243:P1243" si="370">E1239+E1241</f>
        <v>47762.95</v>
      </c>
      <c r="F1243" s="499">
        <f t="shared" si="370"/>
        <v>47762.95</v>
      </c>
      <c r="G1243" s="499">
        <f t="shared" si="370"/>
        <v>41662.949999999997</v>
      </c>
      <c r="H1243" s="499">
        <f t="shared" si="370"/>
        <v>41662.949999999997</v>
      </c>
      <c r="I1243" s="499">
        <f t="shared" si="370"/>
        <v>38762.949999999997</v>
      </c>
      <c r="J1243" s="499">
        <f t="shared" si="370"/>
        <v>38762.949999999997</v>
      </c>
      <c r="K1243" s="499">
        <f t="shared" si="370"/>
        <v>38762.949999999997</v>
      </c>
      <c r="L1243" s="499">
        <f t="shared" si="370"/>
        <v>38762.949999999997</v>
      </c>
      <c r="M1243" s="499">
        <f t="shared" si="370"/>
        <v>38762.949999999997</v>
      </c>
      <c r="N1243" s="499">
        <f t="shared" si="370"/>
        <v>38762.949999999997</v>
      </c>
      <c r="O1243" s="499">
        <f t="shared" si="370"/>
        <v>41662.949999999997</v>
      </c>
      <c r="P1243" s="499">
        <f t="shared" si="370"/>
        <v>47762.95</v>
      </c>
      <c r="Q1243" s="499">
        <f>SUM(E1243:P1243)</f>
        <v>500855.40000000008</v>
      </c>
    </row>
    <row r="1244" spans="1:17" s="224" customFormat="1" ht="10.8" thickTop="1" x14ac:dyDescent="0.2">
      <c r="A1244" s="263"/>
      <c r="C1244" s="306"/>
      <c r="D1244" s="290"/>
      <c r="F1244" s="292"/>
      <c r="G1244" s="476"/>
      <c r="H1244" s="292"/>
      <c r="I1244" s="297"/>
      <c r="J1244" s="292"/>
      <c r="K1244" s="292"/>
      <c r="L1244" s="292"/>
      <c r="M1244" s="292"/>
      <c r="N1244" s="292"/>
      <c r="O1244" s="292"/>
      <c r="P1244" s="292"/>
    </row>
    <row r="1245" spans="1:17" x14ac:dyDescent="0.2">
      <c r="C1245" s="305"/>
    </row>
    <row r="1246" spans="1:17" x14ac:dyDescent="0.2">
      <c r="C1246" s="305"/>
    </row>
    <row r="1247" spans="1:17" x14ac:dyDescent="0.2">
      <c r="C1247" s="305"/>
    </row>
    <row r="1248" spans="1:17" x14ac:dyDescent="0.2">
      <c r="A1248" s="629" t="str">
        <f>$A$265</f>
        <v>[1] Reflects Normalized Volumes.</v>
      </c>
    </row>
    <row r="1249" spans="3:17" ht="10.8" thickBot="1" x14ac:dyDescent="0.25"/>
    <row r="1250" spans="3:17" ht="10.8" thickBot="1" x14ac:dyDescent="0.25">
      <c r="C1250" s="553"/>
      <c r="D1250" s="546"/>
      <c r="E1250" s="447"/>
      <c r="F1250" s="547"/>
      <c r="G1250" s="548"/>
      <c r="H1250" s="547"/>
      <c r="I1250" s="549"/>
      <c r="J1250" s="547"/>
      <c r="K1250" s="547"/>
      <c r="L1250" s="547"/>
      <c r="M1250" s="547"/>
      <c r="N1250" s="547"/>
      <c r="O1250" s="547"/>
      <c r="P1250" s="547"/>
      <c r="Q1250" s="448"/>
    </row>
    <row r="1251" spans="3:17" x14ac:dyDescent="0.2">
      <c r="C1251" s="446"/>
      <c r="D1251" s="546"/>
      <c r="E1251" s="447"/>
      <c r="F1251" s="547"/>
      <c r="G1251" s="548"/>
      <c r="H1251" s="547"/>
      <c r="I1251" s="549"/>
      <c r="J1251" s="547"/>
      <c r="K1251" s="547"/>
      <c r="L1251" s="547"/>
      <c r="M1251" s="547"/>
      <c r="N1251" s="547"/>
      <c r="O1251" s="547"/>
      <c r="P1251" s="547"/>
      <c r="Q1251" s="448"/>
    </row>
    <row r="1252" spans="3:17" x14ac:dyDescent="0.2">
      <c r="C1252" s="449" t="s">
        <v>301</v>
      </c>
      <c r="D1252" s="501" t="s">
        <v>385</v>
      </c>
      <c r="E1252" s="305"/>
      <c r="F1252" s="422"/>
      <c r="G1252" s="442"/>
      <c r="H1252" s="422"/>
      <c r="I1252" s="443"/>
      <c r="J1252" s="422"/>
      <c r="K1252" s="422"/>
      <c r="L1252" s="422"/>
      <c r="M1252" s="422"/>
      <c r="N1252" s="422"/>
      <c r="O1252" s="422"/>
      <c r="P1252" s="422"/>
      <c r="Q1252" s="450"/>
    </row>
    <row r="1253" spans="3:17" x14ac:dyDescent="0.2">
      <c r="C1253" s="452"/>
      <c r="D1253" s="304" t="s">
        <v>348</v>
      </c>
      <c r="E1253" s="506">
        <f t="shared" ref="E1253:P1253" si="371">E398+E459++E476+E493+E527+E544+E594+E616</f>
        <v>1961235.27</v>
      </c>
      <c r="F1253" s="506">
        <f t="shared" si="371"/>
        <v>1964869.27</v>
      </c>
      <c r="G1253" s="506">
        <f t="shared" si="371"/>
        <v>1966232.02</v>
      </c>
      <c r="H1253" s="506">
        <f t="shared" si="371"/>
        <v>1965837.02</v>
      </c>
      <c r="I1253" s="506">
        <f t="shared" si="371"/>
        <v>1956317.52</v>
      </c>
      <c r="J1253" s="506">
        <f t="shared" si="371"/>
        <v>1937634.02</v>
      </c>
      <c r="K1253" s="506">
        <f t="shared" si="371"/>
        <v>1920747.77</v>
      </c>
      <c r="L1253" s="506">
        <f t="shared" si="371"/>
        <v>1928213.27</v>
      </c>
      <c r="M1253" s="506">
        <f t="shared" si="371"/>
        <v>1915612.77</v>
      </c>
      <c r="N1253" s="506">
        <f t="shared" si="371"/>
        <v>1915138.77</v>
      </c>
      <c r="O1253" s="506">
        <f t="shared" si="371"/>
        <v>1935599.77</v>
      </c>
      <c r="P1253" s="506">
        <f t="shared" si="371"/>
        <v>1954046.27</v>
      </c>
      <c r="Q1253" s="550">
        <f t="shared" ref="Q1253:Q1259" si="372">SUM(E1253:P1253)</f>
        <v>23321483.739999998</v>
      </c>
    </row>
    <row r="1254" spans="3:17" x14ac:dyDescent="0.2">
      <c r="C1254" s="452"/>
      <c r="D1254" s="304" t="s">
        <v>346</v>
      </c>
      <c r="E1254" s="506">
        <f t="shared" ref="E1254:P1254" si="373">E399+E460++E477+E494+E528+E545+E595+E617</f>
        <v>0</v>
      </c>
      <c r="F1254" s="506">
        <f t="shared" si="373"/>
        <v>0</v>
      </c>
      <c r="G1254" s="506">
        <f t="shared" si="373"/>
        <v>0</v>
      </c>
      <c r="H1254" s="506">
        <f t="shared" si="373"/>
        <v>0</v>
      </c>
      <c r="I1254" s="506">
        <f t="shared" si="373"/>
        <v>0</v>
      </c>
      <c r="J1254" s="506">
        <f t="shared" si="373"/>
        <v>0</v>
      </c>
      <c r="K1254" s="506">
        <f t="shared" si="373"/>
        <v>0</v>
      </c>
      <c r="L1254" s="506">
        <f t="shared" si="373"/>
        <v>0</v>
      </c>
      <c r="M1254" s="506">
        <f t="shared" si="373"/>
        <v>0</v>
      </c>
      <c r="N1254" s="506">
        <f t="shared" si="373"/>
        <v>0</v>
      </c>
      <c r="O1254" s="506">
        <f t="shared" si="373"/>
        <v>0</v>
      </c>
      <c r="P1254" s="506">
        <f t="shared" si="373"/>
        <v>0</v>
      </c>
      <c r="Q1254" s="550">
        <f t="shared" si="372"/>
        <v>0</v>
      </c>
    </row>
    <row r="1255" spans="3:17" x14ac:dyDescent="0.2">
      <c r="C1255" s="452"/>
      <c r="D1255" s="304" t="s">
        <v>386</v>
      </c>
      <c r="E1255" s="506">
        <f t="shared" ref="E1255:P1255" si="374">E402+E462+E479+E496+E530+E547+E603+E619</f>
        <v>5151832.3</v>
      </c>
      <c r="F1255" s="506">
        <f t="shared" si="374"/>
        <v>4993850.0100000016</v>
      </c>
      <c r="G1255" s="506">
        <f t="shared" si="374"/>
        <v>3745576.99</v>
      </c>
      <c r="H1255" s="506">
        <f t="shared" si="374"/>
        <v>2137236.91</v>
      </c>
      <c r="I1255" s="506">
        <f t="shared" si="374"/>
        <v>1004798.03</v>
      </c>
      <c r="J1255" s="506">
        <f t="shared" si="374"/>
        <v>479259.87</v>
      </c>
      <c r="K1255" s="506">
        <f t="shared" si="374"/>
        <v>343962.57</v>
      </c>
      <c r="L1255" s="506">
        <f t="shared" si="374"/>
        <v>332409</v>
      </c>
      <c r="M1255" s="506">
        <f t="shared" si="374"/>
        <v>343949.31</v>
      </c>
      <c r="N1255" s="506">
        <f t="shared" si="374"/>
        <v>548509.43000000005</v>
      </c>
      <c r="O1255" s="506">
        <f t="shared" si="374"/>
        <v>1580340.2100000002</v>
      </c>
      <c r="P1255" s="506">
        <f t="shared" si="374"/>
        <v>3505481.51</v>
      </c>
      <c r="Q1255" s="550">
        <f t="shared" si="372"/>
        <v>24167206.140000001</v>
      </c>
    </row>
    <row r="1256" spans="3:17" x14ac:dyDescent="0.2">
      <c r="C1256" s="452"/>
      <c r="D1256" s="304" t="s">
        <v>352</v>
      </c>
      <c r="E1256" s="506">
        <f t="shared" ref="E1256:P1256" si="375">E406+E466+E483+E500+E534+E551+E607++E623</f>
        <v>2943328.4000000004</v>
      </c>
      <c r="F1256" s="506">
        <f t="shared" si="375"/>
        <v>2853047.57</v>
      </c>
      <c r="G1256" s="506">
        <f t="shared" si="375"/>
        <v>2139916.29</v>
      </c>
      <c r="H1256" s="506">
        <f t="shared" si="375"/>
        <v>1221031.8699999999</v>
      </c>
      <c r="I1256" s="506">
        <f t="shared" si="375"/>
        <v>574051.21000000008</v>
      </c>
      <c r="J1256" s="506">
        <f t="shared" si="375"/>
        <v>273806.23000000004</v>
      </c>
      <c r="K1256" s="506">
        <f t="shared" si="375"/>
        <v>196508.5</v>
      </c>
      <c r="L1256" s="506">
        <f t="shared" si="375"/>
        <v>189912.57</v>
      </c>
      <c r="M1256" s="506">
        <f t="shared" si="375"/>
        <v>196502.31999999998</v>
      </c>
      <c r="N1256" s="506">
        <f t="shared" si="375"/>
        <v>313365.92</v>
      </c>
      <c r="O1256" s="506">
        <f t="shared" si="375"/>
        <v>902862.71</v>
      </c>
      <c r="P1256" s="506">
        <f t="shared" si="375"/>
        <v>2002761</v>
      </c>
      <c r="Q1256" s="550">
        <f t="shared" si="372"/>
        <v>13807094.590000004</v>
      </c>
    </row>
    <row r="1257" spans="3:17" x14ac:dyDescent="0.2">
      <c r="C1257" s="452"/>
      <c r="D1257" s="305" t="s">
        <v>387</v>
      </c>
      <c r="E1257" s="506">
        <f t="shared" ref="E1257:P1257" si="376">E411</f>
        <v>68509.41</v>
      </c>
      <c r="F1257" s="506">
        <f t="shared" si="376"/>
        <v>68636.37</v>
      </c>
      <c r="G1257" s="506">
        <f t="shared" si="376"/>
        <v>68683.98</v>
      </c>
      <c r="H1257" s="506">
        <f t="shared" si="376"/>
        <v>68670.179999999993</v>
      </c>
      <c r="I1257" s="506">
        <f t="shared" si="376"/>
        <v>68337.600000000006</v>
      </c>
      <c r="J1257" s="506">
        <f t="shared" si="376"/>
        <v>67684.86</v>
      </c>
      <c r="K1257" s="506">
        <f t="shared" si="376"/>
        <v>67094.91</v>
      </c>
      <c r="L1257" s="506">
        <f t="shared" si="376"/>
        <v>67355.73</v>
      </c>
      <c r="M1257" s="506">
        <f t="shared" si="376"/>
        <v>66915.509999999995</v>
      </c>
      <c r="N1257" s="506">
        <f t="shared" si="376"/>
        <v>66898.95</v>
      </c>
      <c r="O1257" s="506">
        <f t="shared" si="376"/>
        <v>67613.789999999994</v>
      </c>
      <c r="P1257" s="506">
        <f t="shared" si="376"/>
        <v>68258.25</v>
      </c>
      <c r="Q1257" s="550">
        <f t="shared" si="372"/>
        <v>814659.54</v>
      </c>
    </row>
    <row r="1258" spans="3:17" x14ac:dyDescent="0.2">
      <c r="C1258" s="452"/>
      <c r="D1258" s="305" t="s">
        <v>388</v>
      </c>
      <c r="E1258" s="506">
        <f t="shared" ref="E1258:P1258" si="377">E412</f>
        <v>34629.58</v>
      </c>
      <c r="F1258" s="506">
        <f t="shared" si="377"/>
        <v>33569.949999999997</v>
      </c>
      <c r="G1258" s="506">
        <f t="shared" si="377"/>
        <v>25178.48</v>
      </c>
      <c r="H1258" s="506">
        <f t="shared" si="377"/>
        <v>14366.39</v>
      </c>
      <c r="I1258" s="506">
        <f t="shared" si="377"/>
        <v>6754.19</v>
      </c>
      <c r="J1258" s="506">
        <f t="shared" si="377"/>
        <v>3221.69</v>
      </c>
      <c r="K1258" s="506">
        <f t="shared" si="377"/>
        <v>2312.1799999999998</v>
      </c>
      <c r="L1258" s="506">
        <f t="shared" si="377"/>
        <v>2234.46</v>
      </c>
      <c r="M1258" s="506">
        <f t="shared" si="377"/>
        <v>2312</v>
      </c>
      <c r="N1258" s="506">
        <f t="shared" si="377"/>
        <v>3686.39</v>
      </c>
      <c r="O1258" s="506">
        <f t="shared" si="377"/>
        <v>10622.1</v>
      </c>
      <c r="P1258" s="506">
        <f t="shared" si="377"/>
        <v>23562.69</v>
      </c>
      <c r="Q1258" s="550">
        <f t="shared" si="372"/>
        <v>162450.1</v>
      </c>
    </row>
    <row r="1259" spans="3:17" ht="12" x14ac:dyDescent="0.35">
      <c r="C1259" s="452"/>
      <c r="D1259" s="305" t="s">
        <v>389</v>
      </c>
      <c r="E1259" s="551">
        <f t="shared" ref="E1259:P1259" si="378">E413</f>
        <v>79514.850000000006</v>
      </c>
      <c r="F1259" s="551">
        <f t="shared" si="378"/>
        <v>77081.759999999995</v>
      </c>
      <c r="G1259" s="551">
        <f t="shared" si="378"/>
        <v>57813.66</v>
      </c>
      <c r="H1259" s="551">
        <f t="shared" si="378"/>
        <v>32987.440000000002</v>
      </c>
      <c r="I1259" s="551">
        <f t="shared" si="378"/>
        <v>15508.65</v>
      </c>
      <c r="J1259" s="551">
        <f t="shared" si="378"/>
        <v>7397.5</v>
      </c>
      <c r="K1259" s="551">
        <f t="shared" si="378"/>
        <v>5309.12</v>
      </c>
      <c r="L1259" s="551">
        <f t="shared" si="378"/>
        <v>5130.66</v>
      </c>
      <c r="M1259" s="551">
        <f t="shared" si="378"/>
        <v>5308.7</v>
      </c>
      <c r="N1259" s="551">
        <f t="shared" si="378"/>
        <v>8464.52</v>
      </c>
      <c r="O1259" s="551">
        <f t="shared" si="378"/>
        <v>24389.98</v>
      </c>
      <c r="P1259" s="551">
        <f t="shared" si="378"/>
        <v>54103.55</v>
      </c>
      <c r="Q1259" s="552">
        <f t="shared" si="372"/>
        <v>373010.38999999996</v>
      </c>
    </row>
    <row r="1260" spans="3:17" x14ac:dyDescent="0.2">
      <c r="C1260" s="452"/>
      <c r="D1260" s="305"/>
      <c r="E1260" s="506">
        <f>SUM(E1253:E1259)</f>
        <v>10239049.810000001</v>
      </c>
      <c r="F1260" s="506">
        <f t="shared" ref="F1260:Q1260" si="379">SUM(F1253:F1259)</f>
        <v>9991054.9299999997</v>
      </c>
      <c r="G1260" s="506">
        <f t="shared" si="379"/>
        <v>8003401.4200000009</v>
      </c>
      <c r="H1260" s="506">
        <f t="shared" si="379"/>
        <v>5440129.8099999996</v>
      </c>
      <c r="I1260" s="506">
        <f t="shared" si="379"/>
        <v>3625767.1999999997</v>
      </c>
      <c r="J1260" s="506">
        <f t="shared" si="379"/>
        <v>2769004.17</v>
      </c>
      <c r="K1260" s="506">
        <f t="shared" si="379"/>
        <v>2535935.0500000003</v>
      </c>
      <c r="L1260" s="506">
        <f t="shared" si="379"/>
        <v>2525255.69</v>
      </c>
      <c r="M1260" s="506">
        <f t="shared" si="379"/>
        <v>2530600.61</v>
      </c>
      <c r="N1260" s="506">
        <f t="shared" si="379"/>
        <v>2856063.9800000004</v>
      </c>
      <c r="O1260" s="506">
        <f t="shared" si="379"/>
        <v>4521428.5600000005</v>
      </c>
      <c r="P1260" s="506">
        <f t="shared" si="379"/>
        <v>7608213.2699999996</v>
      </c>
      <c r="Q1260" s="550">
        <f t="shared" si="379"/>
        <v>62645904.5</v>
      </c>
    </row>
    <row r="1261" spans="3:17" x14ac:dyDescent="0.2">
      <c r="C1261" s="452"/>
      <c r="D1261" s="305"/>
      <c r="E1261" s="506"/>
      <c r="F1261" s="506"/>
      <c r="G1261" s="506"/>
      <c r="H1261" s="506"/>
      <c r="I1261" s="506"/>
      <c r="J1261" s="506"/>
      <c r="K1261" s="506"/>
      <c r="L1261" s="506"/>
      <c r="M1261" s="506"/>
      <c r="N1261" s="506"/>
      <c r="O1261" s="506"/>
      <c r="P1261" s="506"/>
      <c r="Q1261" s="550"/>
    </row>
    <row r="1262" spans="3:17" x14ac:dyDescent="0.2">
      <c r="C1262" s="452"/>
      <c r="D1262" s="501" t="s">
        <v>390</v>
      </c>
      <c r="E1262" s="506"/>
      <c r="F1262" s="506"/>
      <c r="G1262" s="506"/>
      <c r="H1262" s="506"/>
      <c r="I1262" s="506"/>
      <c r="J1262" s="506"/>
      <c r="K1262" s="506"/>
      <c r="L1262" s="506"/>
      <c r="M1262" s="506"/>
      <c r="N1262" s="506"/>
      <c r="O1262" s="506"/>
      <c r="P1262" s="506"/>
      <c r="Q1262" s="550"/>
    </row>
    <row r="1263" spans="3:17" x14ac:dyDescent="0.2">
      <c r="C1263" s="452"/>
      <c r="D1263" s="304" t="s">
        <v>348</v>
      </c>
      <c r="E1263" s="506" t="e">
        <f>E424+#REF!+E561+E649</f>
        <v>#REF!</v>
      </c>
      <c r="F1263" s="506" t="e">
        <f>F424+#REF!+F561+F649</f>
        <v>#REF!</v>
      </c>
      <c r="G1263" s="506" t="e">
        <f>G424+#REF!+G561+G649</f>
        <v>#REF!</v>
      </c>
      <c r="H1263" s="506" t="e">
        <f>H424+#REF!+H561+H649</f>
        <v>#REF!</v>
      </c>
      <c r="I1263" s="506" t="e">
        <f>I424+#REF!+I561+I649</f>
        <v>#REF!</v>
      </c>
      <c r="J1263" s="506" t="e">
        <f>J424+#REF!+J561+J649</f>
        <v>#REF!</v>
      </c>
      <c r="K1263" s="506" t="e">
        <f>K424+#REF!+K561+K649</f>
        <v>#REF!</v>
      </c>
      <c r="L1263" s="506" t="e">
        <f>L424+#REF!+L561+L649</f>
        <v>#REF!</v>
      </c>
      <c r="M1263" s="506" t="e">
        <f>M424+#REF!+M561+M649</f>
        <v>#REF!</v>
      </c>
      <c r="N1263" s="506" t="e">
        <f>N424+#REF!+N561+N649</f>
        <v>#REF!</v>
      </c>
      <c r="O1263" s="506" t="e">
        <f>O424+#REF!+O561+O649</f>
        <v>#REF!</v>
      </c>
      <c r="P1263" s="506" t="e">
        <f>P424+#REF!+P561+P649</f>
        <v>#REF!</v>
      </c>
      <c r="Q1263" s="550" t="e">
        <f>SUM(E1263:P1263)</f>
        <v>#REF!</v>
      </c>
    </row>
    <row r="1264" spans="3:17" x14ac:dyDescent="0.2">
      <c r="C1264" s="452"/>
      <c r="D1264" s="304" t="s">
        <v>346</v>
      </c>
      <c r="E1264" s="506">
        <f t="shared" ref="E1264:P1264" si="380">E650</f>
        <v>0</v>
      </c>
      <c r="F1264" s="506">
        <f t="shared" si="380"/>
        <v>0</v>
      </c>
      <c r="G1264" s="506">
        <f t="shared" si="380"/>
        <v>0</v>
      </c>
      <c r="H1264" s="506">
        <f t="shared" si="380"/>
        <v>0</v>
      </c>
      <c r="I1264" s="506">
        <f t="shared" si="380"/>
        <v>0</v>
      </c>
      <c r="J1264" s="506">
        <f t="shared" si="380"/>
        <v>0</v>
      </c>
      <c r="K1264" s="506">
        <f t="shared" si="380"/>
        <v>0</v>
      </c>
      <c r="L1264" s="506">
        <f t="shared" si="380"/>
        <v>0</v>
      </c>
      <c r="M1264" s="506">
        <f t="shared" si="380"/>
        <v>0</v>
      </c>
      <c r="N1264" s="506">
        <f t="shared" si="380"/>
        <v>0</v>
      </c>
      <c r="O1264" s="506">
        <f t="shared" si="380"/>
        <v>0</v>
      </c>
      <c r="P1264" s="506">
        <f t="shared" si="380"/>
        <v>0</v>
      </c>
      <c r="Q1264" s="550">
        <f>SUM(E1264:P1264)</f>
        <v>0</v>
      </c>
    </row>
    <row r="1265" spans="3:17" x14ac:dyDescent="0.2">
      <c r="C1265" s="452"/>
      <c r="D1265" s="304" t="s">
        <v>386</v>
      </c>
      <c r="E1265" s="506" t="e">
        <f>E427+#REF!+E564+E663</f>
        <v>#REF!</v>
      </c>
      <c r="F1265" s="506" t="e">
        <f>F427+#REF!+F564+F663</f>
        <v>#REF!</v>
      </c>
      <c r="G1265" s="506" t="e">
        <f>G427+#REF!+G564+G663</f>
        <v>#REF!</v>
      </c>
      <c r="H1265" s="506" t="e">
        <f>H427+#REF!+H564+H663</f>
        <v>#REF!</v>
      </c>
      <c r="I1265" s="506" t="e">
        <f>I427+#REF!+I564+I663</f>
        <v>#REF!</v>
      </c>
      <c r="J1265" s="506" t="e">
        <f>J427+#REF!+J564+J663</f>
        <v>#REF!</v>
      </c>
      <c r="K1265" s="506" t="e">
        <f>K427+#REF!+K564+K663</f>
        <v>#REF!</v>
      </c>
      <c r="L1265" s="506" t="e">
        <f>L427+#REF!+L564+L663</f>
        <v>#REF!</v>
      </c>
      <c r="M1265" s="506" t="e">
        <f>M427+#REF!+M564+M663</f>
        <v>#REF!</v>
      </c>
      <c r="N1265" s="506" t="e">
        <f>N427+#REF!+N564+N663</f>
        <v>#REF!</v>
      </c>
      <c r="O1265" s="506" t="e">
        <f>O427+#REF!+O564+O663</f>
        <v>#REF!</v>
      </c>
      <c r="P1265" s="506" t="e">
        <f>P427+#REF!+P564+P663</f>
        <v>#REF!</v>
      </c>
      <c r="Q1265" s="550" t="e">
        <f>SUM(E1265:P1265)</f>
        <v>#REF!</v>
      </c>
    </row>
    <row r="1266" spans="3:17" x14ac:dyDescent="0.2">
      <c r="C1266" s="452"/>
      <c r="D1266" s="304" t="s">
        <v>352</v>
      </c>
      <c r="E1266" s="506" t="e">
        <f>E431+#REF!+E568+E667</f>
        <v>#REF!</v>
      </c>
      <c r="F1266" s="506" t="e">
        <f>F431+#REF!+F568+F667</f>
        <v>#REF!</v>
      </c>
      <c r="G1266" s="506" t="e">
        <f>G431+#REF!+G568+G667</f>
        <v>#REF!</v>
      </c>
      <c r="H1266" s="506" t="e">
        <f>H431+#REF!+H568+H667</f>
        <v>#REF!</v>
      </c>
      <c r="I1266" s="506" t="e">
        <f>I431+#REF!+I568+I667</f>
        <v>#REF!</v>
      </c>
      <c r="J1266" s="506" t="e">
        <f>J431+#REF!+J568+J667</f>
        <v>#REF!</v>
      </c>
      <c r="K1266" s="506" t="e">
        <f>K431+#REF!+K568+K667</f>
        <v>#REF!</v>
      </c>
      <c r="L1266" s="506" t="e">
        <f>L431+#REF!+L568+L667</f>
        <v>#REF!</v>
      </c>
      <c r="M1266" s="506" t="e">
        <f>M431+#REF!+M568+M667</f>
        <v>#REF!</v>
      </c>
      <c r="N1266" s="506" t="e">
        <f>N431+#REF!+N568+N667</f>
        <v>#REF!</v>
      </c>
      <c r="O1266" s="506" t="e">
        <f>O431+#REF!+O568+O667</f>
        <v>#REF!</v>
      </c>
      <c r="P1266" s="506" t="e">
        <f>P431+#REF!+P568+P667</f>
        <v>#REF!</v>
      </c>
      <c r="Q1266" s="550" t="e">
        <f>SUM(E1266:P1266)</f>
        <v>#REF!</v>
      </c>
    </row>
    <row r="1267" spans="3:17" ht="12" x14ac:dyDescent="0.35">
      <c r="C1267" s="452"/>
      <c r="D1267" s="305" t="s">
        <v>391</v>
      </c>
      <c r="E1267" s="551">
        <f t="shared" ref="E1267:P1267" si="381">E672</f>
        <v>17179.240000000002</v>
      </c>
      <c r="F1267" s="551">
        <f t="shared" si="381"/>
        <v>17031.580000000002</v>
      </c>
      <c r="G1267" s="551">
        <f t="shared" si="381"/>
        <v>11878.04</v>
      </c>
      <c r="H1267" s="551">
        <f t="shared" si="381"/>
        <v>7209.85</v>
      </c>
      <c r="I1267" s="551">
        <f t="shared" si="381"/>
        <v>3496.49</v>
      </c>
      <c r="J1267" s="551">
        <f t="shared" si="381"/>
        <v>2098.6799999999998</v>
      </c>
      <c r="K1267" s="551">
        <f t="shared" si="381"/>
        <v>1474.94</v>
      </c>
      <c r="L1267" s="551">
        <f t="shared" si="381"/>
        <v>1372.43</v>
      </c>
      <c r="M1267" s="551">
        <f t="shared" si="381"/>
        <v>1346.83</v>
      </c>
      <c r="N1267" s="551">
        <f t="shared" si="381"/>
        <v>2005.75</v>
      </c>
      <c r="O1267" s="551">
        <f t="shared" si="381"/>
        <v>4446.93</v>
      </c>
      <c r="P1267" s="551">
        <f t="shared" si="381"/>
        <v>11012.84</v>
      </c>
      <c r="Q1267" s="552">
        <f>SUM(E1267:P1267)</f>
        <v>80553.600000000006</v>
      </c>
    </row>
    <row r="1268" spans="3:17" x14ac:dyDescent="0.2">
      <c r="C1268" s="452"/>
      <c r="D1268" s="304"/>
      <c r="E1268" s="506" t="e">
        <f>SUM(E1263:E1267)</f>
        <v>#REF!</v>
      </c>
      <c r="F1268" s="506" t="e">
        <f t="shared" ref="F1268:Q1268" si="382">SUM(F1263:F1267)</f>
        <v>#REF!</v>
      </c>
      <c r="G1268" s="506" t="e">
        <f t="shared" si="382"/>
        <v>#REF!</v>
      </c>
      <c r="H1268" s="506" t="e">
        <f t="shared" si="382"/>
        <v>#REF!</v>
      </c>
      <c r="I1268" s="506" t="e">
        <f t="shared" si="382"/>
        <v>#REF!</v>
      </c>
      <c r="J1268" s="506" t="e">
        <f t="shared" si="382"/>
        <v>#REF!</v>
      </c>
      <c r="K1268" s="506" t="e">
        <f t="shared" si="382"/>
        <v>#REF!</v>
      </c>
      <c r="L1268" s="506" t="e">
        <f t="shared" si="382"/>
        <v>#REF!</v>
      </c>
      <c r="M1268" s="506" t="e">
        <f t="shared" si="382"/>
        <v>#REF!</v>
      </c>
      <c r="N1268" s="506" t="e">
        <f t="shared" si="382"/>
        <v>#REF!</v>
      </c>
      <c r="O1268" s="506" t="e">
        <f t="shared" si="382"/>
        <v>#REF!</v>
      </c>
      <c r="P1268" s="506" t="e">
        <f t="shared" si="382"/>
        <v>#REF!</v>
      </c>
      <c r="Q1268" s="550" t="e">
        <f t="shared" si="382"/>
        <v>#REF!</v>
      </c>
    </row>
    <row r="1269" spans="3:17" x14ac:dyDescent="0.2">
      <c r="C1269" s="452"/>
      <c r="D1269" s="304"/>
      <c r="E1269" s="506"/>
      <c r="F1269" s="506"/>
      <c r="G1269" s="506"/>
      <c r="H1269" s="506"/>
      <c r="I1269" s="506"/>
      <c r="J1269" s="506"/>
      <c r="K1269" s="506"/>
      <c r="L1269" s="506"/>
      <c r="M1269" s="506"/>
      <c r="N1269" s="506"/>
      <c r="O1269" s="506"/>
      <c r="P1269" s="506"/>
      <c r="Q1269" s="550"/>
    </row>
    <row r="1270" spans="3:17" x14ac:dyDescent="0.2">
      <c r="C1270" s="452"/>
      <c r="D1270" s="501" t="s">
        <v>392</v>
      </c>
      <c r="E1270" s="506"/>
      <c r="F1270" s="506"/>
      <c r="G1270" s="506"/>
      <c r="H1270" s="506"/>
      <c r="I1270" s="506"/>
      <c r="J1270" s="506"/>
      <c r="K1270" s="506"/>
      <c r="L1270" s="506"/>
      <c r="M1270" s="506"/>
      <c r="N1270" s="506"/>
      <c r="O1270" s="506"/>
      <c r="P1270" s="506"/>
      <c r="Q1270" s="550"/>
    </row>
    <row r="1271" spans="3:17" x14ac:dyDescent="0.2">
      <c r="C1271" s="452"/>
      <c r="D1271" s="304" t="s">
        <v>348</v>
      </c>
      <c r="E1271" s="506">
        <f t="shared" ref="E1271:P1271" si="383">E700+E750</f>
        <v>2193</v>
      </c>
      <c r="F1271" s="506">
        <f t="shared" si="383"/>
        <v>2193</v>
      </c>
      <c r="G1271" s="506">
        <f t="shared" si="383"/>
        <v>2193</v>
      </c>
      <c r="H1271" s="506">
        <f t="shared" si="383"/>
        <v>2193</v>
      </c>
      <c r="I1271" s="506">
        <f t="shared" si="383"/>
        <v>2193</v>
      </c>
      <c r="J1271" s="506">
        <f t="shared" si="383"/>
        <v>2244</v>
      </c>
      <c r="K1271" s="506">
        <f t="shared" si="383"/>
        <v>2244</v>
      </c>
      <c r="L1271" s="506">
        <f t="shared" si="383"/>
        <v>2295</v>
      </c>
      <c r="M1271" s="506">
        <f t="shared" si="383"/>
        <v>2244</v>
      </c>
      <c r="N1271" s="506">
        <f t="shared" si="383"/>
        <v>2244</v>
      </c>
      <c r="O1271" s="506">
        <f t="shared" si="383"/>
        <v>2244</v>
      </c>
      <c r="P1271" s="506">
        <f t="shared" si="383"/>
        <v>2244</v>
      </c>
      <c r="Q1271" s="550">
        <f>SUM(E1271:P1271)</f>
        <v>26724</v>
      </c>
    </row>
    <row r="1272" spans="3:17" x14ac:dyDescent="0.2">
      <c r="C1272" s="452"/>
      <c r="D1272" s="304" t="s">
        <v>346</v>
      </c>
      <c r="E1272" s="506">
        <f t="shared" ref="E1272:P1272" si="384">E701+E751</f>
        <v>0</v>
      </c>
      <c r="F1272" s="506">
        <f t="shared" si="384"/>
        <v>0</v>
      </c>
      <c r="G1272" s="506">
        <f t="shared" si="384"/>
        <v>0</v>
      </c>
      <c r="H1272" s="506">
        <f t="shared" si="384"/>
        <v>0</v>
      </c>
      <c r="I1272" s="506">
        <f t="shared" si="384"/>
        <v>0</v>
      </c>
      <c r="J1272" s="506">
        <f t="shared" si="384"/>
        <v>0</v>
      </c>
      <c r="K1272" s="506">
        <f t="shared" si="384"/>
        <v>0</v>
      </c>
      <c r="L1272" s="506">
        <f t="shared" si="384"/>
        <v>0</v>
      </c>
      <c r="M1272" s="506">
        <f t="shared" si="384"/>
        <v>0</v>
      </c>
      <c r="N1272" s="506">
        <f t="shared" si="384"/>
        <v>0</v>
      </c>
      <c r="O1272" s="506">
        <f t="shared" si="384"/>
        <v>0</v>
      </c>
      <c r="P1272" s="506">
        <f t="shared" si="384"/>
        <v>0</v>
      </c>
      <c r="Q1272" s="550">
        <f>SUM(E1272:P1272)</f>
        <v>0</v>
      </c>
    </row>
    <row r="1273" spans="3:17" x14ac:dyDescent="0.2">
      <c r="C1273" s="452"/>
      <c r="D1273" s="304" t="s">
        <v>386</v>
      </c>
      <c r="E1273" s="506">
        <f t="shared" ref="E1273:P1273" si="385">E714+E760</f>
        <v>82339.489999999991</v>
      </c>
      <c r="F1273" s="506">
        <f t="shared" si="385"/>
        <v>79596.06</v>
      </c>
      <c r="G1273" s="506">
        <f t="shared" si="385"/>
        <v>77150.5</v>
      </c>
      <c r="H1273" s="506">
        <f t="shared" si="385"/>
        <v>74258.740000000005</v>
      </c>
      <c r="I1273" s="506">
        <f t="shared" si="385"/>
        <v>70944.89</v>
      </c>
      <c r="J1273" s="506">
        <f t="shared" si="385"/>
        <v>67985.83</v>
      </c>
      <c r="K1273" s="506">
        <f t="shared" si="385"/>
        <v>67984.48000000001</v>
      </c>
      <c r="L1273" s="506">
        <f t="shared" si="385"/>
        <v>70669.53</v>
      </c>
      <c r="M1273" s="506">
        <f t="shared" si="385"/>
        <v>70661.87</v>
      </c>
      <c r="N1273" s="506">
        <f t="shared" si="385"/>
        <v>75948.13</v>
      </c>
      <c r="O1273" s="506">
        <f t="shared" si="385"/>
        <v>76495.81</v>
      </c>
      <c r="P1273" s="506">
        <f t="shared" si="385"/>
        <v>77071.359999999986</v>
      </c>
      <c r="Q1273" s="550">
        <f>SUM(E1273:P1273)</f>
        <v>891106.69000000006</v>
      </c>
    </row>
    <row r="1274" spans="3:17" x14ac:dyDescent="0.2">
      <c r="C1274" s="452"/>
      <c r="D1274" s="304" t="s">
        <v>352</v>
      </c>
      <c r="E1274" s="506">
        <f t="shared" ref="E1274:P1274" si="386">E718+E764</f>
        <v>72900.740000000005</v>
      </c>
      <c r="F1274" s="506">
        <f t="shared" si="386"/>
        <v>70690.98</v>
      </c>
      <c r="G1274" s="506">
        <f t="shared" si="386"/>
        <v>68261.19</v>
      </c>
      <c r="H1274" s="506">
        <f t="shared" si="386"/>
        <v>65830.960000000006</v>
      </c>
      <c r="I1274" s="506">
        <f t="shared" si="386"/>
        <v>63622.74</v>
      </c>
      <c r="J1274" s="506">
        <f t="shared" si="386"/>
        <v>61302.3</v>
      </c>
      <c r="K1274" s="506">
        <f t="shared" si="386"/>
        <v>61302.3</v>
      </c>
      <c r="L1274" s="506">
        <f t="shared" si="386"/>
        <v>63512.07</v>
      </c>
      <c r="M1274" s="506">
        <f t="shared" si="386"/>
        <v>63512.07</v>
      </c>
      <c r="N1274" s="506">
        <f t="shared" si="386"/>
        <v>68150.509999999995</v>
      </c>
      <c r="O1274" s="506">
        <f t="shared" si="386"/>
        <v>68261.19</v>
      </c>
      <c r="P1274" s="506">
        <f t="shared" si="386"/>
        <v>68482.320000000007</v>
      </c>
      <c r="Q1274" s="550">
        <f>SUM(E1274:P1274)</f>
        <v>795829.36999999988</v>
      </c>
    </row>
    <row r="1275" spans="3:17" ht="12" x14ac:dyDescent="0.35">
      <c r="C1275" s="452"/>
      <c r="D1275" s="305" t="s">
        <v>391</v>
      </c>
      <c r="E1275" s="551">
        <f t="shared" ref="E1275:P1275" si="387">E723+E769</f>
        <v>858.01</v>
      </c>
      <c r="F1275" s="551">
        <f t="shared" si="387"/>
        <v>832</v>
      </c>
      <c r="G1275" s="551">
        <f t="shared" si="387"/>
        <v>803.4</v>
      </c>
      <c r="H1275" s="551">
        <f t="shared" si="387"/>
        <v>774.8</v>
      </c>
      <c r="I1275" s="551">
        <f t="shared" si="387"/>
        <v>748.81</v>
      </c>
      <c r="J1275" s="551">
        <f t="shared" si="387"/>
        <v>721.5</v>
      </c>
      <c r="K1275" s="551">
        <f t="shared" si="387"/>
        <v>721.5</v>
      </c>
      <c r="L1275" s="551">
        <f t="shared" si="387"/>
        <v>747.51</v>
      </c>
      <c r="M1275" s="551">
        <f t="shared" si="387"/>
        <v>747.51</v>
      </c>
      <c r="N1275" s="551">
        <f t="shared" si="387"/>
        <v>802.1</v>
      </c>
      <c r="O1275" s="551">
        <f t="shared" si="387"/>
        <v>803.4</v>
      </c>
      <c r="P1275" s="551">
        <f t="shared" si="387"/>
        <v>806</v>
      </c>
      <c r="Q1275" s="552">
        <f>SUM(E1275:P1275)</f>
        <v>9366.5400000000009</v>
      </c>
    </row>
    <row r="1276" spans="3:17" x14ac:dyDescent="0.2">
      <c r="C1276" s="452"/>
      <c r="D1276" s="305"/>
      <c r="E1276" s="506">
        <f>SUM(E1271:E1275)</f>
        <v>158291.24</v>
      </c>
      <c r="F1276" s="506">
        <f t="shared" ref="F1276:Q1276" si="388">SUM(F1271:F1275)</f>
        <v>153312.03999999998</v>
      </c>
      <c r="G1276" s="506">
        <f t="shared" si="388"/>
        <v>148408.09</v>
      </c>
      <c r="H1276" s="506">
        <f t="shared" si="388"/>
        <v>143057.5</v>
      </c>
      <c r="I1276" s="506">
        <f t="shared" si="388"/>
        <v>137509.44</v>
      </c>
      <c r="J1276" s="506">
        <f t="shared" si="388"/>
        <v>132253.63</v>
      </c>
      <c r="K1276" s="506">
        <f t="shared" si="388"/>
        <v>132252.28000000003</v>
      </c>
      <c r="L1276" s="506">
        <f t="shared" si="388"/>
        <v>137224.11000000002</v>
      </c>
      <c r="M1276" s="506">
        <f t="shared" si="388"/>
        <v>137165.45000000001</v>
      </c>
      <c r="N1276" s="506">
        <f t="shared" si="388"/>
        <v>147144.74000000002</v>
      </c>
      <c r="O1276" s="506">
        <f t="shared" si="388"/>
        <v>147804.4</v>
      </c>
      <c r="P1276" s="506">
        <f t="shared" si="388"/>
        <v>148603.68</v>
      </c>
      <c r="Q1276" s="550">
        <f t="shared" si="388"/>
        <v>1723026.6</v>
      </c>
    </row>
    <row r="1277" spans="3:17" x14ac:dyDescent="0.2">
      <c r="C1277" s="452"/>
      <c r="D1277" s="305"/>
      <c r="E1277" s="506"/>
      <c r="F1277" s="506"/>
      <c r="G1277" s="506"/>
      <c r="H1277" s="506"/>
      <c r="I1277" s="506"/>
      <c r="J1277" s="506"/>
      <c r="K1277" s="506"/>
      <c r="L1277" s="506"/>
      <c r="M1277" s="506"/>
      <c r="N1277" s="506"/>
      <c r="O1277" s="506"/>
      <c r="P1277" s="506"/>
      <c r="Q1277" s="550"/>
    </row>
    <row r="1278" spans="3:17" x14ac:dyDescent="0.2">
      <c r="C1278" s="452"/>
      <c r="D1278" s="501" t="s">
        <v>393</v>
      </c>
      <c r="E1278" s="506"/>
      <c r="F1278" s="506"/>
      <c r="G1278" s="506"/>
      <c r="H1278" s="506"/>
      <c r="I1278" s="506"/>
      <c r="J1278" s="506"/>
      <c r="K1278" s="506"/>
      <c r="L1278" s="506"/>
      <c r="M1278" s="506"/>
      <c r="N1278" s="506"/>
      <c r="O1278" s="506"/>
      <c r="P1278" s="506"/>
      <c r="Q1278" s="550"/>
    </row>
    <row r="1279" spans="3:17" x14ac:dyDescent="0.2">
      <c r="C1279" s="452"/>
      <c r="D1279" s="304" t="s">
        <v>348</v>
      </c>
      <c r="E1279" s="506">
        <f t="shared" ref="E1279:P1279" si="389">E779</f>
        <v>1298</v>
      </c>
      <c r="F1279" s="506">
        <f t="shared" si="389"/>
        <v>1298</v>
      </c>
      <c r="G1279" s="506">
        <f t="shared" si="389"/>
        <v>1298</v>
      </c>
      <c r="H1279" s="506">
        <f t="shared" si="389"/>
        <v>1298</v>
      </c>
      <c r="I1279" s="506">
        <f t="shared" si="389"/>
        <v>1298</v>
      </c>
      <c r="J1279" s="506">
        <f t="shared" si="389"/>
        <v>1298</v>
      </c>
      <c r="K1279" s="506">
        <f t="shared" si="389"/>
        <v>1298</v>
      </c>
      <c r="L1279" s="506">
        <f t="shared" si="389"/>
        <v>1298</v>
      </c>
      <c r="M1279" s="506">
        <f t="shared" si="389"/>
        <v>1298</v>
      </c>
      <c r="N1279" s="506">
        <f t="shared" si="389"/>
        <v>1298</v>
      </c>
      <c r="O1279" s="506">
        <f t="shared" si="389"/>
        <v>1298</v>
      </c>
      <c r="P1279" s="506">
        <f t="shared" si="389"/>
        <v>1298</v>
      </c>
      <c r="Q1279" s="550">
        <f>SUM(E1279:P1279)</f>
        <v>15576</v>
      </c>
    </row>
    <row r="1280" spans="3:17" x14ac:dyDescent="0.2">
      <c r="C1280" s="452"/>
      <c r="D1280" s="304" t="s">
        <v>346</v>
      </c>
      <c r="E1280" s="506">
        <f t="shared" ref="E1280:P1280" si="390">E780</f>
        <v>0</v>
      </c>
      <c r="F1280" s="506">
        <f t="shared" si="390"/>
        <v>0</v>
      </c>
      <c r="G1280" s="506">
        <f t="shared" si="390"/>
        <v>0</v>
      </c>
      <c r="H1280" s="506">
        <f t="shared" si="390"/>
        <v>0</v>
      </c>
      <c r="I1280" s="506">
        <f t="shared" si="390"/>
        <v>0</v>
      </c>
      <c r="J1280" s="506">
        <f t="shared" si="390"/>
        <v>0</v>
      </c>
      <c r="K1280" s="506">
        <f t="shared" si="390"/>
        <v>0</v>
      </c>
      <c r="L1280" s="506">
        <f t="shared" si="390"/>
        <v>0</v>
      </c>
      <c r="M1280" s="506">
        <f t="shared" si="390"/>
        <v>0</v>
      </c>
      <c r="N1280" s="506">
        <f t="shared" si="390"/>
        <v>0</v>
      </c>
      <c r="O1280" s="506">
        <f t="shared" si="390"/>
        <v>0</v>
      </c>
      <c r="P1280" s="506">
        <f t="shared" si="390"/>
        <v>0</v>
      </c>
      <c r="Q1280" s="550">
        <f>SUM(E1280:P1280)</f>
        <v>0</v>
      </c>
    </row>
    <row r="1281" spans="3:17" x14ac:dyDescent="0.2">
      <c r="C1281" s="452"/>
      <c r="D1281" s="304" t="s">
        <v>386</v>
      </c>
      <c r="E1281" s="506">
        <f t="shared" ref="E1281:P1281" si="391">E783</f>
        <v>4170.24</v>
      </c>
      <c r="F1281" s="506">
        <f t="shared" si="391"/>
        <v>3067.42</v>
      </c>
      <c r="G1281" s="506">
        <f t="shared" si="391"/>
        <v>1460.59</v>
      </c>
      <c r="H1281" s="506">
        <f t="shared" si="391"/>
        <v>853.14</v>
      </c>
      <c r="I1281" s="506">
        <f t="shared" si="391"/>
        <v>482.48</v>
      </c>
      <c r="J1281" s="506">
        <f t="shared" si="391"/>
        <v>294.35000000000002</v>
      </c>
      <c r="K1281" s="506">
        <f t="shared" si="391"/>
        <v>325.73</v>
      </c>
      <c r="L1281" s="506">
        <f t="shared" si="391"/>
        <v>260.98</v>
      </c>
      <c r="M1281" s="506">
        <f t="shared" si="391"/>
        <v>261.38</v>
      </c>
      <c r="N1281" s="506">
        <f t="shared" si="391"/>
        <v>937.56</v>
      </c>
      <c r="O1281" s="506">
        <f t="shared" si="391"/>
        <v>1348.51</v>
      </c>
      <c r="P1281" s="506">
        <f t="shared" si="391"/>
        <v>1588.49</v>
      </c>
      <c r="Q1281" s="550">
        <f>SUM(E1281:P1281)</f>
        <v>15050.869999999997</v>
      </c>
    </row>
    <row r="1282" spans="3:17" x14ac:dyDescent="0.2">
      <c r="C1282" s="452"/>
      <c r="D1282" s="304" t="s">
        <v>352</v>
      </c>
      <c r="E1282" s="506">
        <f t="shared" ref="E1282:P1282" si="392">E787</f>
        <v>6929.28</v>
      </c>
      <c r="F1282" s="506">
        <f t="shared" si="392"/>
        <v>5096.84</v>
      </c>
      <c r="G1282" s="506">
        <f t="shared" si="392"/>
        <v>2426.92</v>
      </c>
      <c r="H1282" s="506">
        <f t="shared" si="392"/>
        <v>1417.58</v>
      </c>
      <c r="I1282" s="506">
        <f t="shared" si="392"/>
        <v>801.68</v>
      </c>
      <c r="J1282" s="506">
        <f t="shared" si="392"/>
        <v>489.09</v>
      </c>
      <c r="K1282" s="506">
        <f t="shared" si="392"/>
        <v>541.23</v>
      </c>
      <c r="L1282" s="506">
        <f t="shared" si="392"/>
        <v>433.65</v>
      </c>
      <c r="M1282" s="506">
        <f t="shared" si="392"/>
        <v>434.31</v>
      </c>
      <c r="N1282" s="506">
        <f t="shared" si="392"/>
        <v>1557.86</v>
      </c>
      <c r="O1282" s="506">
        <f t="shared" si="392"/>
        <v>2240.69</v>
      </c>
      <c r="P1282" s="506">
        <f t="shared" si="392"/>
        <v>2639.43</v>
      </c>
      <c r="Q1282" s="550">
        <f>SUM(E1282:P1282)</f>
        <v>25008.560000000001</v>
      </c>
    </row>
    <row r="1283" spans="3:17" ht="12" x14ac:dyDescent="0.35">
      <c r="C1283" s="452"/>
      <c r="D1283" s="305" t="s">
        <v>391</v>
      </c>
      <c r="E1283" s="551">
        <f t="shared" ref="E1283:P1283" si="393">E792</f>
        <v>81.55</v>
      </c>
      <c r="F1283" s="551">
        <f t="shared" si="393"/>
        <v>59.99</v>
      </c>
      <c r="G1283" s="551">
        <f t="shared" si="393"/>
        <v>28.56</v>
      </c>
      <c r="H1283" s="551">
        <f t="shared" si="393"/>
        <v>16.68</v>
      </c>
      <c r="I1283" s="551">
        <f t="shared" si="393"/>
        <v>9.44</v>
      </c>
      <c r="J1283" s="551">
        <f t="shared" si="393"/>
        <v>5.76</v>
      </c>
      <c r="K1283" s="551">
        <f t="shared" si="393"/>
        <v>6.37</v>
      </c>
      <c r="L1283" s="551">
        <f t="shared" si="393"/>
        <v>5.0999999999999996</v>
      </c>
      <c r="M1283" s="551">
        <f t="shared" si="393"/>
        <v>5.1100000000000003</v>
      </c>
      <c r="N1283" s="551">
        <f t="shared" si="393"/>
        <v>18.34</v>
      </c>
      <c r="O1283" s="551">
        <f t="shared" si="393"/>
        <v>26.37</v>
      </c>
      <c r="P1283" s="551">
        <f t="shared" si="393"/>
        <v>31.06</v>
      </c>
      <c r="Q1283" s="552">
        <f>SUM(E1283:P1283)</f>
        <v>294.33</v>
      </c>
    </row>
    <row r="1284" spans="3:17" x14ac:dyDescent="0.2">
      <c r="C1284" s="452"/>
      <c r="D1284" s="304"/>
      <c r="E1284" s="506">
        <f>SUM(E1279:E1283)</f>
        <v>12479.07</v>
      </c>
      <c r="F1284" s="506">
        <f t="shared" ref="F1284:Q1284" si="394">SUM(F1279:F1283)</f>
        <v>9522.25</v>
      </c>
      <c r="G1284" s="506">
        <f t="shared" si="394"/>
        <v>5214.0700000000006</v>
      </c>
      <c r="H1284" s="506">
        <f t="shared" si="394"/>
        <v>3585.3999999999996</v>
      </c>
      <c r="I1284" s="506">
        <f t="shared" si="394"/>
        <v>2591.6</v>
      </c>
      <c r="J1284" s="506">
        <f t="shared" si="394"/>
        <v>2087.2000000000003</v>
      </c>
      <c r="K1284" s="506">
        <f t="shared" si="394"/>
        <v>2171.33</v>
      </c>
      <c r="L1284" s="506">
        <f t="shared" si="394"/>
        <v>1997.73</v>
      </c>
      <c r="M1284" s="506">
        <f t="shared" si="394"/>
        <v>1998.8</v>
      </c>
      <c r="N1284" s="506">
        <f t="shared" si="394"/>
        <v>3811.76</v>
      </c>
      <c r="O1284" s="506">
        <f t="shared" si="394"/>
        <v>4913.5700000000006</v>
      </c>
      <c r="P1284" s="506">
        <f t="shared" si="394"/>
        <v>5556.9800000000005</v>
      </c>
      <c r="Q1284" s="550">
        <f t="shared" si="394"/>
        <v>55929.759999999995</v>
      </c>
    </row>
    <row r="1285" spans="3:17" ht="10.8" thickBot="1" x14ac:dyDescent="0.25">
      <c r="C1285" s="452"/>
      <c r="D1285" s="304"/>
      <c r="E1285" s="506"/>
      <c r="F1285" s="506"/>
      <c r="G1285" s="506"/>
      <c r="H1285" s="506"/>
      <c r="I1285" s="506"/>
      <c r="J1285" s="506"/>
      <c r="K1285" s="506"/>
      <c r="L1285" s="506"/>
      <c r="M1285" s="506"/>
      <c r="N1285" s="506"/>
      <c r="O1285" s="506"/>
      <c r="P1285" s="506"/>
      <c r="Q1285" s="550"/>
    </row>
    <row r="1286" spans="3:17" x14ac:dyDescent="0.2">
      <c r="C1286" s="452"/>
      <c r="D1286" s="553" t="s">
        <v>394</v>
      </c>
      <c r="E1286" s="554"/>
      <c r="F1286" s="554"/>
      <c r="G1286" s="554"/>
      <c r="H1286" s="554"/>
      <c r="I1286" s="554"/>
      <c r="J1286" s="554"/>
      <c r="K1286" s="554"/>
      <c r="L1286" s="554"/>
      <c r="M1286" s="554"/>
      <c r="N1286" s="554"/>
      <c r="O1286" s="554"/>
      <c r="P1286" s="554"/>
      <c r="Q1286" s="555"/>
    </row>
    <row r="1287" spans="3:17" x14ac:dyDescent="0.2">
      <c r="C1287" s="452"/>
      <c r="D1287" s="556" t="s">
        <v>348</v>
      </c>
      <c r="E1287" s="506" t="e">
        <f>E1253+E1263+E1271+E1279</f>
        <v>#REF!</v>
      </c>
      <c r="F1287" s="506" t="e">
        <f t="shared" ref="F1287:P1287" si="395">F1253+F1263+F1271+F1279</f>
        <v>#REF!</v>
      </c>
      <c r="G1287" s="506" t="e">
        <f t="shared" si="395"/>
        <v>#REF!</v>
      </c>
      <c r="H1287" s="506" t="e">
        <f t="shared" si="395"/>
        <v>#REF!</v>
      </c>
      <c r="I1287" s="506" t="e">
        <f t="shared" si="395"/>
        <v>#REF!</v>
      </c>
      <c r="J1287" s="506" t="e">
        <f t="shared" si="395"/>
        <v>#REF!</v>
      </c>
      <c r="K1287" s="506" t="e">
        <f t="shared" si="395"/>
        <v>#REF!</v>
      </c>
      <c r="L1287" s="506" t="e">
        <f t="shared" si="395"/>
        <v>#REF!</v>
      </c>
      <c r="M1287" s="506" t="e">
        <f t="shared" si="395"/>
        <v>#REF!</v>
      </c>
      <c r="N1287" s="506" t="e">
        <f t="shared" si="395"/>
        <v>#REF!</v>
      </c>
      <c r="O1287" s="506" t="e">
        <f t="shared" si="395"/>
        <v>#REF!</v>
      </c>
      <c r="P1287" s="506" t="e">
        <f t="shared" si="395"/>
        <v>#REF!</v>
      </c>
      <c r="Q1287" s="550" t="e">
        <f t="shared" ref="Q1287:Q1293" si="396">SUM(E1287:P1287)</f>
        <v>#REF!</v>
      </c>
    </row>
    <row r="1288" spans="3:17" x14ac:dyDescent="0.2">
      <c r="C1288" s="452"/>
      <c r="D1288" s="556" t="s">
        <v>346</v>
      </c>
      <c r="E1288" s="506">
        <f t="shared" ref="E1288:P1290" si="397">E1254+E1264+E1272+E1280</f>
        <v>0</v>
      </c>
      <c r="F1288" s="506">
        <f t="shared" si="397"/>
        <v>0</v>
      </c>
      <c r="G1288" s="506">
        <f t="shared" si="397"/>
        <v>0</v>
      </c>
      <c r="H1288" s="506">
        <f t="shared" si="397"/>
        <v>0</v>
      </c>
      <c r="I1288" s="506">
        <f t="shared" si="397"/>
        <v>0</v>
      </c>
      <c r="J1288" s="506">
        <f t="shared" si="397"/>
        <v>0</v>
      </c>
      <c r="K1288" s="506">
        <f t="shared" si="397"/>
        <v>0</v>
      </c>
      <c r="L1288" s="506">
        <f t="shared" si="397"/>
        <v>0</v>
      </c>
      <c r="M1288" s="506">
        <f t="shared" si="397"/>
        <v>0</v>
      </c>
      <c r="N1288" s="506">
        <f t="shared" si="397"/>
        <v>0</v>
      </c>
      <c r="O1288" s="506">
        <f t="shared" si="397"/>
        <v>0</v>
      </c>
      <c r="P1288" s="506">
        <f t="shared" si="397"/>
        <v>0</v>
      </c>
      <c r="Q1288" s="550">
        <f t="shared" si="396"/>
        <v>0</v>
      </c>
    </row>
    <row r="1289" spans="3:17" x14ac:dyDescent="0.2">
      <c r="C1289" s="452"/>
      <c r="D1289" s="556" t="s">
        <v>386</v>
      </c>
      <c r="E1289" s="506" t="e">
        <f t="shared" si="397"/>
        <v>#REF!</v>
      </c>
      <c r="F1289" s="506" t="e">
        <f t="shared" si="397"/>
        <v>#REF!</v>
      </c>
      <c r="G1289" s="506" t="e">
        <f t="shared" si="397"/>
        <v>#REF!</v>
      </c>
      <c r="H1289" s="506" t="e">
        <f t="shared" si="397"/>
        <v>#REF!</v>
      </c>
      <c r="I1289" s="506" t="e">
        <f t="shared" si="397"/>
        <v>#REF!</v>
      </c>
      <c r="J1289" s="506" t="e">
        <f t="shared" si="397"/>
        <v>#REF!</v>
      </c>
      <c r="K1289" s="506" t="e">
        <f t="shared" si="397"/>
        <v>#REF!</v>
      </c>
      <c r="L1289" s="506" t="e">
        <f t="shared" si="397"/>
        <v>#REF!</v>
      </c>
      <c r="M1289" s="506" t="e">
        <f t="shared" si="397"/>
        <v>#REF!</v>
      </c>
      <c r="N1289" s="506" t="e">
        <f t="shared" si="397"/>
        <v>#REF!</v>
      </c>
      <c r="O1289" s="506" t="e">
        <f t="shared" si="397"/>
        <v>#REF!</v>
      </c>
      <c r="P1289" s="506" t="e">
        <f t="shared" si="397"/>
        <v>#REF!</v>
      </c>
      <c r="Q1289" s="550" t="e">
        <f t="shared" si="396"/>
        <v>#REF!</v>
      </c>
    </row>
    <row r="1290" spans="3:17" x14ac:dyDescent="0.2">
      <c r="C1290" s="452"/>
      <c r="D1290" s="556" t="s">
        <v>352</v>
      </c>
      <c r="E1290" s="506" t="e">
        <f t="shared" si="397"/>
        <v>#REF!</v>
      </c>
      <c r="F1290" s="506" t="e">
        <f t="shared" si="397"/>
        <v>#REF!</v>
      </c>
      <c r="G1290" s="506" t="e">
        <f t="shared" si="397"/>
        <v>#REF!</v>
      </c>
      <c r="H1290" s="506" t="e">
        <f t="shared" si="397"/>
        <v>#REF!</v>
      </c>
      <c r="I1290" s="506" t="e">
        <f t="shared" si="397"/>
        <v>#REF!</v>
      </c>
      <c r="J1290" s="506" t="e">
        <f t="shared" si="397"/>
        <v>#REF!</v>
      </c>
      <c r="K1290" s="506" t="e">
        <f t="shared" si="397"/>
        <v>#REF!</v>
      </c>
      <c r="L1290" s="506" t="e">
        <f t="shared" si="397"/>
        <v>#REF!</v>
      </c>
      <c r="M1290" s="506" t="e">
        <f t="shared" si="397"/>
        <v>#REF!</v>
      </c>
      <c r="N1290" s="506" t="e">
        <f t="shared" si="397"/>
        <v>#REF!</v>
      </c>
      <c r="O1290" s="506" t="e">
        <f t="shared" si="397"/>
        <v>#REF!</v>
      </c>
      <c r="P1290" s="506" t="e">
        <f t="shared" si="397"/>
        <v>#REF!</v>
      </c>
      <c r="Q1290" s="550" t="e">
        <f t="shared" si="396"/>
        <v>#REF!</v>
      </c>
    </row>
    <row r="1291" spans="3:17" x14ac:dyDescent="0.2">
      <c r="C1291" s="452"/>
      <c r="D1291" s="452" t="s">
        <v>387</v>
      </c>
      <c r="E1291" s="506">
        <f>E1257</f>
        <v>68509.41</v>
      </c>
      <c r="F1291" s="506">
        <f t="shared" ref="F1291:P1291" si="398">F1257</f>
        <v>68636.37</v>
      </c>
      <c r="G1291" s="506">
        <f t="shared" si="398"/>
        <v>68683.98</v>
      </c>
      <c r="H1291" s="506">
        <f t="shared" si="398"/>
        <v>68670.179999999993</v>
      </c>
      <c r="I1291" s="506">
        <f t="shared" si="398"/>
        <v>68337.600000000006</v>
      </c>
      <c r="J1291" s="506">
        <f t="shared" si="398"/>
        <v>67684.86</v>
      </c>
      <c r="K1291" s="506">
        <f t="shared" si="398"/>
        <v>67094.91</v>
      </c>
      <c r="L1291" s="506">
        <f t="shared" si="398"/>
        <v>67355.73</v>
      </c>
      <c r="M1291" s="506">
        <f t="shared" si="398"/>
        <v>66915.509999999995</v>
      </c>
      <c r="N1291" s="506">
        <f t="shared" si="398"/>
        <v>66898.95</v>
      </c>
      <c r="O1291" s="506">
        <f t="shared" si="398"/>
        <v>67613.789999999994</v>
      </c>
      <c r="P1291" s="506">
        <f t="shared" si="398"/>
        <v>68258.25</v>
      </c>
      <c r="Q1291" s="550">
        <f t="shared" si="396"/>
        <v>814659.54</v>
      </c>
    </row>
    <row r="1292" spans="3:17" x14ac:dyDescent="0.2">
      <c r="C1292" s="452"/>
      <c r="D1292" s="452" t="s">
        <v>388</v>
      </c>
      <c r="E1292" s="506">
        <f>E1258+E1267+E1275+E1283</f>
        <v>52748.380000000012</v>
      </c>
      <c r="F1292" s="506">
        <f t="shared" ref="F1292:P1292" si="399">F1258+F1267+F1275+F1283</f>
        <v>51493.52</v>
      </c>
      <c r="G1292" s="506">
        <f t="shared" si="399"/>
        <v>37888.480000000003</v>
      </c>
      <c r="H1292" s="506">
        <f t="shared" si="399"/>
        <v>22367.719999999998</v>
      </c>
      <c r="I1292" s="506">
        <f t="shared" si="399"/>
        <v>11008.93</v>
      </c>
      <c r="J1292" s="506">
        <f t="shared" si="399"/>
        <v>6047.63</v>
      </c>
      <c r="K1292" s="506">
        <f t="shared" si="399"/>
        <v>4514.99</v>
      </c>
      <c r="L1292" s="506">
        <f t="shared" si="399"/>
        <v>4359.5000000000009</v>
      </c>
      <c r="M1292" s="506">
        <f t="shared" si="399"/>
        <v>4411.45</v>
      </c>
      <c r="N1292" s="506">
        <f t="shared" si="399"/>
        <v>6512.58</v>
      </c>
      <c r="O1292" s="506">
        <f t="shared" si="399"/>
        <v>15898.800000000001</v>
      </c>
      <c r="P1292" s="506">
        <f t="shared" si="399"/>
        <v>35412.589999999997</v>
      </c>
      <c r="Q1292" s="550">
        <f t="shared" si="396"/>
        <v>252664.56999999998</v>
      </c>
    </row>
    <row r="1293" spans="3:17" ht="12" x14ac:dyDescent="0.35">
      <c r="C1293" s="452"/>
      <c r="D1293" s="452" t="s">
        <v>389</v>
      </c>
      <c r="E1293" s="551">
        <f>E1259</f>
        <v>79514.850000000006</v>
      </c>
      <c r="F1293" s="551">
        <f t="shared" ref="F1293:P1293" si="400">F1259</f>
        <v>77081.759999999995</v>
      </c>
      <c r="G1293" s="551">
        <f t="shared" si="400"/>
        <v>57813.66</v>
      </c>
      <c r="H1293" s="551">
        <f t="shared" si="400"/>
        <v>32987.440000000002</v>
      </c>
      <c r="I1293" s="551">
        <f t="shared" si="400"/>
        <v>15508.65</v>
      </c>
      <c r="J1293" s="551">
        <f t="shared" si="400"/>
        <v>7397.5</v>
      </c>
      <c r="K1293" s="551">
        <f t="shared" si="400"/>
        <v>5309.12</v>
      </c>
      <c r="L1293" s="551">
        <f t="shared" si="400"/>
        <v>5130.66</v>
      </c>
      <c r="M1293" s="551">
        <f t="shared" si="400"/>
        <v>5308.7</v>
      </c>
      <c r="N1293" s="551">
        <f t="shared" si="400"/>
        <v>8464.52</v>
      </c>
      <c r="O1293" s="551">
        <f t="shared" si="400"/>
        <v>24389.98</v>
      </c>
      <c r="P1293" s="551">
        <f t="shared" si="400"/>
        <v>54103.55</v>
      </c>
      <c r="Q1293" s="552">
        <f t="shared" si="396"/>
        <v>373010.38999999996</v>
      </c>
    </row>
    <row r="1294" spans="3:17" x14ac:dyDescent="0.2">
      <c r="C1294" s="452"/>
      <c r="D1294" s="452"/>
      <c r="E1294" s="506" t="e">
        <f>SUM(E1287:E1293)</f>
        <v>#REF!</v>
      </c>
      <c r="F1294" s="506" t="e">
        <f t="shared" ref="F1294:Q1294" si="401">SUM(F1287:F1293)</f>
        <v>#REF!</v>
      </c>
      <c r="G1294" s="506" t="e">
        <f t="shared" si="401"/>
        <v>#REF!</v>
      </c>
      <c r="H1294" s="506" t="e">
        <f t="shared" si="401"/>
        <v>#REF!</v>
      </c>
      <c r="I1294" s="506" t="e">
        <f t="shared" si="401"/>
        <v>#REF!</v>
      </c>
      <c r="J1294" s="506" t="e">
        <f t="shared" si="401"/>
        <v>#REF!</v>
      </c>
      <c r="K1294" s="506" t="e">
        <f t="shared" si="401"/>
        <v>#REF!</v>
      </c>
      <c r="L1294" s="506" t="e">
        <f t="shared" si="401"/>
        <v>#REF!</v>
      </c>
      <c r="M1294" s="506" t="e">
        <f t="shared" si="401"/>
        <v>#REF!</v>
      </c>
      <c r="N1294" s="506" t="e">
        <f t="shared" si="401"/>
        <v>#REF!</v>
      </c>
      <c r="O1294" s="506" t="e">
        <f t="shared" si="401"/>
        <v>#REF!</v>
      </c>
      <c r="P1294" s="506" t="e">
        <f t="shared" si="401"/>
        <v>#REF!</v>
      </c>
      <c r="Q1294" s="550" t="e">
        <f t="shared" si="401"/>
        <v>#REF!</v>
      </c>
    </row>
    <row r="1295" spans="3:17" ht="10.8" thickBot="1" x14ac:dyDescent="0.25">
      <c r="C1295" s="452"/>
      <c r="D1295" s="459"/>
      <c r="E1295" s="558"/>
      <c r="F1295" s="558"/>
      <c r="G1295" s="558"/>
      <c r="H1295" s="558"/>
      <c r="I1295" s="558"/>
      <c r="J1295" s="558"/>
      <c r="K1295" s="558"/>
      <c r="L1295" s="558"/>
      <c r="M1295" s="558"/>
      <c r="N1295" s="558"/>
      <c r="O1295" s="558"/>
      <c r="P1295" s="558"/>
      <c r="Q1295" s="559"/>
    </row>
    <row r="1296" spans="3:17" x14ac:dyDescent="0.2">
      <c r="C1296" s="452"/>
      <c r="D1296" s="304"/>
      <c r="E1296" s="506"/>
      <c r="F1296" s="506"/>
      <c r="G1296" s="506"/>
      <c r="H1296" s="506"/>
      <c r="I1296" s="506"/>
      <c r="J1296" s="506"/>
      <c r="K1296" s="506"/>
      <c r="L1296" s="506"/>
      <c r="M1296" s="506"/>
      <c r="N1296" s="506"/>
      <c r="O1296" s="506"/>
      <c r="P1296" s="506"/>
      <c r="Q1296" s="550"/>
    </row>
    <row r="1297" spans="3:17" x14ac:dyDescent="0.2">
      <c r="C1297" s="452"/>
      <c r="D1297" s="501" t="s">
        <v>396</v>
      </c>
      <c r="E1297" s="305"/>
      <c r="F1297" s="422"/>
      <c r="G1297" s="442"/>
      <c r="H1297" s="422"/>
      <c r="I1297" s="443"/>
      <c r="J1297" s="422"/>
      <c r="K1297" s="422"/>
      <c r="L1297" s="422"/>
      <c r="M1297" s="422"/>
      <c r="N1297" s="422"/>
      <c r="O1297" s="422"/>
      <c r="P1297" s="422"/>
      <c r="Q1297" s="450"/>
    </row>
    <row r="1298" spans="3:17" x14ac:dyDescent="0.2">
      <c r="C1298" s="452"/>
      <c r="D1298" s="304" t="s">
        <v>348</v>
      </c>
      <c r="E1298" s="506">
        <f t="shared" ref="E1298:P1298" si="402">E821</f>
        <v>468470</v>
      </c>
      <c r="F1298" s="506">
        <f t="shared" si="402"/>
        <v>469753.75</v>
      </c>
      <c r="G1298" s="506">
        <f t="shared" si="402"/>
        <v>469773.5</v>
      </c>
      <c r="H1298" s="506">
        <f t="shared" si="402"/>
        <v>467956.5</v>
      </c>
      <c r="I1298" s="506">
        <f t="shared" si="402"/>
        <v>466337</v>
      </c>
      <c r="J1298" s="506">
        <f t="shared" si="402"/>
        <v>461873.5</v>
      </c>
      <c r="K1298" s="506">
        <f t="shared" si="402"/>
        <v>458950.5</v>
      </c>
      <c r="L1298" s="506">
        <f t="shared" si="402"/>
        <v>458654.25</v>
      </c>
      <c r="M1298" s="506">
        <f t="shared" si="402"/>
        <v>457785.25</v>
      </c>
      <c r="N1298" s="506">
        <f t="shared" si="402"/>
        <v>457963</v>
      </c>
      <c r="O1298" s="506">
        <f t="shared" si="402"/>
        <v>463295.5</v>
      </c>
      <c r="P1298" s="506">
        <f t="shared" si="402"/>
        <v>467620.75</v>
      </c>
      <c r="Q1298" s="550">
        <f>SUM(E1298:P1298)</f>
        <v>5568433.5</v>
      </c>
    </row>
    <row r="1299" spans="3:17" x14ac:dyDescent="0.2">
      <c r="C1299" s="452"/>
      <c r="D1299" s="304" t="s">
        <v>346</v>
      </c>
      <c r="E1299" s="506">
        <f t="shared" ref="E1299:P1299" si="403">E822</f>
        <v>0</v>
      </c>
      <c r="F1299" s="506">
        <f t="shared" si="403"/>
        <v>0</v>
      </c>
      <c r="G1299" s="506">
        <f t="shared" si="403"/>
        <v>0</v>
      </c>
      <c r="H1299" s="506">
        <f t="shared" si="403"/>
        <v>0</v>
      </c>
      <c r="I1299" s="506">
        <f t="shared" si="403"/>
        <v>0</v>
      </c>
      <c r="J1299" s="506">
        <f t="shared" si="403"/>
        <v>0</v>
      </c>
      <c r="K1299" s="506">
        <f t="shared" si="403"/>
        <v>0</v>
      </c>
      <c r="L1299" s="506">
        <f t="shared" si="403"/>
        <v>0</v>
      </c>
      <c r="M1299" s="506">
        <f t="shared" si="403"/>
        <v>0</v>
      </c>
      <c r="N1299" s="506">
        <f t="shared" si="403"/>
        <v>0</v>
      </c>
      <c r="O1299" s="506">
        <f t="shared" si="403"/>
        <v>0</v>
      </c>
      <c r="P1299" s="506">
        <f t="shared" si="403"/>
        <v>0</v>
      </c>
      <c r="Q1299" s="550">
        <f>SUM(E1299:P1299)</f>
        <v>0</v>
      </c>
    </row>
    <row r="1300" spans="3:17" x14ac:dyDescent="0.2">
      <c r="C1300" s="452"/>
      <c r="D1300" s="304" t="s">
        <v>386</v>
      </c>
      <c r="E1300" s="506">
        <f t="shared" ref="E1300:P1300" si="404">E825</f>
        <v>1407515.2</v>
      </c>
      <c r="F1300" s="506">
        <f t="shared" si="404"/>
        <v>1364980.4</v>
      </c>
      <c r="G1300" s="506">
        <f t="shared" si="404"/>
        <v>1024702</v>
      </c>
      <c r="H1300" s="506">
        <f t="shared" si="404"/>
        <v>583886.80000000005</v>
      </c>
      <c r="I1300" s="506">
        <f t="shared" si="404"/>
        <v>274542.8</v>
      </c>
      <c r="J1300" s="506">
        <f t="shared" si="404"/>
        <v>131471.20000000001</v>
      </c>
      <c r="K1300" s="506">
        <f t="shared" si="404"/>
        <v>92803.199999999997</v>
      </c>
      <c r="L1300" s="506">
        <f t="shared" si="404"/>
        <v>88936.4</v>
      </c>
      <c r="M1300" s="506">
        <f t="shared" si="404"/>
        <v>96670</v>
      </c>
      <c r="N1300" s="506">
        <f t="shared" si="404"/>
        <v>150805.20000000001</v>
      </c>
      <c r="O1300" s="506">
        <f t="shared" si="404"/>
        <v>429214.8</v>
      </c>
      <c r="P1300" s="506">
        <f t="shared" si="404"/>
        <v>955099.6</v>
      </c>
      <c r="Q1300" s="550">
        <f>SUM(E1300:P1300)</f>
        <v>6600627.5999999996</v>
      </c>
    </row>
    <row r="1301" spans="3:17" x14ac:dyDescent="0.2">
      <c r="C1301" s="452"/>
      <c r="D1301" s="305" t="s">
        <v>387</v>
      </c>
      <c r="E1301" s="506">
        <f t="shared" ref="E1301:P1301" si="405">E834</f>
        <v>16366.8</v>
      </c>
      <c r="F1301" s="506">
        <f t="shared" si="405"/>
        <v>16411.650000000001</v>
      </c>
      <c r="G1301" s="506">
        <f t="shared" si="405"/>
        <v>16412.34</v>
      </c>
      <c r="H1301" s="506">
        <f t="shared" si="405"/>
        <v>16348.86</v>
      </c>
      <c r="I1301" s="506">
        <f t="shared" si="405"/>
        <v>16292.28</v>
      </c>
      <c r="J1301" s="506">
        <f t="shared" si="405"/>
        <v>16136.34</v>
      </c>
      <c r="K1301" s="506">
        <f t="shared" si="405"/>
        <v>16034.22</v>
      </c>
      <c r="L1301" s="506">
        <f t="shared" si="405"/>
        <v>16023.87</v>
      </c>
      <c r="M1301" s="506">
        <f t="shared" si="405"/>
        <v>15993.51</v>
      </c>
      <c r="N1301" s="506">
        <f t="shared" si="405"/>
        <v>15999.72</v>
      </c>
      <c r="O1301" s="506">
        <f t="shared" si="405"/>
        <v>16186.02</v>
      </c>
      <c r="P1301" s="506">
        <f t="shared" si="405"/>
        <v>16337.13</v>
      </c>
      <c r="Q1301" s="550">
        <f>SUM(E1301:P1301)</f>
        <v>194542.74</v>
      </c>
    </row>
    <row r="1302" spans="3:17" ht="12" x14ac:dyDescent="0.35">
      <c r="C1302" s="452"/>
      <c r="D1302" s="305" t="s">
        <v>389</v>
      </c>
      <c r="E1302" s="551">
        <f t="shared" ref="E1302:P1302" si="406">E835</f>
        <v>21730.799999999999</v>
      </c>
      <c r="F1302" s="551">
        <f t="shared" si="406"/>
        <v>21074.1</v>
      </c>
      <c r="G1302" s="551">
        <f t="shared" si="406"/>
        <v>15820.5</v>
      </c>
      <c r="H1302" s="551">
        <f t="shared" si="406"/>
        <v>9014.7000000000007</v>
      </c>
      <c r="I1302" s="551">
        <f t="shared" si="406"/>
        <v>4238.7</v>
      </c>
      <c r="J1302" s="551">
        <f t="shared" si="406"/>
        <v>2029.8</v>
      </c>
      <c r="K1302" s="551">
        <f t="shared" si="406"/>
        <v>1432.8</v>
      </c>
      <c r="L1302" s="551">
        <f t="shared" si="406"/>
        <v>1373.1</v>
      </c>
      <c r="M1302" s="551">
        <f t="shared" si="406"/>
        <v>1492.5</v>
      </c>
      <c r="N1302" s="551">
        <f t="shared" si="406"/>
        <v>2328.3000000000002</v>
      </c>
      <c r="O1302" s="551">
        <f t="shared" si="406"/>
        <v>6626.7</v>
      </c>
      <c r="P1302" s="551">
        <f t="shared" si="406"/>
        <v>14745.9</v>
      </c>
      <c r="Q1302" s="552">
        <f>SUM(E1302:P1302)</f>
        <v>101907.9</v>
      </c>
    </row>
    <row r="1303" spans="3:17" x14ac:dyDescent="0.2">
      <c r="C1303" s="452"/>
      <c r="D1303" s="305"/>
      <c r="E1303" s="506">
        <f t="shared" ref="E1303:Q1303" si="407">SUM(E1298:E1302)</f>
        <v>1914082.8</v>
      </c>
      <c r="F1303" s="506">
        <f t="shared" si="407"/>
        <v>1872219.9</v>
      </c>
      <c r="G1303" s="506">
        <f t="shared" si="407"/>
        <v>1526708.34</v>
      </c>
      <c r="H1303" s="506">
        <f t="shared" si="407"/>
        <v>1077206.8600000001</v>
      </c>
      <c r="I1303" s="506">
        <f t="shared" si="407"/>
        <v>761410.78</v>
      </c>
      <c r="J1303" s="506">
        <f t="shared" si="407"/>
        <v>611510.84</v>
      </c>
      <c r="K1303" s="506">
        <f t="shared" si="407"/>
        <v>569220.72</v>
      </c>
      <c r="L1303" s="506">
        <f t="shared" si="407"/>
        <v>564987.62</v>
      </c>
      <c r="M1303" s="506">
        <f t="shared" si="407"/>
        <v>571941.26</v>
      </c>
      <c r="N1303" s="506">
        <f t="shared" si="407"/>
        <v>627096.22</v>
      </c>
      <c r="O1303" s="506">
        <f t="shared" si="407"/>
        <v>915323.02</v>
      </c>
      <c r="P1303" s="506">
        <f t="shared" si="407"/>
        <v>1453803.38</v>
      </c>
      <c r="Q1303" s="550">
        <f t="shared" si="407"/>
        <v>12465511.74</v>
      </c>
    </row>
    <row r="1304" spans="3:17" x14ac:dyDescent="0.2">
      <c r="C1304" s="452"/>
      <c r="D1304" s="304"/>
      <c r="E1304" s="506"/>
      <c r="F1304" s="506"/>
      <c r="G1304" s="506"/>
      <c r="H1304" s="506"/>
      <c r="I1304" s="506"/>
      <c r="J1304" s="506"/>
      <c r="K1304" s="506"/>
      <c r="L1304" s="506"/>
      <c r="M1304" s="506"/>
      <c r="N1304" s="506"/>
      <c r="O1304" s="506"/>
      <c r="P1304" s="506"/>
      <c r="Q1304" s="550"/>
    </row>
    <row r="1305" spans="3:17" x14ac:dyDescent="0.2">
      <c r="C1305" s="452"/>
      <c r="D1305" s="501" t="s">
        <v>395</v>
      </c>
      <c r="E1305" s="305"/>
      <c r="F1305" s="422"/>
      <c r="G1305" s="442"/>
      <c r="H1305" s="422"/>
      <c r="I1305" s="443"/>
      <c r="J1305" s="422"/>
      <c r="K1305" s="422"/>
      <c r="L1305" s="422"/>
      <c r="M1305" s="422"/>
      <c r="N1305" s="422"/>
      <c r="O1305" s="422"/>
      <c r="P1305" s="422"/>
      <c r="Q1305" s="450"/>
    </row>
    <row r="1306" spans="3:17" x14ac:dyDescent="0.2">
      <c r="C1306" s="452"/>
      <c r="D1306" s="304" t="s">
        <v>348</v>
      </c>
      <c r="E1306" s="506">
        <f t="shared" ref="E1306:P1306" si="408">E846++E934+E935+E1000+E1001+E1091+E1092+E1109+E1110+E1202+E1203</f>
        <v>258366.90000000002</v>
      </c>
      <c r="F1306" s="506">
        <f t="shared" si="408"/>
        <v>243780.90000000002</v>
      </c>
      <c r="G1306" s="506">
        <f t="shared" si="408"/>
        <v>258264.90000000002</v>
      </c>
      <c r="H1306" s="506">
        <f t="shared" si="408"/>
        <v>257652.90000000002</v>
      </c>
      <c r="I1306" s="506">
        <f t="shared" si="408"/>
        <v>256479.90000000002</v>
      </c>
      <c r="J1306" s="506">
        <f t="shared" si="408"/>
        <v>255663.90000000002</v>
      </c>
      <c r="K1306" s="506">
        <f t="shared" si="408"/>
        <v>257261.90000000002</v>
      </c>
      <c r="L1306" s="506">
        <f t="shared" si="408"/>
        <v>252739.90000000002</v>
      </c>
      <c r="M1306" s="506">
        <f t="shared" si="408"/>
        <v>251107.90000000002</v>
      </c>
      <c r="N1306" s="506">
        <f t="shared" si="408"/>
        <v>249832.90000000002</v>
      </c>
      <c r="O1306" s="506">
        <f t="shared" si="408"/>
        <v>250223.90000000002</v>
      </c>
      <c r="P1306" s="506">
        <f t="shared" si="408"/>
        <v>286960.90000000002</v>
      </c>
      <c r="Q1306" s="550">
        <f>SUM(E1306:P1306)</f>
        <v>3078336.7999999993</v>
      </c>
    </row>
    <row r="1307" spans="3:17" x14ac:dyDescent="0.2">
      <c r="C1307" s="452"/>
      <c r="D1307" s="304" t="s">
        <v>346</v>
      </c>
      <c r="E1307" s="506">
        <f t="shared" ref="E1307:P1307" si="409">E847+E936++E1002+E1204</f>
        <v>0</v>
      </c>
      <c r="F1307" s="506">
        <f t="shared" si="409"/>
        <v>0</v>
      </c>
      <c r="G1307" s="506">
        <f t="shared" si="409"/>
        <v>0</v>
      </c>
      <c r="H1307" s="506">
        <f t="shared" si="409"/>
        <v>0</v>
      </c>
      <c r="I1307" s="506">
        <f t="shared" si="409"/>
        <v>0</v>
      </c>
      <c r="J1307" s="506">
        <f t="shared" si="409"/>
        <v>0</v>
      </c>
      <c r="K1307" s="506">
        <f t="shared" si="409"/>
        <v>0</v>
      </c>
      <c r="L1307" s="506">
        <f t="shared" si="409"/>
        <v>0</v>
      </c>
      <c r="M1307" s="506">
        <f t="shared" si="409"/>
        <v>0</v>
      </c>
      <c r="N1307" s="506">
        <f t="shared" si="409"/>
        <v>0</v>
      </c>
      <c r="O1307" s="506">
        <f t="shared" si="409"/>
        <v>0</v>
      </c>
      <c r="P1307" s="506">
        <f t="shared" si="409"/>
        <v>0</v>
      </c>
      <c r="Q1307" s="550">
        <f>SUM(E1307:P1307)</f>
        <v>0</v>
      </c>
    </row>
    <row r="1308" spans="3:17" ht="12" x14ac:dyDescent="0.35">
      <c r="C1308" s="452"/>
      <c r="D1308" s="304" t="s">
        <v>386</v>
      </c>
      <c r="E1308" s="551">
        <f t="shared" ref="E1308:P1308" si="410">E860++E945+E1015+E1095+E1113+E1213</f>
        <v>1221745.0899999999</v>
      </c>
      <c r="F1308" s="551">
        <f t="shared" si="410"/>
        <v>1178134.1500000001</v>
      </c>
      <c r="G1308" s="551">
        <f t="shared" si="410"/>
        <v>939635.42999999993</v>
      </c>
      <c r="H1308" s="551">
        <f t="shared" si="410"/>
        <v>639421.71</v>
      </c>
      <c r="I1308" s="551">
        <f t="shared" si="410"/>
        <v>436368.62</v>
      </c>
      <c r="J1308" s="551">
        <f t="shared" si="410"/>
        <v>340671.86999999994</v>
      </c>
      <c r="K1308" s="551">
        <f t="shared" si="410"/>
        <v>320007.69999999995</v>
      </c>
      <c r="L1308" s="551">
        <f t="shared" si="410"/>
        <v>310954.13</v>
      </c>
      <c r="M1308" s="551">
        <f t="shared" si="410"/>
        <v>336412.11000000004</v>
      </c>
      <c r="N1308" s="551">
        <f t="shared" si="410"/>
        <v>437004.36999999994</v>
      </c>
      <c r="O1308" s="551">
        <f t="shared" si="410"/>
        <v>634053.31999999995</v>
      </c>
      <c r="P1308" s="551">
        <f t="shared" si="410"/>
        <v>938628.95000000007</v>
      </c>
      <c r="Q1308" s="552">
        <f>SUM(E1308:P1308)</f>
        <v>7733037.4500000011</v>
      </c>
    </row>
    <row r="1309" spans="3:17" x14ac:dyDescent="0.2">
      <c r="C1309" s="452"/>
      <c r="D1309" s="305"/>
      <c r="E1309" s="506">
        <f>SUM(E1306:E1308)</f>
        <v>1480111.9899999998</v>
      </c>
      <c r="F1309" s="506">
        <f t="shared" ref="F1309:Q1309" si="411">SUM(F1306:F1308)</f>
        <v>1421915.0500000003</v>
      </c>
      <c r="G1309" s="506">
        <f t="shared" si="411"/>
        <v>1197900.33</v>
      </c>
      <c r="H1309" s="506">
        <f t="shared" si="411"/>
        <v>897074.61</v>
      </c>
      <c r="I1309" s="506">
        <f t="shared" si="411"/>
        <v>692848.52</v>
      </c>
      <c r="J1309" s="506">
        <f t="shared" si="411"/>
        <v>596335.77</v>
      </c>
      <c r="K1309" s="506">
        <f t="shared" si="411"/>
        <v>577269.6</v>
      </c>
      <c r="L1309" s="506">
        <f t="shared" si="411"/>
        <v>563694.03</v>
      </c>
      <c r="M1309" s="506">
        <f t="shared" si="411"/>
        <v>587520.01</v>
      </c>
      <c r="N1309" s="506">
        <f t="shared" si="411"/>
        <v>686837.27</v>
      </c>
      <c r="O1309" s="506">
        <f t="shared" si="411"/>
        <v>884277.22</v>
      </c>
      <c r="P1309" s="506">
        <f t="shared" si="411"/>
        <v>1225589.8500000001</v>
      </c>
      <c r="Q1309" s="550">
        <f t="shared" si="411"/>
        <v>10811374.25</v>
      </c>
    </row>
    <row r="1310" spans="3:17" x14ac:dyDescent="0.2">
      <c r="C1310" s="452"/>
      <c r="D1310" s="304"/>
      <c r="E1310" s="506"/>
      <c r="F1310" s="506"/>
      <c r="G1310" s="506"/>
      <c r="H1310" s="506"/>
      <c r="I1310" s="506"/>
      <c r="J1310" s="506"/>
      <c r="K1310" s="506"/>
      <c r="L1310" s="506"/>
      <c r="M1310" s="506"/>
      <c r="N1310" s="506"/>
      <c r="O1310" s="506"/>
      <c r="P1310" s="506"/>
      <c r="Q1310" s="550"/>
    </row>
    <row r="1311" spans="3:17" x14ac:dyDescent="0.2">
      <c r="C1311" s="452"/>
      <c r="D1311" s="501" t="s">
        <v>397</v>
      </c>
      <c r="E1311" s="305"/>
      <c r="F1311" s="422"/>
      <c r="G1311" s="442"/>
      <c r="H1311" s="422"/>
      <c r="I1311" s="443"/>
      <c r="J1311" s="422"/>
      <c r="K1311" s="422"/>
      <c r="L1311" s="422"/>
      <c r="M1311" s="422"/>
      <c r="N1311" s="422"/>
      <c r="O1311" s="422"/>
      <c r="P1311" s="422"/>
      <c r="Q1311" s="450"/>
    </row>
    <row r="1312" spans="3:17" x14ac:dyDescent="0.2">
      <c r="C1312" s="452"/>
      <c r="D1312" s="304" t="s">
        <v>348</v>
      </c>
      <c r="E1312" s="506">
        <f t="shared" ref="E1312:P1312" si="412">E890+E959+E960+E1028+E1029+E1073+E1074+E1143+E1144+E1161+E1162+E1227+E1228</f>
        <v>62107.299999999988</v>
      </c>
      <c r="F1312" s="506">
        <f t="shared" si="412"/>
        <v>62107.299999999988</v>
      </c>
      <c r="G1312" s="506">
        <f t="shared" si="412"/>
        <v>62056.299999999988</v>
      </c>
      <c r="H1312" s="506">
        <f t="shared" si="412"/>
        <v>62107.299999999988</v>
      </c>
      <c r="I1312" s="506">
        <f t="shared" si="412"/>
        <v>62056.299999999988</v>
      </c>
      <c r="J1312" s="506">
        <f t="shared" si="412"/>
        <v>62056.299999999988</v>
      </c>
      <c r="K1312" s="506">
        <f t="shared" si="412"/>
        <v>62056.299999999988</v>
      </c>
      <c r="L1312" s="506">
        <f t="shared" si="412"/>
        <v>62056.299999999988</v>
      </c>
      <c r="M1312" s="506">
        <f t="shared" si="412"/>
        <v>62056.299999999988</v>
      </c>
      <c r="N1312" s="506">
        <f t="shared" si="412"/>
        <v>62056.299999999988</v>
      </c>
      <c r="O1312" s="506">
        <f t="shared" si="412"/>
        <v>62107.299999999988</v>
      </c>
      <c r="P1312" s="506">
        <f t="shared" si="412"/>
        <v>62107.299999999988</v>
      </c>
      <c r="Q1312" s="550">
        <f>SUM(E1312:P1312)</f>
        <v>744930.60000000009</v>
      </c>
    </row>
    <row r="1313" spans="3:17" x14ac:dyDescent="0.2">
      <c r="C1313" s="452"/>
      <c r="D1313" s="304" t="s">
        <v>346</v>
      </c>
      <c r="E1313" s="506">
        <f t="shared" ref="E1313:P1313" si="413">E891+E961+E1030</f>
        <v>0</v>
      </c>
      <c r="F1313" s="506">
        <f t="shared" si="413"/>
        <v>0</v>
      </c>
      <c r="G1313" s="506">
        <f t="shared" si="413"/>
        <v>0</v>
      </c>
      <c r="H1313" s="506">
        <f t="shared" si="413"/>
        <v>0</v>
      </c>
      <c r="I1313" s="506">
        <f t="shared" si="413"/>
        <v>0</v>
      </c>
      <c r="J1313" s="506">
        <f t="shared" si="413"/>
        <v>0</v>
      </c>
      <c r="K1313" s="506">
        <f t="shared" si="413"/>
        <v>0</v>
      </c>
      <c r="L1313" s="506">
        <f t="shared" si="413"/>
        <v>0</v>
      </c>
      <c r="M1313" s="506">
        <f t="shared" si="413"/>
        <v>0</v>
      </c>
      <c r="N1313" s="506">
        <f t="shared" si="413"/>
        <v>0</v>
      </c>
      <c r="O1313" s="506">
        <f t="shared" si="413"/>
        <v>0</v>
      </c>
      <c r="P1313" s="506">
        <f t="shared" si="413"/>
        <v>0</v>
      </c>
      <c r="Q1313" s="550">
        <f>SUM(E1313:P1313)</f>
        <v>0</v>
      </c>
    </row>
    <row r="1314" spans="3:17" ht="12" x14ac:dyDescent="0.35">
      <c r="C1314" s="452"/>
      <c r="D1314" s="304" t="s">
        <v>386</v>
      </c>
      <c r="E1314" s="551">
        <f t="shared" ref="E1314:P1314" si="414">E904+E970+E1043+E1077++E1147+E1171+E1237</f>
        <v>640569.1399999999</v>
      </c>
      <c r="F1314" s="551">
        <f t="shared" si="414"/>
        <v>584218.44000000006</v>
      </c>
      <c r="G1314" s="551">
        <f t="shared" si="414"/>
        <v>538588.89</v>
      </c>
      <c r="H1314" s="551">
        <f t="shared" si="414"/>
        <v>470127.54000000004</v>
      </c>
      <c r="I1314" s="551">
        <f t="shared" si="414"/>
        <v>431149.25</v>
      </c>
      <c r="J1314" s="551">
        <f t="shared" si="414"/>
        <v>402285.38000000006</v>
      </c>
      <c r="K1314" s="551">
        <f t="shared" si="414"/>
        <v>369071.79000000004</v>
      </c>
      <c r="L1314" s="551">
        <f t="shared" si="414"/>
        <v>404704.54</v>
      </c>
      <c r="M1314" s="551">
        <f t="shared" si="414"/>
        <v>424122.77000000008</v>
      </c>
      <c r="N1314" s="551">
        <f t="shared" si="414"/>
        <v>483509.55</v>
      </c>
      <c r="O1314" s="551">
        <f t="shared" si="414"/>
        <v>545111.05000000005</v>
      </c>
      <c r="P1314" s="551">
        <f t="shared" si="414"/>
        <v>571348.37</v>
      </c>
      <c r="Q1314" s="552">
        <f>SUM(E1314:P1314)</f>
        <v>5864806.71</v>
      </c>
    </row>
    <row r="1315" spans="3:17" x14ac:dyDescent="0.2">
      <c r="C1315" s="452"/>
      <c r="D1315" s="305"/>
      <c r="E1315" s="506">
        <f>SUM(E1312:E1314)</f>
        <v>702676.44</v>
      </c>
      <c r="F1315" s="506">
        <f t="shared" ref="F1315:Q1315" si="415">SUM(F1312:F1314)</f>
        <v>646325.74</v>
      </c>
      <c r="G1315" s="506">
        <f t="shared" si="415"/>
        <v>600645.18999999994</v>
      </c>
      <c r="H1315" s="506">
        <f t="shared" si="415"/>
        <v>532234.84000000008</v>
      </c>
      <c r="I1315" s="506">
        <f t="shared" si="415"/>
        <v>493205.55</v>
      </c>
      <c r="J1315" s="506">
        <f t="shared" si="415"/>
        <v>464341.68000000005</v>
      </c>
      <c r="K1315" s="506">
        <f t="shared" si="415"/>
        <v>431128.09</v>
      </c>
      <c r="L1315" s="506">
        <f t="shared" si="415"/>
        <v>466760.83999999997</v>
      </c>
      <c r="M1315" s="506">
        <f t="shared" si="415"/>
        <v>486179.07000000007</v>
      </c>
      <c r="N1315" s="506">
        <f t="shared" si="415"/>
        <v>545565.85</v>
      </c>
      <c r="O1315" s="506">
        <f t="shared" si="415"/>
        <v>607218.35000000009</v>
      </c>
      <c r="P1315" s="506">
        <f t="shared" si="415"/>
        <v>633455.66999999993</v>
      </c>
      <c r="Q1315" s="550">
        <f t="shared" si="415"/>
        <v>6609737.3100000005</v>
      </c>
    </row>
    <row r="1316" spans="3:17" ht="10.8" thickBot="1" x14ac:dyDescent="0.25">
      <c r="C1316" s="452"/>
      <c r="D1316" s="304"/>
      <c r="E1316" s="506"/>
      <c r="F1316" s="506"/>
      <c r="G1316" s="506"/>
      <c r="H1316" s="506"/>
      <c r="I1316" s="506"/>
      <c r="J1316" s="506"/>
      <c r="K1316" s="506"/>
      <c r="L1316" s="506"/>
      <c r="M1316" s="506"/>
      <c r="N1316" s="506"/>
      <c r="O1316" s="506"/>
      <c r="P1316" s="506"/>
      <c r="Q1316" s="550"/>
    </row>
    <row r="1317" spans="3:17" x14ac:dyDescent="0.2">
      <c r="C1317" s="452"/>
      <c r="D1317" s="553" t="s">
        <v>18</v>
      </c>
      <c r="E1317" s="447"/>
      <c r="F1317" s="547"/>
      <c r="G1317" s="548"/>
      <c r="H1317" s="547"/>
      <c r="I1317" s="549"/>
      <c r="J1317" s="547"/>
      <c r="K1317" s="547"/>
      <c r="L1317" s="547"/>
      <c r="M1317" s="547"/>
      <c r="N1317" s="547"/>
      <c r="O1317" s="547"/>
      <c r="P1317" s="547"/>
      <c r="Q1317" s="448"/>
    </row>
    <row r="1318" spans="3:17" x14ac:dyDescent="0.2">
      <c r="C1318" s="452"/>
      <c r="D1318" s="556" t="s">
        <v>348</v>
      </c>
      <c r="E1318" s="506">
        <f>E1298+E1306+E1312</f>
        <v>788944.2</v>
      </c>
      <c r="F1318" s="506">
        <f t="shared" ref="F1318:P1318" si="416">F1298+F1306+F1312</f>
        <v>775641.95</v>
      </c>
      <c r="G1318" s="506">
        <f t="shared" si="416"/>
        <v>790094.7</v>
      </c>
      <c r="H1318" s="506">
        <f t="shared" si="416"/>
        <v>787716.7</v>
      </c>
      <c r="I1318" s="506">
        <f t="shared" si="416"/>
        <v>784873.2</v>
      </c>
      <c r="J1318" s="506">
        <f t="shared" si="416"/>
        <v>779593.7</v>
      </c>
      <c r="K1318" s="506">
        <f t="shared" si="416"/>
        <v>778268.7</v>
      </c>
      <c r="L1318" s="506">
        <f t="shared" si="416"/>
        <v>773450.45</v>
      </c>
      <c r="M1318" s="506">
        <f t="shared" si="416"/>
        <v>770949.45</v>
      </c>
      <c r="N1318" s="506">
        <f t="shared" si="416"/>
        <v>769852.2</v>
      </c>
      <c r="O1318" s="506">
        <f t="shared" si="416"/>
        <v>775626.7</v>
      </c>
      <c r="P1318" s="506">
        <f t="shared" si="416"/>
        <v>816688.95</v>
      </c>
      <c r="Q1318" s="550">
        <f>SUM(E1318:P1318)</f>
        <v>9391700.9000000004</v>
      </c>
    </row>
    <row r="1319" spans="3:17" x14ac:dyDescent="0.2">
      <c r="C1319" s="452"/>
      <c r="D1319" s="556" t="s">
        <v>346</v>
      </c>
      <c r="E1319" s="506">
        <f t="shared" ref="E1319:P1320" si="417">E1299+E1307+E1313</f>
        <v>0</v>
      </c>
      <c r="F1319" s="506">
        <f t="shared" si="417"/>
        <v>0</v>
      </c>
      <c r="G1319" s="506">
        <f t="shared" si="417"/>
        <v>0</v>
      </c>
      <c r="H1319" s="506">
        <f t="shared" si="417"/>
        <v>0</v>
      </c>
      <c r="I1319" s="506">
        <f t="shared" si="417"/>
        <v>0</v>
      </c>
      <c r="J1319" s="506">
        <f t="shared" si="417"/>
        <v>0</v>
      </c>
      <c r="K1319" s="506">
        <f t="shared" si="417"/>
        <v>0</v>
      </c>
      <c r="L1319" s="506">
        <f t="shared" si="417"/>
        <v>0</v>
      </c>
      <c r="M1319" s="506">
        <f t="shared" si="417"/>
        <v>0</v>
      </c>
      <c r="N1319" s="506">
        <f t="shared" si="417"/>
        <v>0</v>
      </c>
      <c r="O1319" s="506">
        <f t="shared" si="417"/>
        <v>0</v>
      </c>
      <c r="P1319" s="506">
        <f t="shared" si="417"/>
        <v>0</v>
      </c>
      <c r="Q1319" s="550">
        <f>SUM(E1319:P1319)</f>
        <v>0</v>
      </c>
    </row>
    <row r="1320" spans="3:17" x14ac:dyDescent="0.2">
      <c r="C1320" s="452"/>
      <c r="D1320" s="556" t="s">
        <v>386</v>
      </c>
      <c r="E1320" s="506">
        <f t="shared" si="417"/>
        <v>3269829.4299999997</v>
      </c>
      <c r="F1320" s="506">
        <f t="shared" si="417"/>
        <v>3127332.9899999998</v>
      </c>
      <c r="G1320" s="506">
        <f t="shared" si="417"/>
        <v>2502926.3199999998</v>
      </c>
      <c r="H1320" s="506">
        <f t="shared" si="417"/>
        <v>1693436.05</v>
      </c>
      <c r="I1320" s="506">
        <f t="shared" si="417"/>
        <v>1142060.67</v>
      </c>
      <c r="J1320" s="506">
        <f t="shared" si="417"/>
        <v>874428.45</v>
      </c>
      <c r="K1320" s="506">
        <f t="shared" si="417"/>
        <v>781882.69</v>
      </c>
      <c r="L1320" s="506">
        <f t="shared" si="417"/>
        <v>804595.07000000007</v>
      </c>
      <c r="M1320" s="506">
        <f t="shared" si="417"/>
        <v>857204.88000000012</v>
      </c>
      <c r="N1320" s="506">
        <f t="shared" si="417"/>
        <v>1071319.1199999999</v>
      </c>
      <c r="O1320" s="506">
        <f t="shared" si="417"/>
        <v>1608379.17</v>
      </c>
      <c r="P1320" s="506">
        <f t="shared" si="417"/>
        <v>2465076.92</v>
      </c>
      <c r="Q1320" s="550">
        <f>SUM(E1320:P1320)</f>
        <v>20198471.759999998</v>
      </c>
    </row>
    <row r="1321" spans="3:17" x14ac:dyDescent="0.2">
      <c r="C1321" s="452"/>
      <c r="D1321" s="452" t="s">
        <v>387</v>
      </c>
      <c r="E1321" s="506">
        <f>E1301</f>
        <v>16366.8</v>
      </c>
      <c r="F1321" s="506">
        <f t="shared" ref="F1321:P1322" si="418">F1301</f>
        <v>16411.650000000001</v>
      </c>
      <c r="G1321" s="506">
        <f t="shared" si="418"/>
        <v>16412.34</v>
      </c>
      <c r="H1321" s="506">
        <f t="shared" si="418"/>
        <v>16348.86</v>
      </c>
      <c r="I1321" s="506">
        <f t="shared" si="418"/>
        <v>16292.28</v>
      </c>
      <c r="J1321" s="506">
        <f t="shared" si="418"/>
        <v>16136.34</v>
      </c>
      <c r="K1321" s="506">
        <f t="shared" si="418"/>
        <v>16034.22</v>
      </c>
      <c r="L1321" s="506">
        <f t="shared" si="418"/>
        <v>16023.87</v>
      </c>
      <c r="M1321" s="506">
        <f t="shared" si="418"/>
        <v>15993.51</v>
      </c>
      <c r="N1321" s="506">
        <f t="shared" si="418"/>
        <v>15999.72</v>
      </c>
      <c r="O1321" s="506">
        <f t="shared" si="418"/>
        <v>16186.02</v>
      </c>
      <c r="P1321" s="506">
        <f t="shared" si="418"/>
        <v>16337.13</v>
      </c>
      <c r="Q1321" s="550">
        <f>SUM(E1321:P1321)</f>
        <v>194542.74</v>
      </c>
    </row>
    <row r="1322" spans="3:17" ht="12" x14ac:dyDescent="0.35">
      <c r="C1322" s="452"/>
      <c r="D1322" s="452" t="s">
        <v>389</v>
      </c>
      <c r="E1322" s="551">
        <f>E1302</f>
        <v>21730.799999999999</v>
      </c>
      <c r="F1322" s="551">
        <f t="shared" si="418"/>
        <v>21074.1</v>
      </c>
      <c r="G1322" s="551">
        <f t="shared" si="418"/>
        <v>15820.5</v>
      </c>
      <c r="H1322" s="551">
        <f t="shared" si="418"/>
        <v>9014.7000000000007</v>
      </c>
      <c r="I1322" s="551">
        <f t="shared" si="418"/>
        <v>4238.7</v>
      </c>
      <c r="J1322" s="551">
        <f t="shared" si="418"/>
        <v>2029.8</v>
      </c>
      <c r="K1322" s="551">
        <f t="shared" si="418"/>
        <v>1432.8</v>
      </c>
      <c r="L1322" s="551">
        <f t="shared" si="418"/>
        <v>1373.1</v>
      </c>
      <c r="M1322" s="551">
        <f t="shared" si="418"/>
        <v>1492.5</v>
      </c>
      <c r="N1322" s="551">
        <f t="shared" si="418"/>
        <v>2328.3000000000002</v>
      </c>
      <c r="O1322" s="551">
        <f t="shared" si="418"/>
        <v>6626.7</v>
      </c>
      <c r="P1322" s="551">
        <f t="shared" si="418"/>
        <v>14745.9</v>
      </c>
      <c r="Q1322" s="552">
        <f>SUM(E1322:P1322)</f>
        <v>101907.9</v>
      </c>
    </row>
    <row r="1323" spans="3:17" x14ac:dyDescent="0.2">
      <c r="C1323" s="452"/>
      <c r="D1323" s="452"/>
      <c r="E1323" s="506">
        <f t="shared" ref="E1323:Q1323" si="419">SUM(E1318:E1322)</f>
        <v>4096871.2299999995</v>
      </c>
      <c r="F1323" s="506">
        <f t="shared" si="419"/>
        <v>3940460.6899999995</v>
      </c>
      <c r="G1323" s="506">
        <f t="shared" si="419"/>
        <v>3325253.8599999994</v>
      </c>
      <c r="H1323" s="506">
        <f t="shared" si="419"/>
        <v>2506516.31</v>
      </c>
      <c r="I1323" s="506">
        <f t="shared" si="419"/>
        <v>1947464.8499999999</v>
      </c>
      <c r="J1323" s="506">
        <f t="shared" si="419"/>
        <v>1672188.29</v>
      </c>
      <c r="K1323" s="506">
        <f t="shared" si="419"/>
        <v>1577618.41</v>
      </c>
      <c r="L1323" s="506">
        <f t="shared" si="419"/>
        <v>1595442.4900000002</v>
      </c>
      <c r="M1323" s="506">
        <f t="shared" si="419"/>
        <v>1645640.34</v>
      </c>
      <c r="N1323" s="506">
        <f t="shared" si="419"/>
        <v>1859499.3399999999</v>
      </c>
      <c r="O1323" s="506">
        <f t="shared" si="419"/>
        <v>2406818.5900000003</v>
      </c>
      <c r="P1323" s="506">
        <f t="shared" si="419"/>
        <v>3312848.9</v>
      </c>
      <c r="Q1323" s="550">
        <f t="shared" si="419"/>
        <v>29886623.299999993</v>
      </c>
    </row>
    <row r="1324" spans="3:17" x14ac:dyDescent="0.2">
      <c r="C1324" s="452"/>
      <c r="D1324" s="452"/>
      <c r="E1324" s="506"/>
      <c r="F1324" s="506"/>
      <c r="G1324" s="506"/>
      <c r="H1324" s="506"/>
      <c r="I1324" s="506"/>
      <c r="J1324" s="506"/>
      <c r="K1324" s="506"/>
      <c r="L1324" s="506"/>
      <c r="M1324" s="506"/>
      <c r="N1324" s="506"/>
      <c r="O1324" s="506"/>
      <c r="P1324" s="506"/>
      <c r="Q1324" s="550"/>
    </row>
    <row r="1325" spans="3:17" ht="10.8" thickBot="1" x14ac:dyDescent="0.25">
      <c r="C1325" s="452"/>
      <c r="D1325" s="459"/>
      <c r="E1325" s="558"/>
      <c r="F1325" s="558"/>
      <c r="G1325" s="558"/>
      <c r="H1325" s="558"/>
      <c r="I1325" s="558"/>
      <c r="J1325" s="558"/>
      <c r="K1325" s="558"/>
      <c r="L1325" s="558"/>
      <c r="M1325" s="558"/>
      <c r="N1325" s="558"/>
      <c r="O1325" s="558"/>
      <c r="P1325" s="558"/>
      <c r="Q1325" s="559"/>
    </row>
    <row r="1326" spans="3:17" x14ac:dyDescent="0.2">
      <c r="C1326" s="449" t="s">
        <v>398</v>
      </c>
      <c r="D1326" s="304"/>
      <c r="E1326" s="506"/>
      <c r="F1326" s="506"/>
      <c r="G1326" s="506"/>
      <c r="H1326" s="506"/>
      <c r="I1326" s="506"/>
      <c r="J1326" s="506"/>
      <c r="K1326" s="506"/>
      <c r="L1326" s="506"/>
      <c r="M1326" s="506"/>
      <c r="N1326" s="506"/>
      <c r="O1326" s="506"/>
      <c r="P1326" s="506"/>
      <c r="Q1326" s="550"/>
    </row>
    <row r="1327" spans="3:17" x14ac:dyDescent="0.2">
      <c r="C1327" s="795" t="s">
        <v>354</v>
      </c>
      <c r="D1327" s="304" t="s">
        <v>355</v>
      </c>
      <c r="E1327" s="506" t="e">
        <f>E67+E74+E81+E88+#REF!+E95+E102+E129+E136+E143+E150+E157+E184+E191+E198</f>
        <v>#REF!</v>
      </c>
      <c r="F1327" s="506" t="e">
        <f>F67+F74+F81+F88+#REF!+F95+F102+F129+F136+F143+F150+F157+F184+F191+F198</f>
        <v>#REF!</v>
      </c>
      <c r="G1327" s="506" t="e">
        <f>G67+G74+G81+G88+#REF!+G95+G102+G129+G136+G143+G150+G157+G184+G191+G198</f>
        <v>#REF!</v>
      </c>
      <c r="H1327" s="506" t="e">
        <f>H67+H74+H81+H88+#REF!+H95+H102+H129+H136+H143+H150+H157+H184+H191+H198</f>
        <v>#REF!</v>
      </c>
      <c r="I1327" s="506" t="e">
        <f>I67+I74+I81+I88+#REF!+I95+I102+I129+I136+I143+I150+I157+I184+I191+I198</f>
        <v>#REF!</v>
      </c>
      <c r="J1327" s="506" t="e">
        <f>J67+J74+J81+J88+#REF!+J95+J102+J129+J136+J143+J150+J157+J184+J191+J198</f>
        <v>#REF!</v>
      </c>
      <c r="K1327" s="506" t="e">
        <f>K67+K74+K81+K88+#REF!+K95+K102+K129+K136+K143+K150+K157+K184+K191+K198</f>
        <v>#REF!</v>
      </c>
      <c r="L1327" s="506" t="e">
        <f>L67+L74+L81+L88+#REF!+L95+L102+L129+L136+L143+L150+L157+L184+L191+L198</f>
        <v>#REF!</v>
      </c>
      <c r="M1327" s="506" t="e">
        <f>M67+M74+M81+M88+#REF!+M95+M102+M129+M136+M143+M150+M157+M184+M191+M198</f>
        <v>#REF!</v>
      </c>
      <c r="N1327" s="506" t="e">
        <f>N67+N74+N81+N88+#REF!+N95+N102+N129+N136+N143+N150+N157+N184+N191+N198</f>
        <v>#REF!</v>
      </c>
      <c r="O1327" s="506" t="e">
        <f>O67+O74+O81+O88+#REF!+O95+O102+O129+O136+O143+O150+O157+O184+O191+O198</f>
        <v>#REF!</v>
      </c>
      <c r="P1327" s="506" t="e">
        <f>P67+P74+P81+P88+#REF!+P95+P102+P129+P136+P143+P150+P157+P184+P191+P198</f>
        <v>#REF!</v>
      </c>
      <c r="Q1327" s="550" t="e">
        <f>SUM(E1327:P1327)</f>
        <v>#REF!</v>
      </c>
    </row>
    <row r="1328" spans="3:17" x14ac:dyDescent="0.2">
      <c r="C1328" s="795"/>
      <c r="D1328" s="304" t="s">
        <v>352</v>
      </c>
      <c r="E1328" s="506" t="e">
        <f>E68+E75+E82+E89+#REF!+E96+E103+E130+E137+E144+E151+E158+E185+E192+E199</f>
        <v>#REF!</v>
      </c>
      <c r="F1328" s="506" t="e">
        <f>F68+F75+F82+F89+#REF!+F96+F103+F130+F137+F144+F151+F158+F185+F192+F199</f>
        <v>#REF!</v>
      </c>
      <c r="G1328" s="506" t="e">
        <f>G68+G75+G82+G89+#REF!+G96+G103+G130+G137+G144+G151+G158+G185+G192+G199</f>
        <v>#REF!</v>
      </c>
      <c r="H1328" s="506" t="e">
        <f>H68+H75+H82+H89+#REF!+H96+H103+H130+H137+H144+H151+H158+H185+H192+H199</f>
        <v>#REF!</v>
      </c>
      <c r="I1328" s="506" t="e">
        <f>I68+I75+I82+I89+#REF!+I96+I103+I130+I137+I144+I151+I158+I185+I192+I199</f>
        <v>#REF!</v>
      </c>
      <c r="J1328" s="506" t="e">
        <f>J68+J75+J82+J89+#REF!+J96+J103+J130+J137+J144+J151+J158+J185+J192+J199</f>
        <v>#REF!</v>
      </c>
      <c r="K1328" s="506" t="e">
        <f>K68+K75+K82+K89+#REF!+K96+K103+K130+K137+K144+K151+K158+K185+K192+K199</f>
        <v>#REF!</v>
      </c>
      <c r="L1328" s="506" t="e">
        <f>L68+L75+L82+L89+#REF!+L96+L103+L130+L137+L144+L151+L158+L185+L192+L199</f>
        <v>#REF!</v>
      </c>
      <c r="M1328" s="506" t="e">
        <f>M68+M75+M82+M89+#REF!+M96+M103+M130+M137+M144+M151+M158+M185+M192+M199</f>
        <v>#REF!</v>
      </c>
      <c r="N1328" s="506" t="e">
        <f>N68+N75+N82+N89+#REF!+N96+N103+N130+N137+N144+N151+N158+N185+N192+N199</f>
        <v>#REF!</v>
      </c>
      <c r="O1328" s="506" t="e">
        <f>O68+O75+O82+O89+#REF!+O96+O103+O130+O137+O144+O151+O158+O185+O192+O199</f>
        <v>#REF!</v>
      </c>
      <c r="P1328" s="506" t="e">
        <f>P68+P75+P82+P89+#REF!+P96+P103+P130+P137+P144+P151+P158+P185+P192+P199</f>
        <v>#REF!</v>
      </c>
      <c r="Q1328" s="550" t="e">
        <f>SUM(E1328:P1328)</f>
        <v>#REF!</v>
      </c>
    </row>
    <row r="1329" spans="3:17" x14ac:dyDescent="0.2">
      <c r="C1329" s="795"/>
      <c r="D1329" s="304" t="s">
        <v>9</v>
      </c>
      <c r="E1329" s="506" t="e">
        <f>E69+E76+E83+E90+#REF!+E97+E104+E131+E138+E145+E152+E159+E186+E193+E200</f>
        <v>#REF!</v>
      </c>
      <c r="F1329" s="506" t="e">
        <f>F69+F76+F83+F90+#REF!+F97+F104+F131+F138+F145+F152+F159+F186+F193+F200</f>
        <v>#REF!</v>
      </c>
      <c r="G1329" s="506" t="e">
        <f>G69+G76+G83+G90+#REF!+G97+G104+G131+G138+G145+G152+G159+G186+G193+G200</f>
        <v>#REF!</v>
      </c>
      <c r="H1329" s="506" t="e">
        <f>H69+H76+H83+H90+#REF!+H97+H104+H131+H138+H145+H152+H159+H186+H193+H200</f>
        <v>#REF!</v>
      </c>
      <c r="I1329" s="506" t="e">
        <f>I69+I76+I83+I90+#REF!+I97+I104+I131+I138+I145+I152+I159+I186+I193+I200</f>
        <v>#REF!</v>
      </c>
      <c r="J1329" s="506" t="e">
        <f>J69+J76+J83+J90+#REF!+J97+J104+J131+J138+J145+J152+J159+J186+J193+J200</f>
        <v>#REF!</v>
      </c>
      <c r="K1329" s="506" t="e">
        <f>K69+K76+K83+K90+#REF!+K97+K104+K131+K138+K145+K152+K159+K186+K193+K200</f>
        <v>#REF!</v>
      </c>
      <c r="L1329" s="506" t="e">
        <f>L69+L76+L83+L90+#REF!+L97+L104+L131+L138+L145+L152+L159+L186+L193+L200</f>
        <v>#REF!</v>
      </c>
      <c r="M1329" s="506" t="e">
        <f>M69+M76+M83+M90+#REF!+M97+M104+M131+M138+M145+M152+M159+M186+M193+M200</f>
        <v>#REF!</v>
      </c>
      <c r="N1329" s="506" t="e">
        <f>N69+N76+N83+N90+#REF!+N97+N104+N131+N138+N145+N152+N159+N186+N193+N200</f>
        <v>#REF!</v>
      </c>
      <c r="O1329" s="506" t="e">
        <f>O69+O76+O83+O90+#REF!+O97+O104+O131+O138+O145+O152+O159+O186+O193+O200</f>
        <v>#REF!</v>
      </c>
      <c r="P1329" s="506" t="e">
        <f>P69+P76+P83+P90+#REF!+P97+P104+P131+P138+P145+P152+P159+P186+P193+P200</f>
        <v>#REF!</v>
      </c>
      <c r="Q1329" s="550" t="e">
        <f>SUM(E1329:P1329)</f>
        <v>#REF!</v>
      </c>
    </row>
    <row r="1330" spans="3:17" x14ac:dyDescent="0.2">
      <c r="C1330" s="795"/>
      <c r="D1330" s="304"/>
      <c r="E1330" s="506" t="e">
        <f>E1294-E1329</f>
        <v>#REF!</v>
      </c>
      <c r="F1330" s="506" t="e">
        <f t="shared" ref="F1330:P1330" si="420">F1294-F1329</f>
        <v>#REF!</v>
      </c>
      <c r="G1330" s="506" t="e">
        <f t="shared" si="420"/>
        <v>#REF!</v>
      </c>
      <c r="H1330" s="506" t="e">
        <f t="shared" si="420"/>
        <v>#REF!</v>
      </c>
      <c r="I1330" s="506" t="e">
        <f t="shared" si="420"/>
        <v>#REF!</v>
      </c>
      <c r="J1330" s="506" t="e">
        <f t="shared" si="420"/>
        <v>#REF!</v>
      </c>
      <c r="K1330" s="506" t="e">
        <f t="shared" si="420"/>
        <v>#REF!</v>
      </c>
      <c r="L1330" s="506" t="e">
        <f t="shared" si="420"/>
        <v>#REF!</v>
      </c>
      <c r="M1330" s="506" t="e">
        <f t="shared" si="420"/>
        <v>#REF!</v>
      </c>
      <c r="N1330" s="506" t="e">
        <f t="shared" si="420"/>
        <v>#REF!</v>
      </c>
      <c r="O1330" s="506" t="e">
        <f t="shared" si="420"/>
        <v>#REF!</v>
      </c>
      <c r="P1330" s="506" t="e">
        <f t="shared" si="420"/>
        <v>#REF!</v>
      </c>
      <c r="Q1330" s="550"/>
    </row>
    <row r="1331" spans="3:17" x14ac:dyDescent="0.2">
      <c r="C1331" s="795" t="s">
        <v>384</v>
      </c>
      <c r="D1331" s="304" t="s">
        <v>355</v>
      </c>
      <c r="E1331" s="506">
        <f t="shared" ref="E1331:P1331" si="421">E225+E232+E239+E246+E253+E260+E288+E295+E302+E309+E316+E323+E350+E357</f>
        <v>4096871.2300000009</v>
      </c>
      <c r="F1331" s="506">
        <f t="shared" si="421"/>
        <v>3940460.6900000004</v>
      </c>
      <c r="G1331" s="506">
        <f t="shared" si="421"/>
        <v>3325253.8600000003</v>
      </c>
      <c r="H1331" s="506">
        <f t="shared" si="421"/>
        <v>2506516.3100000005</v>
      </c>
      <c r="I1331" s="506">
        <f t="shared" si="421"/>
        <v>1947464.85</v>
      </c>
      <c r="J1331" s="506">
        <f t="shared" si="421"/>
        <v>1672188.2899999998</v>
      </c>
      <c r="K1331" s="506">
        <f t="shared" si="421"/>
        <v>1577618.4100000001</v>
      </c>
      <c r="L1331" s="506">
        <f t="shared" si="421"/>
        <v>1595442.4900000002</v>
      </c>
      <c r="M1331" s="506">
        <f t="shared" si="421"/>
        <v>1645640.3399999999</v>
      </c>
      <c r="N1331" s="506">
        <f t="shared" si="421"/>
        <v>1859499.3399999999</v>
      </c>
      <c r="O1331" s="506">
        <f t="shared" si="421"/>
        <v>2406818.5900000008</v>
      </c>
      <c r="P1331" s="506">
        <f t="shared" si="421"/>
        <v>3312848.9000000008</v>
      </c>
      <c r="Q1331" s="550">
        <f>SUM(E1331:P1331)</f>
        <v>29886623.300000004</v>
      </c>
    </row>
    <row r="1332" spans="3:17" x14ac:dyDescent="0.2">
      <c r="C1332" s="795"/>
      <c r="D1332" s="304" t="s">
        <v>352</v>
      </c>
      <c r="E1332" s="506">
        <f t="shared" ref="E1332:P1332" si="422">E226+E233+E240+E247+E254+E261+E289+E296+E303+E310+E317+E324+E351+E358</f>
        <v>0</v>
      </c>
      <c r="F1332" s="506">
        <f t="shared" si="422"/>
        <v>0</v>
      </c>
      <c r="G1332" s="506">
        <f t="shared" si="422"/>
        <v>0</v>
      </c>
      <c r="H1332" s="506">
        <f t="shared" si="422"/>
        <v>0</v>
      </c>
      <c r="I1332" s="506">
        <f t="shared" si="422"/>
        <v>0</v>
      </c>
      <c r="J1332" s="506">
        <f t="shared" si="422"/>
        <v>0</v>
      </c>
      <c r="K1332" s="506">
        <f t="shared" si="422"/>
        <v>0</v>
      </c>
      <c r="L1332" s="506">
        <f t="shared" si="422"/>
        <v>0</v>
      </c>
      <c r="M1332" s="506">
        <f t="shared" si="422"/>
        <v>0</v>
      </c>
      <c r="N1332" s="506">
        <f t="shared" si="422"/>
        <v>0</v>
      </c>
      <c r="O1332" s="506">
        <f t="shared" si="422"/>
        <v>0</v>
      </c>
      <c r="P1332" s="506">
        <f t="shared" si="422"/>
        <v>0</v>
      </c>
      <c r="Q1332" s="550">
        <f>SUM(E1332:P1332)</f>
        <v>0</v>
      </c>
    </row>
    <row r="1333" spans="3:17" x14ac:dyDescent="0.2">
      <c r="C1333" s="795"/>
      <c r="D1333" s="304" t="s">
        <v>9</v>
      </c>
      <c r="E1333" s="506">
        <f t="shared" ref="E1333:P1333" si="423">E227+E234+E241+E248+E255+E262+E290+E297+E304+E311+E318+E325+E352+E359</f>
        <v>4096871.2300000009</v>
      </c>
      <c r="F1333" s="506">
        <f t="shared" si="423"/>
        <v>3940460.6900000004</v>
      </c>
      <c r="G1333" s="506">
        <f t="shared" si="423"/>
        <v>3325253.8600000003</v>
      </c>
      <c r="H1333" s="506">
        <f t="shared" si="423"/>
        <v>2506516.3100000005</v>
      </c>
      <c r="I1333" s="506">
        <f t="shared" si="423"/>
        <v>1947464.85</v>
      </c>
      <c r="J1333" s="506">
        <f t="shared" si="423"/>
        <v>1672188.2899999998</v>
      </c>
      <c r="K1333" s="506">
        <f t="shared" si="423"/>
        <v>1577618.4100000001</v>
      </c>
      <c r="L1333" s="506">
        <f t="shared" si="423"/>
        <v>1595442.4900000002</v>
      </c>
      <c r="M1333" s="506">
        <f t="shared" si="423"/>
        <v>1645640.3399999999</v>
      </c>
      <c r="N1333" s="506">
        <f t="shared" si="423"/>
        <v>1859499.3399999999</v>
      </c>
      <c r="O1333" s="506">
        <f t="shared" si="423"/>
        <v>2406818.5900000008</v>
      </c>
      <c r="P1333" s="506">
        <f t="shared" si="423"/>
        <v>3312848.9000000008</v>
      </c>
      <c r="Q1333" s="550">
        <f>SUM(E1333:P1333)</f>
        <v>29886623.300000004</v>
      </c>
    </row>
    <row r="1334" spans="3:17" x14ac:dyDescent="0.2">
      <c r="C1334" s="795"/>
      <c r="D1334" s="304"/>
      <c r="E1334" s="506">
        <f>E1323-E1333</f>
        <v>0</v>
      </c>
      <c r="F1334" s="506">
        <f t="shared" ref="F1334:Q1334" si="424">F1323-F1333</f>
        <v>0</v>
      </c>
      <c r="G1334" s="506">
        <f t="shared" si="424"/>
        <v>0</v>
      </c>
      <c r="H1334" s="506">
        <f t="shared" si="424"/>
        <v>0</v>
      </c>
      <c r="I1334" s="506">
        <f t="shared" si="424"/>
        <v>0</v>
      </c>
      <c r="J1334" s="506">
        <f t="shared" si="424"/>
        <v>0</v>
      </c>
      <c r="K1334" s="506">
        <f t="shared" si="424"/>
        <v>0</v>
      </c>
      <c r="L1334" s="506">
        <f t="shared" si="424"/>
        <v>0</v>
      </c>
      <c r="M1334" s="506">
        <f t="shared" si="424"/>
        <v>0</v>
      </c>
      <c r="N1334" s="506">
        <f t="shared" si="424"/>
        <v>0</v>
      </c>
      <c r="O1334" s="506">
        <f t="shared" si="424"/>
        <v>0</v>
      </c>
      <c r="P1334" s="506">
        <f t="shared" si="424"/>
        <v>0</v>
      </c>
      <c r="Q1334" s="550">
        <f t="shared" si="424"/>
        <v>0</v>
      </c>
    </row>
    <row r="1335" spans="3:17" x14ac:dyDescent="0.2">
      <c r="C1335" s="795" t="s">
        <v>344</v>
      </c>
      <c r="D1335" s="304"/>
      <c r="E1335" s="506" t="e">
        <f t="shared" ref="E1335:Q1335" si="425">SUM(E1253:E1266)-E1329-E1333</f>
        <v>#REF!</v>
      </c>
      <c r="F1335" s="506" t="e">
        <f t="shared" si="425"/>
        <v>#REF!</v>
      </c>
      <c r="G1335" s="506" t="e">
        <f t="shared" si="425"/>
        <v>#REF!</v>
      </c>
      <c r="H1335" s="506" t="e">
        <f t="shared" si="425"/>
        <v>#REF!</v>
      </c>
      <c r="I1335" s="506" t="e">
        <f t="shared" si="425"/>
        <v>#REF!</v>
      </c>
      <c r="J1335" s="506" t="e">
        <f t="shared" si="425"/>
        <v>#REF!</v>
      </c>
      <c r="K1335" s="506" t="e">
        <f t="shared" si="425"/>
        <v>#REF!</v>
      </c>
      <c r="L1335" s="506" t="e">
        <f t="shared" si="425"/>
        <v>#REF!</v>
      </c>
      <c r="M1335" s="506" t="e">
        <f t="shared" si="425"/>
        <v>#REF!</v>
      </c>
      <c r="N1335" s="506" t="e">
        <f t="shared" si="425"/>
        <v>#REF!</v>
      </c>
      <c r="O1335" s="506" t="e">
        <f t="shared" si="425"/>
        <v>#REF!</v>
      </c>
      <c r="P1335" s="506" t="e">
        <f t="shared" si="425"/>
        <v>#REF!</v>
      </c>
      <c r="Q1335" s="550" t="e">
        <f t="shared" si="425"/>
        <v>#REF!</v>
      </c>
    </row>
    <row r="1336" spans="3:17" ht="10.8" thickBot="1" x14ac:dyDescent="0.25">
      <c r="C1336" s="459"/>
      <c r="D1336" s="557"/>
      <c r="E1336" s="460"/>
      <c r="F1336" s="560"/>
      <c r="G1336" s="561"/>
      <c r="H1336" s="560"/>
      <c r="I1336" s="562"/>
      <c r="J1336" s="560"/>
      <c r="K1336" s="560"/>
      <c r="L1336" s="560"/>
      <c r="M1336" s="560"/>
      <c r="N1336" s="560"/>
      <c r="O1336" s="560"/>
      <c r="P1336" s="560"/>
      <c r="Q1336" s="461"/>
    </row>
  </sheetData>
  <mergeCells count="126">
    <mergeCell ref="A109:Q109"/>
    <mergeCell ref="A110:Q110"/>
    <mergeCell ref="A111:Q111"/>
    <mergeCell ref="A330:Q330"/>
    <mergeCell ref="A331:Q331"/>
    <mergeCell ref="A332:Q332"/>
    <mergeCell ref="A333:Q333"/>
    <mergeCell ref="A334:Q334"/>
    <mergeCell ref="A339:Q339"/>
    <mergeCell ref="A164:Q164"/>
    <mergeCell ref="A165:Q165"/>
    <mergeCell ref="A166:Q166"/>
    <mergeCell ref="A167:Q167"/>
    <mergeCell ref="A168:Q168"/>
    <mergeCell ref="A173:Q173"/>
    <mergeCell ref="A267:Q267"/>
    <mergeCell ref="A268:Q268"/>
    <mergeCell ref="A269:Q269"/>
    <mergeCell ref="A270:Q270"/>
    <mergeCell ref="A271:Q271"/>
    <mergeCell ref="A276:Q276"/>
    <mergeCell ref="A1:Q1"/>
    <mergeCell ref="A2:Q2"/>
    <mergeCell ref="A3:Q3"/>
    <mergeCell ref="A4:Q4"/>
    <mergeCell ref="A5:Q5"/>
    <mergeCell ref="A10:Q10"/>
    <mergeCell ref="A377:Q377"/>
    <mergeCell ref="A378:Q378"/>
    <mergeCell ref="A379:Q379"/>
    <mergeCell ref="A112:Q112"/>
    <mergeCell ref="A113:Q113"/>
    <mergeCell ref="A118:Q118"/>
    <mergeCell ref="A205:Q205"/>
    <mergeCell ref="A206:Q206"/>
    <mergeCell ref="A207:Q207"/>
    <mergeCell ref="A208:Q208"/>
    <mergeCell ref="A209:Q209"/>
    <mergeCell ref="A214:Q214"/>
    <mergeCell ref="A47:Q47"/>
    <mergeCell ref="A48:Q48"/>
    <mergeCell ref="A49:Q49"/>
    <mergeCell ref="A50:Q50"/>
    <mergeCell ref="A51:Q51"/>
    <mergeCell ref="A56:Q56"/>
    <mergeCell ref="A438:Q438"/>
    <mergeCell ref="A439:Q439"/>
    <mergeCell ref="A440:Q440"/>
    <mergeCell ref="A441:Q441"/>
    <mergeCell ref="A442:Q442"/>
    <mergeCell ref="A447:Q447"/>
    <mergeCell ref="A380:Q380"/>
    <mergeCell ref="A381:Q381"/>
    <mergeCell ref="A386:Q386"/>
    <mergeCell ref="A574:Q574"/>
    <mergeCell ref="A575:Q575"/>
    <mergeCell ref="A576:Q576"/>
    <mergeCell ref="A577:Q577"/>
    <mergeCell ref="A578:Q578"/>
    <mergeCell ref="A583:Q583"/>
    <mergeCell ref="A507:Q507"/>
    <mergeCell ref="A508:Q508"/>
    <mergeCell ref="A509:Q509"/>
    <mergeCell ref="A510:Q510"/>
    <mergeCell ref="A511:Q511"/>
    <mergeCell ref="A516:Q516"/>
    <mergeCell ref="A629:Q629"/>
    <mergeCell ref="A630:Q630"/>
    <mergeCell ref="A631:Q631"/>
    <mergeCell ref="A632:Q632"/>
    <mergeCell ref="A633:Q633"/>
    <mergeCell ref="A638:Q638"/>
    <mergeCell ref="A680:Q680"/>
    <mergeCell ref="A681:Q681"/>
    <mergeCell ref="A682:Q682"/>
    <mergeCell ref="A683:Q683"/>
    <mergeCell ref="A684:Q684"/>
    <mergeCell ref="A689:Q689"/>
    <mergeCell ref="A730:Q730"/>
    <mergeCell ref="A731:Q731"/>
    <mergeCell ref="A732:Q732"/>
    <mergeCell ref="A733:Q733"/>
    <mergeCell ref="A734:Q734"/>
    <mergeCell ref="A739:Q739"/>
    <mergeCell ref="A799:Q799"/>
    <mergeCell ref="A800:Q800"/>
    <mergeCell ref="A801:Q801"/>
    <mergeCell ref="A802:Q802"/>
    <mergeCell ref="A803:Q803"/>
    <mergeCell ref="A808:Q808"/>
    <mergeCell ref="A870:Q870"/>
    <mergeCell ref="A871:Q871"/>
    <mergeCell ref="A872:Q872"/>
    <mergeCell ref="A873:Q873"/>
    <mergeCell ref="A874:Q874"/>
    <mergeCell ref="A879:Q879"/>
    <mergeCell ref="A914:Q914"/>
    <mergeCell ref="A915:Q915"/>
    <mergeCell ref="A916:Q916"/>
    <mergeCell ref="A980:Q980"/>
    <mergeCell ref="A981:Q981"/>
    <mergeCell ref="A982:Q982"/>
    <mergeCell ref="A983:Q983"/>
    <mergeCell ref="A984:Q984"/>
    <mergeCell ref="A989:Q989"/>
    <mergeCell ref="A917:Q917"/>
    <mergeCell ref="A918:Q918"/>
    <mergeCell ref="A923:Q923"/>
    <mergeCell ref="A1184:Q1184"/>
    <mergeCell ref="A1185:Q1185"/>
    <mergeCell ref="A1190:Q1190"/>
    <mergeCell ref="A1181:Q1181"/>
    <mergeCell ref="A1182:Q1182"/>
    <mergeCell ref="A1183:Q1183"/>
    <mergeCell ref="A1123:Q1123"/>
    <mergeCell ref="A1124:Q1124"/>
    <mergeCell ref="A1125:Q1125"/>
    <mergeCell ref="A1126:Q1126"/>
    <mergeCell ref="A1127:Q1127"/>
    <mergeCell ref="A1132:Q1132"/>
    <mergeCell ref="A1053:Q1053"/>
    <mergeCell ref="A1054:Q1054"/>
    <mergeCell ref="A1055:Q1055"/>
    <mergeCell ref="A1056:Q1056"/>
    <mergeCell ref="A1057:Q1057"/>
    <mergeCell ref="A1062:Q1062"/>
  </mergeCells>
  <printOptions horizontalCentered="1"/>
  <pageMargins left="0.5" right="0.25" top="0.5" bottom="0.25" header="0.25" footer="0.5"/>
  <pageSetup scale="68" orientation="landscape" r:id="rId1"/>
  <headerFooter alignWithMargins="0">
    <oddHeader>&amp;RKY PSC Case No. 2016-00162
Attachment B to PSC 2-65</oddHeader>
  </headerFooter>
  <rowBreaks count="20" manualBreakCount="20">
    <brk id="46" max="17" man="1"/>
    <brk id="108" max="16383" man="1"/>
    <brk id="163" max="16383" man="1"/>
    <brk id="204" max="16383" man="1"/>
    <brk id="266" max="16383" man="1"/>
    <brk id="329" max="16383" man="1"/>
    <brk id="376" max="16383" man="1"/>
    <brk id="437" max="16383" man="1"/>
    <brk id="506" max="16383" man="1"/>
    <brk id="573" max="16383" man="1"/>
    <brk id="628" max="16383" man="1"/>
    <brk id="679" max="16383" man="1"/>
    <brk id="729" max="16383" man="1"/>
    <brk id="798" max="16383" man="1"/>
    <brk id="869" max="16383" man="1"/>
    <brk id="913" max="16383" man="1"/>
    <brk id="979" max="16383" man="1"/>
    <brk id="1052" max="16383" man="1"/>
    <brk id="1122" max="16383" man="1"/>
    <brk id="118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Y286"/>
  <sheetViews>
    <sheetView topLeftCell="A46" zoomScaleNormal="100" workbookViewId="0">
      <selection activeCell="C56" sqref="C56"/>
    </sheetView>
  </sheetViews>
  <sheetFormatPr defaultColWidth="9.6640625" defaultRowHeight="10.199999999999999" x14ac:dyDescent="0.2"/>
  <cols>
    <col min="1" max="1" width="5.33203125" style="221" customWidth="1"/>
    <col min="2" max="2" width="6.83203125" style="221" bestFit="1" customWidth="1"/>
    <col min="3" max="3" width="69.1640625" style="221" customWidth="1"/>
    <col min="4" max="5" width="15.6640625" style="221" bestFit="1" customWidth="1"/>
    <col min="6" max="6" width="19.1640625" style="221" bestFit="1" customWidth="1"/>
    <col min="7" max="7" width="15.6640625" style="221" bestFit="1" customWidth="1"/>
    <col min="8" max="8" width="15" style="221" bestFit="1" customWidth="1"/>
    <col min="9" max="9" width="15.83203125" style="221" customWidth="1"/>
    <col min="10" max="10" width="14" style="221" customWidth="1"/>
    <col min="11" max="11" width="14" style="221" bestFit="1" customWidth="1"/>
    <col min="12" max="12" width="27.1640625" style="221" bestFit="1" customWidth="1"/>
    <col min="13" max="13" width="15.6640625" style="221" customWidth="1"/>
    <col min="14" max="14" width="17.33203125" style="221" bestFit="1" customWidth="1"/>
    <col min="15" max="15" width="14" style="221" bestFit="1" customWidth="1"/>
    <col min="16" max="16384" width="9.6640625" style="221"/>
  </cols>
  <sheetData>
    <row r="1" spans="1:16" x14ac:dyDescent="0.2">
      <c r="A1" s="872" t="s">
        <v>36</v>
      </c>
      <c r="B1" s="872"/>
      <c r="C1" s="872"/>
      <c r="D1" s="872"/>
      <c r="E1" s="872"/>
      <c r="F1" s="872"/>
      <c r="G1" s="872"/>
      <c r="H1" s="872"/>
      <c r="I1" s="413"/>
      <c r="J1" s="222" t="s">
        <v>458</v>
      </c>
    </row>
    <row r="2" spans="1:16" x14ac:dyDescent="0.2">
      <c r="A2" s="893" t="s">
        <v>431</v>
      </c>
      <c r="B2" s="893"/>
      <c r="C2" s="893"/>
      <c r="D2" s="893"/>
      <c r="E2" s="893"/>
      <c r="F2" s="893"/>
      <c r="G2" s="893"/>
      <c r="H2" s="893"/>
      <c r="I2" s="414"/>
      <c r="J2" s="222" t="s">
        <v>638</v>
      </c>
    </row>
    <row r="3" spans="1:16" x14ac:dyDescent="0.2">
      <c r="A3" s="872" t="str">
        <f>A!A3</f>
        <v>For the 12 Months Ended December 31, 2017</v>
      </c>
      <c r="B3" s="872"/>
      <c r="C3" s="872"/>
      <c r="D3" s="872"/>
      <c r="E3" s="872"/>
      <c r="F3" s="872"/>
      <c r="G3" s="872"/>
      <c r="H3" s="872"/>
      <c r="I3" s="413"/>
      <c r="J3" s="223" t="s">
        <v>459</v>
      </c>
    </row>
    <row r="4" spans="1:16" x14ac:dyDescent="0.2">
      <c r="I4" s="224"/>
      <c r="J4" s="224"/>
    </row>
    <row r="5" spans="1:16" x14ac:dyDescent="0.2">
      <c r="C5" s="225"/>
      <c r="F5" s="226" t="s">
        <v>145</v>
      </c>
      <c r="G5" s="226" t="s">
        <v>30</v>
      </c>
      <c r="H5" s="226" t="s">
        <v>9</v>
      </c>
      <c r="I5" s="413" t="s">
        <v>30</v>
      </c>
      <c r="J5" s="747" t="s">
        <v>30</v>
      </c>
      <c r="L5" s="413"/>
      <c r="M5" s="413"/>
    </row>
    <row r="6" spans="1:16" x14ac:dyDescent="0.2">
      <c r="A6" s="226" t="s">
        <v>1</v>
      </c>
      <c r="B6" s="226"/>
      <c r="C6" s="225"/>
      <c r="D6" s="226" t="s">
        <v>5</v>
      </c>
      <c r="E6" s="226" t="s">
        <v>5</v>
      </c>
      <c r="F6" s="226" t="s">
        <v>47</v>
      </c>
      <c r="G6" s="226" t="s">
        <v>433</v>
      </c>
      <c r="H6" s="226" t="s">
        <v>30</v>
      </c>
      <c r="I6" s="227" t="s">
        <v>147</v>
      </c>
      <c r="J6" s="747" t="s">
        <v>542</v>
      </c>
      <c r="L6" s="227"/>
      <c r="M6" s="227"/>
    </row>
    <row r="7" spans="1:16" x14ac:dyDescent="0.2">
      <c r="A7" s="228" t="s">
        <v>3</v>
      </c>
      <c r="B7" s="228"/>
      <c r="C7" s="229" t="s">
        <v>4</v>
      </c>
      <c r="D7" s="228" t="s">
        <v>25</v>
      </c>
      <c r="E7" s="228" t="s">
        <v>26</v>
      </c>
      <c r="F7" s="229" t="s">
        <v>48</v>
      </c>
      <c r="G7" s="229" t="s">
        <v>147</v>
      </c>
      <c r="H7" s="229" t="s">
        <v>20</v>
      </c>
      <c r="I7" s="230" t="s">
        <v>434</v>
      </c>
      <c r="J7" s="285" t="s">
        <v>543</v>
      </c>
      <c r="L7" s="230"/>
      <c r="M7" s="230"/>
    </row>
    <row r="8" spans="1:16" x14ac:dyDescent="0.2">
      <c r="C8" s="225"/>
      <c r="D8" s="226" t="s">
        <v>6</v>
      </c>
      <c r="E8" s="231" t="s">
        <v>7</v>
      </c>
      <c r="F8" s="231" t="s">
        <v>21</v>
      </c>
      <c r="G8" s="231" t="s">
        <v>8</v>
      </c>
      <c r="H8" s="231" t="s">
        <v>435</v>
      </c>
      <c r="I8" s="232" t="s">
        <v>403</v>
      </c>
      <c r="J8" s="749" t="s">
        <v>436</v>
      </c>
      <c r="L8" s="232"/>
      <c r="M8" s="232"/>
    </row>
    <row r="9" spans="1:16" x14ac:dyDescent="0.2">
      <c r="D9" s="226"/>
      <c r="E9" s="226" t="s">
        <v>22</v>
      </c>
      <c r="F9" s="226" t="s">
        <v>24</v>
      </c>
      <c r="G9" s="226" t="s">
        <v>24</v>
      </c>
      <c r="H9" s="226" t="s">
        <v>24</v>
      </c>
      <c r="I9" s="413" t="s">
        <v>148</v>
      </c>
      <c r="L9" s="413"/>
      <c r="M9" s="413"/>
    </row>
    <row r="10" spans="1:16" x14ac:dyDescent="0.2">
      <c r="D10" s="231" t="s">
        <v>461</v>
      </c>
      <c r="E10" s="231" t="s">
        <v>462</v>
      </c>
      <c r="F10" s="865" t="s">
        <v>649</v>
      </c>
      <c r="G10" s="231"/>
      <c r="H10" s="231" t="s">
        <v>464</v>
      </c>
      <c r="I10" s="413"/>
      <c r="L10" s="413"/>
      <c r="M10" s="226"/>
      <c r="P10" s="233"/>
    </row>
    <row r="11" spans="1:16" x14ac:dyDescent="0.2">
      <c r="A11" s="233">
        <v>1</v>
      </c>
      <c r="C11" s="225" t="s">
        <v>437</v>
      </c>
      <c r="I11" s="224"/>
      <c r="L11" s="224"/>
      <c r="N11" s="234"/>
      <c r="O11" s="234"/>
      <c r="P11" s="234"/>
    </row>
    <row r="12" spans="1:16" x14ac:dyDescent="0.2">
      <c r="A12" s="233"/>
      <c r="I12" s="224"/>
      <c r="L12" s="224"/>
      <c r="N12" s="235"/>
    </row>
    <row r="13" spans="1:16" x14ac:dyDescent="0.2">
      <c r="A13" s="233">
        <f>A11+1</f>
        <v>2</v>
      </c>
      <c r="C13" s="221" t="s">
        <v>159</v>
      </c>
      <c r="D13" s="236">
        <f>B!P17+B!P164</f>
        <v>1462612</v>
      </c>
      <c r="E13" s="409">
        <f>'C'!P186+'C'!P17</f>
        <v>7955080.5000000009</v>
      </c>
      <c r="F13" s="412">
        <f>'Sch M 2.2'!$Q70+'Sch M 2.2'!$Q232+'Sch M 2.1'!F19</f>
        <v>58710247.770000011</v>
      </c>
      <c r="G13" s="239">
        <f t="shared" ref="G13:G32" si="0">H13-F13</f>
        <v>16386249.799999997</v>
      </c>
      <c r="H13" s="238">
        <f>'Sch M 2.3'!$Q69+'Sch M 2.3'!$Q227</f>
        <v>75096497.570000008</v>
      </c>
      <c r="I13" s="240">
        <f>IF(F13=0,0,ROUND(G13/F13,4))</f>
        <v>0.27910000000000001</v>
      </c>
      <c r="J13" s="240">
        <f>ROUND((G13+G22+G25+G26+G18+G19+G20+G23)/(F13+F22+F25+F26+F18+F19+F20+F23),4)</f>
        <v>0.27900000000000003</v>
      </c>
      <c r="L13" s="244"/>
      <c r="M13" s="240"/>
      <c r="N13" s="241"/>
      <c r="O13" s="242"/>
      <c r="P13" s="242"/>
    </row>
    <row r="14" spans="1:16" x14ac:dyDescent="0.2">
      <c r="A14" s="233">
        <f>A13+1</f>
        <v>3</v>
      </c>
      <c r="C14" s="221" t="s">
        <v>173</v>
      </c>
      <c r="D14" s="236">
        <f>B!P81+B!P87+B!P170+B!P176+B!P194+B!P200</f>
        <v>167676</v>
      </c>
      <c r="E14" s="409">
        <f>'C'!P96+'C'!P129+'C'!P206+'C'!P239+'C'!P300+'C'!P320</f>
        <v>5748554.7000000011</v>
      </c>
      <c r="F14" s="291">
        <f>'Sch M 2.2'!$Q162+'Sch M 2.2'!$Q190+'Sch M 2.2'!$Q239+'Sch M 2.2'!$Q246+'Sch M 2.2'!$Q267+'Sch M 2.2'!$Q294+'Sch M 2.1'!F29+'Sch M 2.1'!F30</f>
        <v>26463105.739999995</v>
      </c>
      <c r="G14" s="239">
        <f t="shared" si="0"/>
        <v>6791443.3900000006</v>
      </c>
      <c r="H14" s="236">
        <f>'Sch M 2.3'!$Q159+'Sch M 2.3'!$Q186+'Sch M 2.3'!$Q234+'Sch M 2.3'!$Q241+'Sch M 2.3'!$Q262+'Sch M 2.3'!$Q290</f>
        <v>33254549.129999995</v>
      </c>
      <c r="I14" s="240">
        <f t="shared" ref="I14:I32" si="1">IF(F14=0,0,ROUND(G14/F14,4))</f>
        <v>0.25659999999999999</v>
      </c>
      <c r="J14" s="240">
        <f>ROUND((G14+G21+G24)/(F14+F21+F24),4)</f>
        <v>0.25650000000000001</v>
      </c>
      <c r="L14" s="244"/>
      <c r="M14" s="240"/>
      <c r="N14" s="241"/>
      <c r="O14" s="242"/>
      <c r="P14" s="242"/>
    </row>
    <row r="15" spans="1:16" x14ac:dyDescent="0.2">
      <c r="A15" s="233">
        <f>A14+1</f>
        <v>4</v>
      </c>
      <c r="C15" s="224" t="s">
        <v>191</v>
      </c>
      <c r="D15" s="236">
        <f>B!P182+B!P188+B!P252</f>
        <v>896</v>
      </c>
      <c r="E15" s="409">
        <f>'C'!P253+'C'!P267+'C'!P381</f>
        <v>6897867.4000000004</v>
      </c>
      <c r="F15" s="291">
        <f>'Sch M 2.2'!$Q253+'Sch M 2.2'!$Q260+'Sch M 2.2'!$Q356</f>
        <v>4621275.5</v>
      </c>
      <c r="G15" s="239">
        <f t="shared" si="0"/>
        <v>2090526.0499999989</v>
      </c>
      <c r="H15" s="236">
        <f>'Sch M 2.3'!$Q248+'Sch M 2.3'!$Q255+'Sch M 2.3'!$Q352</f>
        <v>6711801.5499999989</v>
      </c>
      <c r="I15" s="240">
        <f t="shared" si="1"/>
        <v>0.45240000000000002</v>
      </c>
      <c r="J15" s="240">
        <f>ROUND((G15+G16+G28+G29+G31+G32)/(F15+F16+F28+F29+F31+F32),4)</f>
        <v>0.36309999999999998</v>
      </c>
      <c r="L15" s="244"/>
      <c r="M15" s="240"/>
      <c r="N15" s="241"/>
      <c r="O15" s="242"/>
      <c r="P15" s="242"/>
    </row>
    <row r="16" spans="1:16" x14ac:dyDescent="0.2">
      <c r="A16" s="233">
        <f>A15+1</f>
        <v>5</v>
      </c>
      <c r="C16" s="224" t="s">
        <v>291</v>
      </c>
      <c r="D16" s="236">
        <f>B!P93</f>
        <v>0</v>
      </c>
      <c r="E16" s="409">
        <f>'C'!P135</f>
        <v>0</v>
      </c>
      <c r="F16" s="291">
        <f>'Sch M 2.2'!$Q197+'Sch M 2.1'!F31</f>
        <v>0</v>
      </c>
      <c r="G16" s="239">
        <f t="shared" si="0"/>
        <v>0</v>
      </c>
      <c r="H16" s="236">
        <f>'Sch M 2.3'!$Q193</f>
        <v>0</v>
      </c>
      <c r="I16" s="240">
        <f t="shared" si="1"/>
        <v>0</v>
      </c>
      <c r="J16" s="767">
        <f>J15</f>
        <v>0.36309999999999998</v>
      </c>
      <c r="L16" s="244"/>
      <c r="M16" s="240"/>
      <c r="N16" s="241"/>
      <c r="O16" s="242"/>
      <c r="P16" s="242"/>
    </row>
    <row r="17" spans="1:16" x14ac:dyDescent="0.2">
      <c r="A17" s="233">
        <f>A16+1</f>
        <v>6</v>
      </c>
      <c r="C17" s="224" t="s">
        <v>92</v>
      </c>
      <c r="D17" s="245">
        <f>B!P99</f>
        <v>24</v>
      </c>
      <c r="E17" s="410">
        <f>'C'!P140</f>
        <v>11320.699999999999</v>
      </c>
      <c r="F17" s="411">
        <f>'Sch M 2.2'!$Q204+'Sch M 2.1'!F32</f>
        <v>47824.330000000009</v>
      </c>
      <c r="G17" s="239">
        <f t="shared" si="0"/>
        <v>8105.43</v>
      </c>
      <c r="H17" s="245">
        <f>'Sch M 2.3'!$Q200</f>
        <v>55929.760000000009</v>
      </c>
      <c r="I17" s="240">
        <f t="shared" si="1"/>
        <v>0.16950000000000001</v>
      </c>
      <c r="J17" s="240">
        <f>ROUND(G17/F17,4)</f>
        <v>0.16950000000000001</v>
      </c>
      <c r="L17" s="244"/>
      <c r="M17" s="240"/>
      <c r="N17" s="241"/>
      <c r="O17" s="242"/>
      <c r="P17" s="242"/>
    </row>
    <row r="18" spans="1:16" x14ac:dyDescent="0.2">
      <c r="A18" s="233">
        <f>A17+1</f>
        <v>7</v>
      </c>
      <c r="C18" s="224" t="s">
        <v>544</v>
      </c>
      <c r="D18" s="245">
        <f>B!P32</f>
        <v>108</v>
      </c>
      <c r="E18" s="410">
        <f>'C'!P32</f>
        <v>990.2</v>
      </c>
      <c r="F18" s="411">
        <f>'Sch M 2.2'!$Q91</f>
        <v>396.08</v>
      </c>
      <c r="G18" s="239">
        <f t="shared" si="0"/>
        <v>0</v>
      </c>
      <c r="H18" s="245">
        <f>'Sch M 2.3'!$Q90</f>
        <v>396.08</v>
      </c>
      <c r="I18" s="240">
        <f t="shared" si="1"/>
        <v>0</v>
      </c>
      <c r="J18" s="767">
        <f>J13</f>
        <v>0.27900000000000003</v>
      </c>
      <c r="L18" s="244"/>
      <c r="M18" s="240"/>
      <c r="N18" s="241"/>
      <c r="O18" s="242"/>
      <c r="P18" s="242"/>
    </row>
    <row r="19" spans="1:16" x14ac:dyDescent="0.2">
      <c r="A19" s="233">
        <f t="shared" ref="A19:A31" si="2">A18+1</f>
        <v>8</v>
      </c>
      <c r="C19" s="224" t="s">
        <v>84</v>
      </c>
      <c r="D19" s="245">
        <f>B!P37</f>
        <v>0</v>
      </c>
      <c r="E19" s="410">
        <f>'C'!P37</f>
        <v>0</v>
      </c>
      <c r="F19" s="411">
        <f>'Sch M 2.2'!$Q98</f>
        <v>0</v>
      </c>
      <c r="G19" s="239">
        <f t="shared" si="0"/>
        <v>0</v>
      </c>
      <c r="H19" s="245">
        <f>'Sch M 2.3'!$Q97</f>
        <v>0</v>
      </c>
      <c r="I19" s="240">
        <f t="shared" si="1"/>
        <v>0</v>
      </c>
      <c r="J19" s="767">
        <f>J13</f>
        <v>0.27900000000000003</v>
      </c>
      <c r="L19" s="244"/>
      <c r="M19" s="240"/>
      <c r="N19" s="241"/>
      <c r="O19" s="242"/>
      <c r="P19" s="242"/>
    </row>
    <row r="20" spans="1:16" x14ac:dyDescent="0.2">
      <c r="A20" s="233">
        <f t="shared" si="2"/>
        <v>9</v>
      </c>
      <c r="C20" s="224" t="s">
        <v>85</v>
      </c>
      <c r="D20" s="245">
        <f>B!P42</f>
        <v>36</v>
      </c>
      <c r="E20" s="410">
        <f>'C'!P42</f>
        <v>333.60000000000008</v>
      </c>
      <c r="F20" s="411">
        <f>'Sch M 2.2'!$Q105</f>
        <v>200.16</v>
      </c>
      <c r="G20" s="239">
        <f t="shared" si="0"/>
        <v>0</v>
      </c>
      <c r="H20" s="245">
        <f>'Sch M 2.3'!$Q104</f>
        <v>200.16</v>
      </c>
      <c r="I20" s="240">
        <f t="shared" si="1"/>
        <v>0</v>
      </c>
      <c r="J20" s="767">
        <f>J13</f>
        <v>0.27900000000000003</v>
      </c>
      <c r="L20" s="244"/>
      <c r="M20" s="240"/>
      <c r="N20" s="241"/>
      <c r="O20" s="242"/>
      <c r="P20" s="242"/>
    </row>
    <row r="21" spans="1:16" x14ac:dyDescent="0.2">
      <c r="A21" s="233">
        <f t="shared" si="2"/>
        <v>10</v>
      </c>
      <c r="C21" s="224" t="s">
        <v>77</v>
      </c>
      <c r="D21" s="245">
        <f>B!P22</f>
        <v>41</v>
      </c>
      <c r="E21" s="410">
        <f>'C'!P22</f>
        <v>1697.8</v>
      </c>
      <c r="F21" s="411">
        <f>'Sch M 2.2'!$Q77</f>
        <v>9744.43</v>
      </c>
      <c r="G21" s="239">
        <f t="shared" si="0"/>
        <v>0</v>
      </c>
      <c r="H21" s="245">
        <f>'Sch M 2.3'!$Q76</f>
        <v>9744.43</v>
      </c>
      <c r="I21" s="240">
        <f t="shared" si="1"/>
        <v>0</v>
      </c>
      <c r="J21" s="767">
        <f>J14</f>
        <v>0.25650000000000001</v>
      </c>
      <c r="L21" s="244"/>
      <c r="M21" s="240"/>
      <c r="N21" s="235"/>
      <c r="O21" s="242"/>
    </row>
    <row r="22" spans="1:16" x14ac:dyDescent="0.2">
      <c r="A22" s="233">
        <f t="shared" si="2"/>
        <v>11</v>
      </c>
      <c r="C22" s="224" t="s">
        <v>79</v>
      </c>
      <c r="D22" s="245">
        <f>B!P27</f>
        <v>192</v>
      </c>
      <c r="E22" s="410">
        <f>'C'!P27</f>
        <v>2018.8999999999999</v>
      </c>
      <c r="F22" s="411">
        <f>'Sch M 2.2'!$Q84</f>
        <v>13751.73</v>
      </c>
      <c r="G22" s="239">
        <f t="shared" si="0"/>
        <v>0</v>
      </c>
      <c r="H22" s="245">
        <f>'Sch M 2.3'!$Q83</f>
        <v>13751.73</v>
      </c>
      <c r="I22" s="240">
        <f t="shared" si="1"/>
        <v>0</v>
      </c>
      <c r="J22" s="767">
        <f>J13</f>
        <v>0.27900000000000003</v>
      </c>
      <c r="L22" s="244"/>
      <c r="M22" s="240"/>
      <c r="N22" s="235"/>
      <c r="O22" s="242"/>
    </row>
    <row r="23" spans="1:16" x14ac:dyDescent="0.2">
      <c r="A23" s="233">
        <f t="shared" si="2"/>
        <v>12</v>
      </c>
      <c r="C23" s="224" t="s">
        <v>153</v>
      </c>
      <c r="D23" s="245">
        <f>B!P47</f>
        <v>12</v>
      </c>
      <c r="E23" s="410">
        <f>'C'!P47</f>
        <v>605.19999999999993</v>
      </c>
      <c r="F23" s="411">
        <f>'Sch M 2.2'!$Q134</f>
        <v>211.84000000000003</v>
      </c>
      <c r="G23" s="239">
        <f t="shared" si="0"/>
        <v>0</v>
      </c>
      <c r="H23" s="245">
        <f>'Sch M 2.3'!$Q131</f>
        <v>211.84000000000003</v>
      </c>
      <c r="I23" s="240">
        <f t="shared" si="1"/>
        <v>0</v>
      </c>
      <c r="J23" s="767">
        <f>J13</f>
        <v>0.27900000000000003</v>
      </c>
      <c r="L23" s="244"/>
      <c r="M23" s="240"/>
      <c r="N23" s="235"/>
      <c r="O23" s="242"/>
    </row>
    <row r="24" spans="1:16" x14ac:dyDescent="0.2">
      <c r="A24" s="233">
        <f t="shared" si="2"/>
        <v>13</v>
      </c>
      <c r="C24" s="224" t="s">
        <v>154</v>
      </c>
      <c r="D24" s="245">
        <f>B!P52</f>
        <v>12</v>
      </c>
      <c r="E24" s="410">
        <f>'C'!P52</f>
        <v>710.9</v>
      </c>
      <c r="F24" s="411">
        <f>'Sch M 2.2'!$Q141</f>
        <v>248.84000000000003</v>
      </c>
      <c r="G24" s="239">
        <f t="shared" si="0"/>
        <v>0</v>
      </c>
      <c r="H24" s="245">
        <f>'Sch M 2.3'!$Q138</f>
        <v>248.84000000000003</v>
      </c>
      <c r="I24" s="240">
        <f t="shared" si="1"/>
        <v>0</v>
      </c>
      <c r="J24" s="767">
        <f>J14</f>
        <v>0.25650000000000001</v>
      </c>
      <c r="L24" s="244"/>
      <c r="M24" s="240"/>
      <c r="N24" s="235"/>
      <c r="O24" s="242"/>
    </row>
    <row r="25" spans="1:16" x14ac:dyDescent="0.2">
      <c r="A25" s="233">
        <f t="shared" si="2"/>
        <v>14</v>
      </c>
      <c r="C25" s="224" t="s">
        <v>155</v>
      </c>
      <c r="D25" s="245">
        <f>B!P70</f>
        <v>12</v>
      </c>
      <c r="E25" s="410">
        <f>'C'!P71</f>
        <v>714.1</v>
      </c>
      <c r="F25" s="411">
        <f>'Sch M 2.2'!$Q148</f>
        <v>255.82</v>
      </c>
      <c r="G25" s="239">
        <f t="shared" si="0"/>
        <v>0</v>
      </c>
      <c r="H25" s="245">
        <f>'Sch M 2.3'!$Q145</f>
        <v>255.82</v>
      </c>
      <c r="I25" s="240">
        <f t="shared" si="1"/>
        <v>0</v>
      </c>
      <c r="J25" s="767">
        <f>J13</f>
        <v>0.27900000000000003</v>
      </c>
      <c r="L25" s="244"/>
      <c r="M25" s="240"/>
      <c r="N25" s="235"/>
      <c r="O25" s="242"/>
    </row>
    <row r="26" spans="1:16" x14ac:dyDescent="0.2">
      <c r="A26" s="233">
        <f t="shared" si="2"/>
        <v>15</v>
      </c>
      <c r="C26" s="224" t="s">
        <v>156</v>
      </c>
      <c r="D26" s="245">
        <f>B!P75</f>
        <v>12</v>
      </c>
      <c r="E26" s="410">
        <f>'C'!P76</f>
        <v>257.59999999999997</v>
      </c>
      <c r="F26" s="411">
        <f>'Sch M 2.2'!$Q155</f>
        <v>103.04000000000002</v>
      </c>
      <c r="G26" s="239">
        <f t="shared" si="0"/>
        <v>0</v>
      </c>
      <c r="H26" s="245">
        <f>'Sch M 2.3'!$Q152</f>
        <v>103.04000000000002</v>
      </c>
      <c r="I26" s="240">
        <f t="shared" si="1"/>
        <v>0</v>
      </c>
      <c r="J26" s="767">
        <f>J13</f>
        <v>0.27900000000000003</v>
      </c>
      <c r="L26" s="244"/>
      <c r="M26" s="240"/>
      <c r="N26" s="235"/>
      <c r="O26" s="242"/>
    </row>
    <row r="27" spans="1:16" x14ac:dyDescent="0.2">
      <c r="A27" s="233">
        <f t="shared" si="2"/>
        <v>16</v>
      </c>
      <c r="C27" s="224" t="s">
        <v>73</v>
      </c>
      <c r="D27" s="245">
        <f>B!P222</f>
        <v>36</v>
      </c>
      <c r="E27" s="410">
        <f>'C'!P325</f>
        <v>680981</v>
      </c>
      <c r="F27" s="245">
        <f>'Sch M 2.2'!$Q301</f>
        <v>67640.579999999987</v>
      </c>
      <c r="G27" s="239">
        <f t="shared" si="0"/>
        <v>0</v>
      </c>
      <c r="H27" s="245">
        <f>'Sch M 2.3'!$Q297</f>
        <v>67640.579999999987</v>
      </c>
      <c r="I27" s="240">
        <f t="shared" si="1"/>
        <v>0</v>
      </c>
      <c r="J27" s="240">
        <f>ROUND((G27+G30)/(F27+F30),4)</f>
        <v>0</v>
      </c>
      <c r="L27" s="244"/>
      <c r="M27" s="240"/>
      <c r="N27" s="235"/>
      <c r="O27" s="242"/>
    </row>
    <row r="28" spans="1:16" x14ac:dyDescent="0.2">
      <c r="A28" s="233">
        <f t="shared" si="2"/>
        <v>17</v>
      </c>
      <c r="C28" s="221" t="s">
        <v>98</v>
      </c>
      <c r="D28" s="245">
        <f>B!P228</f>
        <v>12</v>
      </c>
      <c r="E28" s="410">
        <f>'C'!P330</f>
        <v>541812</v>
      </c>
      <c r="F28" s="245">
        <f>'Sch M 2.2'!$Q308</f>
        <v>224062.07999999999</v>
      </c>
      <c r="G28" s="239">
        <f t="shared" si="0"/>
        <v>0</v>
      </c>
      <c r="H28" s="245">
        <f>'Sch M 2.3'!$Q304</f>
        <v>224062.07999999999</v>
      </c>
      <c r="I28" s="240">
        <f t="shared" si="1"/>
        <v>0</v>
      </c>
      <c r="J28" s="767">
        <f>J15</f>
        <v>0.36309999999999998</v>
      </c>
      <c r="L28" s="244"/>
      <c r="M28" s="240"/>
      <c r="N28" s="235"/>
      <c r="O28" s="242"/>
    </row>
    <row r="29" spans="1:16" x14ac:dyDescent="0.2">
      <c r="A29" s="233">
        <f t="shared" si="2"/>
        <v>18</v>
      </c>
      <c r="C29" s="221" t="s">
        <v>99</v>
      </c>
      <c r="D29" s="245">
        <f>B!P234</f>
        <v>12</v>
      </c>
      <c r="E29" s="410">
        <f>'C'!P348</f>
        <v>533988</v>
      </c>
      <c r="F29" s="245">
        <f>'Sch M 2.2'!$Q315</f>
        <v>221010.72000000003</v>
      </c>
      <c r="G29" s="239">
        <f t="shared" si="0"/>
        <v>0</v>
      </c>
      <c r="H29" s="245">
        <f>'Sch M 2.3'!$Q311</f>
        <v>221010.72000000003</v>
      </c>
      <c r="I29" s="240">
        <f t="shared" si="1"/>
        <v>0</v>
      </c>
      <c r="J29" s="767">
        <f>J15</f>
        <v>0.36309999999999998</v>
      </c>
      <c r="L29" s="244"/>
      <c r="M29" s="240"/>
      <c r="N29" s="235"/>
      <c r="O29" s="242"/>
    </row>
    <row r="30" spans="1:16" x14ac:dyDescent="0.2">
      <c r="A30" s="233">
        <f t="shared" si="2"/>
        <v>19</v>
      </c>
      <c r="C30" s="221" t="s">
        <v>100</v>
      </c>
      <c r="D30" s="245">
        <f>B!P240</f>
        <v>36</v>
      </c>
      <c r="E30" s="410">
        <f>'C'!P353</f>
        <v>4689510</v>
      </c>
      <c r="F30" s="245">
        <f>'Sch M 2.2'!$Q322</f>
        <v>411572.36</v>
      </c>
      <c r="G30" s="239">
        <f t="shared" si="0"/>
        <v>0</v>
      </c>
      <c r="H30" s="245">
        <f>'Sch M 2.3'!$Q318</f>
        <v>411572.36</v>
      </c>
      <c r="I30" s="240">
        <f t="shared" si="1"/>
        <v>0</v>
      </c>
      <c r="J30" s="767">
        <f>J27</f>
        <v>0</v>
      </c>
      <c r="L30" s="244"/>
      <c r="M30" s="240"/>
      <c r="N30" s="235"/>
      <c r="O30" s="242"/>
    </row>
    <row r="31" spans="1:16" x14ac:dyDescent="0.2">
      <c r="A31" s="233">
        <f t="shared" si="2"/>
        <v>20</v>
      </c>
      <c r="C31" s="221" t="s">
        <v>138</v>
      </c>
      <c r="D31" s="245">
        <f>B!P246</f>
        <v>12</v>
      </c>
      <c r="E31" s="410">
        <f>'C'!P359</f>
        <v>410759</v>
      </c>
      <c r="F31" s="245">
        <f>'Sch M 2.2'!$Q329</f>
        <v>189660.33</v>
      </c>
      <c r="G31" s="239">
        <f t="shared" si="0"/>
        <v>0</v>
      </c>
      <c r="H31" s="245">
        <f>'Sch M 2.3'!$Q325</f>
        <v>189660.33</v>
      </c>
      <c r="I31" s="240">
        <f t="shared" si="1"/>
        <v>0</v>
      </c>
      <c r="J31" s="767">
        <f>J27</f>
        <v>0</v>
      </c>
      <c r="L31" s="244"/>
      <c r="M31" s="240"/>
      <c r="N31" s="235"/>
      <c r="O31" s="242"/>
    </row>
    <row r="32" spans="1:16" x14ac:dyDescent="0.2">
      <c r="A32" s="233">
        <f>A31+1</f>
        <v>21</v>
      </c>
      <c r="C32" s="221" t="s">
        <v>101</v>
      </c>
      <c r="D32" s="245">
        <f>B!P271</f>
        <v>12</v>
      </c>
      <c r="E32" s="410">
        <f>'C'!P395</f>
        <v>1710000</v>
      </c>
      <c r="F32" s="245">
        <f>'Sch M 2.2'!Q363</f>
        <v>500855.40000000008</v>
      </c>
      <c r="G32" s="239">
        <f t="shared" si="0"/>
        <v>0</v>
      </c>
      <c r="H32" s="245">
        <f>'Sch M 2.3'!$Q359</f>
        <v>500855.40000000008</v>
      </c>
      <c r="I32" s="240">
        <f t="shared" si="1"/>
        <v>0</v>
      </c>
      <c r="J32" s="767">
        <f>J15</f>
        <v>0.36309999999999998</v>
      </c>
      <c r="L32" s="240"/>
      <c r="M32" s="240"/>
      <c r="N32" s="235"/>
      <c r="O32" s="242"/>
    </row>
    <row r="33" spans="1:16" x14ac:dyDescent="0.2">
      <c r="A33" s="233"/>
      <c r="D33" s="245"/>
      <c r="E33" s="410"/>
      <c r="F33" s="245"/>
      <c r="G33" s="239"/>
      <c r="H33" s="245"/>
      <c r="I33" s="240"/>
      <c r="L33" s="240"/>
      <c r="M33" s="240"/>
      <c r="N33" s="235"/>
      <c r="O33" s="242"/>
    </row>
    <row r="34" spans="1:16" x14ac:dyDescent="0.2">
      <c r="A34" s="233">
        <f>A32+1</f>
        <v>22</v>
      </c>
      <c r="C34" s="225" t="s">
        <v>102</v>
      </c>
      <c r="D34" s="245"/>
      <c r="E34" s="246"/>
      <c r="F34" s="411"/>
      <c r="G34" s="239"/>
      <c r="H34" s="245"/>
      <c r="I34" s="240"/>
      <c r="L34" s="240"/>
      <c r="M34" s="240"/>
      <c r="N34" s="235"/>
      <c r="O34" s="242"/>
    </row>
    <row r="35" spans="1:16" x14ac:dyDescent="0.2">
      <c r="A35" s="233"/>
      <c r="D35" s="245"/>
      <c r="E35" s="246"/>
      <c r="F35" s="411"/>
      <c r="G35" s="239"/>
      <c r="H35" s="245"/>
      <c r="I35" s="240"/>
      <c r="L35" s="240"/>
      <c r="M35" s="240"/>
      <c r="N35" s="235"/>
      <c r="O35" s="242"/>
    </row>
    <row r="36" spans="1:16" x14ac:dyDescent="0.2">
      <c r="A36" s="233">
        <f>A34+1</f>
        <v>23</v>
      </c>
      <c r="C36" s="221" t="s">
        <v>533</v>
      </c>
      <c r="D36" s="245"/>
      <c r="E36" s="246"/>
      <c r="F36" s="411">
        <f>'Sch M 2.2'!Q369</f>
        <v>476000</v>
      </c>
      <c r="G36" s="239">
        <f t="shared" ref="G36:G40" si="3">H36-F36</f>
        <v>132048</v>
      </c>
      <c r="H36" s="245">
        <f>'Sch M 2.3'!Q365</f>
        <v>608048</v>
      </c>
      <c r="I36" s="240">
        <f t="shared" ref="I36:I40" si="4">IF(F36=0,0,ROUND(G36/F36,4))</f>
        <v>0.27739999999999998</v>
      </c>
      <c r="L36" s="240"/>
      <c r="M36" s="240"/>
      <c r="N36" s="235"/>
      <c r="O36" s="242"/>
    </row>
    <row r="37" spans="1:16" x14ac:dyDescent="0.2">
      <c r="A37" s="233">
        <f>A36+1</f>
        <v>24</v>
      </c>
      <c r="C37" s="221" t="s">
        <v>103</v>
      </c>
      <c r="D37" s="245"/>
      <c r="E37" s="246"/>
      <c r="F37" s="411">
        <f>'Sch M 2.2'!Q370</f>
        <v>137000</v>
      </c>
      <c r="G37" s="239">
        <f t="shared" si="3"/>
        <v>0</v>
      </c>
      <c r="H37" s="245">
        <f>'Sch M 2.3'!Q366</f>
        <v>137000</v>
      </c>
      <c r="I37" s="240">
        <f t="shared" si="4"/>
        <v>0</v>
      </c>
      <c r="L37" s="240"/>
      <c r="M37" s="240"/>
      <c r="N37" s="235"/>
      <c r="O37" s="242"/>
    </row>
    <row r="38" spans="1:16" x14ac:dyDescent="0.2">
      <c r="A38" s="233">
        <f t="shared" ref="A38:A40" si="5">A37+1</f>
        <v>25</v>
      </c>
      <c r="C38" s="221" t="s">
        <v>104</v>
      </c>
      <c r="D38" s="245"/>
      <c r="E38" s="246"/>
      <c r="F38" s="411">
        <f>'Sch M 2.2'!Q371</f>
        <v>72000</v>
      </c>
      <c r="G38" s="239">
        <f t="shared" si="3"/>
        <v>0</v>
      </c>
      <c r="H38" s="245">
        <f>'Sch M 2.3'!Q367</f>
        <v>72000</v>
      </c>
      <c r="I38" s="240">
        <f t="shared" si="4"/>
        <v>0</v>
      </c>
      <c r="L38" s="240"/>
      <c r="M38" s="240"/>
      <c r="N38" s="235"/>
      <c r="O38" s="242"/>
    </row>
    <row r="39" spans="1:16" x14ac:dyDescent="0.2">
      <c r="A39" s="233">
        <f t="shared" si="5"/>
        <v>26</v>
      </c>
      <c r="C39" s="221" t="s">
        <v>534</v>
      </c>
      <c r="D39" s="245"/>
      <c r="E39" s="246"/>
      <c r="F39" s="411">
        <f>'Sch M 2.2'!Q372</f>
        <v>0</v>
      </c>
      <c r="G39" s="239">
        <f t="shared" si="3"/>
        <v>0</v>
      </c>
      <c r="H39" s="245">
        <f>'Sch M 2.3'!Q368</f>
        <v>0</v>
      </c>
      <c r="I39" s="240">
        <f t="shared" si="4"/>
        <v>0</v>
      </c>
      <c r="L39" s="240"/>
      <c r="M39" s="240"/>
      <c r="N39" s="235"/>
      <c r="O39" s="242"/>
    </row>
    <row r="40" spans="1:16" x14ac:dyDescent="0.2">
      <c r="A40" s="233">
        <f t="shared" si="5"/>
        <v>27</v>
      </c>
      <c r="C40" s="221" t="s">
        <v>105</v>
      </c>
      <c r="D40" s="245"/>
      <c r="E40" s="246"/>
      <c r="F40" s="411">
        <f>'Sch M 2.2'!Q373</f>
        <v>515000</v>
      </c>
      <c r="G40" s="239">
        <f t="shared" si="3"/>
        <v>0</v>
      </c>
      <c r="H40" s="245">
        <f>'Sch M 2.3'!Q369</f>
        <v>515000</v>
      </c>
      <c r="I40" s="240">
        <f t="shared" si="4"/>
        <v>0</v>
      </c>
      <c r="L40" s="240"/>
      <c r="M40" s="240"/>
      <c r="N40" s="235"/>
      <c r="O40" s="242"/>
    </row>
    <row r="41" spans="1:16" x14ac:dyDescent="0.2">
      <c r="A41" s="233"/>
      <c r="D41" s="242"/>
      <c r="E41" s="247"/>
      <c r="G41" s="224"/>
      <c r="H41" s="224"/>
      <c r="I41" s="224"/>
      <c r="L41" s="224"/>
      <c r="M41" s="224"/>
      <c r="O41" s="242"/>
    </row>
    <row r="42" spans="1:16" ht="10.8" thickBot="1" x14ac:dyDescent="0.25">
      <c r="A42" s="233">
        <f>A40+1</f>
        <v>28</v>
      </c>
      <c r="C42" s="221" t="s">
        <v>437</v>
      </c>
      <c r="D42" s="310">
        <f>SUM(D13:D40)</f>
        <v>1631753</v>
      </c>
      <c r="E42" s="311">
        <f>SUM(E13:E40)</f>
        <v>29187201.600000001</v>
      </c>
      <c r="F42" s="310">
        <f>SUM(F13:F40)</f>
        <v>92682166.750000015</v>
      </c>
      <c r="G42" s="310">
        <f t="shared" ref="G42:H42" si="6">SUM(G13:G40)</f>
        <v>25408372.669999994</v>
      </c>
      <c r="H42" s="310">
        <f t="shared" si="6"/>
        <v>118090539.42000002</v>
      </c>
      <c r="I42" s="252">
        <f>ROUND(G42/F42,4)</f>
        <v>0.27410000000000001</v>
      </c>
      <c r="L42" s="255"/>
      <c r="M42" s="240"/>
      <c r="O42" s="242"/>
      <c r="P42" s="242"/>
    </row>
    <row r="43" spans="1:16" ht="10.8" thickTop="1" x14ac:dyDescent="0.2">
      <c r="A43" s="233"/>
      <c r="D43" s="253"/>
      <c r="E43" s="253"/>
      <c r="F43" s="254"/>
      <c r="G43" s="254"/>
      <c r="H43" s="254"/>
      <c r="I43" s="255"/>
      <c r="J43" s="255"/>
      <c r="K43" s="240"/>
      <c r="L43" s="240"/>
      <c r="M43" s="256"/>
      <c r="O43" s="242"/>
    </row>
    <row r="44" spans="1:16" x14ac:dyDescent="0.2">
      <c r="A44" s="872" t="str">
        <f>A1</f>
        <v>Columbia Gas of Kentucky, Inc.</v>
      </c>
      <c r="B44" s="872"/>
      <c r="C44" s="872"/>
      <c r="D44" s="872"/>
      <c r="E44" s="872"/>
      <c r="F44" s="872"/>
      <c r="G44" s="872"/>
      <c r="H44" s="872"/>
      <c r="I44" s="747"/>
      <c r="J44" s="222" t="s">
        <v>458</v>
      </c>
      <c r="L44" s="240"/>
      <c r="M44" s="256"/>
      <c r="O44" s="242"/>
    </row>
    <row r="45" spans="1:16" x14ac:dyDescent="0.2">
      <c r="A45" s="893" t="s">
        <v>431</v>
      </c>
      <c r="B45" s="893"/>
      <c r="C45" s="893"/>
      <c r="D45" s="893"/>
      <c r="E45" s="893"/>
      <c r="F45" s="893"/>
      <c r="G45" s="893"/>
      <c r="H45" s="893"/>
      <c r="I45" s="751"/>
      <c r="J45" s="222" t="s">
        <v>639</v>
      </c>
      <c r="L45" s="240"/>
      <c r="M45" s="256"/>
      <c r="O45" s="242"/>
    </row>
    <row r="46" spans="1:16" x14ac:dyDescent="0.2">
      <c r="A46" s="872" t="str">
        <f>A!$A$3</f>
        <v>For the 12 Months Ended December 31, 2017</v>
      </c>
      <c r="B46" s="872"/>
      <c r="C46" s="872"/>
      <c r="D46" s="872"/>
      <c r="E46" s="872"/>
      <c r="F46" s="872"/>
      <c r="G46" s="872"/>
      <c r="H46" s="872"/>
      <c r="I46" s="747"/>
      <c r="J46" s="223" t="s">
        <v>459</v>
      </c>
      <c r="L46" s="240"/>
      <c r="M46" s="256"/>
      <c r="O46" s="242"/>
    </row>
    <row r="47" spans="1:16" x14ac:dyDescent="0.2">
      <c r="I47" s="224"/>
      <c r="J47" s="224"/>
      <c r="L47" s="240"/>
      <c r="M47" s="256"/>
      <c r="O47" s="242"/>
    </row>
    <row r="48" spans="1:16" x14ac:dyDescent="0.2">
      <c r="C48" s="225"/>
      <c r="F48" s="748" t="s">
        <v>145</v>
      </c>
      <c r="G48" s="748" t="s">
        <v>30</v>
      </c>
      <c r="H48" s="748" t="s">
        <v>9</v>
      </c>
      <c r="I48" s="747" t="s">
        <v>30</v>
      </c>
      <c r="J48" s="747" t="s">
        <v>30</v>
      </c>
      <c r="L48" s="240"/>
      <c r="M48" s="256"/>
      <c r="O48" s="242"/>
    </row>
    <row r="49" spans="1:15" x14ac:dyDescent="0.2">
      <c r="A49" s="748" t="s">
        <v>1</v>
      </c>
      <c r="B49" s="748"/>
      <c r="C49" s="225"/>
      <c r="D49" s="748" t="s">
        <v>5</v>
      </c>
      <c r="E49" s="748" t="s">
        <v>5</v>
      </c>
      <c r="F49" s="748" t="s">
        <v>47</v>
      </c>
      <c r="G49" s="748" t="s">
        <v>433</v>
      </c>
      <c r="H49" s="748" t="s">
        <v>30</v>
      </c>
      <c r="I49" s="227" t="s">
        <v>147</v>
      </c>
      <c r="J49" s="747" t="s">
        <v>542</v>
      </c>
      <c r="L49" s="240"/>
      <c r="M49" s="256"/>
      <c r="O49" s="242"/>
    </row>
    <row r="50" spans="1:15" x14ac:dyDescent="0.2">
      <c r="A50" s="228" t="s">
        <v>3</v>
      </c>
      <c r="B50" s="228"/>
      <c r="C50" s="229" t="s">
        <v>4</v>
      </c>
      <c r="D50" s="228" t="s">
        <v>25</v>
      </c>
      <c r="E50" s="228" t="s">
        <v>26</v>
      </c>
      <c r="F50" s="229" t="s">
        <v>48</v>
      </c>
      <c r="G50" s="229" t="s">
        <v>147</v>
      </c>
      <c r="H50" s="229" t="s">
        <v>20</v>
      </c>
      <c r="I50" s="230" t="s">
        <v>434</v>
      </c>
      <c r="J50" s="285" t="s">
        <v>543</v>
      </c>
      <c r="L50" s="240"/>
      <c r="M50" s="256"/>
      <c r="O50" s="242"/>
    </row>
    <row r="51" spans="1:15" x14ac:dyDescent="0.2">
      <c r="C51" s="225"/>
      <c r="D51" s="748" t="s">
        <v>6</v>
      </c>
      <c r="E51" s="749" t="s">
        <v>7</v>
      </c>
      <c r="F51" s="749" t="s">
        <v>21</v>
      </c>
      <c r="G51" s="749" t="s">
        <v>8</v>
      </c>
      <c r="H51" s="749" t="s">
        <v>435</v>
      </c>
      <c r="I51" s="750" t="s">
        <v>403</v>
      </c>
      <c r="J51" s="749" t="s">
        <v>436</v>
      </c>
      <c r="L51" s="240"/>
      <c r="M51" s="256"/>
      <c r="O51" s="242"/>
    </row>
    <row r="52" spans="1:15" x14ac:dyDescent="0.2">
      <c r="D52" s="748"/>
      <c r="E52" s="748" t="s">
        <v>22</v>
      </c>
      <c r="F52" s="748" t="s">
        <v>24</v>
      </c>
      <c r="G52" s="748" t="s">
        <v>24</v>
      </c>
      <c r="H52" s="748" t="s">
        <v>24</v>
      </c>
      <c r="I52" s="747" t="s">
        <v>148</v>
      </c>
      <c r="L52" s="240"/>
      <c r="M52" s="256"/>
      <c r="O52" s="242"/>
    </row>
    <row r="53" spans="1:15" x14ac:dyDescent="0.2">
      <c r="D53" s="749" t="s">
        <v>461</v>
      </c>
      <c r="E53" s="749" t="s">
        <v>462</v>
      </c>
      <c r="F53" s="749" t="s">
        <v>463</v>
      </c>
      <c r="G53" s="749"/>
      <c r="H53" s="749" t="s">
        <v>464</v>
      </c>
      <c r="I53" s="747"/>
      <c r="L53" s="240"/>
      <c r="M53" s="256"/>
      <c r="O53" s="242"/>
    </row>
    <row r="54" spans="1:15" x14ac:dyDescent="0.2">
      <c r="A54" s="233"/>
      <c r="D54" s="253"/>
      <c r="E54" s="253"/>
      <c r="F54" s="254"/>
      <c r="G54" s="254"/>
      <c r="H54" s="254"/>
      <c r="I54" s="255"/>
      <c r="J54" s="255"/>
      <c r="K54" s="240"/>
      <c r="L54" s="240"/>
      <c r="M54" s="256"/>
      <c r="O54" s="242"/>
    </row>
    <row r="55" spans="1:15" x14ac:dyDescent="0.2">
      <c r="A55" s="233">
        <v>1</v>
      </c>
      <c r="C55" s="225" t="s">
        <v>636</v>
      </c>
      <c r="D55" s="242"/>
      <c r="F55" s="242"/>
      <c r="I55" s="224"/>
      <c r="J55" s="224"/>
      <c r="K55" s="224"/>
      <c r="L55" s="224"/>
    </row>
    <row r="56" spans="1:15" x14ac:dyDescent="0.2">
      <c r="A56" s="233"/>
      <c r="D56" s="242"/>
      <c r="I56" s="224"/>
      <c r="J56" s="224"/>
      <c r="K56" s="224"/>
      <c r="L56" s="224"/>
    </row>
    <row r="57" spans="1:15" x14ac:dyDescent="0.2">
      <c r="A57" s="233">
        <f>A55+1</f>
        <v>2</v>
      </c>
      <c r="C57" s="221" t="str">
        <f t="shared" ref="C57:E76" si="7">C13</f>
        <v>GSR/GTR Residential</v>
      </c>
      <c r="D57" s="236">
        <f t="shared" si="7"/>
        <v>1462612</v>
      </c>
      <c r="E57" s="237">
        <f t="shared" si="7"/>
        <v>7955080.5000000009</v>
      </c>
      <c r="F57" s="412">
        <f>'Sch M 2.2'!Q401+'Sch M 2.2'!Q405+'Sch M 2.2'!Q822+'Sch M 2.2'!Q826+'Sch M 2.2'!Q402+'Sch M 2.2'!Q823</f>
        <v>43261042.460000001</v>
      </c>
      <c r="G57" s="239">
        <f t="shared" ref="G57:G76" si="8">H57-F57</f>
        <v>16386249.800000004</v>
      </c>
      <c r="H57" s="239">
        <f>'Sch M 2.3'!Q398+'Sch M 2.3'!Q402+'Sch M 2.3'!Q821+'Sch M 2.3'!Q825+'Sch M 2.3'!Q399+'Sch M 2.3'!Q822</f>
        <v>59647292.260000005</v>
      </c>
      <c r="I57" s="240">
        <f t="shared" ref="I57:I76" si="9">IF(F57=0,0,ROUND(G57/F57,4))</f>
        <v>0.37880000000000003</v>
      </c>
      <c r="J57" s="240">
        <f>ROUND((G57+G66+G69+G70+G62+G63+G64+G67)/(F57+F66+F69+F70+F62+F63+F64+F67),4)</f>
        <v>0.37869999999999998</v>
      </c>
      <c r="K57" s="224"/>
      <c r="M57" s="256"/>
    </row>
    <row r="58" spans="1:15" x14ac:dyDescent="0.2">
      <c r="A58" s="233">
        <f>A57+1</f>
        <v>3</v>
      </c>
      <c r="C58" s="221" t="str">
        <f t="shared" si="7"/>
        <v>GSO/GTO/GDS</v>
      </c>
      <c r="D58" s="236">
        <f t="shared" si="7"/>
        <v>167676</v>
      </c>
      <c r="E58" s="237">
        <f t="shared" si="7"/>
        <v>5748554.7000000011</v>
      </c>
      <c r="F58" s="291">
        <f>'Sch M 2.2'!Q652+'Sch M 2.2'!Q666+'Sch M 2.2'!Q702+'Sch M 2.2'!Q716+'Sch M 2.2'!Q847+'Sch M 2.2'!Q861+'Sch M 2.2'!Q892+'Sch M 2.2'!Q906+'Sch M 2.2'!Q1003+'Sch M 2.2'!Q1018+'Sch M 2.2'!Q1031+'Sch M 2.2'!Q1046+'Sch M 2.2'!Q1004+'Sch M 2.2'!Q1032+'Sch M 2.2'!Q848+'Sch M 2.2'!Q893+'Sch M 2.2'!Q653+'Sch M 2.2'!Q703+'Sch M 2.2'!Q1005+'Sch M 2.2'!Q1033</f>
        <v>18733089.300000001</v>
      </c>
      <c r="G58" s="244">
        <f t="shared" si="8"/>
        <v>6791443.3399999924</v>
      </c>
      <c r="H58" s="244">
        <f>'Sch M 2.3'!Q649+'Sch M 2.3'!Q663+'Sch M 2.3'!Q700+'Sch M 2.3'!Q714+'Sch M 2.3'!Q846+'Sch M 2.3'!Q860+'Sch M 2.3'!Q1000+'Sch M 2.3'!Q1015+'Sch M 2.3'!Q890+'Sch M 2.3'!Q904+'Sch M 2.3'!Q1028+'Sch M 2.3'!Q1043+'Sch M 2.3'!Q1001+'Sch M 2.3'!Q1029+'Sch M 2.3'!Q650+'Sch M 2.3'!Q701+'Sch M 2.3'!Q847+'Sch M 2.3'!Q891+'Sch M 2.3'!Q1002+'Sch M 2.3'!Q1030</f>
        <v>25524532.639999993</v>
      </c>
      <c r="I58" s="240">
        <f t="shared" si="9"/>
        <v>0.36249999999999999</v>
      </c>
      <c r="J58" s="240">
        <f>ROUND((G58+G65+G68)/(F58+F65+F68),4)</f>
        <v>0.3624</v>
      </c>
      <c r="K58" s="224"/>
      <c r="L58" s="240"/>
      <c r="M58" s="256"/>
    </row>
    <row r="59" spans="1:15" x14ac:dyDescent="0.2">
      <c r="A59" s="233">
        <f t="shared" ref="A59:A76" si="10">A58+1</f>
        <v>4</v>
      </c>
      <c r="C59" s="221" t="str">
        <f t="shared" si="7"/>
        <v>DS/SAS</v>
      </c>
      <c r="D59" s="236">
        <f t="shared" si="7"/>
        <v>896</v>
      </c>
      <c r="E59" s="237">
        <f t="shared" si="7"/>
        <v>6897867.4000000004</v>
      </c>
      <c r="F59" s="291">
        <f>'Sch M 2.2'!Q1205+'Sch M 2.2'!Q1216+'Sch M 2.2'!Q973+'Sch M 2.2'!Q962+'Sch M 2.2'!Q937+'Sch M 2.2'!Q948+'Sch M 2.2'!Q938+'Sch M 2.2'!Q963+'Sch M 2.2'!Q1206+'Sch M 2.2'!Q964+'Sch M 2.2'!Q939+'Sch M 2.2'!Q1207</f>
        <v>4621275.5</v>
      </c>
      <c r="G59" s="244">
        <f t="shared" si="8"/>
        <v>2090526.0499999989</v>
      </c>
      <c r="H59" s="244">
        <f>'Sch M 2.3'!Q934+'Sch M 2.3'!Q945+'Sch M 2.3'!Q959+'Sch M 2.3'!Q970+'Sch M 2.3'!Q1202+'Sch M 2.3'!Q1213+'Sch M 2.3'!Q935+'Sch M 2.3'!Q960+'Sch M 2.3'!Q1202+'Sch M 2.3'!Q936+'Sch M 2.3'!Q961+'Sch M 2.3'!Q1204</f>
        <v>6711801.5499999989</v>
      </c>
      <c r="I59" s="240">
        <f t="shared" si="9"/>
        <v>0.45240000000000002</v>
      </c>
      <c r="J59" s="240">
        <f>ROUND((G59+G60+G72+G73+G75+G76)/(F59+F60+F72+F73+F75+F76),4)</f>
        <v>0.36309999999999998</v>
      </c>
      <c r="K59" s="224"/>
      <c r="L59" s="240"/>
      <c r="M59" s="256"/>
    </row>
    <row r="60" spans="1:15" x14ac:dyDescent="0.2">
      <c r="A60" s="233">
        <f t="shared" si="10"/>
        <v>5</v>
      </c>
      <c r="C60" s="221" t="str">
        <f t="shared" si="7"/>
        <v>IS</v>
      </c>
      <c r="D60" s="236">
        <f t="shared" si="7"/>
        <v>0</v>
      </c>
      <c r="E60" s="237">
        <f t="shared" si="7"/>
        <v>0</v>
      </c>
      <c r="F60" s="291">
        <f>'Sch M 2.2'!Q753+'Sch M 2.2'!Q763+'Sch M 2.2'!Q754</f>
        <v>0</v>
      </c>
      <c r="G60" s="244">
        <f t="shared" si="8"/>
        <v>0</v>
      </c>
      <c r="H60" s="244">
        <f>'Sch M 2.3'!Q750+'Sch M 2.3'!Q760+'Sch M 2.3'!Q751</f>
        <v>0</v>
      </c>
      <c r="I60" s="240">
        <f t="shared" si="9"/>
        <v>0</v>
      </c>
      <c r="J60" s="863">
        <f>J59</f>
        <v>0.36309999999999998</v>
      </c>
      <c r="K60" s="224"/>
      <c r="L60" s="240"/>
      <c r="M60" s="256"/>
    </row>
    <row r="61" spans="1:15" x14ac:dyDescent="0.2">
      <c r="A61" s="233">
        <f t="shared" si="10"/>
        <v>6</v>
      </c>
      <c r="C61" s="221" t="str">
        <f t="shared" si="7"/>
        <v>IUS</v>
      </c>
      <c r="D61" s="236">
        <f t="shared" si="7"/>
        <v>24</v>
      </c>
      <c r="E61" s="237">
        <f t="shared" si="7"/>
        <v>11320.699999999999</v>
      </c>
      <c r="F61" s="291">
        <f>'Sch M 2.2'!Q782+'Sch M 2.2'!Q786+'Sch M 2.2'!Q783</f>
        <v>22521.41</v>
      </c>
      <c r="G61" s="244">
        <f t="shared" si="8"/>
        <v>8105.4599999999955</v>
      </c>
      <c r="H61" s="244">
        <f>'Sch M 2.3'!Q779+'Sch M 2.3'!Q783+'Sch M 2.3'!Q780</f>
        <v>30626.869999999995</v>
      </c>
      <c r="I61" s="240">
        <f t="shared" si="9"/>
        <v>0.3599</v>
      </c>
      <c r="J61" s="240">
        <f>ROUND(G61/F61,4)</f>
        <v>0.3599</v>
      </c>
      <c r="K61" s="224"/>
      <c r="L61" s="240"/>
      <c r="M61" s="256"/>
    </row>
    <row r="62" spans="1:15" x14ac:dyDescent="0.2">
      <c r="A62" s="233">
        <f t="shared" si="10"/>
        <v>7</v>
      </c>
      <c r="C62" s="221" t="str">
        <f t="shared" si="7"/>
        <v>IN3 Residential</v>
      </c>
      <c r="D62" s="236">
        <f t="shared" si="7"/>
        <v>108</v>
      </c>
      <c r="E62" s="237">
        <f t="shared" si="7"/>
        <v>990.2</v>
      </c>
      <c r="F62" s="291">
        <f>'Sch M 2.2'!Q478+'Sch M 2.2'!Q481</f>
        <v>396.08</v>
      </c>
      <c r="G62" s="244">
        <f t="shared" si="8"/>
        <v>0</v>
      </c>
      <c r="H62" s="244">
        <f>'Sch M 2.3'!Q476+'Sch M 2.3'!Q479</f>
        <v>396.08</v>
      </c>
      <c r="I62" s="240">
        <f t="shared" si="9"/>
        <v>0</v>
      </c>
      <c r="J62" s="863">
        <f>J57</f>
        <v>0.37869999999999998</v>
      </c>
      <c r="K62" s="224"/>
      <c r="L62" s="240"/>
      <c r="M62" s="256"/>
    </row>
    <row r="63" spans="1:15" x14ac:dyDescent="0.2">
      <c r="A63" s="233">
        <f t="shared" si="10"/>
        <v>8</v>
      </c>
      <c r="C63" s="221" t="str">
        <f t="shared" si="7"/>
        <v>IN4</v>
      </c>
      <c r="D63" s="236">
        <f t="shared" si="7"/>
        <v>0</v>
      </c>
      <c r="E63" s="237">
        <f t="shared" si="7"/>
        <v>0</v>
      </c>
      <c r="F63" s="291">
        <f>'Sch M 2.2'!Q495+'Sch M 2.2'!Q498</f>
        <v>0</v>
      </c>
      <c r="G63" s="244">
        <f t="shared" si="8"/>
        <v>0</v>
      </c>
      <c r="H63" s="244">
        <f>'Sch M 2.3'!Q493+'Sch M 2.3'!Q496</f>
        <v>0</v>
      </c>
      <c r="I63" s="240">
        <f t="shared" si="9"/>
        <v>0</v>
      </c>
      <c r="J63" s="863">
        <f>J57</f>
        <v>0.37869999999999998</v>
      </c>
      <c r="K63" s="224"/>
      <c r="L63" s="240"/>
      <c r="M63" s="256"/>
    </row>
    <row r="64" spans="1:15" x14ac:dyDescent="0.2">
      <c r="A64" s="233">
        <f t="shared" si="10"/>
        <v>9</v>
      </c>
      <c r="C64" s="221" t="str">
        <f t="shared" si="7"/>
        <v>IN5</v>
      </c>
      <c r="D64" s="236">
        <f t="shared" si="7"/>
        <v>36</v>
      </c>
      <c r="E64" s="237">
        <f t="shared" si="7"/>
        <v>333.60000000000008</v>
      </c>
      <c r="F64" s="291">
        <f>'Sch M 2.2'!Q529+'Sch M 2.2'!Q532</f>
        <v>200.16</v>
      </c>
      <c r="G64" s="244">
        <f t="shared" si="8"/>
        <v>0</v>
      </c>
      <c r="H64" s="244">
        <f>'Sch M 2.3'!Q527+'Sch M 2.3'!Q530</f>
        <v>200.16</v>
      </c>
      <c r="I64" s="240">
        <f t="shared" si="9"/>
        <v>0</v>
      </c>
      <c r="J64" s="863">
        <f>J57</f>
        <v>0.37869999999999998</v>
      </c>
      <c r="K64" s="224"/>
      <c r="L64" s="240"/>
      <c r="M64" s="256"/>
    </row>
    <row r="65" spans="1:13" x14ac:dyDescent="0.2">
      <c r="A65" s="233">
        <f t="shared" si="10"/>
        <v>10</v>
      </c>
      <c r="C65" s="221" t="str">
        <f t="shared" si="7"/>
        <v>G1C</v>
      </c>
      <c r="D65" s="236">
        <f t="shared" si="7"/>
        <v>41</v>
      </c>
      <c r="E65" s="237">
        <f t="shared" si="7"/>
        <v>1697.8</v>
      </c>
      <c r="F65" s="291">
        <f>'Sch M 2.2'!Q427+'Sch M 2.2'!Q430</f>
        <v>5993.82</v>
      </c>
      <c r="G65" s="244">
        <f t="shared" si="8"/>
        <v>0</v>
      </c>
      <c r="H65" s="244">
        <f>'Sch M 2.3'!Q424+'Sch M 2.3'!Q427</f>
        <v>5993.82</v>
      </c>
      <c r="I65" s="240">
        <f t="shared" si="9"/>
        <v>0</v>
      </c>
      <c r="J65" s="863">
        <f>J58</f>
        <v>0.3624</v>
      </c>
      <c r="K65" s="224"/>
      <c r="L65" s="240"/>
      <c r="M65" s="256"/>
    </row>
    <row r="66" spans="1:13" x14ac:dyDescent="0.2">
      <c r="A66" s="233">
        <f t="shared" si="10"/>
        <v>11</v>
      </c>
      <c r="C66" s="221" t="str">
        <f t="shared" si="7"/>
        <v>G1R</v>
      </c>
      <c r="D66" s="236">
        <f t="shared" si="7"/>
        <v>192</v>
      </c>
      <c r="E66" s="237">
        <f t="shared" si="7"/>
        <v>2018.8999999999999</v>
      </c>
      <c r="F66" s="291">
        <f>'Sch M 2.2'!Q461+'Sch M 2.2'!Q464</f>
        <v>9291.7800000000007</v>
      </c>
      <c r="G66" s="244">
        <f t="shared" si="8"/>
        <v>0</v>
      </c>
      <c r="H66" s="244">
        <f>'Sch M 2.3'!Q459+'Sch M 2.3'!Q462</f>
        <v>9291.7800000000007</v>
      </c>
      <c r="I66" s="240">
        <f t="shared" si="9"/>
        <v>0</v>
      </c>
      <c r="J66" s="863">
        <f>J57</f>
        <v>0.37869999999999998</v>
      </c>
      <c r="K66" s="224"/>
      <c r="L66" s="240"/>
      <c r="M66" s="256"/>
    </row>
    <row r="67" spans="1:13" x14ac:dyDescent="0.2">
      <c r="A67" s="233">
        <f t="shared" si="10"/>
        <v>12</v>
      </c>
      <c r="C67" s="221" t="str">
        <f t="shared" si="7"/>
        <v>LG2 Residential</v>
      </c>
      <c r="D67" s="236">
        <f t="shared" si="7"/>
        <v>12</v>
      </c>
      <c r="E67" s="237">
        <f t="shared" si="7"/>
        <v>605.19999999999993</v>
      </c>
      <c r="F67" s="291">
        <f>'Sch M 2.2'!Q546+'Sch M 2.2'!Q549</f>
        <v>211.84000000000003</v>
      </c>
      <c r="G67" s="244">
        <f t="shared" si="8"/>
        <v>0</v>
      </c>
      <c r="H67" s="244">
        <f>'Sch M 2.3'!Q544+'Sch M 2.3'!Q547</f>
        <v>211.84000000000003</v>
      </c>
      <c r="I67" s="240">
        <f t="shared" si="9"/>
        <v>0</v>
      </c>
      <c r="J67" s="863">
        <f>J57</f>
        <v>0.37869999999999998</v>
      </c>
      <c r="K67" s="224"/>
      <c r="L67" s="240"/>
      <c r="M67" s="256"/>
    </row>
    <row r="68" spans="1:13" x14ac:dyDescent="0.2">
      <c r="A68" s="233">
        <f t="shared" si="10"/>
        <v>13</v>
      </c>
      <c r="C68" s="221" t="str">
        <f t="shared" si="7"/>
        <v>LG2 Commercial</v>
      </c>
      <c r="D68" s="236">
        <f t="shared" si="7"/>
        <v>12</v>
      </c>
      <c r="E68" s="237">
        <f t="shared" si="7"/>
        <v>710.9</v>
      </c>
      <c r="F68" s="291">
        <f>'Sch M 2.2'!Q563+'Sch M 2.2'!Q566</f>
        <v>248.84000000000003</v>
      </c>
      <c r="G68" s="244">
        <f t="shared" si="8"/>
        <v>0</v>
      </c>
      <c r="H68" s="244">
        <f>'Sch M 2.3'!Q561+'Sch M 2.3'!Q564</f>
        <v>248.84000000000003</v>
      </c>
      <c r="I68" s="240">
        <f t="shared" si="9"/>
        <v>0</v>
      </c>
      <c r="J68" s="863">
        <f>J58</f>
        <v>0.3624</v>
      </c>
      <c r="K68" s="224"/>
      <c r="L68" s="240"/>
      <c r="M68" s="256"/>
    </row>
    <row r="69" spans="1:13" x14ac:dyDescent="0.2">
      <c r="A69" s="233">
        <f t="shared" si="10"/>
        <v>14</v>
      </c>
      <c r="C69" s="221" t="str">
        <f t="shared" si="7"/>
        <v>LG3 Residential</v>
      </c>
      <c r="D69" s="236">
        <f t="shared" si="7"/>
        <v>12</v>
      </c>
      <c r="E69" s="237">
        <f t="shared" si="7"/>
        <v>714.1</v>
      </c>
      <c r="F69" s="291">
        <f>'Sch M 2.2'!Q596+'Sch M 2.2'!Q605</f>
        <v>255.82</v>
      </c>
      <c r="G69" s="244">
        <f t="shared" si="8"/>
        <v>0</v>
      </c>
      <c r="H69" s="244">
        <f>'Sch M 2.3'!Q594+'Sch M 2.3'!Q603</f>
        <v>255.82</v>
      </c>
      <c r="I69" s="240">
        <f t="shared" si="9"/>
        <v>0</v>
      </c>
      <c r="J69" s="863">
        <f>J57</f>
        <v>0.37869999999999998</v>
      </c>
      <c r="K69" s="224"/>
      <c r="L69" s="240"/>
      <c r="M69" s="256"/>
    </row>
    <row r="70" spans="1:13" x14ac:dyDescent="0.2">
      <c r="A70" s="233">
        <f t="shared" si="10"/>
        <v>15</v>
      </c>
      <c r="C70" s="221" t="str">
        <f t="shared" si="7"/>
        <v>LG4 Residential</v>
      </c>
      <c r="D70" s="236">
        <f t="shared" si="7"/>
        <v>12</v>
      </c>
      <c r="E70" s="237">
        <f t="shared" si="7"/>
        <v>257.59999999999997</v>
      </c>
      <c r="F70" s="291">
        <f>'Sch M 2.2'!Q619+'Sch M 2.2'!Q622</f>
        <v>103.04000000000002</v>
      </c>
      <c r="G70" s="244">
        <f t="shared" si="8"/>
        <v>0</v>
      </c>
      <c r="H70" s="244">
        <f>'Sch M 2.3'!Q616+'Sch M 2.3'!Q619</f>
        <v>103.04000000000002</v>
      </c>
      <c r="I70" s="240">
        <f t="shared" si="9"/>
        <v>0</v>
      </c>
      <c r="J70" s="863">
        <f>J57</f>
        <v>0.37869999999999998</v>
      </c>
      <c r="K70" s="224"/>
      <c r="L70" s="240"/>
      <c r="M70" s="256"/>
    </row>
    <row r="71" spans="1:13" x14ac:dyDescent="0.2">
      <c r="A71" s="233">
        <f t="shared" si="10"/>
        <v>16</v>
      </c>
      <c r="C71" s="221" t="str">
        <f t="shared" si="7"/>
        <v>DS3</v>
      </c>
      <c r="D71" s="236">
        <f t="shared" si="7"/>
        <v>36</v>
      </c>
      <c r="E71" s="237">
        <f t="shared" si="7"/>
        <v>680981</v>
      </c>
      <c r="F71" s="291">
        <f>'Sch M 2.2'!Q1077+'Sch M 2.2'!Q1081+'Sch M 2.2'!Q1078</f>
        <v>67640.579999999987</v>
      </c>
      <c r="G71" s="244">
        <f t="shared" si="8"/>
        <v>0</v>
      </c>
      <c r="H71" s="244">
        <f>'Sch M 2.3'!Q1073+'Sch M 2.3'!Q1077+'Sch M 2.3'!Q1074</f>
        <v>67640.579999999987</v>
      </c>
      <c r="I71" s="240">
        <f t="shared" si="9"/>
        <v>0</v>
      </c>
      <c r="J71" s="240">
        <f>ROUND((G71+G74)/(F71+F74),4)</f>
        <v>0</v>
      </c>
      <c r="K71" s="224"/>
      <c r="L71" s="240"/>
      <c r="M71" s="256"/>
    </row>
    <row r="72" spans="1:13" x14ac:dyDescent="0.2">
      <c r="A72" s="233">
        <f t="shared" si="10"/>
        <v>17</v>
      </c>
      <c r="C72" s="221" t="str">
        <f t="shared" si="7"/>
        <v>FX1</v>
      </c>
      <c r="D72" s="236">
        <f t="shared" si="7"/>
        <v>12</v>
      </c>
      <c r="E72" s="237">
        <f t="shared" si="7"/>
        <v>541812</v>
      </c>
      <c r="F72" s="291">
        <f>'Sch M 2.2'!Q1095+'Sch M 2.2'!Q1099+'Sch M 2.2'!Q1096</f>
        <v>224062.07999999999</v>
      </c>
      <c r="G72" s="244">
        <f t="shared" si="8"/>
        <v>0</v>
      </c>
      <c r="H72" s="244">
        <f>'Sch M 2.3'!Q1091+'Sch M 2.3'!Q1095+'Sch M 2.3'!Q1092</f>
        <v>224062.07999999999</v>
      </c>
      <c r="I72" s="240">
        <f t="shared" si="9"/>
        <v>0</v>
      </c>
      <c r="J72" s="863">
        <f>J59</f>
        <v>0.36309999999999998</v>
      </c>
      <c r="K72" s="224"/>
      <c r="L72" s="240"/>
      <c r="M72" s="256"/>
    </row>
    <row r="73" spans="1:13" x14ac:dyDescent="0.2">
      <c r="A73" s="233">
        <f t="shared" si="10"/>
        <v>18</v>
      </c>
      <c r="C73" s="221" t="str">
        <f t="shared" si="7"/>
        <v>FX2</v>
      </c>
      <c r="D73" s="236">
        <f t="shared" si="7"/>
        <v>12</v>
      </c>
      <c r="E73" s="237">
        <f t="shared" si="7"/>
        <v>533988</v>
      </c>
      <c r="F73" s="291">
        <f>'Sch M 2.2'!Q1113+'Sch M 2.2'!Q1117+'Sch M 2.2'!Q1114</f>
        <v>221010.71999999997</v>
      </c>
      <c r="G73" s="244">
        <f t="shared" si="8"/>
        <v>0</v>
      </c>
      <c r="H73" s="244">
        <f>'Sch M 2.3'!Q1109+'Sch M 2.3'!Q1113+'Sch M 2.3'!Q1110</f>
        <v>221010.71999999997</v>
      </c>
      <c r="I73" s="240">
        <f t="shared" si="9"/>
        <v>0</v>
      </c>
      <c r="J73" s="863">
        <f>J59</f>
        <v>0.36309999999999998</v>
      </c>
      <c r="K73" s="224"/>
      <c r="L73" s="240"/>
      <c r="M73" s="256"/>
    </row>
    <row r="74" spans="1:13" x14ac:dyDescent="0.2">
      <c r="A74" s="233">
        <f t="shared" si="10"/>
        <v>19</v>
      </c>
      <c r="C74" s="221" t="str">
        <f t="shared" si="7"/>
        <v>FX5</v>
      </c>
      <c r="D74" s="236">
        <f t="shared" si="7"/>
        <v>36</v>
      </c>
      <c r="E74" s="237">
        <f t="shared" si="7"/>
        <v>4689510</v>
      </c>
      <c r="F74" s="291">
        <f>'Sch M 2.2'!Q1147+'Sch M 2.2'!Q1151+'Sch M 2.2'!Q1148</f>
        <v>411572.36000000004</v>
      </c>
      <c r="G74" s="244">
        <f t="shared" si="8"/>
        <v>0</v>
      </c>
      <c r="H74" s="244">
        <f>'Sch M 2.3'!Q1143+'Sch M 2.3'!Q1147+'Sch M 2.3'!Q1144</f>
        <v>411572.36000000004</v>
      </c>
      <c r="I74" s="240">
        <f t="shared" si="9"/>
        <v>0</v>
      </c>
      <c r="J74" s="767">
        <f>J71</f>
        <v>0</v>
      </c>
      <c r="L74" s="240"/>
      <c r="M74" s="256"/>
    </row>
    <row r="75" spans="1:13" x14ac:dyDescent="0.2">
      <c r="A75" s="233">
        <f t="shared" si="10"/>
        <v>20</v>
      </c>
      <c r="C75" s="221" t="str">
        <f t="shared" si="7"/>
        <v>FX7</v>
      </c>
      <c r="D75" s="236">
        <f t="shared" si="7"/>
        <v>12</v>
      </c>
      <c r="E75" s="237">
        <f t="shared" si="7"/>
        <v>410759</v>
      </c>
      <c r="F75" s="291">
        <f>'Sch M 2.2'!Q1165+'Sch M 2.2'!Q1175+'Sch M 2.2'!Q1166</f>
        <v>189660.33000000002</v>
      </c>
      <c r="G75" s="244">
        <f t="shared" si="8"/>
        <v>0</v>
      </c>
      <c r="H75" s="244">
        <f>'Sch M 2.3'!Q1161+'Sch M 2.3'!Q1171+'Sch M 2.3'!Q1162</f>
        <v>189660.33000000002</v>
      </c>
      <c r="I75" s="240">
        <f t="shared" si="9"/>
        <v>0</v>
      </c>
      <c r="J75" s="767">
        <f>J71</f>
        <v>0</v>
      </c>
      <c r="L75" s="240"/>
      <c r="M75" s="256"/>
    </row>
    <row r="76" spans="1:13" x14ac:dyDescent="0.2">
      <c r="A76" s="233">
        <f t="shared" si="10"/>
        <v>21</v>
      </c>
      <c r="C76" s="221" t="str">
        <f t="shared" si="7"/>
        <v>SC3</v>
      </c>
      <c r="D76" s="236">
        <f t="shared" si="7"/>
        <v>12</v>
      </c>
      <c r="E76" s="237">
        <f t="shared" si="7"/>
        <v>1710000</v>
      </c>
      <c r="F76" s="411">
        <f>'Sch M 2.2'!Q1229+'Sch M 2.2'!Q1239+'Sch M 2.2'!Q1230</f>
        <v>500855.39999999997</v>
      </c>
      <c r="G76" s="244">
        <f t="shared" si="8"/>
        <v>0</v>
      </c>
      <c r="H76" s="244">
        <f>'Sch M 2.3'!Q1227+'Sch M 2.3'!Q1237+'Sch M 2.3'!Q1228</f>
        <v>500855.4</v>
      </c>
      <c r="I76" s="240">
        <f t="shared" si="9"/>
        <v>0</v>
      </c>
      <c r="J76" s="767">
        <f>J59</f>
        <v>0.36309999999999998</v>
      </c>
      <c r="L76" s="240"/>
      <c r="M76" s="256"/>
    </row>
    <row r="77" spans="1:13" x14ac:dyDescent="0.2">
      <c r="A77" s="233"/>
      <c r="D77" s="242"/>
      <c r="E77" s="247"/>
      <c r="F77" s="224"/>
      <c r="G77" s="224"/>
      <c r="I77" s="240"/>
      <c r="L77" s="240"/>
      <c r="M77" s="256"/>
    </row>
    <row r="78" spans="1:13" ht="10.8" thickBot="1" x14ac:dyDescent="0.25">
      <c r="A78" s="233">
        <f>A76+1</f>
        <v>22</v>
      </c>
      <c r="C78" s="221" t="s">
        <v>438</v>
      </c>
      <c r="D78" s="248">
        <f>SUM(D57:D76)</f>
        <v>1631753</v>
      </c>
      <c r="E78" s="249">
        <f>SUM(E57:E76)</f>
        <v>29187201.600000001</v>
      </c>
      <c r="F78" s="417">
        <f>SUM(F57:F76)</f>
        <v>68269431.520000011</v>
      </c>
      <c r="G78" s="251">
        <f>SUM(G57:G76)</f>
        <v>25276324.649999999</v>
      </c>
      <c r="H78" s="250">
        <f>SUM(H57:H76)</f>
        <v>93545756.170000002</v>
      </c>
      <c r="I78" s="252">
        <f>ROUND(G78/F78,4)</f>
        <v>0.37019999999999997</v>
      </c>
      <c r="L78" s="252"/>
      <c r="M78" s="257"/>
    </row>
    <row r="79" spans="1:13" ht="10.8" thickTop="1" x14ac:dyDescent="0.2">
      <c r="D79" s="258"/>
      <c r="E79" s="259"/>
      <c r="F79" s="259"/>
      <c r="G79" s="259"/>
      <c r="H79" s="256"/>
      <c r="I79" s="240"/>
      <c r="J79" s="240"/>
      <c r="K79" s="256"/>
    </row>
    <row r="80" spans="1:13" x14ac:dyDescent="0.2">
      <c r="A80" s="243"/>
      <c r="D80" s="258"/>
      <c r="E80" s="259"/>
      <c r="F80" s="259"/>
      <c r="G80" s="259"/>
      <c r="H80" s="256"/>
      <c r="I80" s="224"/>
      <c r="J80" s="224"/>
    </row>
    <row r="81" spans="1:10" x14ac:dyDescent="0.2">
      <c r="A81" s="243"/>
      <c r="D81" s="258"/>
      <c r="E81" s="259"/>
      <c r="F81" s="259"/>
      <c r="G81" s="259"/>
      <c r="H81" s="256"/>
      <c r="I81" s="224"/>
      <c r="J81" s="224"/>
    </row>
    <row r="82" spans="1:10" x14ac:dyDescent="0.2">
      <c r="A82" s="872" t="str">
        <f>A1</f>
        <v>Columbia Gas of Kentucky, Inc.</v>
      </c>
      <c r="B82" s="872"/>
      <c r="C82" s="872"/>
      <c r="D82" s="872"/>
      <c r="E82" s="872"/>
      <c r="F82" s="872"/>
      <c r="G82" s="872"/>
      <c r="H82" s="872"/>
      <c r="I82" s="747"/>
      <c r="J82" s="222" t="s">
        <v>458</v>
      </c>
    </row>
    <row r="83" spans="1:10" x14ac:dyDescent="0.2">
      <c r="A83" s="893" t="s">
        <v>431</v>
      </c>
      <c r="B83" s="893"/>
      <c r="C83" s="893"/>
      <c r="D83" s="893"/>
      <c r="E83" s="893"/>
      <c r="F83" s="893"/>
      <c r="G83" s="893"/>
      <c r="H83" s="893"/>
      <c r="I83" s="751"/>
      <c r="J83" s="222" t="s">
        <v>640</v>
      </c>
    </row>
    <row r="84" spans="1:10" x14ac:dyDescent="0.2">
      <c r="A84" s="872" t="str">
        <f>A!$A$3</f>
        <v>For the 12 Months Ended December 31, 2017</v>
      </c>
      <c r="B84" s="872"/>
      <c r="C84" s="872"/>
      <c r="D84" s="872"/>
      <c r="E84" s="872"/>
      <c r="F84" s="872"/>
      <c r="G84" s="872"/>
      <c r="H84" s="872"/>
      <c r="I84" s="747"/>
      <c r="J84" s="223" t="s">
        <v>459</v>
      </c>
    </row>
    <row r="85" spans="1:10" x14ac:dyDescent="0.2">
      <c r="I85" s="224"/>
      <c r="J85" s="224"/>
    </row>
    <row r="86" spans="1:10" x14ac:dyDescent="0.2">
      <c r="C86" s="225"/>
      <c r="F86" s="748" t="s">
        <v>145</v>
      </c>
      <c r="G86" s="748" t="s">
        <v>30</v>
      </c>
      <c r="H86" s="748" t="s">
        <v>9</v>
      </c>
      <c r="I86" s="747" t="s">
        <v>30</v>
      </c>
      <c r="J86" s="747" t="s">
        <v>30</v>
      </c>
    </row>
    <row r="87" spans="1:10" x14ac:dyDescent="0.2">
      <c r="A87" s="748" t="s">
        <v>1</v>
      </c>
      <c r="B87" s="748"/>
      <c r="C87" s="225"/>
      <c r="D87" s="748" t="s">
        <v>5</v>
      </c>
      <c r="E87" s="748" t="s">
        <v>5</v>
      </c>
      <c r="F87" s="748" t="s">
        <v>47</v>
      </c>
      <c r="G87" s="748" t="s">
        <v>433</v>
      </c>
      <c r="H87" s="748" t="s">
        <v>30</v>
      </c>
      <c r="I87" s="227" t="s">
        <v>147</v>
      </c>
      <c r="J87" s="747" t="s">
        <v>542</v>
      </c>
    </row>
    <row r="88" spans="1:10" x14ac:dyDescent="0.2">
      <c r="A88" s="228" t="s">
        <v>3</v>
      </c>
      <c r="B88" s="228"/>
      <c r="C88" s="229" t="s">
        <v>4</v>
      </c>
      <c r="D88" s="228" t="s">
        <v>25</v>
      </c>
      <c r="E88" s="228" t="s">
        <v>26</v>
      </c>
      <c r="F88" s="229" t="s">
        <v>48</v>
      </c>
      <c r="G88" s="229" t="s">
        <v>147</v>
      </c>
      <c r="H88" s="229" t="s">
        <v>20</v>
      </c>
      <c r="I88" s="230" t="s">
        <v>434</v>
      </c>
      <c r="J88" s="285" t="s">
        <v>543</v>
      </c>
    </row>
    <row r="89" spans="1:10" x14ac:dyDescent="0.2">
      <c r="C89" s="225"/>
      <c r="D89" s="748" t="s">
        <v>6</v>
      </c>
      <c r="E89" s="749" t="s">
        <v>7</v>
      </c>
      <c r="F89" s="749" t="s">
        <v>21</v>
      </c>
      <c r="G89" s="749" t="s">
        <v>8</v>
      </c>
      <c r="H89" s="749" t="s">
        <v>435</v>
      </c>
      <c r="I89" s="750" t="s">
        <v>403</v>
      </c>
      <c r="J89" s="749" t="s">
        <v>436</v>
      </c>
    </row>
    <row r="90" spans="1:10" x14ac:dyDescent="0.2">
      <c r="D90" s="748"/>
      <c r="E90" s="748" t="s">
        <v>22</v>
      </c>
      <c r="F90" s="748" t="s">
        <v>24</v>
      </c>
      <c r="G90" s="748" t="s">
        <v>24</v>
      </c>
      <c r="H90" s="748" t="s">
        <v>24</v>
      </c>
      <c r="I90" s="747" t="s">
        <v>148</v>
      </c>
    </row>
    <row r="91" spans="1:10" x14ac:dyDescent="0.2">
      <c r="D91" s="749" t="s">
        <v>461</v>
      </c>
      <c r="E91" s="749" t="s">
        <v>462</v>
      </c>
      <c r="F91" s="749" t="s">
        <v>463</v>
      </c>
      <c r="G91" s="749"/>
      <c r="H91" s="749" t="s">
        <v>464</v>
      </c>
      <c r="I91" s="747"/>
    </row>
    <row r="92" spans="1:10" x14ac:dyDescent="0.2">
      <c r="D92" s="258"/>
      <c r="E92" s="259"/>
      <c r="F92" s="259"/>
      <c r="G92" s="259"/>
      <c r="H92" s="256"/>
      <c r="I92" s="224"/>
      <c r="J92" s="224"/>
    </row>
    <row r="93" spans="1:10" x14ac:dyDescent="0.2">
      <c r="A93" s="233">
        <v>1</v>
      </c>
      <c r="C93" s="225" t="s">
        <v>527</v>
      </c>
      <c r="D93" s="242"/>
      <c r="G93" s="224"/>
      <c r="H93" s="224"/>
      <c r="I93" s="224"/>
      <c r="J93" s="224"/>
    </row>
    <row r="94" spans="1:10" x14ac:dyDescent="0.2">
      <c r="A94" s="233"/>
      <c r="D94" s="242"/>
      <c r="G94" s="224"/>
      <c r="H94" s="224"/>
      <c r="I94" s="224"/>
      <c r="J94" s="224"/>
    </row>
    <row r="95" spans="1:10" x14ac:dyDescent="0.2">
      <c r="A95" s="233">
        <f>A93+1</f>
        <v>2</v>
      </c>
      <c r="C95" s="221" t="str">
        <f>C13</f>
        <v>GSR/GTR Residential</v>
      </c>
      <c r="D95" s="236"/>
      <c r="E95" s="237"/>
      <c r="F95" s="238">
        <f>'Sch M 2.2'!Q409+'Sch M 2.2'!Q830</f>
        <v>13802634.639999999</v>
      </c>
      <c r="G95" s="239">
        <f>H95-F95</f>
        <v>0</v>
      </c>
      <c r="H95" s="239">
        <f>'Sch M 2.3'!Q406</f>
        <v>13802634.639999999</v>
      </c>
      <c r="I95" s="240">
        <f t="shared" ref="I95" si="11">IF(F95=0,0,ROUND(G95/F95,4))</f>
        <v>0</v>
      </c>
      <c r="J95" s="240"/>
    </row>
    <row r="96" spans="1:10" x14ac:dyDescent="0.2">
      <c r="A96" s="233">
        <f>A95+1</f>
        <v>3</v>
      </c>
      <c r="C96" s="221" t="str">
        <f>C14</f>
        <v>GSO/GTO/GDS</v>
      </c>
      <c r="D96" s="236"/>
      <c r="E96" s="237"/>
      <c r="F96" s="236">
        <f>'Sch M 2.2'!Q670+'Sch M 2.2'!Q720+'Sch M 2.2'!Q865+'Sch M 2.2'!Q910+'Sch M 2.2'!Q1022+'Sch M 2.2'!Q1050</f>
        <v>7640096.3500000006</v>
      </c>
      <c r="G96" s="244">
        <f t="shared" ref="G96:G98" si="12">H96-F96</f>
        <v>0</v>
      </c>
      <c r="H96" s="244">
        <f>'Sch M 2.3'!Q667+'Sch M 2.3'!Q718</f>
        <v>7640096.3500000006</v>
      </c>
      <c r="I96" s="240">
        <f t="shared" ref="I96:I98" si="13">IF(F96=0,0,ROUND(G96/F96,4))</f>
        <v>0</v>
      </c>
      <c r="J96" s="240"/>
    </row>
    <row r="97" spans="1:10" x14ac:dyDescent="0.2">
      <c r="A97" s="233">
        <f t="shared" ref="A97:A99" si="14">A96+1</f>
        <v>4</v>
      </c>
      <c r="C97" s="221" t="str">
        <f>C21</f>
        <v>G1C</v>
      </c>
      <c r="D97" s="236"/>
      <c r="E97" s="237"/>
      <c r="F97" s="236">
        <f>'Sch M 2.2'!Q434</f>
        <v>3750.6100000000006</v>
      </c>
      <c r="G97" s="244">
        <f t="shared" si="12"/>
        <v>0</v>
      </c>
      <c r="H97" s="244">
        <f>'Sch M 2.3'!Q431</f>
        <v>3750.6100000000006</v>
      </c>
      <c r="I97" s="240">
        <f t="shared" si="13"/>
        <v>0</v>
      </c>
      <c r="J97" s="240"/>
    </row>
    <row r="98" spans="1:10" x14ac:dyDescent="0.2">
      <c r="A98" s="233">
        <f t="shared" si="14"/>
        <v>5</v>
      </c>
      <c r="C98" s="221" t="str">
        <f>C22</f>
        <v>G1R</v>
      </c>
      <c r="D98" s="236"/>
      <c r="E98" s="237"/>
      <c r="F98" s="236">
        <f>'Sch M 2.2'!Q468</f>
        <v>4459.9499999999989</v>
      </c>
      <c r="G98" s="244">
        <f t="shared" si="12"/>
        <v>0</v>
      </c>
      <c r="H98" s="244">
        <f>'Sch M 2.3'!Q466</f>
        <v>4459.9499999999989</v>
      </c>
      <c r="I98" s="240">
        <f t="shared" si="13"/>
        <v>0</v>
      </c>
      <c r="J98" s="240"/>
    </row>
    <row r="99" spans="1:10" x14ac:dyDescent="0.2">
      <c r="A99" s="233">
        <f t="shared" si="14"/>
        <v>6</v>
      </c>
      <c r="C99" s="221" t="s">
        <v>92</v>
      </c>
      <c r="D99" s="236"/>
      <c r="E99" s="237"/>
      <c r="F99" s="236">
        <f>'Sch M 2.2'!Q790</f>
        <v>25008.560000000001</v>
      </c>
      <c r="G99" s="244">
        <f t="shared" ref="G99" si="15">H99-F99</f>
        <v>0</v>
      </c>
      <c r="H99" s="244">
        <f>'Sch M 2.3'!Q787</f>
        <v>25008.560000000001</v>
      </c>
      <c r="I99" s="240">
        <f t="shared" ref="I99" si="16">IF(F99=0,0,ROUND(G99/F99,4))</f>
        <v>0</v>
      </c>
      <c r="J99" s="240"/>
    </row>
    <row r="100" spans="1:10" x14ac:dyDescent="0.2">
      <c r="A100" s="233"/>
      <c r="D100" s="242"/>
      <c r="E100" s="247"/>
      <c r="G100" s="224"/>
      <c r="H100" s="224"/>
      <c r="I100" s="240"/>
      <c r="J100" s="240"/>
    </row>
    <row r="101" spans="1:10" ht="10.8" thickBot="1" x14ac:dyDescent="0.25">
      <c r="A101" s="233">
        <f>A99+1</f>
        <v>7</v>
      </c>
      <c r="C101" s="221" t="s">
        <v>528</v>
      </c>
      <c r="D101" s="258"/>
      <c r="E101" s="259"/>
      <c r="F101" s="250">
        <f>SUM(F95:F99)</f>
        <v>21475950.109999996</v>
      </c>
      <c r="G101" s="250">
        <f t="shared" ref="G101:H101" si="17">SUM(G95:G99)</f>
        <v>0</v>
      </c>
      <c r="H101" s="250">
        <f t="shared" si="17"/>
        <v>21475950.109999996</v>
      </c>
      <c r="I101" s="252">
        <f>ROUND(G101/F101,4)</f>
        <v>0</v>
      </c>
      <c r="J101" s="252"/>
    </row>
    <row r="102" spans="1:10" ht="10.8" thickTop="1" x14ac:dyDescent="0.2">
      <c r="A102" s="233"/>
      <c r="D102" s="258"/>
      <c r="E102" s="259"/>
      <c r="F102" s="259"/>
      <c r="G102" s="259"/>
      <c r="H102" s="256"/>
      <c r="I102" s="224"/>
      <c r="J102" s="224"/>
    </row>
    <row r="103" spans="1:10" x14ac:dyDescent="0.2">
      <c r="A103" s="233">
        <f>A101+1</f>
        <v>8</v>
      </c>
      <c r="C103" s="225" t="s">
        <v>144</v>
      </c>
      <c r="D103" s="242"/>
      <c r="G103" s="224"/>
      <c r="H103" s="224"/>
      <c r="I103" s="224"/>
      <c r="J103" s="224"/>
    </row>
    <row r="104" spans="1:10" x14ac:dyDescent="0.2">
      <c r="A104" s="233"/>
      <c r="D104" s="242"/>
      <c r="G104" s="224"/>
      <c r="H104" s="224"/>
      <c r="I104" s="224"/>
      <c r="J104" s="224"/>
    </row>
    <row r="105" spans="1:10" x14ac:dyDescent="0.2">
      <c r="A105" s="233">
        <f>A103+1</f>
        <v>9</v>
      </c>
      <c r="C105" s="221" t="str">
        <f>C13</f>
        <v>GSR/GTR Residential</v>
      </c>
      <c r="D105" s="236"/>
      <c r="E105" s="237"/>
      <c r="F105" s="238">
        <f>'Sch M 2.2'!Q416+'Sch M 2.2'!Q836</f>
        <v>474918.28999999992</v>
      </c>
      <c r="G105" s="239">
        <f>H105-F105</f>
        <v>0</v>
      </c>
      <c r="H105" s="239">
        <f>'Sch M 2.3'!Q413+'Sch M 2.3'!Q835</f>
        <v>474918.28999999992</v>
      </c>
      <c r="I105" s="240">
        <f t="shared" ref="I105" si="18">IF(F105=0,0,ROUND(G105/F105,4))</f>
        <v>0</v>
      </c>
      <c r="J105" s="240"/>
    </row>
    <row r="106" spans="1:10" x14ac:dyDescent="0.2">
      <c r="A106" s="233"/>
      <c r="D106" s="236"/>
      <c r="E106" s="237"/>
      <c r="F106" s="238"/>
      <c r="G106" s="239"/>
      <c r="H106" s="239"/>
      <c r="I106" s="240"/>
      <c r="J106" s="240"/>
    </row>
    <row r="107" spans="1:10" ht="10.8" thickBot="1" x14ac:dyDescent="0.25">
      <c r="A107" s="233">
        <f>A105+1</f>
        <v>10</v>
      </c>
      <c r="C107" s="221" t="s">
        <v>529</v>
      </c>
      <c r="D107" s="258"/>
      <c r="E107" s="259"/>
      <c r="F107" s="250">
        <f>SUM(F105:F106)</f>
        <v>474918.28999999992</v>
      </c>
      <c r="G107" s="251">
        <f>SUM(G105:G106)</f>
        <v>0</v>
      </c>
      <c r="H107" s="250">
        <f>SUM(H105:H106)</f>
        <v>474918.28999999992</v>
      </c>
      <c r="I107" s="240">
        <f t="shared" ref="I107" si="19">IF(F107=0,0,ROUND(G107/F107,4))</f>
        <v>0</v>
      </c>
      <c r="J107" s="252"/>
    </row>
    <row r="108" spans="1:10" ht="10.8" thickTop="1" x14ac:dyDescent="0.2">
      <c r="A108" s="233"/>
      <c r="D108" s="258"/>
      <c r="E108" s="259"/>
      <c r="F108" s="259"/>
      <c r="G108" s="255"/>
      <c r="H108" s="259"/>
      <c r="I108" s="240"/>
      <c r="J108" s="252"/>
    </row>
    <row r="109" spans="1:10" x14ac:dyDescent="0.2">
      <c r="A109" s="233">
        <f>A107+1</f>
        <v>11</v>
      </c>
      <c r="C109" s="225" t="s">
        <v>531</v>
      </c>
      <c r="D109" s="242"/>
      <c r="G109" s="224"/>
      <c r="H109" s="224"/>
      <c r="I109" s="224"/>
      <c r="J109" s="224"/>
    </row>
    <row r="110" spans="1:10" x14ac:dyDescent="0.2">
      <c r="A110" s="233"/>
      <c r="D110" s="242"/>
      <c r="G110" s="224"/>
      <c r="H110" s="224"/>
      <c r="I110" s="224"/>
      <c r="J110" s="224"/>
    </row>
    <row r="111" spans="1:10" x14ac:dyDescent="0.2">
      <c r="A111" s="233">
        <f>A109+1</f>
        <v>12</v>
      </c>
      <c r="C111" s="221" t="str">
        <f>C13</f>
        <v>GSR/GTR Residential</v>
      </c>
      <c r="D111" s="236"/>
      <c r="E111" s="237"/>
      <c r="F111" s="238">
        <f>'Sch M 2.2'!Q414+'Sch M 2.2'!Q835</f>
        <v>1009202.28</v>
      </c>
      <c r="G111" s="239">
        <f>H111-F111</f>
        <v>0</v>
      </c>
      <c r="H111" s="239">
        <f>'Sch M 2.3'!Q411+'Sch M 2.3'!Q834</f>
        <v>1009202.28</v>
      </c>
      <c r="I111" s="240">
        <f t="shared" ref="I111" si="20">IF(F111=0,0,ROUND(G111/F111,4))</f>
        <v>0</v>
      </c>
      <c r="J111" s="240"/>
    </row>
    <row r="112" spans="1:10" ht="10.8" thickBot="1" x14ac:dyDescent="0.25">
      <c r="A112" s="233"/>
      <c r="D112" s="236"/>
      <c r="E112" s="237"/>
      <c r="F112" s="238"/>
      <c r="G112" s="239"/>
      <c r="H112" s="239"/>
      <c r="I112" s="240"/>
      <c r="J112" s="240"/>
    </row>
    <row r="113" spans="1:15" ht="10.8" thickBot="1" x14ac:dyDescent="0.25">
      <c r="A113" s="233">
        <f>A111+1</f>
        <v>13</v>
      </c>
      <c r="C113" s="221" t="s">
        <v>530</v>
      </c>
      <c r="D113" s="258"/>
      <c r="E113" s="259"/>
      <c r="F113" s="250">
        <f>SUM(F111:F112)</f>
        <v>1009202.28</v>
      </c>
      <c r="G113" s="251">
        <f>SUM(G111:G112)</f>
        <v>0</v>
      </c>
      <c r="H113" s="250">
        <f>SUM(H111:H112)</f>
        <v>1009202.28</v>
      </c>
      <c r="I113" s="252">
        <f>ROUND(G113/F113,4)</f>
        <v>0</v>
      </c>
      <c r="J113" s="252"/>
      <c r="L113" s="759" t="s">
        <v>439</v>
      </c>
      <c r="M113" s="760">
        <f>F113+F107+F101+F78+F121-F42+SUM(F36:F40)</f>
        <v>-1.4901161193847656E-8</v>
      </c>
      <c r="N113" s="760">
        <f>G113+G107+G101+G78+G121-G42+SUM(G36:G40)</f>
        <v>3.7252902984619141E-9</v>
      </c>
      <c r="O113" s="760">
        <f>H113+H107+H101+H78+H121-H42+SUM(H36:H40)</f>
        <v>-2.9802322387695313E-8</v>
      </c>
    </row>
    <row r="114" spans="1:15" ht="10.8" thickTop="1" x14ac:dyDescent="0.2">
      <c r="D114" s="258"/>
      <c r="E114" s="259"/>
      <c r="F114" s="259"/>
      <c r="G114" s="259"/>
      <c r="H114" s="256"/>
      <c r="I114" s="224"/>
      <c r="J114" s="224"/>
    </row>
    <row r="115" spans="1:15" x14ac:dyDescent="0.2">
      <c r="A115" s="233">
        <f>A113+1</f>
        <v>14</v>
      </c>
      <c r="C115" s="225" t="s">
        <v>539</v>
      </c>
      <c r="D115" s="242"/>
      <c r="G115" s="224"/>
      <c r="H115" s="224"/>
      <c r="I115" s="224"/>
      <c r="J115" s="224"/>
    </row>
    <row r="116" spans="1:15" x14ac:dyDescent="0.2">
      <c r="A116" s="233"/>
      <c r="D116" s="242"/>
      <c r="G116" s="224"/>
      <c r="H116" s="224"/>
      <c r="I116" s="224"/>
      <c r="J116" s="224"/>
    </row>
    <row r="117" spans="1:15" x14ac:dyDescent="0.2">
      <c r="A117" s="233">
        <f>A115+1</f>
        <v>15</v>
      </c>
      <c r="C117" s="221" t="str">
        <f>C57</f>
        <v>GSR/GTR Residential</v>
      </c>
      <c r="D117" s="236"/>
      <c r="E117" s="237"/>
      <c r="F117" s="236">
        <f>'Sch M 2.2'!Q415+'Sch M 2.1'!F19</f>
        <v>162450.1</v>
      </c>
      <c r="G117" s="244">
        <f t="shared" ref="G117:G119" si="21">H117-F117</f>
        <v>0</v>
      </c>
      <c r="H117" s="244">
        <f>'Sch M 2.3'!Q412</f>
        <v>162450.1</v>
      </c>
      <c r="I117" s="240">
        <f t="shared" ref="I117:I119" si="22">IF(F117=0,0,ROUND(G117/F117,4))</f>
        <v>0</v>
      </c>
      <c r="J117" s="240"/>
    </row>
    <row r="118" spans="1:15" x14ac:dyDescent="0.2">
      <c r="A118" s="233">
        <f t="shared" ref="A118" si="23">A117+1</f>
        <v>16</v>
      </c>
      <c r="C118" s="221" t="str">
        <f>C58</f>
        <v>GSO/GTO/GDS</v>
      </c>
      <c r="D118" s="236"/>
      <c r="E118" s="237"/>
      <c r="F118" s="236">
        <f>'Sch M 2.2'!Q675+'Sch M 2.2'!Q725+'Sch M 2.1'!F29+'Sch M 2.1'!F30</f>
        <v>89920.089999999982</v>
      </c>
      <c r="G118" s="244">
        <f t="shared" si="21"/>
        <v>5.0000000032014214E-2</v>
      </c>
      <c r="H118" s="244">
        <f>'Sch M 2.3'!Q672+'Sch M 2.3'!Q723</f>
        <v>89920.140000000014</v>
      </c>
      <c r="I118" s="240">
        <f t="shared" si="22"/>
        <v>0</v>
      </c>
      <c r="J118" s="240"/>
    </row>
    <row r="119" spans="1:15" x14ac:dyDescent="0.2">
      <c r="A119" s="233">
        <f>A118+1</f>
        <v>17</v>
      </c>
      <c r="C119" s="221" t="str">
        <f>C61</f>
        <v>IUS</v>
      </c>
      <c r="D119" s="236"/>
      <c r="E119" s="237"/>
      <c r="F119" s="236">
        <f>'Sch M 2.2'!Q795+'Sch M 2.1'!F32</f>
        <v>294.35999999999996</v>
      </c>
      <c r="G119" s="244">
        <f t="shared" si="21"/>
        <v>-2.9999999999972715E-2</v>
      </c>
      <c r="H119" s="244">
        <f>'Sch M 2.3'!Q792</f>
        <v>294.33</v>
      </c>
      <c r="I119" s="240">
        <f t="shared" si="22"/>
        <v>-1E-4</v>
      </c>
      <c r="J119" s="240"/>
    </row>
    <row r="120" spans="1:15" x14ac:dyDescent="0.2">
      <c r="A120" s="233"/>
      <c r="D120" s="242"/>
      <c r="E120" s="247"/>
      <c r="G120" s="224"/>
      <c r="I120" s="240"/>
      <c r="J120" s="240"/>
    </row>
    <row r="121" spans="1:15" ht="10.8" thickBot="1" x14ac:dyDescent="0.25">
      <c r="A121" s="233">
        <f>A119+1</f>
        <v>18</v>
      </c>
      <c r="C121" s="221" t="s">
        <v>540</v>
      </c>
      <c r="D121" s="258"/>
      <c r="E121" s="259"/>
      <c r="F121" s="250">
        <f>SUM(F117:F119)</f>
        <v>252664.55</v>
      </c>
      <c r="G121" s="250">
        <f>SUM(G117:G119)</f>
        <v>2.0000000032041498E-2</v>
      </c>
      <c r="H121" s="250">
        <f>SUM(H117:H119)</f>
        <v>252664.57</v>
      </c>
      <c r="I121" s="252">
        <f>ROUND(G121/F121,4)</f>
        <v>0</v>
      </c>
      <c r="J121" s="252"/>
    </row>
    <row r="122" spans="1:15" ht="10.8" thickTop="1" x14ac:dyDescent="0.2">
      <c r="D122" s="258"/>
      <c r="E122" s="259"/>
      <c r="F122" s="259"/>
      <c r="G122" s="259"/>
      <c r="H122" s="256"/>
      <c r="I122" s="224"/>
      <c r="J122" s="224"/>
    </row>
    <row r="123" spans="1:15" x14ac:dyDescent="0.2">
      <c r="A123" s="872" t="str">
        <f>A1</f>
        <v>Columbia Gas of Kentucky, Inc.</v>
      </c>
      <c r="B123" s="872"/>
      <c r="C123" s="872"/>
      <c r="D123" s="872"/>
      <c r="E123" s="872"/>
      <c r="F123" s="872"/>
      <c r="G123" s="872"/>
      <c r="H123" s="872"/>
      <c r="I123" s="413"/>
      <c r="J123" s="222" t="str">
        <f>J1</f>
        <v>Attachment MPB-1</v>
      </c>
      <c r="K123" s="222"/>
    </row>
    <row r="124" spans="1:15" x14ac:dyDescent="0.2">
      <c r="A124" s="893" t="s">
        <v>431</v>
      </c>
      <c r="B124" s="893"/>
      <c r="C124" s="893"/>
      <c r="D124" s="893"/>
      <c r="E124" s="893"/>
      <c r="F124" s="893"/>
      <c r="G124" s="893"/>
      <c r="H124" s="893"/>
      <c r="I124" s="414"/>
      <c r="J124" s="222" t="s">
        <v>641</v>
      </c>
      <c r="K124" s="222"/>
    </row>
    <row r="125" spans="1:15" x14ac:dyDescent="0.2">
      <c r="A125" s="872" t="str">
        <f>A!$A$3</f>
        <v>For the 12 Months Ended December 31, 2017</v>
      </c>
      <c r="B125" s="872"/>
      <c r="C125" s="872"/>
      <c r="D125" s="872"/>
      <c r="E125" s="872"/>
      <c r="F125" s="872"/>
      <c r="G125" s="872"/>
      <c r="H125" s="872"/>
      <c r="I125" s="413"/>
      <c r="J125" s="223" t="str">
        <f>J3</f>
        <v>Witness: M. P. Balmert</v>
      </c>
    </row>
    <row r="126" spans="1:15" x14ac:dyDescent="0.2">
      <c r="I126" s="224"/>
      <c r="J126" s="224"/>
    </row>
    <row r="127" spans="1:15" x14ac:dyDescent="0.2">
      <c r="A127" s="226" t="s">
        <v>1</v>
      </c>
      <c r="B127" s="226"/>
      <c r="C127" s="225"/>
      <c r="D127" s="226"/>
      <c r="E127" s="226" t="s">
        <v>440</v>
      </c>
      <c r="F127" s="226"/>
      <c r="G127" s="226"/>
      <c r="H127" s="226"/>
      <c r="I127" s="413"/>
      <c r="J127" s="413"/>
      <c r="K127" s="226"/>
    </row>
    <row r="128" spans="1:15" x14ac:dyDescent="0.2">
      <c r="A128" s="228" t="s">
        <v>3</v>
      </c>
      <c r="B128" s="228"/>
      <c r="C128" s="229" t="s">
        <v>4</v>
      </c>
      <c r="D128" s="228" t="s">
        <v>9</v>
      </c>
      <c r="E128" s="228" t="s">
        <v>532</v>
      </c>
      <c r="F128" s="228" t="s">
        <v>173</v>
      </c>
      <c r="G128" s="228" t="s">
        <v>526</v>
      </c>
      <c r="H128" s="228" t="s">
        <v>92</v>
      </c>
      <c r="I128" s="228" t="s">
        <v>541</v>
      </c>
      <c r="J128" s="262"/>
      <c r="K128" s="229"/>
    </row>
    <row r="129" spans="1:13" x14ac:dyDescent="0.2">
      <c r="C129" s="225"/>
      <c r="D129" s="226" t="s">
        <v>6</v>
      </c>
      <c r="E129" s="226" t="s">
        <v>7</v>
      </c>
      <c r="F129" s="231" t="s">
        <v>21</v>
      </c>
      <c r="G129" s="231" t="s">
        <v>8</v>
      </c>
      <c r="H129" s="231" t="s">
        <v>402</v>
      </c>
      <c r="I129" s="418" t="s">
        <v>403</v>
      </c>
      <c r="J129" s="413"/>
      <c r="K129" s="226"/>
    </row>
    <row r="130" spans="1:13" x14ac:dyDescent="0.2">
      <c r="C130" s="225"/>
      <c r="D130" s="226"/>
      <c r="E130" s="226"/>
      <c r="F130" s="231"/>
      <c r="G130" s="231"/>
      <c r="H130" s="231"/>
      <c r="I130" s="232"/>
      <c r="J130" s="413"/>
      <c r="K130" s="226"/>
    </row>
    <row r="131" spans="1:13" x14ac:dyDescent="0.2">
      <c r="A131" s="233">
        <v>1</v>
      </c>
      <c r="C131" s="225" t="s">
        <v>441</v>
      </c>
      <c r="D131" s="226"/>
      <c r="E131" s="226"/>
      <c r="F131" s="231"/>
      <c r="G131" s="231"/>
      <c r="H131" s="231"/>
      <c r="I131" s="232"/>
      <c r="J131" s="413"/>
      <c r="K131" s="226"/>
    </row>
    <row r="132" spans="1:13" x14ac:dyDescent="0.2">
      <c r="C132" s="266"/>
      <c r="D132" s="226"/>
      <c r="E132" s="226"/>
      <c r="F132" s="231"/>
      <c r="G132" s="231"/>
      <c r="H132" s="231"/>
      <c r="I132" s="232"/>
      <c r="J132" s="413"/>
      <c r="K132" s="226"/>
    </row>
    <row r="133" spans="1:13" x14ac:dyDescent="0.2">
      <c r="A133" s="263">
        <f>A131+1</f>
        <v>2</v>
      </c>
      <c r="B133" s="224"/>
      <c r="C133" s="224" t="s">
        <v>624</v>
      </c>
      <c r="D133" s="264">
        <f>SUM(E133:K133)</f>
        <v>253360797</v>
      </c>
      <c r="E133" s="756">
        <v>162668511</v>
      </c>
      <c r="F133" s="756">
        <v>57415257</v>
      </c>
      <c r="G133" s="756">
        <v>32693845</v>
      </c>
      <c r="H133" s="756">
        <v>97824</v>
      </c>
      <c r="I133" s="756">
        <v>485360</v>
      </c>
      <c r="J133" s="413"/>
      <c r="K133" s="226"/>
    </row>
    <row r="134" spans="1:13" x14ac:dyDescent="0.2">
      <c r="A134" s="263"/>
      <c r="B134" s="224"/>
      <c r="C134" s="224"/>
      <c r="D134" s="224"/>
      <c r="E134" s="413"/>
      <c r="F134" s="232"/>
      <c r="G134" s="232"/>
      <c r="H134" s="858"/>
      <c r="I134" s="858"/>
      <c r="J134" s="413"/>
      <c r="K134" s="226"/>
    </row>
    <row r="135" spans="1:13" x14ac:dyDescent="0.2">
      <c r="A135" s="263">
        <f>A133+1</f>
        <v>3</v>
      </c>
      <c r="B135" s="224"/>
      <c r="C135" s="224" t="s">
        <v>585</v>
      </c>
      <c r="D135" s="265">
        <v>1</v>
      </c>
      <c r="E135" s="265">
        <f>ROUND(0.0034/0.0235,5)</f>
        <v>0.14468</v>
      </c>
      <c r="F135" s="265">
        <f>ROUND(0.087/0.0235,5)</f>
        <v>3.7021299999999999</v>
      </c>
      <c r="G135" s="265">
        <f>ROUND(0.0044/0.0235,5)</f>
        <v>0.18723000000000001</v>
      </c>
      <c r="H135" s="265">
        <f>ROUND(0.075/0.0235,5)</f>
        <v>3.1914899999999999</v>
      </c>
      <c r="I135" s="265">
        <f>ROUND(0.5245/0.0235,5)</f>
        <v>22.31915</v>
      </c>
      <c r="J135" s="413"/>
      <c r="K135" s="226"/>
    </row>
    <row r="136" spans="1:13" x14ac:dyDescent="0.2">
      <c r="A136" s="263">
        <f>A135+1</f>
        <v>4</v>
      </c>
      <c r="B136" s="224"/>
      <c r="C136" s="266" t="s">
        <v>442</v>
      </c>
      <c r="D136" s="267">
        <v>1</v>
      </c>
      <c r="E136" s="267">
        <v>0.76939100000000005</v>
      </c>
      <c r="F136" s="267">
        <v>1.8859999999999999</v>
      </c>
      <c r="G136" s="267">
        <v>0.51224499999999995</v>
      </c>
      <c r="H136" s="267">
        <v>1.4915</v>
      </c>
      <c r="I136" s="267">
        <v>6.2361500000000003</v>
      </c>
      <c r="J136" s="413"/>
      <c r="K136" s="226"/>
    </row>
    <row r="137" spans="1:13" x14ac:dyDescent="0.2">
      <c r="A137" s="263">
        <f>A136+1</f>
        <v>5</v>
      </c>
      <c r="B137" s="224"/>
      <c r="C137" s="266" t="s">
        <v>443</v>
      </c>
      <c r="D137" s="268">
        <f>D136-D135</f>
        <v>0</v>
      </c>
      <c r="E137" s="268">
        <f t="shared" ref="E137:G137" si="24">E136-E135</f>
        <v>0.62471100000000002</v>
      </c>
      <c r="F137" s="268">
        <f t="shared" si="24"/>
        <v>-1.81613</v>
      </c>
      <c r="G137" s="268">
        <f t="shared" si="24"/>
        <v>0.32501499999999994</v>
      </c>
      <c r="H137" s="268">
        <f>H136-H135</f>
        <v>-1.6999899999999999</v>
      </c>
      <c r="I137" s="268">
        <f>I136-I135</f>
        <v>-16.082999999999998</v>
      </c>
      <c r="J137" s="413"/>
      <c r="K137" s="226"/>
    </row>
    <row r="138" spans="1:13" x14ac:dyDescent="0.2">
      <c r="A138" s="263"/>
      <c r="B138" s="224"/>
      <c r="C138" s="266"/>
      <c r="D138" s="269"/>
      <c r="E138" s="269"/>
      <c r="F138" s="269"/>
      <c r="G138" s="269"/>
      <c r="H138" s="269"/>
      <c r="I138" s="858"/>
      <c r="J138" s="413"/>
      <c r="K138" s="226"/>
    </row>
    <row r="139" spans="1:13" ht="10.8" thickBot="1" x14ac:dyDescent="0.25">
      <c r="A139" s="263">
        <f>A137+1</f>
        <v>6</v>
      </c>
      <c r="B139" s="224"/>
      <c r="C139" s="224" t="s">
        <v>444</v>
      </c>
      <c r="D139" s="270">
        <v>8.4099999999999994E-2</v>
      </c>
      <c r="E139" s="271">
        <f>ROUND(E136*$D139,9)</f>
        <v>6.4705783000000003E-2</v>
      </c>
      <c r="F139" s="271">
        <f t="shared" ref="F139:H139" si="25">ROUND(F136*$D139,9)</f>
        <v>0.15861259999999999</v>
      </c>
      <c r="G139" s="271">
        <f t="shared" si="25"/>
        <v>4.3079804999999999E-2</v>
      </c>
      <c r="H139" s="271">
        <f t="shared" si="25"/>
        <v>0.12543515</v>
      </c>
      <c r="I139" s="271">
        <f t="shared" ref="I139" si="26">ROUND(I136*$D139,9)</f>
        <v>0.52446021499999995</v>
      </c>
      <c r="J139" s="413"/>
      <c r="K139" s="226"/>
    </row>
    <row r="140" spans="1:13" ht="10.8" thickBot="1" x14ac:dyDescent="0.25">
      <c r="A140" s="263">
        <f t="shared" ref="A140:A145" si="27">A139+1</f>
        <v>7</v>
      </c>
      <c r="B140" s="224"/>
      <c r="C140" s="224" t="str">
        <f>"Net Operating Income @ Requested Return (Line "&amp;A133&amp;" x Line "&amp;A139&amp;")"</f>
        <v>Net Operating Income @ Requested Return (Line 2 x Line 6)</v>
      </c>
      <c r="D140" s="264">
        <f>ROUND(D133*D139,0)</f>
        <v>21307643</v>
      </c>
      <c r="E140" s="264">
        <f>ROUND(E133*E139,0)</f>
        <v>10525593</v>
      </c>
      <c r="F140" s="264">
        <f t="shared" ref="F140:G140" si="28">ROUND(F133*F139,0)</f>
        <v>9106783</v>
      </c>
      <c r="G140" s="264">
        <f t="shared" si="28"/>
        <v>1408444</v>
      </c>
      <c r="H140" s="264">
        <f>ROUND(H133*H139,0)</f>
        <v>12271</v>
      </c>
      <c r="I140" s="264">
        <f>ROUND(I133*I139,0)</f>
        <v>254552</v>
      </c>
      <c r="J140" s="413"/>
      <c r="K140" s="226"/>
      <c r="L140" s="261" t="s">
        <v>439</v>
      </c>
      <c r="M140" s="272">
        <f>D140-SUM(E140:I140)</f>
        <v>0</v>
      </c>
    </row>
    <row r="141" spans="1:13" x14ac:dyDescent="0.2">
      <c r="A141" s="263">
        <f t="shared" si="27"/>
        <v>8</v>
      </c>
      <c r="B141" s="224"/>
      <c r="C141" s="224" t="s">
        <v>586</v>
      </c>
      <c r="D141" s="273">
        <f>SUM(E141:I141)</f>
        <v>5955982</v>
      </c>
      <c r="E141" s="757">
        <v>553639</v>
      </c>
      <c r="F141" s="757">
        <v>4995219</v>
      </c>
      <c r="G141" s="757">
        <v>145234</v>
      </c>
      <c r="H141" s="757">
        <v>7338</v>
      </c>
      <c r="I141" s="757">
        <v>254552</v>
      </c>
      <c r="J141" s="413"/>
      <c r="K141" s="226"/>
    </row>
    <row r="142" spans="1:13" ht="10.8" thickBot="1" x14ac:dyDescent="0.25">
      <c r="A142" s="263">
        <f t="shared" si="27"/>
        <v>9</v>
      </c>
      <c r="B142" s="224"/>
      <c r="C142" s="224" t="str">
        <f>"Income Deficiency (Line "&amp;A140&amp;" - Line "&amp;A141&amp;")"</f>
        <v>Income Deficiency (Line 7 - Line 8)</v>
      </c>
      <c r="D142" s="264">
        <f>D140-D141</f>
        <v>15351661</v>
      </c>
      <c r="E142" s="264">
        <f t="shared" ref="E142:G142" si="29">E140-E141</f>
        <v>9971954</v>
      </c>
      <c r="F142" s="264">
        <f t="shared" si="29"/>
        <v>4111564</v>
      </c>
      <c r="G142" s="264">
        <f t="shared" si="29"/>
        <v>1263210</v>
      </c>
      <c r="H142" s="264">
        <f>H140-H141</f>
        <v>4933</v>
      </c>
      <c r="I142" s="264">
        <f>I140-I141</f>
        <v>0</v>
      </c>
      <c r="J142" s="413"/>
      <c r="K142" s="226"/>
    </row>
    <row r="143" spans="1:13" ht="10.8" thickBot="1" x14ac:dyDescent="0.25">
      <c r="A143" s="263">
        <f t="shared" si="27"/>
        <v>10</v>
      </c>
      <c r="B143" s="224"/>
      <c r="C143" s="224" t="s">
        <v>445</v>
      </c>
      <c r="D143" s="758">
        <v>1.655089</v>
      </c>
      <c r="E143" s="274">
        <f t="shared" ref="E143:I143" si="30">$D143</f>
        <v>1.655089</v>
      </c>
      <c r="F143" s="274">
        <f t="shared" si="30"/>
        <v>1.655089</v>
      </c>
      <c r="G143" s="274">
        <f t="shared" si="30"/>
        <v>1.655089</v>
      </c>
      <c r="H143" s="274">
        <f t="shared" si="30"/>
        <v>1.655089</v>
      </c>
      <c r="I143" s="274">
        <f t="shared" si="30"/>
        <v>1.655089</v>
      </c>
      <c r="J143" s="413"/>
      <c r="K143" s="226"/>
      <c r="L143" s="261" t="s">
        <v>627</v>
      </c>
      <c r="M143" s="859">
        <f>25408365-D144</f>
        <v>0</v>
      </c>
    </row>
    <row r="144" spans="1:13" ht="10.8" thickBot="1" x14ac:dyDescent="0.25">
      <c r="A144" s="263">
        <f t="shared" si="27"/>
        <v>11</v>
      </c>
      <c r="B144" s="224"/>
      <c r="C144" s="266" t="s">
        <v>587</v>
      </c>
      <c r="D144" s="275">
        <f>SUM(E144:I144)</f>
        <v>25408365</v>
      </c>
      <c r="E144" s="275">
        <f>ROUND(E142*E143,0)</f>
        <v>16504471</v>
      </c>
      <c r="F144" s="275">
        <f>ROUND(F142*F143,0)</f>
        <v>6805004</v>
      </c>
      <c r="G144" s="275">
        <f t="shared" ref="G144" si="31">ROUND(G142*G143,0)</f>
        <v>2090725</v>
      </c>
      <c r="H144" s="275">
        <f>ROUND(H142*H143,0)</f>
        <v>8165</v>
      </c>
      <c r="I144" s="275">
        <f>ROUND(I142*I143,0)</f>
        <v>0</v>
      </c>
      <c r="J144" s="413"/>
      <c r="K144" s="226"/>
    </row>
    <row r="145" spans="1:51" ht="10.8" thickBot="1" x14ac:dyDescent="0.25">
      <c r="A145" s="263">
        <f t="shared" si="27"/>
        <v>12</v>
      </c>
      <c r="B145" s="224"/>
      <c r="C145" s="266" t="s">
        <v>446</v>
      </c>
      <c r="D145" s="276">
        <f>SUM(E145:K145)</f>
        <v>1</v>
      </c>
      <c r="E145" s="276">
        <f>1-SUM(F145:I145)</f>
        <v>0.64956999999999998</v>
      </c>
      <c r="F145" s="276">
        <f>ROUND(F144/D144,5)</f>
        <v>0.26783000000000001</v>
      </c>
      <c r="G145" s="276">
        <f>ROUND(G144/D144,5)</f>
        <v>8.2280000000000006E-2</v>
      </c>
      <c r="H145" s="276">
        <f>ROUND(H144/D144,5)</f>
        <v>3.2000000000000003E-4</v>
      </c>
      <c r="I145" s="276">
        <f>ROUND(I144/E144,5)</f>
        <v>0</v>
      </c>
      <c r="J145" s="413"/>
      <c r="K145" s="226"/>
      <c r="L145" s="261" t="s">
        <v>625</v>
      </c>
      <c r="M145" s="272">
        <f>G36-D149</f>
        <v>0</v>
      </c>
    </row>
    <row r="146" spans="1:51" x14ac:dyDescent="0.2">
      <c r="A146" s="263"/>
      <c r="B146" s="224"/>
      <c r="C146" s="224"/>
      <c r="D146" s="277"/>
      <c r="E146" s="277"/>
      <c r="F146" s="277"/>
      <c r="G146" s="277"/>
      <c r="H146" s="277"/>
      <c r="I146" s="232"/>
      <c r="J146" s="413"/>
      <c r="K146" s="226"/>
    </row>
    <row r="147" spans="1:51" x14ac:dyDescent="0.2">
      <c r="A147" s="263">
        <f>A145+1</f>
        <v>13</v>
      </c>
      <c r="B147" s="224" t="s">
        <v>454</v>
      </c>
      <c r="C147" s="224" t="s">
        <v>588</v>
      </c>
      <c r="D147" s="764">
        <f>SUM(E147:I147)</f>
        <v>252664.55</v>
      </c>
      <c r="E147" s="764">
        <f>F117</f>
        <v>162450.1</v>
      </c>
      <c r="F147" s="764">
        <f>F118</f>
        <v>89920.089999999982</v>
      </c>
      <c r="G147" s="765">
        <v>0</v>
      </c>
      <c r="H147" s="764">
        <f>F119</f>
        <v>294.35999999999996</v>
      </c>
      <c r="I147" s="765">
        <v>0</v>
      </c>
      <c r="J147" s="809"/>
      <c r="K147" s="811"/>
    </row>
    <row r="148" spans="1:51" x14ac:dyDescent="0.2">
      <c r="A148" s="263">
        <f t="shared" ref="A148" si="32">A147+1</f>
        <v>14</v>
      </c>
      <c r="B148" s="224" t="s">
        <v>589</v>
      </c>
      <c r="C148" s="224" t="s">
        <v>590</v>
      </c>
      <c r="D148" s="764">
        <f>SUM(E148:I148)</f>
        <v>252664.57</v>
      </c>
      <c r="E148" s="764">
        <f>H117</f>
        <v>162450.1</v>
      </c>
      <c r="F148" s="764">
        <f>H118</f>
        <v>89920.140000000014</v>
      </c>
      <c r="G148" s="765">
        <v>0</v>
      </c>
      <c r="H148" s="764">
        <f>H119</f>
        <v>294.33</v>
      </c>
      <c r="I148" s="765">
        <v>0</v>
      </c>
      <c r="J148" s="809"/>
      <c r="K148" s="811"/>
    </row>
    <row r="149" spans="1:51" s="305" customFormat="1" x14ac:dyDescent="0.2">
      <c r="A149" s="263">
        <f t="shared" ref="A149:A150" si="33">A148+1</f>
        <v>15</v>
      </c>
      <c r="B149" s="306" t="s">
        <v>136</v>
      </c>
      <c r="C149" s="306" t="s">
        <v>584</v>
      </c>
      <c r="D149" s="864">
        <v>132048</v>
      </c>
      <c r="E149" s="813">
        <f>D149-SUM(F149:I149)</f>
        <v>118391</v>
      </c>
      <c r="F149" s="813">
        <f>ROUND((D14+D21+D24)/D42*D149,0)</f>
        <v>13573</v>
      </c>
      <c r="G149" s="813">
        <f>ROUND((D15+D16+D28+D29+D31+D32)/D42*D149,0)</f>
        <v>76</v>
      </c>
      <c r="H149" s="813">
        <f>ROUND(D17/D42*D149,0)</f>
        <v>2</v>
      </c>
      <c r="I149" s="813">
        <f>ROUND((D27+D30)/D42*D149,0)</f>
        <v>6</v>
      </c>
      <c r="J149" s="227"/>
      <c r="K149" s="810"/>
    </row>
    <row r="150" spans="1:51" s="769" customFormat="1" x14ac:dyDescent="0.2">
      <c r="A150" s="263">
        <f t="shared" si="33"/>
        <v>16</v>
      </c>
      <c r="B150" s="306"/>
      <c r="C150" s="814" t="s">
        <v>447</v>
      </c>
      <c r="D150" s="815">
        <f>D144-D149+D147-D148</f>
        <v>25276316.98</v>
      </c>
      <c r="E150" s="815">
        <f t="shared" ref="E150:I150" si="34">E144-E149+E147-E148</f>
        <v>16386080</v>
      </c>
      <c r="F150" s="815">
        <f t="shared" si="34"/>
        <v>6791430.9500000002</v>
      </c>
      <c r="G150" s="815">
        <f t="shared" si="34"/>
        <v>2090649</v>
      </c>
      <c r="H150" s="815">
        <f t="shared" si="34"/>
        <v>8163.0300000000007</v>
      </c>
      <c r="I150" s="815">
        <f t="shared" si="34"/>
        <v>-6</v>
      </c>
      <c r="J150" s="306"/>
      <c r="K150" s="305"/>
      <c r="L150" s="305"/>
      <c r="M150" s="305"/>
      <c r="N150" s="305"/>
      <c r="O150" s="305"/>
      <c r="P150" s="305"/>
      <c r="Q150" s="305"/>
      <c r="R150" s="305"/>
      <c r="S150" s="305"/>
      <c r="T150" s="305"/>
      <c r="U150" s="305"/>
      <c r="V150" s="305"/>
      <c r="W150" s="305"/>
      <c r="X150" s="305"/>
      <c r="Y150" s="305"/>
      <c r="Z150" s="305"/>
      <c r="AA150" s="305"/>
      <c r="AB150" s="305"/>
      <c r="AC150" s="305"/>
      <c r="AD150" s="305"/>
      <c r="AE150" s="305"/>
      <c r="AF150" s="305"/>
      <c r="AG150" s="305"/>
      <c r="AH150" s="305"/>
      <c r="AI150" s="305"/>
      <c r="AJ150" s="305"/>
      <c r="AK150" s="305"/>
      <c r="AL150" s="305"/>
      <c r="AM150" s="305"/>
      <c r="AN150" s="305"/>
      <c r="AO150" s="305"/>
      <c r="AP150" s="305"/>
      <c r="AQ150" s="305"/>
      <c r="AR150" s="305"/>
      <c r="AS150" s="305"/>
      <c r="AT150" s="305"/>
      <c r="AU150" s="305"/>
      <c r="AV150" s="305"/>
      <c r="AW150" s="305"/>
      <c r="AX150" s="305"/>
      <c r="AY150" s="305"/>
    </row>
    <row r="151" spans="1:51" x14ac:dyDescent="0.2">
      <c r="A151" s="263">
        <f>A150+1</f>
        <v>17</v>
      </c>
      <c r="B151" s="306"/>
      <c r="C151" s="814" t="s">
        <v>446</v>
      </c>
      <c r="D151" s="816">
        <f>SUM(E151:I151)</f>
        <v>1.0000000000000002</v>
      </c>
      <c r="E151" s="817">
        <f>1-SUM(F151:I151)</f>
        <v>0.64828247897493307</v>
      </c>
      <c r="F151" s="817">
        <f>ROUND(F150/D150,54)</f>
        <v>0.26868752102506699</v>
      </c>
      <c r="G151" s="817">
        <f>ROUND(G150/D150,5)</f>
        <v>8.2710000000000006E-2</v>
      </c>
      <c r="H151" s="817">
        <f>ROUND(H150/D150,5)</f>
        <v>3.2000000000000003E-4</v>
      </c>
      <c r="I151" s="817">
        <f>ROUND(I150/E150,5)</f>
        <v>0</v>
      </c>
      <c r="J151" s="306"/>
      <c r="K151" s="305"/>
      <c r="L151" s="305"/>
      <c r="M151" s="305"/>
      <c r="N151" s="305"/>
      <c r="O151" s="305"/>
      <c r="P151" s="305"/>
      <c r="Q151" s="305"/>
      <c r="R151" s="305"/>
      <c r="S151" s="305"/>
      <c r="T151" s="305"/>
      <c r="U151" s="305"/>
      <c r="V151" s="305"/>
      <c r="W151" s="305"/>
      <c r="X151" s="305"/>
      <c r="Y151" s="305"/>
      <c r="Z151" s="305"/>
      <c r="AA151" s="305"/>
      <c r="AB151" s="305"/>
      <c r="AC151" s="305"/>
      <c r="AD151" s="305"/>
      <c r="AE151" s="305"/>
      <c r="AF151" s="305"/>
      <c r="AG151" s="305"/>
      <c r="AH151" s="305"/>
      <c r="AI151" s="305"/>
      <c r="AJ151" s="305"/>
      <c r="AK151" s="305"/>
      <c r="AL151" s="305"/>
      <c r="AM151" s="305"/>
      <c r="AN151" s="305"/>
      <c r="AO151" s="305"/>
      <c r="AP151" s="305"/>
      <c r="AQ151" s="305"/>
      <c r="AR151" s="305"/>
      <c r="AS151" s="305"/>
      <c r="AT151" s="305"/>
      <c r="AU151" s="305"/>
      <c r="AV151" s="305"/>
      <c r="AW151" s="305"/>
      <c r="AX151" s="305"/>
      <c r="AY151" s="305"/>
    </row>
    <row r="152" spans="1:51" x14ac:dyDescent="0.2">
      <c r="A152" s="263"/>
      <c r="B152" s="306"/>
      <c r="C152" s="814"/>
      <c r="D152" s="818"/>
      <c r="E152" s="817"/>
      <c r="F152" s="817"/>
      <c r="G152" s="817"/>
      <c r="H152" s="817"/>
      <c r="I152" s="817"/>
      <c r="J152" s="306"/>
      <c r="K152" s="305"/>
      <c r="L152" s="305"/>
      <c r="M152" s="305"/>
      <c r="N152" s="305"/>
      <c r="O152" s="305"/>
      <c r="P152" s="305"/>
      <c r="Q152" s="305"/>
      <c r="R152" s="305"/>
      <c r="S152" s="305"/>
      <c r="T152" s="305"/>
      <c r="U152" s="305"/>
      <c r="V152" s="305"/>
      <c r="W152" s="305"/>
      <c r="X152" s="305"/>
      <c r="Y152" s="305"/>
      <c r="Z152" s="305"/>
      <c r="AA152" s="305"/>
      <c r="AB152" s="305"/>
      <c r="AC152" s="305"/>
      <c r="AD152" s="305"/>
      <c r="AE152" s="305"/>
      <c r="AF152" s="305"/>
      <c r="AG152" s="305"/>
      <c r="AH152" s="305"/>
      <c r="AI152" s="305"/>
      <c r="AJ152" s="305"/>
      <c r="AK152" s="305"/>
      <c r="AL152" s="305"/>
      <c r="AM152" s="305"/>
      <c r="AN152" s="305"/>
      <c r="AO152" s="305"/>
      <c r="AP152" s="305"/>
      <c r="AQ152" s="305"/>
      <c r="AR152" s="305"/>
      <c r="AS152" s="305"/>
      <c r="AT152" s="305"/>
      <c r="AU152" s="305"/>
      <c r="AV152" s="305"/>
      <c r="AW152" s="305"/>
      <c r="AX152" s="305"/>
      <c r="AY152" s="305"/>
    </row>
    <row r="153" spans="1:51" x14ac:dyDescent="0.2">
      <c r="A153" s="263">
        <f>A151+1</f>
        <v>18</v>
      </c>
      <c r="B153" s="224"/>
      <c r="C153" s="278" t="s">
        <v>448</v>
      </c>
      <c r="D153" s="281">
        <f>SUM(E153:I153)</f>
        <v>68269431.519999996</v>
      </c>
      <c r="E153" s="282">
        <f>F57+F66+F62+F63+F64+F67+F69+F70</f>
        <v>43271501.18</v>
      </c>
      <c r="F153" s="282">
        <f>F58+F65+F68</f>
        <v>18739331.960000001</v>
      </c>
      <c r="G153" s="282">
        <f>F60+F59+F72+F73+F76+F75</f>
        <v>5756864.0300000003</v>
      </c>
      <c r="H153" s="282">
        <f>F61</f>
        <v>22521.41</v>
      </c>
      <c r="I153" s="282">
        <f>F71+F74</f>
        <v>479212.94000000006</v>
      </c>
      <c r="J153" s="224"/>
    </row>
    <row r="154" spans="1:51" x14ac:dyDescent="0.2">
      <c r="A154" s="263">
        <f>A153+1</f>
        <v>19</v>
      </c>
      <c r="B154" s="224"/>
      <c r="C154" s="278" t="s">
        <v>449</v>
      </c>
      <c r="D154" s="279">
        <f>SUM(E154:I154)</f>
        <v>1</v>
      </c>
      <c r="E154" s="276">
        <f>1-SUM(F154:I154)</f>
        <v>0.63382999999999989</v>
      </c>
      <c r="F154" s="276">
        <f>ROUND(F153/$D$153,5)</f>
        <v>0.27449000000000001</v>
      </c>
      <c r="G154" s="276">
        <f>ROUND(G153/$D$153,5)</f>
        <v>8.4330000000000002E-2</v>
      </c>
      <c r="H154" s="276">
        <f>ROUND(H153/$D$153,5)</f>
        <v>3.3E-4</v>
      </c>
      <c r="I154" s="276">
        <f>ROUND(I153/$D$153,5)</f>
        <v>7.0200000000000002E-3</v>
      </c>
      <c r="J154" s="224"/>
    </row>
    <row r="155" spans="1:51" x14ac:dyDescent="0.2">
      <c r="A155" s="263"/>
      <c r="B155" s="224"/>
      <c r="C155" s="278"/>
      <c r="D155" s="280"/>
      <c r="E155" s="276"/>
      <c r="F155" s="276"/>
      <c r="G155" s="276"/>
      <c r="H155" s="276"/>
      <c r="I155" s="276"/>
      <c r="J155" s="224"/>
    </row>
    <row r="156" spans="1:51" x14ac:dyDescent="0.2">
      <c r="A156" s="263">
        <f>A154+1</f>
        <v>20</v>
      </c>
      <c r="B156" s="224"/>
      <c r="C156" s="278" t="s">
        <v>450</v>
      </c>
      <c r="D156" s="281">
        <f>SUM(E156:I156)</f>
        <v>93545748.5</v>
      </c>
      <c r="E156" s="282">
        <f>E153+E150</f>
        <v>59657581.18</v>
      </c>
      <c r="F156" s="282">
        <f t="shared" ref="F156:H156" si="35">F153+F150</f>
        <v>25530762.91</v>
      </c>
      <c r="G156" s="282">
        <f t="shared" si="35"/>
        <v>7847513.0300000003</v>
      </c>
      <c r="H156" s="282">
        <f t="shared" si="35"/>
        <v>30684.440000000002</v>
      </c>
      <c r="I156" s="282">
        <f t="shared" ref="I156" si="36">I153+I150</f>
        <v>479206.94000000006</v>
      </c>
      <c r="J156" s="224"/>
    </row>
    <row r="157" spans="1:51" x14ac:dyDescent="0.2">
      <c r="A157" s="263">
        <f>A156+1</f>
        <v>21</v>
      </c>
      <c r="B157" s="224"/>
      <c r="C157" s="278" t="s">
        <v>451</v>
      </c>
      <c r="D157" s="279">
        <f>SUM(E157:I157)</f>
        <v>1</v>
      </c>
      <c r="E157" s="276">
        <f>1-SUM(F157:I157)</f>
        <v>0.63773999999999997</v>
      </c>
      <c r="F157" s="276">
        <f>ROUND(F156/$D$156,5)</f>
        <v>0.27292</v>
      </c>
      <c r="G157" s="276">
        <f>ROUND(G156/$D$156,5)</f>
        <v>8.3890000000000006E-2</v>
      </c>
      <c r="H157" s="276">
        <f>ROUND(H156/$D$156,5)</f>
        <v>3.3E-4</v>
      </c>
      <c r="I157" s="276">
        <f>ROUND(I156/$D$156,5)</f>
        <v>5.1200000000000004E-3</v>
      </c>
      <c r="J157" s="224"/>
    </row>
    <row r="158" spans="1:51" x14ac:dyDescent="0.2">
      <c r="A158" s="224"/>
      <c r="B158" s="224"/>
      <c r="C158" s="239"/>
      <c r="D158" s="283"/>
      <c r="E158" s="284"/>
      <c r="F158" s="284"/>
      <c r="G158" s="284"/>
      <c r="H158" s="284"/>
      <c r="I158" s="224"/>
      <c r="J158" s="224"/>
    </row>
    <row r="159" spans="1:51" x14ac:dyDescent="0.2">
      <c r="A159" s="872" t="str">
        <f>A1</f>
        <v>Columbia Gas of Kentucky, Inc.</v>
      </c>
      <c r="B159" s="872"/>
      <c r="C159" s="872"/>
      <c r="D159" s="872"/>
      <c r="E159" s="872"/>
      <c r="F159" s="872"/>
      <c r="G159" s="872"/>
      <c r="H159" s="872"/>
      <c r="I159" s="413"/>
      <c r="J159" s="222" t="str">
        <f>J1</f>
        <v>Attachment MPB-1</v>
      </c>
    </row>
    <row r="160" spans="1:51" x14ac:dyDescent="0.2">
      <c r="A160" s="893" t="s">
        <v>431</v>
      </c>
      <c r="B160" s="893"/>
      <c r="C160" s="893"/>
      <c r="D160" s="893"/>
      <c r="E160" s="893"/>
      <c r="F160" s="893"/>
      <c r="G160" s="893"/>
      <c r="H160" s="893"/>
      <c r="I160" s="414"/>
      <c r="J160" s="222" t="s">
        <v>642</v>
      </c>
    </row>
    <row r="161" spans="1:11" x14ac:dyDescent="0.2">
      <c r="A161" s="872" t="str">
        <f>A!$A$3</f>
        <v>For the 12 Months Ended December 31, 2017</v>
      </c>
      <c r="B161" s="872"/>
      <c r="C161" s="872"/>
      <c r="D161" s="872"/>
      <c r="E161" s="872"/>
      <c r="F161" s="872"/>
      <c r="G161" s="872"/>
      <c r="H161" s="872"/>
      <c r="I161" s="413"/>
      <c r="J161" s="223" t="str">
        <f>J3</f>
        <v>Witness: M. P. Balmert</v>
      </c>
    </row>
    <row r="162" spans="1:11" x14ac:dyDescent="0.2">
      <c r="A162" s="224"/>
      <c r="B162" s="224"/>
      <c r="C162" s="224"/>
      <c r="D162" s="224"/>
      <c r="E162" s="224"/>
      <c r="F162" s="224"/>
      <c r="G162" s="224"/>
      <c r="H162" s="224"/>
      <c r="I162" s="224"/>
      <c r="J162" s="224"/>
    </row>
    <row r="163" spans="1:11" x14ac:dyDescent="0.2">
      <c r="A163" s="224"/>
      <c r="B163" s="224"/>
      <c r="C163" s="224"/>
      <c r="D163" s="224"/>
      <c r="E163" s="224"/>
      <c r="F163" s="413" t="s">
        <v>30</v>
      </c>
      <c r="G163" s="413" t="s">
        <v>30</v>
      </c>
      <c r="H163" s="413" t="s">
        <v>149</v>
      </c>
      <c r="I163" s="413" t="s">
        <v>47</v>
      </c>
      <c r="J163" s="413" t="s">
        <v>30</v>
      </c>
      <c r="K163" s="226"/>
    </row>
    <row r="164" spans="1:11" x14ac:dyDescent="0.2">
      <c r="A164" s="224"/>
      <c r="B164" s="224"/>
      <c r="C164" s="224"/>
      <c r="D164" s="285" t="s">
        <v>25</v>
      </c>
      <c r="E164" s="285" t="s">
        <v>452</v>
      </c>
      <c r="F164" s="285" t="s">
        <v>0</v>
      </c>
      <c r="G164" s="285" t="s">
        <v>20</v>
      </c>
      <c r="H164" s="285" t="s">
        <v>20</v>
      </c>
      <c r="I164" s="285" t="s">
        <v>0</v>
      </c>
      <c r="J164" s="230" t="s">
        <v>150</v>
      </c>
      <c r="K164" s="286"/>
    </row>
    <row r="165" spans="1:11" x14ac:dyDescent="0.2">
      <c r="A165" s="224"/>
      <c r="B165" s="224"/>
      <c r="C165" s="224"/>
      <c r="D165" s="224"/>
      <c r="E165" s="224"/>
      <c r="F165" s="287" t="s">
        <v>60</v>
      </c>
      <c r="G165" s="287" t="s">
        <v>60</v>
      </c>
      <c r="H165" s="287" t="s">
        <v>60</v>
      </c>
      <c r="I165" s="287" t="s">
        <v>60</v>
      </c>
      <c r="J165" s="287" t="s">
        <v>60</v>
      </c>
      <c r="K165" s="288"/>
    </row>
    <row r="166" spans="1:11" x14ac:dyDescent="0.2">
      <c r="A166" s="263">
        <v>1</v>
      </c>
      <c r="B166" s="224"/>
      <c r="C166" s="289" t="s">
        <v>160</v>
      </c>
      <c r="D166" s="224"/>
      <c r="E166" s="224"/>
      <c r="F166" s="224"/>
      <c r="G166" s="224"/>
      <c r="H166" s="224"/>
      <c r="I166" s="224"/>
      <c r="J166" s="224"/>
    </row>
    <row r="167" spans="1:11" x14ac:dyDescent="0.2">
      <c r="A167" s="263"/>
      <c r="B167" s="224"/>
      <c r="C167" s="224"/>
      <c r="D167" s="224"/>
      <c r="E167" s="224"/>
      <c r="F167" s="224"/>
      <c r="G167" s="224"/>
      <c r="H167" s="224"/>
      <c r="I167" s="224"/>
      <c r="J167" s="224"/>
    </row>
    <row r="168" spans="1:11" x14ac:dyDescent="0.2">
      <c r="A168" s="263">
        <f>A166+1</f>
        <v>2</v>
      </c>
      <c r="B168" s="224"/>
      <c r="C168" s="224" t="s">
        <v>453</v>
      </c>
      <c r="D168" s="224"/>
      <c r="E168" s="290"/>
      <c r="F168" s="290"/>
      <c r="G168" s="290">
        <f>F13+F22+F18+F19+F20+F23+F25+F26</f>
        <v>58725166.440000005</v>
      </c>
      <c r="H168" s="290"/>
      <c r="I168" s="224"/>
      <c r="J168" s="290"/>
      <c r="K168" s="242"/>
    </row>
    <row r="169" spans="1:11" x14ac:dyDescent="0.2">
      <c r="A169" s="263">
        <f>A168+1</f>
        <v>3</v>
      </c>
      <c r="B169" s="224" t="s">
        <v>136</v>
      </c>
      <c r="C169" s="224" t="s">
        <v>151</v>
      </c>
      <c r="D169" s="224"/>
      <c r="E169" s="290"/>
      <c r="F169" s="290"/>
      <c r="G169" s="291">
        <f>F95+F98</f>
        <v>13807094.589999998</v>
      </c>
      <c r="H169" s="290"/>
      <c r="I169" s="224"/>
      <c r="J169" s="290"/>
      <c r="K169" s="242"/>
    </row>
    <row r="170" spans="1:11" x14ac:dyDescent="0.2">
      <c r="A170" s="263">
        <f>A169+1</f>
        <v>4</v>
      </c>
      <c r="B170" s="224" t="s">
        <v>136</v>
      </c>
      <c r="C170" s="224" t="s">
        <v>539</v>
      </c>
      <c r="D170" s="224"/>
      <c r="E170" s="290"/>
      <c r="F170" s="290"/>
      <c r="G170" s="291">
        <f>F117</f>
        <v>162450.1</v>
      </c>
      <c r="H170" s="290"/>
      <c r="I170" s="224"/>
      <c r="J170" s="290"/>
      <c r="K170" s="242"/>
    </row>
    <row r="171" spans="1:11" x14ac:dyDescent="0.2">
      <c r="A171" s="263">
        <f t="shared" ref="A171:A176" si="37">A170+1</f>
        <v>5</v>
      </c>
      <c r="B171" s="224" t="s">
        <v>136</v>
      </c>
      <c r="C171" s="224" t="s">
        <v>144</v>
      </c>
      <c r="D171" s="224"/>
      <c r="E171" s="290"/>
      <c r="F171" s="290"/>
      <c r="G171" s="291">
        <f>F105</f>
        <v>474918.28999999992</v>
      </c>
      <c r="H171" s="290"/>
      <c r="I171" s="224"/>
      <c r="J171" s="290"/>
      <c r="K171" s="242"/>
    </row>
    <row r="172" spans="1:11" x14ac:dyDescent="0.2">
      <c r="A172" s="263">
        <f t="shared" si="37"/>
        <v>6</v>
      </c>
      <c r="B172" s="224" t="s">
        <v>136</v>
      </c>
      <c r="C172" s="224" t="s">
        <v>460</v>
      </c>
      <c r="D172" s="224"/>
      <c r="E172" s="290"/>
      <c r="F172" s="290"/>
      <c r="G172" s="291">
        <f>F111</f>
        <v>1009202.28</v>
      </c>
      <c r="H172" s="290"/>
      <c r="I172" s="224"/>
      <c r="J172" s="290"/>
      <c r="K172" s="242"/>
    </row>
    <row r="173" spans="1:11" x14ac:dyDescent="0.2">
      <c r="A173" s="263">
        <f t="shared" si="37"/>
        <v>7</v>
      </c>
      <c r="B173" s="224" t="s">
        <v>136</v>
      </c>
      <c r="C173" s="224" t="s">
        <v>545</v>
      </c>
      <c r="D173" s="224"/>
      <c r="E173" s="290"/>
      <c r="F173" s="290"/>
      <c r="G173" s="291">
        <f>F66</f>
        <v>9291.7800000000007</v>
      </c>
      <c r="H173" s="290"/>
      <c r="I173" s="224"/>
      <c r="J173" s="290"/>
      <c r="K173" s="242"/>
    </row>
    <row r="174" spans="1:11" x14ac:dyDescent="0.2">
      <c r="A174" s="263">
        <f t="shared" si="37"/>
        <v>8</v>
      </c>
      <c r="B174" s="224" t="s">
        <v>136</v>
      </c>
      <c r="C174" s="224" t="s">
        <v>546</v>
      </c>
      <c r="D174" s="224"/>
      <c r="E174" s="290"/>
      <c r="F174" s="290"/>
      <c r="G174" s="291">
        <f>F62</f>
        <v>396.08</v>
      </c>
      <c r="H174" s="290"/>
      <c r="I174" s="224"/>
      <c r="J174" s="290"/>
      <c r="K174" s="242"/>
    </row>
    <row r="175" spans="1:11" x14ac:dyDescent="0.2">
      <c r="A175" s="263">
        <f t="shared" si="37"/>
        <v>9</v>
      </c>
      <c r="B175" s="224" t="s">
        <v>136</v>
      </c>
      <c r="C175" s="224" t="s">
        <v>547</v>
      </c>
      <c r="D175" s="224"/>
      <c r="E175" s="290"/>
      <c r="F175" s="290"/>
      <c r="G175" s="291">
        <f>F19</f>
        <v>0</v>
      </c>
      <c r="H175" s="290"/>
      <c r="I175" s="224"/>
      <c r="J175" s="290"/>
      <c r="K175" s="242"/>
    </row>
    <row r="176" spans="1:11" x14ac:dyDescent="0.2">
      <c r="A176" s="263">
        <f t="shared" si="37"/>
        <v>10</v>
      </c>
      <c r="B176" s="224" t="s">
        <v>136</v>
      </c>
      <c r="C176" s="224" t="s">
        <v>548</v>
      </c>
      <c r="D176" s="224"/>
      <c r="E176" s="290"/>
      <c r="F176" s="290"/>
      <c r="G176" s="291">
        <f>F20</f>
        <v>200.16</v>
      </c>
      <c r="H176" s="290"/>
      <c r="I176" s="224"/>
      <c r="J176" s="290"/>
      <c r="K176" s="242"/>
    </row>
    <row r="177" spans="1:12" x14ac:dyDescent="0.2">
      <c r="A177" s="263">
        <f t="shared" ref="A177:A182" si="38">A176+1</f>
        <v>11</v>
      </c>
      <c r="B177" s="224" t="s">
        <v>136</v>
      </c>
      <c r="C177" s="224" t="s">
        <v>549</v>
      </c>
      <c r="D177" s="224"/>
      <c r="E177" s="290"/>
      <c r="F177" s="290"/>
      <c r="G177" s="291">
        <f>F67</f>
        <v>211.84000000000003</v>
      </c>
      <c r="H177" s="290"/>
      <c r="I177" s="224"/>
      <c r="J177" s="290"/>
      <c r="K177" s="242"/>
    </row>
    <row r="178" spans="1:12" x14ac:dyDescent="0.2">
      <c r="A178" s="263">
        <f t="shared" si="38"/>
        <v>12</v>
      </c>
      <c r="B178" s="224" t="s">
        <v>136</v>
      </c>
      <c r="C178" s="224" t="s">
        <v>550</v>
      </c>
      <c r="D178" s="224"/>
      <c r="E178" s="290"/>
      <c r="F178" s="290"/>
      <c r="G178" s="291">
        <f>F69</f>
        <v>255.82</v>
      </c>
      <c r="H178" s="290"/>
      <c r="I178" s="224"/>
      <c r="J178" s="290"/>
      <c r="K178" s="242"/>
    </row>
    <row r="179" spans="1:12" x14ac:dyDescent="0.2">
      <c r="A179" s="263">
        <f t="shared" si="38"/>
        <v>13</v>
      </c>
      <c r="B179" s="224" t="s">
        <v>136</v>
      </c>
      <c r="C179" s="224" t="s">
        <v>551</v>
      </c>
      <c r="D179" s="224"/>
      <c r="E179" s="290"/>
      <c r="F179" s="290"/>
      <c r="G179" s="291">
        <f>F70</f>
        <v>103.04000000000002</v>
      </c>
      <c r="H179" s="290"/>
      <c r="I179" s="224"/>
      <c r="J179" s="290"/>
      <c r="K179" s="242"/>
    </row>
    <row r="180" spans="1:12" x14ac:dyDescent="0.2">
      <c r="A180" s="263">
        <f t="shared" si="38"/>
        <v>14</v>
      </c>
      <c r="B180" s="224" t="s">
        <v>454</v>
      </c>
      <c r="C180" s="224" t="s">
        <v>455</v>
      </c>
      <c r="D180" s="224"/>
      <c r="E180" s="290"/>
      <c r="F180" s="290"/>
      <c r="G180" s="277">
        <f>E150</f>
        <v>16386080</v>
      </c>
      <c r="H180" s="290"/>
      <c r="I180" s="290"/>
      <c r="J180" s="290"/>
      <c r="K180" s="242"/>
    </row>
    <row r="181" spans="1:12" x14ac:dyDescent="0.2">
      <c r="A181" s="263">
        <f t="shared" si="38"/>
        <v>15</v>
      </c>
      <c r="B181" s="224"/>
      <c r="C181" s="224" t="s">
        <v>450</v>
      </c>
      <c r="D181" s="224"/>
      <c r="E181" s="290"/>
      <c r="F181" s="290"/>
      <c r="G181" s="290">
        <f>G168-SUM(G169:G179)+G180</f>
        <v>59647122.460000008</v>
      </c>
      <c r="H181" s="290"/>
      <c r="I181" s="290"/>
      <c r="J181" s="290"/>
      <c r="K181" s="242"/>
    </row>
    <row r="182" spans="1:12" x14ac:dyDescent="0.2">
      <c r="A182" s="263">
        <f t="shared" si="38"/>
        <v>16</v>
      </c>
      <c r="B182" s="224" t="s">
        <v>136</v>
      </c>
      <c r="C182" s="224" t="s">
        <v>552</v>
      </c>
      <c r="D182" s="290">
        <f>D13</f>
        <v>1462612</v>
      </c>
      <c r="E182" s="290"/>
      <c r="F182" s="860">
        <f>ROUND(G180/(H182+H183+H186)*I182,2)+I182-0.93</f>
        <v>19.75</v>
      </c>
      <c r="G182" s="290">
        <f>ROUND(D182*F182,0)</f>
        <v>28886587</v>
      </c>
      <c r="H182" s="290">
        <f>'Sch M 2.2'!Q401+'Sch M 2.2'!Q822</f>
        <v>21939180</v>
      </c>
      <c r="I182" s="292">
        <f>'Sch M 2.2'!D401</f>
        <v>15</v>
      </c>
      <c r="J182" s="290">
        <f>G182-H182</f>
        <v>6947407</v>
      </c>
      <c r="K182" s="293"/>
      <c r="L182" s="294"/>
    </row>
    <row r="183" spans="1:12" x14ac:dyDescent="0.2">
      <c r="A183" s="263">
        <f>A182+1</f>
        <v>17</v>
      </c>
      <c r="B183" s="224" t="s">
        <v>136</v>
      </c>
      <c r="C183" s="224" t="s">
        <v>637</v>
      </c>
      <c r="D183" s="290">
        <f>D182</f>
        <v>1462612</v>
      </c>
      <c r="E183" s="290"/>
      <c r="F183" s="860">
        <v>0</v>
      </c>
      <c r="G183" s="277">
        <f>ROUND(D183*F183,0)</f>
        <v>0</v>
      </c>
      <c r="H183" s="290">
        <f>'Sch M 2.2'!Q402+'Sch M 2.2'!Q823</f>
        <v>3290877</v>
      </c>
      <c r="I183" s="292">
        <f>Input!J19</f>
        <v>2.25</v>
      </c>
      <c r="J183" s="290">
        <f>G183-H183</f>
        <v>-3290877</v>
      </c>
      <c r="K183" s="293"/>
      <c r="L183" s="294"/>
    </row>
    <row r="184" spans="1:12" x14ac:dyDescent="0.2">
      <c r="A184" s="263">
        <f>A183+1</f>
        <v>18</v>
      </c>
      <c r="B184" s="224"/>
      <c r="C184" s="224" t="s">
        <v>152</v>
      </c>
      <c r="D184" s="224"/>
      <c r="E184" s="290"/>
      <c r="F184" s="295"/>
      <c r="G184" s="290">
        <f>G181-G182-G183</f>
        <v>30760535.460000008</v>
      </c>
      <c r="H184" s="290"/>
      <c r="I184" s="290"/>
      <c r="J184" s="290"/>
      <c r="K184" s="296"/>
    </row>
    <row r="185" spans="1:12" x14ac:dyDescent="0.2">
      <c r="A185" s="263"/>
      <c r="B185" s="224"/>
      <c r="C185" s="224"/>
      <c r="D185" s="224"/>
      <c r="E185" s="290"/>
      <c r="F185" s="275"/>
      <c r="G185" s="290"/>
      <c r="H185" s="290"/>
      <c r="I185" s="290"/>
      <c r="J185" s="290"/>
      <c r="K185" s="242"/>
    </row>
    <row r="186" spans="1:12" x14ac:dyDescent="0.2">
      <c r="A186" s="263">
        <f>A184+1</f>
        <v>19</v>
      </c>
      <c r="B186" s="224"/>
      <c r="C186" s="224" t="s">
        <v>110</v>
      </c>
      <c r="D186" s="224"/>
      <c r="E186" s="297">
        <f>E13</f>
        <v>7955080.5000000009</v>
      </c>
      <c r="F186" s="298">
        <f>ROUND((G184/E186),4)</f>
        <v>3.8668</v>
      </c>
      <c r="G186" s="290">
        <f>ROUND(E186*F186,0)</f>
        <v>30760705</v>
      </c>
      <c r="H186" s="290">
        <f>'Sch M 2.2'!Q405+'Sch M 2.2'!Q826</f>
        <v>18030985.459999997</v>
      </c>
      <c r="I186" s="299">
        <f>'Sch M 2.2'!D405</f>
        <v>2.2665999999999999</v>
      </c>
      <c r="J186" s="277">
        <f>G186-H186</f>
        <v>12729719.540000003</v>
      </c>
      <c r="K186" s="242"/>
    </row>
    <row r="187" spans="1:12" x14ac:dyDescent="0.2">
      <c r="A187" s="263">
        <f>A186+1</f>
        <v>20</v>
      </c>
      <c r="B187" s="224"/>
      <c r="C187" s="266" t="s">
        <v>456</v>
      </c>
      <c r="D187" s="266"/>
      <c r="E187" s="300"/>
      <c r="F187" s="275"/>
      <c r="G187" s="301"/>
      <c r="H187" s="301"/>
      <c r="I187" s="302"/>
      <c r="J187" s="275">
        <f>J182+J186+J183</f>
        <v>16386249.540000003</v>
      </c>
      <c r="K187" s="303"/>
      <c r="L187" s="242"/>
    </row>
    <row r="188" spans="1:12" x14ac:dyDescent="0.2">
      <c r="A188" s="306"/>
      <c r="B188" s="306"/>
      <c r="C188" s="306"/>
      <c r="D188" s="306"/>
      <c r="E188" s="308"/>
      <c r="F188" s="308"/>
      <c r="G188" s="308"/>
      <c r="H188" s="308"/>
      <c r="I188" s="308"/>
      <c r="J188" s="308"/>
      <c r="K188" s="304"/>
    </row>
    <row r="189" spans="1:12" x14ac:dyDescent="0.2">
      <c r="A189" s="872" t="str">
        <f>A1</f>
        <v>Columbia Gas of Kentucky, Inc.</v>
      </c>
      <c r="B189" s="872"/>
      <c r="C189" s="872"/>
      <c r="D189" s="872"/>
      <c r="E189" s="872"/>
      <c r="F189" s="872"/>
      <c r="G189" s="872"/>
      <c r="H189" s="872"/>
      <c r="I189" s="747"/>
      <c r="K189" s="222" t="str">
        <f>J1</f>
        <v>Attachment MPB-1</v>
      </c>
    </row>
    <row r="190" spans="1:12" x14ac:dyDescent="0.2">
      <c r="A190" s="893" t="s">
        <v>431</v>
      </c>
      <c r="B190" s="893"/>
      <c r="C190" s="893"/>
      <c r="D190" s="893"/>
      <c r="E190" s="893"/>
      <c r="F190" s="893"/>
      <c r="G190" s="893"/>
      <c r="H190" s="893"/>
      <c r="I190" s="751"/>
      <c r="K190" s="222" t="s">
        <v>643</v>
      </c>
    </row>
    <row r="191" spans="1:12" x14ac:dyDescent="0.2">
      <c r="A191" s="872" t="str">
        <f>A!$A$3</f>
        <v>For the 12 Months Ended December 31, 2017</v>
      </c>
      <c r="B191" s="872"/>
      <c r="C191" s="872"/>
      <c r="D191" s="872"/>
      <c r="E191" s="872"/>
      <c r="F191" s="872"/>
      <c r="G191" s="872"/>
      <c r="H191" s="872"/>
      <c r="I191" s="747"/>
      <c r="K191" s="223" t="str">
        <f>J3</f>
        <v>Witness: M. P. Balmert</v>
      </c>
    </row>
    <row r="192" spans="1:12" x14ac:dyDescent="0.2">
      <c r="A192" s="306"/>
      <c r="B192" s="306"/>
      <c r="C192" s="306"/>
      <c r="D192" s="306"/>
      <c r="E192" s="308"/>
      <c r="F192" s="308"/>
      <c r="G192" s="308"/>
      <c r="H192" s="308"/>
      <c r="I192" s="308"/>
      <c r="J192" s="308"/>
      <c r="K192" s="304"/>
    </row>
    <row r="193" spans="1:11" x14ac:dyDescent="0.2">
      <c r="A193" s="224"/>
      <c r="B193" s="224"/>
      <c r="C193" s="224"/>
      <c r="D193" s="224"/>
      <c r="E193" s="224"/>
      <c r="F193" s="862" t="s">
        <v>30</v>
      </c>
      <c r="G193" s="862" t="s">
        <v>30</v>
      </c>
      <c r="H193" s="862" t="s">
        <v>47</v>
      </c>
      <c r="I193" s="748" t="s">
        <v>561</v>
      </c>
      <c r="J193" s="413" t="s">
        <v>47</v>
      </c>
      <c r="K193" s="413" t="s">
        <v>30</v>
      </c>
    </row>
    <row r="194" spans="1:11" x14ac:dyDescent="0.2">
      <c r="A194" s="224"/>
      <c r="B194" s="224"/>
      <c r="C194" s="224"/>
      <c r="D194" s="285" t="s">
        <v>25</v>
      </c>
      <c r="E194" s="285" t="s">
        <v>452</v>
      </c>
      <c r="F194" s="285" t="s">
        <v>0</v>
      </c>
      <c r="G194" s="285" t="s">
        <v>20</v>
      </c>
      <c r="H194" s="285" t="s">
        <v>20</v>
      </c>
      <c r="I194" s="228" t="s">
        <v>149</v>
      </c>
      <c r="J194" s="285" t="s">
        <v>0</v>
      </c>
      <c r="K194" s="230" t="s">
        <v>150</v>
      </c>
    </row>
    <row r="195" spans="1:11" x14ac:dyDescent="0.2">
      <c r="A195" s="224"/>
      <c r="B195" s="224"/>
      <c r="C195" s="224"/>
      <c r="D195" s="224"/>
      <c r="E195" s="224"/>
      <c r="F195" s="287" t="s">
        <v>60</v>
      </c>
      <c r="G195" s="287" t="s">
        <v>60</v>
      </c>
      <c r="H195" s="287" t="s">
        <v>60</v>
      </c>
      <c r="J195" s="287" t="s">
        <v>60</v>
      </c>
      <c r="K195" s="287" t="s">
        <v>60</v>
      </c>
    </row>
    <row r="196" spans="1:11" x14ac:dyDescent="0.2">
      <c r="A196" s="263">
        <v>1</v>
      </c>
      <c r="B196" s="224"/>
      <c r="C196" s="289" t="s">
        <v>553</v>
      </c>
      <c r="D196" s="224"/>
      <c r="E196" s="224"/>
      <c r="F196" s="224"/>
      <c r="G196" s="224"/>
      <c r="H196" s="224"/>
      <c r="J196" s="224"/>
      <c r="K196" s="224"/>
    </row>
    <row r="197" spans="1:11" x14ac:dyDescent="0.2">
      <c r="A197" s="263"/>
      <c r="B197" s="224"/>
      <c r="C197" s="224"/>
      <c r="D197" s="224"/>
      <c r="E197" s="224"/>
      <c r="F197" s="224"/>
      <c r="G197" s="224"/>
      <c r="H197" s="224"/>
      <c r="J197" s="224"/>
      <c r="K197" s="224"/>
    </row>
    <row r="198" spans="1:11" x14ac:dyDescent="0.2">
      <c r="A198" s="263">
        <f>A196+1</f>
        <v>2</v>
      </c>
      <c r="B198" s="224"/>
      <c r="C198" s="224" t="s">
        <v>453</v>
      </c>
      <c r="D198" s="224"/>
      <c r="E198" s="290"/>
      <c r="F198" s="290"/>
      <c r="G198" s="290">
        <f>F14+F21+F24</f>
        <v>26473099.009999994</v>
      </c>
      <c r="H198" s="290"/>
      <c r="J198" s="290"/>
      <c r="K198" s="290"/>
    </row>
    <row r="199" spans="1:11" x14ac:dyDescent="0.2">
      <c r="A199" s="263">
        <f>A198+1</f>
        <v>3</v>
      </c>
      <c r="B199" s="224" t="s">
        <v>136</v>
      </c>
      <c r="C199" s="224" t="s">
        <v>151</v>
      </c>
      <c r="D199" s="224"/>
      <c r="E199" s="290"/>
      <c r="F199" s="290"/>
      <c r="G199" s="291">
        <f>F96+F97</f>
        <v>7643846.9600000009</v>
      </c>
      <c r="H199" s="290"/>
      <c r="J199" s="290"/>
      <c r="K199" s="290"/>
    </row>
    <row r="200" spans="1:11" x14ac:dyDescent="0.2">
      <c r="A200" s="263">
        <f t="shared" ref="A200:A204" si="39">A199+1</f>
        <v>4</v>
      </c>
      <c r="B200" s="224" t="s">
        <v>136</v>
      </c>
      <c r="C200" s="224" t="s">
        <v>539</v>
      </c>
      <c r="D200" s="224"/>
      <c r="E200" s="290"/>
      <c r="F200" s="290"/>
      <c r="G200" s="291">
        <f>F118</f>
        <v>89920.089999999982</v>
      </c>
      <c r="H200" s="290"/>
      <c r="J200" s="290"/>
      <c r="K200" s="290"/>
    </row>
    <row r="201" spans="1:11" x14ac:dyDescent="0.2">
      <c r="A201" s="263">
        <f t="shared" si="39"/>
        <v>5</v>
      </c>
      <c r="B201" s="224" t="s">
        <v>136</v>
      </c>
      <c r="C201" s="224" t="s">
        <v>554</v>
      </c>
      <c r="D201" s="224"/>
      <c r="E201" s="290"/>
      <c r="F201" s="290"/>
      <c r="G201" s="291">
        <f>F65</f>
        <v>5993.82</v>
      </c>
      <c r="H201" s="290"/>
      <c r="J201" s="290"/>
      <c r="K201" s="290"/>
    </row>
    <row r="202" spans="1:11" x14ac:dyDescent="0.2">
      <c r="A202" s="263">
        <f t="shared" si="39"/>
        <v>6</v>
      </c>
      <c r="B202" s="224" t="s">
        <v>136</v>
      </c>
      <c r="C202" s="224" t="s">
        <v>555</v>
      </c>
      <c r="D202" s="224"/>
      <c r="E202" s="290"/>
      <c r="F202" s="290"/>
      <c r="G202" s="291">
        <f>F68</f>
        <v>248.84000000000003</v>
      </c>
      <c r="H202" s="290"/>
      <c r="J202" s="290"/>
      <c r="K202" s="290"/>
    </row>
    <row r="203" spans="1:11" x14ac:dyDescent="0.2">
      <c r="A203" s="263">
        <f t="shared" si="39"/>
        <v>7</v>
      </c>
      <c r="B203" s="224" t="s">
        <v>454</v>
      </c>
      <c r="C203" s="224" t="s">
        <v>455</v>
      </c>
      <c r="D203" s="224"/>
      <c r="E203" s="290"/>
      <c r="F203" s="290"/>
      <c r="G203" s="277">
        <f>F150</f>
        <v>6791430.9500000002</v>
      </c>
      <c r="H203" s="290"/>
      <c r="J203" s="290"/>
      <c r="K203" s="290"/>
    </row>
    <row r="204" spans="1:11" x14ac:dyDescent="0.2">
      <c r="A204" s="263">
        <f t="shared" si="39"/>
        <v>8</v>
      </c>
      <c r="B204" s="224"/>
      <c r="C204" s="224" t="s">
        <v>457</v>
      </c>
      <c r="D204" s="224"/>
      <c r="E204" s="290"/>
      <c r="F204" s="290"/>
      <c r="G204" s="290">
        <f>G198-SUM(G199:G202)+G203</f>
        <v>25524520.249999993</v>
      </c>
      <c r="H204" s="290"/>
      <c r="J204" s="290"/>
      <c r="K204" s="290"/>
    </row>
    <row r="205" spans="1:11" x14ac:dyDescent="0.2">
      <c r="A205" s="263">
        <f t="shared" ref="A205:A208" si="40">A204+1</f>
        <v>9</v>
      </c>
      <c r="B205" s="224" t="s">
        <v>136</v>
      </c>
      <c r="C205" s="224" t="s">
        <v>552</v>
      </c>
      <c r="D205" s="290">
        <f>D14</f>
        <v>167676</v>
      </c>
      <c r="E205" s="290"/>
      <c r="F205" s="860">
        <f>ROUND(G203/(H205+H206+H207+H214)*J205,2)+J205-0.1</f>
        <v>51</v>
      </c>
      <c r="G205" s="290">
        <f>ROUND(D205*F205,0)</f>
        <v>8551476</v>
      </c>
      <c r="H205" s="290">
        <f>'Sch M 2.2'!Q847+'Sch M 2.2'!Q702+'Sch M 2.2'!Q892+'Sch M 2.2'!Q652+'Sch M 2.2'!Q1003+'Sch M 2.2'!Q1031</f>
        <v>6287850</v>
      </c>
      <c r="J205" s="292">
        <f>'Sch M 2.2'!D652</f>
        <v>37.5</v>
      </c>
      <c r="K205" s="290">
        <f>G205-H205</f>
        <v>2263626</v>
      </c>
    </row>
    <row r="206" spans="1:11" x14ac:dyDescent="0.2">
      <c r="A206" s="263">
        <f t="shared" si="40"/>
        <v>10</v>
      </c>
      <c r="B206" s="224" t="s">
        <v>136</v>
      </c>
      <c r="C206" s="224" t="s">
        <v>626</v>
      </c>
      <c r="D206" s="290">
        <f>'Sch M 2.2'!Q1002+'Sch M 2.2'!Q1030</f>
        <v>325</v>
      </c>
      <c r="E206" s="290"/>
      <c r="F206" s="860">
        <v>0</v>
      </c>
      <c r="G206" s="290">
        <f>ROUND(D206*F206,0)</f>
        <v>0</v>
      </c>
      <c r="H206" s="290">
        <f>'Sch M 2.2'!Q1004+'Sch M 2.2'!Q1032</f>
        <v>18167.5</v>
      </c>
      <c r="J206" s="292">
        <f>'Sch M 2.2'!D1004</f>
        <v>55.9</v>
      </c>
      <c r="K206" s="290">
        <f>G206-H206</f>
        <v>-18167.5</v>
      </c>
    </row>
    <row r="207" spans="1:11" x14ac:dyDescent="0.2">
      <c r="A207" s="263">
        <f t="shared" si="40"/>
        <v>11</v>
      </c>
      <c r="B207" s="224" t="s">
        <v>136</v>
      </c>
      <c r="C207" s="224" t="s">
        <v>637</v>
      </c>
      <c r="D207" s="290">
        <f>D205</f>
        <v>167676</v>
      </c>
      <c r="E207" s="290"/>
      <c r="F207" s="860">
        <v>0</v>
      </c>
      <c r="G207" s="277">
        <f>ROUND(D207*F207,0)</f>
        <v>0</v>
      </c>
      <c r="H207" s="290">
        <f>'Sch M 2.2'!Q848+'Sch M 2.2'!Q703+'Sch M 2.2'!Q893+'Sch M 2.2'!Q653+'Sch M 2.2'!Q1005+'Sch M 2.2'!Q1033</f>
        <v>1344761.52</v>
      </c>
      <c r="I207" s="292"/>
      <c r="J207" s="292">
        <f>'Sch M 2.2'!D653</f>
        <v>8.02</v>
      </c>
      <c r="K207" s="290">
        <f>G207-H207</f>
        <v>-1344761.52</v>
      </c>
    </row>
    <row r="208" spans="1:11" x14ac:dyDescent="0.2">
      <c r="A208" s="263">
        <f t="shared" si="40"/>
        <v>12</v>
      </c>
      <c r="B208" s="224"/>
      <c r="C208" s="224" t="s">
        <v>152</v>
      </c>
      <c r="D208" s="224"/>
      <c r="E208" s="224"/>
      <c r="F208" s="224"/>
      <c r="G208" s="290">
        <f>G204-G205-G206-G207</f>
        <v>16973044.249999993</v>
      </c>
      <c r="H208" s="224"/>
      <c r="I208" s="224"/>
      <c r="J208" s="224"/>
      <c r="K208" s="242"/>
    </row>
    <row r="209" spans="1:12" x14ac:dyDescent="0.2">
      <c r="A209" s="263"/>
      <c r="B209" s="224"/>
      <c r="C209" s="224"/>
      <c r="D209" s="224"/>
      <c r="E209" s="224"/>
      <c r="F209" s="224"/>
      <c r="G209" s="290"/>
      <c r="H209" s="224"/>
      <c r="I209" s="224"/>
      <c r="J209" s="224"/>
      <c r="K209" s="242"/>
    </row>
    <row r="210" spans="1:12" x14ac:dyDescent="0.2">
      <c r="A210" s="263">
        <f>A208+1</f>
        <v>13</v>
      </c>
      <c r="B210" s="224"/>
      <c r="C210" s="224" t="s">
        <v>557</v>
      </c>
      <c r="D210" s="224"/>
      <c r="E210" s="297">
        <f>'Sch M 2.2'!Q656+'Sch M 2.2'!Q706+'Sch M 2.2'!Q851+'Sch M 2.2'!Q896+'Sch M 2.2'!Q1008+'Sch M 2.2'!Q1036</f>
        <v>2323884.9</v>
      </c>
      <c r="F210" s="298">
        <f>ROUND(G210/E210,4)</f>
        <v>3.4714</v>
      </c>
      <c r="G210" s="290">
        <f>ROUND($G$208*I210,0)</f>
        <v>8067128</v>
      </c>
      <c r="H210" s="290">
        <f>'Sch M 2.2'!Q662+'Sch M 2.2'!Q712+'Sch M 2.2'!Q857+'Sch M 2.2'!Q902+'Sch M 2.2'!Q1014+'Sch M 2.2'!Q1042</f>
        <v>5267317.53</v>
      </c>
      <c r="I210" s="761">
        <f>ROUND(H210/$H$214,10)</f>
        <v>0.4752905664</v>
      </c>
      <c r="J210" s="221">
        <f>'Sch M 2.2'!D902</f>
        <v>2.2665999999999999</v>
      </c>
      <c r="K210" s="242">
        <f>G210-H210</f>
        <v>2799810.4699999997</v>
      </c>
      <c r="L210" s="763"/>
    </row>
    <row r="211" spans="1:12" x14ac:dyDescent="0.2">
      <c r="A211" s="263">
        <f>A210+1</f>
        <v>14</v>
      </c>
      <c r="B211" s="224"/>
      <c r="C211" s="224" t="s">
        <v>558</v>
      </c>
      <c r="D211" s="224"/>
      <c r="E211" s="297">
        <f>'Sch M 2.2'!Q657+'Sch M 2.2'!Q707+'Sch M 2.2'!Q852+'Sch M 2.2'!Q897+'Sch M 2.2'!Q1009+'Sch M 2.2'!Q1037</f>
        <v>2223522.2999999998</v>
      </c>
      <c r="F211" s="298">
        <f>ROUND(G211/E211,4)</f>
        <v>2.6833</v>
      </c>
      <c r="G211" s="290">
        <f t="shared" ref="G211:G213" si="41">ROUND($G$208*I211,0)</f>
        <v>5966299</v>
      </c>
      <c r="H211" s="290">
        <f>'Sch M 2.2'!Q663+'Sch M 2.2'!Q713+'Sch M 2.2'!Q858+'Sch M 2.2'!Q903+'Sch M 2.2'!Q1015+'Sch M 2.2'!Q1043</f>
        <v>3895611.0900000008</v>
      </c>
      <c r="I211" s="761">
        <f t="shared" ref="I211:I213" si="42">ROUND(H211/$H$214,10)</f>
        <v>0.35151615429999999</v>
      </c>
      <c r="J211" s="221">
        <f>'Sch M 2.2'!D903</f>
        <v>1.752</v>
      </c>
      <c r="K211" s="242">
        <f>G211-H211</f>
        <v>2070687.9099999992</v>
      </c>
      <c r="L211" s="763"/>
    </row>
    <row r="212" spans="1:12" x14ac:dyDescent="0.2">
      <c r="A212" s="263">
        <f>A211+1</f>
        <v>15</v>
      </c>
      <c r="B212" s="224"/>
      <c r="C212" s="224" t="s">
        <v>559</v>
      </c>
      <c r="D212" s="224"/>
      <c r="E212" s="297">
        <f>'Sch M 2.2'!Q658+'Sch M 2.2'!Q708+'Sch M 2.2'!Q853+'Sch M 2.2'!Q898+'Sch M 2.2'!Q1010+'Sch M 2.2'!Q1038</f>
        <v>655261.09999999986</v>
      </c>
      <c r="F212" s="298">
        <f>ROUND(G212/E212,4)</f>
        <v>2.5514000000000001</v>
      </c>
      <c r="G212" s="290">
        <f t="shared" si="41"/>
        <v>1671832</v>
      </c>
      <c r="H212" s="290">
        <f>'Sch M 2.2'!Q664+'Sch M 2.2'!Q714+'Sch M 2.2'!Q859+'Sch M 2.2'!Q904+'Sch M 2.2'!Q1016+'Sch M 2.2'!Q1044</f>
        <v>1091599.49</v>
      </c>
      <c r="I212" s="761">
        <f t="shared" si="42"/>
        <v>9.8499271599999993E-2</v>
      </c>
      <c r="J212" s="221">
        <f>'Sch M 2.2'!D904</f>
        <v>1.6658999999999999</v>
      </c>
      <c r="K212" s="242">
        <f>G212-H212</f>
        <v>580232.51</v>
      </c>
      <c r="L212" s="763"/>
    </row>
    <row r="213" spans="1:12" x14ac:dyDescent="0.2">
      <c r="A213" s="263">
        <f>A212+1</f>
        <v>16</v>
      </c>
      <c r="B213" s="224"/>
      <c r="C213" s="224" t="s">
        <v>560</v>
      </c>
      <c r="D213" s="224"/>
      <c r="E213" s="522">
        <f>'Sch M 2.2'!Q659+'Sch M 2.2'!Q709+'Sch M 2.2'!Q854+'Sch M 2.2'!Q899+'Sch M 2.2'!Q1011+'Sch M 2.2'!Q1039</f>
        <v>545886.40000000014</v>
      </c>
      <c r="F213" s="866">
        <f>ROUND(G213/E213,4)-0.0001</f>
        <v>2.3222999999999998</v>
      </c>
      <c r="G213" s="277">
        <f t="shared" si="41"/>
        <v>1267785</v>
      </c>
      <c r="H213" s="277">
        <f>'Sch M 2.2'!Q665+'Sch M 2.2'!Q715+'Sch M 2.2'!Q860+'Sch M 2.2'!Q905+'Sch M 2.2'!Q1017+'Sch M 2.2'!Q1045</f>
        <v>827782.16999999993</v>
      </c>
      <c r="I213" s="762">
        <f t="shared" si="42"/>
        <v>7.4694007800000004E-2</v>
      </c>
      <c r="J213" s="221">
        <f>'Sch M 2.2'!D905</f>
        <v>1.5164</v>
      </c>
      <c r="K213" s="438">
        <f>G213-H213</f>
        <v>440002.83000000007</v>
      </c>
      <c r="L213" s="763"/>
    </row>
    <row r="214" spans="1:12" x14ac:dyDescent="0.2">
      <c r="A214" s="263">
        <f>A213+1</f>
        <v>17</v>
      </c>
      <c r="B214" s="224"/>
      <c r="C214" s="224" t="s">
        <v>556</v>
      </c>
      <c r="D214" s="224"/>
      <c r="E214" s="297">
        <f>SUM(E210:E213)</f>
        <v>5748554.6999999993</v>
      </c>
      <c r="F214" s="224"/>
      <c r="G214" s="290">
        <f>SUM(G210:G213)</f>
        <v>16973044</v>
      </c>
      <c r="H214" s="290">
        <f>SUM(H210:H213)</f>
        <v>11082310.280000001</v>
      </c>
      <c r="I214" s="761">
        <f>SUM(I210:I213)</f>
        <v>1.0000000001</v>
      </c>
      <c r="K214" s="242">
        <f>SUM(K210:K213)</f>
        <v>5890733.7199999988</v>
      </c>
      <c r="L214" s="242"/>
    </row>
    <row r="215" spans="1:12" x14ac:dyDescent="0.2">
      <c r="A215" s="263"/>
      <c r="B215" s="224"/>
      <c r="C215" s="266"/>
      <c r="D215" s="266"/>
      <c r="E215" s="300"/>
      <c r="F215" s="301"/>
      <c r="G215" s="275"/>
      <c r="H215" s="275"/>
      <c r="I215" s="266"/>
      <c r="J215" s="275"/>
      <c r="K215" s="303"/>
    </row>
    <row r="216" spans="1:12" x14ac:dyDescent="0.2">
      <c r="A216" s="263">
        <f>A214+1</f>
        <v>18</v>
      </c>
      <c r="B216" s="224"/>
      <c r="C216" s="266" t="s">
        <v>456</v>
      </c>
      <c r="D216" s="266"/>
      <c r="E216" s="300"/>
      <c r="F216" s="275"/>
      <c r="G216" s="275"/>
      <c r="H216" s="275"/>
      <c r="I216" s="302"/>
      <c r="K216" s="275">
        <f>K214+K205+K206+K207</f>
        <v>6791430.6999999993</v>
      </c>
    </row>
    <row r="217" spans="1:12" x14ac:dyDescent="0.2">
      <c r="A217" s="306"/>
      <c r="B217" s="306"/>
      <c r="C217" s="306"/>
      <c r="D217" s="306"/>
      <c r="E217" s="306"/>
      <c r="F217" s="306"/>
      <c r="G217" s="306"/>
      <c r="H217" s="306"/>
      <c r="I217" s="306"/>
      <c r="J217" s="306"/>
      <c r="K217" s="305"/>
    </row>
    <row r="218" spans="1:12" x14ac:dyDescent="0.2">
      <c r="A218" s="872" t="str">
        <f>A1</f>
        <v>Columbia Gas of Kentucky, Inc.</v>
      </c>
      <c r="B218" s="872"/>
      <c r="C218" s="872"/>
      <c r="D218" s="872"/>
      <c r="E218" s="872"/>
      <c r="F218" s="872"/>
      <c r="G218" s="872"/>
      <c r="H218" s="872"/>
      <c r="I218" s="747"/>
      <c r="K218" s="222" t="str">
        <f>J1</f>
        <v>Attachment MPB-1</v>
      </c>
    </row>
    <row r="219" spans="1:12" x14ac:dyDescent="0.2">
      <c r="A219" s="893" t="s">
        <v>431</v>
      </c>
      <c r="B219" s="893"/>
      <c r="C219" s="893"/>
      <c r="D219" s="893"/>
      <c r="E219" s="893"/>
      <c r="F219" s="893"/>
      <c r="G219" s="893"/>
      <c r="H219" s="893"/>
      <c r="I219" s="751"/>
      <c r="K219" s="222" t="s">
        <v>644</v>
      </c>
    </row>
    <row r="220" spans="1:12" x14ac:dyDescent="0.2">
      <c r="A220" s="872" t="str">
        <f>A!$A$3</f>
        <v>For the 12 Months Ended December 31, 2017</v>
      </c>
      <c r="B220" s="872"/>
      <c r="C220" s="872"/>
      <c r="D220" s="872"/>
      <c r="E220" s="872"/>
      <c r="F220" s="872"/>
      <c r="G220" s="872"/>
      <c r="H220" s="872"/>
      <c r="I220" s="747"/>
      <c r="K220" s="223" t="str">
        <f>J3</f>
        <v>Witness: M. P. Balmert</v>
      </c>
    </row>
    <row r="221" spans="1:12" x14ac:dyDescent="0.2">
      <c r="A221" s="306"/>
      <c r="B221" s="306"/>
      <c r="C221" s="306"/>
      <c r="D221" s="306"/>
      <c r="E221" s="308"/>
      <c r="F221" s="308"/>
      <c r="G221" s="308"/>
      <c r="H221" s="308"/>
      <c r="I221" s="308"/>
      <c r="J221" s="308"/>
      <c r="K221" s="304"/>
    </row>
    <row r="222" spans="1:12" x14ac:dyDescent="0.2">
      <c r="A222" s="224"/>
      <c r="B222" s="224"/>
      <c r="C222" s="224"/>
      <c r="D222" s="224"/>
      <c r="E222" s="224"/>
      <c r="F222" s="862" t="s">
        <v>30</v>
      </c>
      <c r="G222" s="862" t="s">
        <v>30</v>
      </c>
      <c r="H222" s="862" t="s">
        <v>47</v>
      </c>
      <c r="I222" s="748" t="s">
        <v>561</v>
      </c>
      <c r="J222" s="747" t="s">
        <v>47</v>
      </c>
      <c r="K222" s="747" t="s">
        <v>30</v>
      </c>
    </row>
    <row r="223" spans="1:12" x14ac:dyDescent="0.2">
      <c r="A223" s="224"/>
      <c r="B223" s="224"/>
      <c r="C223" s="224"/>
      <c r="D223" s="285" t="s">
        <v>25</v>
      </c>
      <c r="E223" s="285" t="s">
        <v>452</v>
      </c>
      <c r="F223" s="285" t="s">
        <v>0</v>
      </c>
      <c r="G223" s="285" t="s">
        <v>20</v>
      </c>
      <c r="H223" s="285" t="s">
        <v>20</v>
      </c>
      <c r="I223" s="228" t="s">
        <v>149</v>
      </c>
      <c r="J223" s="285" t="s">
        <v>0</v>
      </c>
      <c r="K223" s="230" t="s">
        <v>150</v>
      </c>
    </row>
    <row r="224" spans="1:12" x14ac:dyDescent="0.2">
      <c r="A224" s="224"/>
      <c r="B224" s="224"/>
      <c r="C224" s="224"/>
      <c r="D224" s="224"/>
      <c r="E224" s="224"/>
      <c r="F224" s="287" t="s">
        <v>60</v>
      </c>
      <c r="G224" s="287" t="s">
        <v>60</v>
      </c>
      <c r="H224" s="287" t="s">
        <v>60</v>
      </c>
      <c r="J224" s="287" t="s">
        <v>60</v>
      </c>
      <c r="K224" s="287" t="s">
        <v>60</v>
      </c>
    </row>
    <row r="225" spans="1:13" x14ac:dyDescent="0.2">
      <c r="A225" s="263">
        <v>1</v>
      </c>
      <c r="B225" s="224"/>
      <c r="C225" s="289" t="s">
        <v>562</v>
      </c>
      <c r="D225" s="224"/>
      <c r="E225" s="224"/>
      <c r="F225" s="224"/>
      <c r="G225" s="224"/>
      <c r="H225" s="224"/>
      <c r="J225" s="224"/>
      <c r="K225" s="224"/>
    </row>
    <row r="226" spans="1:13" x14ac:dyDescent="0.2">
      <c r="A226" s="263"/>
      <c r="B226" s="224"/>
      <c r="C226" s="224"/>
      <c r="D226" s="224"/>
      <c r="E226" s="224"/>
      <c r="F226" s="224"/>
      <c r="G226" s="224"/>
      <c r="H226" s="224"/>
      <c r="J226" s="224"/>
      <c r="K226" s="224"/>
    </row>
    <row r="227" spans="1:13" x14ac:dyDescent="0.2">
      <c r="A227" s="263">
        <f>A225+1</f>
        <v>2</v>
      </c>
      <c r="B227" s="224"/>
      <c r="C227" s="224" t="s">
        <v>453</v>
      </c>
      <c r="D227" s="224"/>
      <c r="E227" s="290"/>
      <c r="F227" s="290"/>
      <c r="G227" s="290">
        <f>F16+F15+F28+F29+F32+F31</f>
        <v>5756864.0300000003</v>
      </c>
      <c r="H227" s="290"/>
      <c r="J227" s="290"/>
      <c r="K227" s="290"/>
    </row>
    <row r="228" spans="1:13" x14ac:dyDescent="0.2">
      <c r="A228" s="263">
        <f>A227+1</f>
        <v>3</v>
      </c>
      <c r="B228" s="224" t="s">
        <v>136</v>
      </c>
      <c r="C228" s="224" t="s">
        <v>564</v>
      </c>
      <c r="D228" s="224"/>
      <c r="E228" s="290"/>
      <c r="F228" s="290"/>
      <c r="G228" s="291">
        <f>F72</f>
        <v>224062.07999999999</v>
      </c>
      <c r="H228" s="290"/>
      <c r="J228" s="290"/>
      <c r="K228" s="290"/>
    </row>
    <row r="229" spans="1:13" x14ac:dyDescent="0.2">
      <c r="A229" s="263">
        <f t="shared" ref="A229:A237" si="43">A228+1</f>
        <v>4</v>
      </c>
      <c r="B229" s="224" t="s">
        <v>136</v>
      </c>
      <c r="C229" s="224" t="s">
        <v>565</v>
      </c>
      <c r="D229" s="224"/>
      <c r="E229" s="290"/>
      <c r="F229" s="290"/>
      <c r="G229" s="291">
        <f>F73</f>
        <v>221010.71999999997</v>
      </c>
      <c r="H229" s="290"/>
      <c r="J229" s="290"/>
      <c r="K229" s="290"/>
    </row>
    <row r="230" spans="1:13" x14ac:dyDescent="0.2">
      <c r="A230" s="263">
        <f t="shared" si="43"/>
        <v>5</v>
      </c>
      <c r="B230" s="224" t="s">
        <v>136</v>
      </c>
      <c r="C230" s="224" t="s">
        <v>568</v>
      </c>
      <c r="D230" s="224"/>
      <c r="E230" s="290"/>
      <c r="F230" s="290"/>
      <c r="G230" s="291">
        <f>F75</f>
        <v>189660.33000000002</v>
      </c>
      <c r="H230" s="290"/>
      <c r="J230" s="290"/>
      <c r="K230" s="290"/>
    </row>
    <row r="231" spans="1:13" x14ac:dyDescent="0.2">
      <c r="A231" s="263">
        <f t="shared" si="43"/>
        <v>6</v>
      </c>
      <c r="B231" s="224" t="s">
        <v>136</v>
      </c>
      <c r="C231" s="224" t="s">
        <v>566</v>
      </c>
      <c r="D231" s="224"/>
      <c r="E231" s="290"/>
      <c r="F231" s="290"/>
      <c r="G231" s="291">
        <f>F76</f>
        <v>500855.39999999997</v>
      </c>
      <c r="H231" s="290"/>
      <c r="J231" s="290"/>
      <c r="K231" s="290"/>
    </row>
    <row r="232" spans="1:13" x14ac:dyDescent="0.2">
      <c r="A232" s="263">
        <f t="shared" si="43"/>
        <v>7</v>
      </c>
      <c r="B232" s="224" t="s">
        <v>454</v>
      </c>
      <c r="C232" s="224" t="s">
        <v>455</v>
      </c>
      <c r="D232" s="224"/>
      <c r="E232" s="290"/>
      <c r="F232" s="290"/>
      <c r="G232" s="277">
        <f>G150</f>
        <v>2090649</v>
      </c>
      <c r="H232" s="290"/>
      <c r="J232" s="290"/>
      <c r="K232" s="290"/>
    </row>
    <row r="233" spans="1:13" x14ac:dyDescent="0.2">
      <c r="A233" s="263">
        <f t="shared" si="43"/>
        <v>8</v>
      </c>
      <c r="B233" s="224"/>
      <c r="C233" s="224" t="s">
        <v>457</v>
      </c>
      <c r="D233" s="224"/>
      <c r="E233" s="290"/>
      <c r="F233" s="290"/>
      <c r="G233" s="290">
        <f>G227-SUM(G228:G231)+G232</f>
        <v>6711924.5</v>
      </c>
      <c r="H233" s="290"/>
      <c r="J233" s="290"/>
      <c r="K233" s="290"/>
      <c r="M233" s="242"/>
    </row>
    <row r="234" spans="1:13" x14ac:dyDescent="0.2">
      <c r="A234" s="263">
        <f t="shared" si="43"/>
        <v>9</v>
      </c>
      <c r="B234" s="224" t="s">
        <v>136</v>
      </c>
      <c r="C234" s="224" t="s">
        <v>552</v>
      </c>
      <c r="D234" s="290">
        <f>D16+D15</f>
        <v>896</v>
      </c>
      <c r="E234" s="290"/>
      <c r="F234" s="860">
        <f>ROUND(G232/(H234+H235+H236+H241)*J234,2)+J234-0.64</f>
        <v>1461.9999999999998</v>
      </c>
      <c r="G234" s="290">
        <f>ROUND(D234*F234,0)</f>
        <v>1309952</v>
      </c>
      <c r="H234" s="290">
        <f>'Sch M 2.2'!Q753+'Sch M 2.2'!Q937+'Sch M 2.2'!Q962+'Sch M 2.2'!Q1205</f>
        <v>902316.80000000016</v>
      </c>
      <c r="I234" s="224"/>
      <c r="J234" s="292">
        <f>'Sch M 2.2'!D962</f>
        <v>1007.05</v>
      </c>
      <c r="K234" s="290">
        <f>G234-H234</f>
        <v>407635.19999999984</v>
      </c>
      <c r="L234" s="224"/>
      <c r="M234" s="290"/>
    </row>
    <row r="235" spans="1:13" x14ac:dyDescent="0.2">
      <c r="A235" s="263">
        <f t="shared" si="43"/>
        <v>10</v>
      </c>
      <c r="B235" s="224" t="s">
        <v>136</v>
      </c>
      <c r="C235" s="224" t="s">
        <v>626</v>
      </c>
      <c r="D235" s="290">
        <f>D234</f>
        <v>896</v>
      </c>
      <c r="E235" s="290"/>
      <c r="F235" s="860">
        <v>0</v>
      </c>
      <c r="G235" s="290">
        <f>ROUND(D235*F235,0)</f>
        <v>0</v>
      </c>
      <c r="H235" s="290">
        <f>'Sch M 2.2'!Q754+'Sch M 2.2'!Q938+'Sch M 2.2'!Q963+'Sch M 2.2'!Q1206</f>
        <v>50086.399999999994</v>
      </c>
      <c r="I235" s="224"/>
      <c r="J235" s="292">
        <f>'Sch M 2.2'!D963</f>
        <v>55.9</v>
      </c>
      <c r="K235" s="290">
        <f>G235-H235</f>
        <v>-50086.399999999994</v>
      </c>
      <c r="L235" s="224"/>
      <c r="M235" s="290"/>
    </row>
    <row r="236" spans="1:13" x14ac:dyDescent="0.2">
      <c r="A236" s="263">
        <f t="shared" si="43"/>
        <v>11</v>
      </c>
      <c r="B236" s="224" t="s">
        <v>136</v>
      </c>
      <c r="C236" s="224" t="s">
        <v>637</v>
      </c>
      <c r="D236" s="290">
        <f>D234</f>
        <v>896</v>
      </c>
      <c r="E236" s="290"/>
      <c r="F236" s="860">
        <v>0</v>
      </c>
      <c r="G236" s="277">
        <f>ROUND(D236*F236,0)</f>
        <v>0</v>
      </c>
      <c r="H236" s="290">
        <f>'Sch M 2.2'!Q964+'Sch M 2.2'!Q939+'Sch M 2.2'!Q1207+'Sch M 2.2'!Q754</f>
        <v>402832.64000000001</v>
      </c>
      <c r="I236" s="292"/>
      <c r="J236" s="292">
        <f>'Sch M 2.2'!D964</f>
        <v>449.59</v>
      </c>
      <c r="K236" s="290">
        <f>G236-H236</f>
        <v>-402832.64000000001</v>
      </c>
      <c r="L236" s="224"/>
      <c r="M236" s="290"/>
    </row>
    <row r="237" spans="1:13" x14ac:dyDescent="0.2">
      <c r="A237" s="263">
        <f t="shared" si="43"/>
        <v>12</v>
      </c>
      <c r="B237" s="224"/>
      <c r="C237" s="224" t="s">
        <v>152</v>
      </c>
      <c r="D237" s="224"/>
      <c r="E237" s="224"/>
      <c r="F237" s="224"/>
      <c r="G237" s="290">
        <f>G233-G234-G235-G236</f>
        <v>5401972.5</v>
      </c>
      <c r="H237" s="224"/>
      <c r="I237" s="224"/>
      <c r="J237" s="224"/>
      <c r="K237" s="242"/>
      <c r="M237" s="242"/>
    </row>
    <row r="238" spans="1:13" x14ac:dyDescent="0.2">
      <c r="A238" s="263"/>
      <c r="B238" s="224"/>
      <c r="C238" s="224"/>
      <c r="D238" s="224"/>
      <c r="E238" s="224"/>
      <c r="F238" s="224"/>
      <c r="G238" s="290"/>
      <c r="H238" s="224"/>
      <c r="I238" s="224"/>
      <c r="J238" s="224"/>
      <c r="K238" s="242"/>
    </row>
    <row r="239" spans="1:13" x14ac:dyDescent="0.2">
      <c r="A239" s="263">
        <f>A237+1</f>
        <v>13</v>
      </c>
      <c r="B239" s="224"/>
      <c r="C239" s="224" t="s">
        <v>496</v>
      </c>
      <c r="D239" s="224"/>
      <c r="E239" s="297">
        <f>'Sch M 2.2'!Q757+'Sch M 2.2'!Q942+'Sch M 2.2'!Q967</f>
        <v>4984551.3999999994</v>
      </c>
      <c r="F239" s="866">
        <f>ROUND(G239/E239,4)-0.0001</f>
        <v>0.9002</v>
      </c>
      <c r="G239" s="290">
        <f>ROUND($G$237*I239,0)</f>
        <v>4487406</v>
      </c>
      <c r="H239" s="290">
        <f>'Sch M 2.2'!Q761+'Sch M 2.2'!Q946+'Sch M 2.2'!Q971+'Sch M 2.2'!Q1214</f>
        <v>2713091.33</v>
      </c>
      <c r="I239" s="761">
        <f>ROUND(H239/$H$241,10)</f>
        <v>0.83069760699999995</v>
      </c>
      <c r="J239" s="293">
        <f>'Sch M 2.2'!D946</f>
        <v>0.54430000000000001</v>
      </c>
      <c r="K239" s="242">
        <f>G239-H239</f>
        <v>1774314.67</v>
      </c>
    </row>
    <row r="240" spans="1:13" x14ac:dyDescent="0.2">
      <c r="A240" s="263">
        <f>A239+1</f>
        <v>14</v>
      </c>
      <c r="B240" s="224"/>
      <c r="C240" s="224" t="s">
        <v>497</v>
      </c>
      <c r="D240" s="224"/>
      <c r="E240" s="522">
        <f>'Sch M 2.2'!Q758+'Sch M 2.2'!Q943+'Sch M 2.2'!Q968</f>
        <v>1913316</v>
      </c>
      <c r="F240" s="866">
        <f>ROUND(G240/E240,4)+0.0001</f>
        <v>0.47809999999999997</v>
      </c>
      <c r="G240" s="277">
        <f>ROUND($G$237*I240,0)</f>
        <v>914567</v>
      </c>
      <c r="H240" s="277">
        <f>'Sch M 2.2'!Q762+'Sch M 2.2'!Q947+'Sch M 2.2'!Q972+'Sch M 2.2'!Q1215</f>
        <v>552948.32999999996</v>
      </c>
      <c r="I240" s="762">
        <f>ROUND(H240/$H$241,10)</f>
        <v>0.169302393</v>
      </c>
      <c r="J240" s="293">
        <f>'Sch M 2.2'!D947</f>
        <v>0.28899999999999998</v>
      </c>
      <c r="K240" s="438">
        <f>G240-H240</f>
        <v>361618.67000000004</v>
      </c>
    </row>
    <row r="241" spans="1:11" x14ac:dyDescent="0.2">
      <c r="A241" s="263">
        <f>A240+1</f>
        <v>15</v>
      </c>
      <c r="B241" s="224"/>
      <c r="C241" s="224" t="s">
        <v>556</v>
      </c>
      <c r="D241" s="224"/>
      <c r="E241" s="297">
        <f>SUM(E239:E240)</f>
        <v>6897867.3999999994</v>
      </c>
      <c r="F241" s="224"/>
      <c r="G241" s="290">
        <f>SUM(G239:G240)</f>
        <v>5401973</v>
      </c>
      <c r="H241" s="290">
        <f>SUM(H239:H240)</f>
        <v>3266039.66</v>
      </c>
      <c r="I241" s="761">
        <f>SUM(I239:I240)</f>
        <v>1</v>
      </c>
      <c r="K241" s="242">
        <f>SUM(K239:K240)</f>
        <v>2135933.34</v>
      </c>
    </row>
    <row r="242" spans="1:11" x14ac:dyDescent="0.2">
      <c r="A242" s="263"/>
      <c r="B242" s="224"/>
      <c r="C242" s="266"/>
      <c r="D242" s="266"/>
      <c r="E242" s="300"/>
      <c r="F242" s="301"/>
      <c r="G242" s="275"/>
      <c r="H242" s="275"/>
      <c r="I242" s="266"/>
      <c r="J242" s="275"/>
      <c r="K242" s="303"/>
    </row>
    <row r="243" spans="1:11" x14ac:dyDescent="0.2">
      <c r="A243" s="263">
        <f>A241+1</f>
        <v>16</v>
      </c>
      <c r="B243" s="224"/>
      <c r="C243" s="266" t="s">
        <v>456</v>
      </c>
      <c r="D243" s="266"/>
      <c r="E243" s="300"/>
      <c r="F243" s="275"/>
      <c r="G243" s="275"/>
      <c r="H243" s="275"/>
      <c r="I243" s="302"/>
      <c r="K243" s="275">
        <f>K241+K234+K235+K236</f>
        <v>2090649.4999999995</v>
      </c>
    </row>
    <row r="244" spans="1:11" x14ac:dyDescent="0.2">
      <c r="A244" s="263"/>
      <c r="B244" s="224"/>
      <c r="C244" s="266"/>
      <c r="D244" s="266"/>
      <c r="E244" s="300"/>
      <c r="F244" s="275"/>
      <c r="G244" s="275"/>
      <c r="H244" s="275"/>
      <c r="I244" s="302"/>
      <c r="K244" s="275"/>
    </row>
    <row r="245" spans="1:11" x14ac:dyDescent="0.2">
      <c r="A245" s="861"/>
      <c r="B245" s="224"/>
      <c r="C245" s="266"/>
      <c r="D245" s="266"/>
      <c r="E245" s="300"/>
      <c r="F245" s="275"/>
      <c r="G245" s="275"/>
      <c r="H245" s="275"/>
      <c r="I245" s="302"/>
      <c r="K245" s="275"/>
    </row>
    <row r="246" spans="1:11" x14ac:dyDescent="0.2">
      <c r="A246" s="263"/>
      <c r="B246" s="224"/>
      <c r="C246" s="266"/>
      <c r="D246" s="266"/>
      <c r="E246" s="300"/>
      <c r="F246" s="275"/>
      <c r="G246" s="275"/>
      <c r="H246" s="275"/>
      <c r="I246" s="302"/>
      <c r="K246" s="275"/>
    </row>
    <row r="247" spans="1:11" x14ac:dyDescent="0.2">
      <c r="A247" s="872" t="str">
        <f>A1</f>
        <v>Columbia Gas of Kentucky, Inc.</v>
      </c>
      <c r="B247" s="872"/>
      <c r="C247" s="872"/>
      <c r="D247" s="872"/>
      <c r="E247" s="872"/>
      <c r="F247" s="872"/>
      <c r="G247" s="872"/>
      <c r="H247" s="872"/>
      <c r="I247" s="747"/>
      <c r="K247" s="222" t="str">
        <f>J1</f>
        <v>Attachment MPB-1</v>
      </c>
    </row>
    <row r="248" spans="1:11" x14ac:dyDescent="0.2">
      <c r="A248" s="893" t="s">
        <v>431</v>
      </c>
      <c r="B248" s="893"/>
      <c r="C248" s="893"/>
      <c r="D248" s="893"/>
      <c r="E248" s="893"/>
      <c r="F248" s="893"/>
      <c r="G248" s="893"/>
      <c r="H248" s="893"/>
      <c r="I248" s="751"/>
      <c r="K248" s="222" t="s">
        <v>645</v>
      </c>
    </row>
    <row r="249" spans="1:11" x14ac:dyDescent="0.2">
      <c r="A249" s="872" t="str">
        <f>A!$A$3</f>
        <v>For the 12 Months Ended December 31, 2017</v>
      </c>
      <c r="B249" s="872"/>
      <c r="C249" s="872"/>
      <c r="D249" s="872"/>
      <c r="E249" s="872"/>
      <c r="F249" s="872"/>
      <c r="G249" s="872"/>
      <c r="H249" s="872"/>
      <c r="I249" s="747"/>
      <c r="K249" s="223" t="str">
        <f>J3</f>
        <v>Witness: M. P. Balmert</v>
      </c>
    </row>
    <row r="250" spans="1:11" x14ac:dyDescent="0.2">
      <c r="A250" s="306"/>
      <c r="B250" s="306"/>
      <c r="C250" s="306"/>
      <c r="D250" s="306"/>
      <c r="E250" s="308"/>
      <c r="F250" s="308"/>
      <c r="G250" s="308"/>
      <c r="H250" s="308"/>
      <c r="I250" s="308"/>
      <c r="J250" s="308"/>
      <c r="K250" s="304"/>
    </row>
    <row r="251" spans="1:11" x14ac:dyDescent="0.2">
      <c r="A251" s="224"/>
      <c r="B251" s="224"/>
      <c r="C251" s="224"/>
      <c r="D251" s="224"/>
      <c r="E251" s="224"/>
      <c r="F251" s="862" t="s">
        <v>30</v>
      </c>
      <c r="G251" s="862" t="s">
        <v>30</v>
      </c>
      <c r="H251" s="862" t="s">
        <v>47</v>
      </c>
      <c r="I251" s="748" t="s">
        <v>561</v>
      </c>
      <c r="J251" s="747" t="s">
        <v>47</v>
      </c>
      <c r="K251" s="747" t="s">
        <v>30</v>
      </c>
    </row>
    <row r="252" spans="1:11" x14ac:dyDescent="0.2">
      <c r="A252" s="224"/>
      <c r="B252" s="224"/>
      <c r="C252" s="224"/>
      <c r="D252" s="285" t="s">
        <v>25</v>
      </c>
      <c r="E252" s="285" t="s">
        <v>452</v>
      </c>
      <c r="F252" s="285" t="s">
        <v>0</v>
      </c>
      <c r="G252" s="285" t="s">
        <v>20</v>
      </c>
      <c r="H252" s="285" t="s">
        <v>20</v>
      </c>
      <c r="I252" s="228" t="s">
        <v>149</v>
      </c>
      <c r="J252" s="285" t="s">
        <v>0</v>
      </c>
      <c r="K252" s="230" t="s">
        <v>150</v>
      </c>
    </row>
    <row r="253" spans="1:11" x14ac:dyDescent="0.2">
      <c r="A253" s="224"/>
      <c r="B253" s="224"/>
      <c r="C253" s="224"/>
      <c r="D253" s="224"/>
      <c r="E253" s="224"/>
      <c r="F253" s="287" t="s">
        <v>60</v>
      </c>
      <c r="G253" s="287" t="s">
        <v>60</v>
      </c>
      <c r="H253" s="287" t="s">
        <v>60</v>
      </c>
      <c r="J253" s="287" t="s">
        <v>60</v>
      </c>
      <c r="K253" s="287" t="s">
        <v>60</v>
      </c>
    </row>
    <row r="254" spans="1:11" x14ac:dyDescent="0.2">
      <c r="A254" s="263">
        <v>1</v>
      </c>
      <c r="B254" s="224"/>
      <c r="C254" s="289" t="s">
        <v>569</v>
      </c>
      <c r="D254" s="224"/>
      <c r="E254" s="224"/>
      <c r="F254" s="224"/>
      <c r="G254" s="224"/>
      <c r="H254" s="224"/>
      <c r="J254" s="224"/>
      <c r="K254" s="224"/>
    </row>
    <row r="255" spans="1:11" x14ac:dyDescent="0.2">
      <c r="A255" s="263"/>
      <c r="B255" s="224"/>
      <c r="C255" s="224"/>
      <c r="D255" s="224"/>
      <c r="E255" s="224"/>
      <c r="F255" s="224"/>
      <c r="G255" s="224"/>
      <c r="H255" s="224"/>
      <c r="J255" s="224"/>
      <c r="K255" s="224"/>
    </row>
    <row r="256" spans="1:11" x14ac:dyDescent="0.2">
      <c r="A256" s="263">
        <f>A254+1</f>
        <v>2</v>
      </c>
      <c r="B256" s="224"/>
      <c r="C256" s="224" t="s">
        <v>453</v>
      </c>
      <c r="D256" s="224"/>
      <c r="E256" s="290"/>
      <c r="F256" s="290"/>
      <c r="G256" s="290">
        <f>F17</f>
        <v>47824.330000000009</v>
      </c>
      <c r="H256" s="290"/>
      <c r="J256" s="290"/>
      <c r="K256" s="290"/>
    </row>
    <row r="257" spans="1:11" x14ac:dyDescent="0.2">
      <c r="A257" s="263">
        <f>A256+1</f>
        <v>3</v>
      </c>
      <c r="B257" s="224" t="s">
        <v>136</v>
      </c>
      <c r="C257" s="224" t="s">
        <v>352</v>
      </c>
      <c r="D257" s="224"/>
      <c r="E257" s="290"/>
      <c r="F257" s="290"/>
      <c r="G257" s="291">
        <f>F99</f>
        <v>25008.560000000001</v>
      </c>
      <c r="H257" s="290"/>
      <c r="J257" s="290"/>
      <c r="K257" s="290"/>
    </row>
    <row r="258" spans="1:11" x14ac:dyDescent="0.2">
      <c r="A258" s="263">
        <f>A257+1</f>
        <v>4</v>
      </c>
      <c r="B258" s="224" t="s">
        <v>136</v>
      </c>
      <c r="C258" s="224" t="s">
        <v>539</v>
      </c>
      <c r="D258" s="224"/>
      <c r="E258" s="290"/>
      <c r="F258" s="290"/>
      <c r="G258" s="291">
        <f>F119</f>
        <v>294.35999999999996</v>
      </c>
      <c r="H258" s="290"/>
      <c r="J258" s="290"/>
      <c r="K258" s="290"/>
    </row>
    <row r="259" spans="1:11" x14ac:dyDescent="0.2">
      <c r="A259" s="263">
        <f>A258+1</f>
        <v>5</v>
      </c>
      <c r="B259" s="224" t="s">
        <v>454</v>
      </c>
      <c r="C259" s="224" t="s">
        <v>455</v>
      </c>
      <c r="D259" s="224"/>
      <c r="E259" s="290"/>
      <c r="F259" s="290"/>
      <c r="G259" s="277">
        <f>H150</f>
        <v>8163.0300000000007</v>
      </c>
      <c r="H259" s="290"/>
      <c r="J259" s="290"/>
      <c r="K259" s="290"/>
    </row>
    <row r="260" spans="1:11" x14ac:dyDescent="0.2">
      <c r="A260" s="263">
        <f>A259+1</f>
        <v>6</v>
      </c>
      <c r="B260" s="224"/>
      <c r="C260" s="224" t="s">
        <v>457</v>
      </c>
      <c r="D260" s="224"/>
      <c r="E260" s="290"/>
      <c r="F260" s="290"/>
      <c r="G260" s="290">
        <f>G256-SUM(G257:G258)+G259</f>
        <v>30684.44000000001</v>
      </c>
      <c r="H260" s="290"/>
      <c r="J260" s="290"/>
      <c r="K260" s="290"/>
    </row>
    <row r="261" spans="1:11" x14ac:dyDescent="0.2">
      <c r="A261" s="263">
        <f>A260+1</f>
        <v>7</v>
      </c>
      <c r="B261" s="224" t="s">
        <v>136</v>
      </c>
      <c r="C261" s="224" t="s">
        <v>552</v>
      </c>
      <c r="D261" s="290">
        <f>D17</f>
        <v>24</v>
      </c>
      <c r="E261" s="290"/>
      <c r="F261" s="860">
        <f>ROUND(G259/(H261+H262+H263+H266)*J261,2)+J261-0.89</f>
        <v>649</v>
      </c>
      <c r="G261" s="290">
        <f>ROUND(D261*F261,0)</f>
        <v>15576</v>
      </c>
      <c r="H261" s="290">
        <f>'Sch M 2.2'!Q782</f>
        <v>11448</v>
      </c>
      <c r="J261" s="292">
        <f>'Sch M 2.2'!D782</f>
        <v>477</v>
      </c>
      <c r="K261" s="290">
        <f>G261-H261</f>
        <v>4128</v>
      </c>
    </row>
    <row r="262" spans="1:11" x14ac:dyDescent="0.2">
      <c r="A262" s="263">
        <f t="shared" ref="A262" si="44">A261+1</f>
        <v>8</v>
      </c>
      <c r="B262" s="224" t="s">
        <v>136</v>
      </c>
      <c r="C262" s="224" t="s">
        <v>637</v>
      </c>
      <c r="D262" s="290">
        <f>D261</f>
        <v>24</v>
      </c>
      <c r="E262" s="290"/>
      <c r="F262" s="860">
        <v>0</v>
      </c>
      <c r="G262" s="277">
        <f>ROUND(D262*F262,0)</f>
        <v>0</v>
      </c>
      <c r="H262" s="290">
        <f>'Sch M 2.2'!Q783</f>
        <v>1847.0400000000002</v>
      </c>
      <c r="I262" s="292"/>
      <c r="J262" s="292">
        <f>'Sch M 2.2'!D783</f>
        <v>76.959999999999994</v>
      </c>
      <c r="K262" s="290">
        <f>G262-H262</f>
        <v>-1847.0400000000002</v>
      </c>
    </row>
    <row r="263" spans="1:11" x14ac:dyDescent="0.2">
      <c r="A263" s="263">
        <f>A262+1</f>
        <v>9</v>
      </c>
      <c r="B263" s="224"/>
      <c r="C263" s="224" t="s">
        <v>152</v>
      </c>
      <c r="D263" s="224"/>
      <c r="E263" s="224"/>
      <c r="F263" s="224"/>
      <c r="G263" s="290">
        <f>G260-G261-G262</f>
        <v>15108.44000000001</v>
      </c>
      <c r="H263" s="224"/>
      <c r="I263" s="224"/>
      <c r="J263" s="224"/>
      <c r="K263" s="242"/>
    </row>
    <row r="264" spans="1:11" x14ac:dyDescent="0.2">
      <c r="A264" s="263"/>
      <c r="B264" s="224"/>
      <c r="C264" s="224"/>
      <c r="D264" s="224"/>
      <c r="E264" s="224"/>
      <c r="F264" s="224"/>
      <c r="G264" s="290"/>
      <c r="H264" s="224"/>
      <c r="I264" s="224"/>
      <c r="J264" s="224"/>
      <c r="K264" s="242"/>
    </row>
    <row r="265" spans="1:11" x14ac:dyDescent="0.2">
      <c r="A265" s="263">
        <f>A263+1</f>
        <v>10</v>
      </c>
      <c r="B265" s="224"/>
      <c r="C265" s="224" t="s">
        <v>110</v>
      </c>
      <c r="D265" s="224"/>
      <c r="E265" s="522">
        <f>'Sch M 2.2'!Q785</f>
        <v>11320.699999999999</v>
      </c>
      <c r="F265" s="866">
        <f>IF(E265=0,0,ROUND(G265/E265,4))-0.0051</f>
        <v>1.3294999999999999</v>
      </c>
      <c r="G265" s="277">
        <f>G263</f>
        <v>15108.44000000001</v>
      </c>
      <c r="H265" s="290">
        <f>'Sch M 2.2'!Q786</f>
        <v>9226.369999999999</v>
      </c>
      <c r="I265" s="761"/>
      <c r="J265" s="293">
        <f>'Sch M 2.2'!D786</f>
        <v>0.81499999999999995</v>
      </c>
      <c r="K265" s="438">
        <f>G265-H265</f>
        <v>5882.0700000000106</v>
      </c>
    </row>
    <row r="266" spans="1:11" x14ac:dyDescent="0.2">
      <c r="A266" s="263">
        <f>A265+1</f>
        <v>11</v>
      </c>
      <c r="B266" s="224"/>
      <c r="C266" s="224" t="s">
        <v>556</v>
      </c>
      <c r="D266" s="224"/>
      <c r="E266" s="297">
        <f>SUM(E265:E265)</f>
        <v>11320.699999999999</v>
      </c>
      <c r="F266" s="224"/>
      <c r="G266" s="290">
        <f>SUM(G265:G265)</f>
        <v>15108.44000000001</v>
      </c>
      <c r="H266" s="290">
        <f>SUM(H265:H265)</f>
        <v>9226.369999999999</v>
      </c>
      <c r="I266" s="761"/>
      <c r="K266" s="242">
        <f>SUM(K265:K265)</f>
        <v>5882.0700000000106</v>
      </c>
    </row>
    <row r="267" spans="1:11" x14ac:dyDescent="0.2">
      <c r="A267" s="263"/>
      <c r="B267" s="224"/>
      <c r="C267" s="266"/>
      <c r="D267" s="266"/>
      <c r="E267" s="300"/>
      <c r="F267" s="301"/>
      <c r="G267" s="275"/>
      <c r="H267" s="275"/>
      <c r="I267" s="266"/>
      <c r="J267" s="275"/>
      <c r="K267" s="303"/>
    </row>
    <row r="268" spans="1:11" x14ac:dyDescent="0.2">
      <c r="A268" s="263">
        <f>A266+1</f>
        <v>12</v>
      </c>
      <c r="B268" s="224"/>
      <c r="C268" s="266" t="s">
        <v>456</v>
      </c>
      <c r="D268" s="266"/>
      <c r="E268" s="300"/>
      <c r="F268" s="275"/>
      <c r="G268" s="275"/>
      <c r="H268" s="275"/>
      <c r="I268" s="302"/>
      <c r="K268" s="275">
        <f>K266+K261+K262</f>
        <v>8163.0300000000107</v>
      </c>
    </row>
    <row r="269" spans="1:11" x14ac:dyDescent="0.2">
      <c r="A269" s="263"/>
      <c r="B269" s="224"/>
      <c r="C269" s="266"/>
      <c r="D269" s="266"/>
      <c r="E269" s="300"/>
      <c r="F269" s="275"/>
      <c r="G269" s="275"/>
      <c r="H269" s="275"/>
      <c r="I269" s="302"/>
      <c r="K269" s="275"/>
    </row>
    <row r="270" spans="1:11" x14ac:dyDescent="0.2">
      <c r="A270" s="263">
        <f>A268+1</f>
        <v>13</v>
      </c>
      <c r="B270" s="224"/>
      <c r="C270" s="289" t="s">
        <v>563</v>
      </c>
      <c r="D270" s="224"/>
      <c r="E270" s="224"/>
      <c r="F270" s="224"/>
      <c r="G270" s="224"/>
      <c r="H270" s="224"/>
      <c r="J270" s="224"/>
      <c r="K270" s="224"/>
    </row>
    <row r="271" spans="1:11" x14ac:dyDescent="0.2">
      <c r="A271" s="263"/>
      <c r="B271" s="224"/>
      <c r="C271" s="224"/>
      <c r="D271" s="224"/>
      <c r="E271" s="224"/>
      <c r="F271" s="224"/>
      <c r="G271" s="224"/>
      <c r="H271" s="224"/>
      <c r="J271" s="224"/>
      <c r="K271" s="224"/>
    </row>
    <row r="272" spans="1:11" x14ac:dyDescent="0.2">
      <c r="A272" s="263">
        <f>A270+1</f>
        <v>14</v>
      </c>
      <c r="B272" s="224"/>
      <c r="C272" s="224" t="s">
        <v>453</v>
      </c>
      <c r="D272" s="224"/>
      <c r="E272" s="290"/>
      <c r="F272" s="290"/>
      <c r="G272" s="290">
        <f>F27+F30</f>
        <v>479212.93999999994</v>
      </c>
      <c r="H272" s="290"/>
      <c r="J272" s="290"/>
      <c r="K272" s="290"/>
    </row>
    <row r="273" spans="1:11" x14ac:dyDescent="0.2">
      <c r="A273" s="263">
        <f>A272+1</f>
        <v>15</v>
      </c>
      <c r="B273" s="224" t="s">
        <v>136</v>
      </c>
      <c r="C273" s="224" t="s">
        <v>567</v>
      </c>
      <c r="D273" s="224"/>
      <c r="E273" s="290"/>
      <c r="F273" s="290"/>
      <c r="G273" s="291">
        <f>F74</f>
        <v>411572.36000000004</v>
      </c>
      <c r="H273" s="290"/>
      <c r="J273" s="290"/>
      <c r="K273" s="290"/>
    </row>
    <row r="274" spans="1:11" x14ac:dyDescent="0.2">
      <c r="A274" s="263">
        <f t="shared" ref="A274:A275" si="45">A273+1</f>
        <v>16</v>
      </c>
      <c r="B274" s="224" t="s">
        <v>454</v>
      </c>
      <c r="C274" s="224" t="s">
        <v>455</v>
      </c>
      <c r="D274" s="224"/>
      <c r="E274" s="290"/>
      <c r="F274" s="290"/>
      <c r="G274" s="277">
        <f>I150</f>
        <v>-6</v>
      </c>
      <c r="H274" s="290"/>
      <c r="J274" s="290"/>
      <c r="K274" s="290"/>
    </row>
    <row r="275" spans="1:11" x14ac:dyDescent="0.2">
      <c r="A275" s="263">
        <f t="shared" si="45"/>
        <v>17</v>
      </c>
      <c r="B275" s="224"/>
      <c r="C275" s="224" t="s">
        <v>457</v>
      </c>
      <c r="D275" s="224"/>
      <c r="E275" s="290"/>
      <c r="F275" s="290"/>
      <c r="G275" s="290">
        <f>G272-SUM(G273:G273)+G274</f>
        <v>67634.5799999999</v>
      </c>
      <c r="H275" s="290"/>
      <c r="J275" s="290"/>
      <c r="K275" s="290"/>
    </row>
    <row r="276" spans="1:11" x14ac:dyDescent="0.2">
      <c r="A276" s="263">
        <f t="shared" ref="A276" si="46">A275+1</f>
        <v>18</v>
      </c>
      <c r="B276" s="224" t="s">
        <v>136</v>
      </c>
      <c r="C276" s="224" t="s">
        <v>552</v>
      </c>
      <c r="D276" s="290">
        <f>D71</f>
        <v>36</v>
      </c>
      <c r="E276" s="290"/>
      <c r="F276" s="860">
        <f>(ROUND(J276*(G274/G275),2)+J276)*0+255.9</f>
        <v>255.9</v>
      </c>
      <c r="G276" s="290">
        <f>ROUND(D276*F276,0)</f>
        <v>9212</v>
      </c>
      <c r="H276" s="290">
        <f>'Sch M 2.2'!Q1077</f>
        <v>7200</v>
      </c>
      <c r="J276" s="292">
        <f>'Sch M 2.2'!D1077</f>
        <v>200</v>
      </c>
      <c r="K276" s="290">
        <f>G276-H276</f>
        <v>2012</v>
      </c>
    </row>
    <row r="277" spans="1:11" x14ac:dyDescent="0.2">
      <c r="A277" s="263">
        <f>A276+1</f>
        <v>19</v>
      </c>
      <c r="B277" s="224" t="s">
        <v>136</v>
      </c>
      <c r="C277" s="224" t="s">
        <v>626</v>
      </c>
      <c r="D277" s="290">
        <f>D276</f>
        <v>36</v>
      </c>
      <c r="E277" s="290"/>
      <c r="F277" s="860">
        <v>0</v>
      </c>
      <c r="G277" s="277">
        <f>ROUND(D277*F277,0)</f>
        <v>0</v>
      </c>
      <c r="H277" s="290">
        <f>'Sch M 2.2'!Q1078</f>
        <v>2012.4000000000003</v>
      </c>
      <c r="J277" s="292">
        <f>'Sch M 2.2'!D1078</f>
        <v>55.9</v>
      </c>
      <c r="K277" s="290">
        <f>G277-H277</f>
        <v>-2012.4000000000003</v>
      </c>
    </row>
    <row r="278" spans="1:11" x14ac:dyDescent="0.2">
      <c r="A278" s="263">
        <f>A277+1</f>
        <v>20</v>
      </c>
      <c r="B278" s="224"/>
      <c r="C278" s="224" t="s">
        <v>152</v>
      </c>
      <c r="D278" s="224"/>
      <c r="E278" s="224"/>
      <c r="F278" s="224"/>
      <c r="G278" s="290">
        <f>G275-G276-G277</f>
        <v>58422.5799999999</v>
      </c>
      <c r="H278" s="224"/>
      <c r="I278" s="224"/>
      <c r="J278" s="224"/>
      <c r="K278" s="242"/>
    </row>
    <row r="279" spans="1:11" x14ac:dyDescent="0.2">
      <c r="A279" s="263"/>
      <c r="B279" s="224"/>
      <c r="C279" s="224"/>
      <c r="D279" s="224"/>
      <c r="E279" s="224"/>
      <c r="F279" s="224"/>
      <c r="G279" s="290"/>
      <c r="H279" s="224"/>
      <c r="I279" s="224"/>
      <c r="J279" s="224"/>
      <c r="K279" s="242"/>
    </row>
    <row r="280" spans="1:11" x14ac:dyDescent="0.2">
      <c r="A280" s="263">
        <f>A278+1</f>
        <v>21</v>
      </c>
      <c r="B280" s="224"/>
      <c r="C280" s="224" t="s">
        <v>110</v>
      </c>
      <c r="D280" s="224"/>
      <c r="E280" s="522">
        <f>'Sch M 2.2'!Q1080</f>
        <v>680981</v>
      </c>
      <c r="F280" s="298">
        <f>ROUND(G280/E280,4)</f>
        <v>8.5800000000000001E-2</v>
      </c>
      <c r="G280" s="277">
        <f>G278</f>
        <v>58422.5799999999</v>
      </c>
      <c r="H280" s="277">
        <f>'Sch M 2.2'!Q1081</f>
        <v>58428.179999999993</v>
      </c>
      <c r="I280" s="761"/>
      <c r="J280" s="293">
        <f>'Sch M 2.2'!D1081</f>
        <v>8.5800000000000001E-2</v>
      </c>
      <c r="K280" s="438">
        <f>G280-H280</f>
        <v>-5.6000000000931323</v>
      </c>
    </row>
    <row r="281" spans="1:11" x14ac:dyDescent="0.2">
      <c r="A281" s="263">
        <f>A280+1</f>
        <v>22</v>
      </c>
      <c r="B281" s="224"/>
      <c r="C281" s="224" t="s">
        <v>556</v>
      </c>
      <c r="D281" s="224"/>
      <c r="E281" s="297">
        <f>SUM(E280:E280)</f>
        <v>680981</v>
      </c>
      <c r="F281" s="224"/>
      <c r="G281" s="290">
        <f>SUM(G280:G280)</f>
        <v>58422.5799999999</v>
      </c>
      <c r="H281" s="290">
        <f>SUM(H280:H280)</f>
        <v>58428.179999999993</v>
      </c>
      <c r="I281" s="761"/>
      <c r="K281" s="242">
        <f>SUM(K280:K280)</f>
        <v>-5.6000000000931323</v>
      </c>
    </row>
    <row r="282" spans="1:11" x14ac:dyDescent="0.2">
      <c r="A282" s="263"/>
      <c r="B282" s="224"/>
      <c r="C282" s="266"/>
      <c r="D282" s="266"/>
      <c r="E282" s="300"/>
      <c r="F282" s="301"/>
      <c r="G282" s="275"/>
      <c r="H282" s="275"/>
      <c r="I282" s="266"/>
      <c r="J282" s="275"/>
      <c r="K282" s="303"/>
    </row>
    <row r="283" spans="1:11" x14ac:dyDescent="0.2">
      <c r="A283" s="263">
        <f>A281+1</f>
        <v>23</v>
      </c>
      <c r="B283" s="224"/>
      <c r="C283" s="266" t="s">
        <v>456</v>
      </c>
      <c r="D283" s="266"/>
      <c r="E283" s="300"/>
      <c r="F283" s="275"/>
      <c r="G283" s="275"/>
      <c r="H283" s="275"/>
      <c r="I283" s="302"/>
      <c r="K283" s="275">
        <f>K281+K276+K277</f>
        <v>-6.0000000000934506</v>
      </c>
    </row>
    <row r="284" spans="1:11" x14ac:dyDescent="0.2">
      <c r="A284" s="224"/>
      <c r="B284" s="224"/>
      <c r="C284" s="224"/>
      <c r="D284" s="224"/>
      <c r="E284" s="224"/>
      <c r="F284" s="224"/>
      <c r="G284" s="224"/>
      <c r="H284" s="224"/>
    </row>
    <row r="285" spans="1:11" x14ac:dyDescent="0.2">
      <c r="A285" s="467"/>
      <c r="B285" s="224"/>
      <c r="C285" s="224"/>
      <c r="D285" s="224"/>
      <c r="E285" s="224"/>
      <c r="F285" s="224"/>
      <c r="G285" s="224"/>
      <c r="H285" s="224"/>
    </row>
    <row r="286" spans="1:11" x14ac:dyDescent="0.2">
      <c r="A286" s="224"/>
      <c r="B286" s="224"/>
      <c r="C286" s="224"/>
      <c r="D286" s="224"/>
      <c r="E286" s="224"/>
      <c r="F286" s="224"/>
      <c r="G286" s="224"/>
      <c r="H286" s="224"/>
    </row>
  </sheetData>
  <mergeCells count="24">
    <mergeCell ref="A161:H161"/>
    <mergeCell ref="A218:H218"/>
    <mergeCell ref="A219:H219"/>
    <mergeCell ref="A189:H189"/>
    <mergeCell ref="A123:H123"/>
    <mergeCell ref="A124:H124"/>
    <mergeCell ref="A125:H125"/>
    <mergeCell ref="A159:H159"/>
    <mergeCell ref="A160:H160"/>
    <mergeCell ref="A84:H84"/>
    <mergeCell ref="A1:H1"/>
    <mergeCell ref="A2:H2"/>
    <mergeCell ref="A3:H3"/>
    <mergeCell ref="A82:H82"/>
    <mergeCell ref="A83:H83"/>
    <mergeCell ref="A44:H44"/>
    <mergeCell ref="A45:H45"/>
    <mergeCell ref="A46:H46"/>
    <mergeCell ref="A249:H249"/>
    <mergeCell ref="A247:H247"/>
    <mergeCell ref="A248:H248"/>
    <mergeCell ref="A190:H190"/>
    <mergeCell ref="A191:H191"/>
    <mergeCell ref="A220:H220"/>
  </mergeCells>
  <pageMargins left="0" right="0" top="0.75" bottom="0.75" header="0.3" footer="0.3"/>
  <pageSetup scale="89" orientation="landscape" r:id="rId1"/>
  <rowBreaks count="7" manualBreakCount="7">
    <brk id="43" max="10" man="1"/>
    <brk id="81" max="10" man="1"/>
    <brk id="122" max="10" man="1"/>
    <brk id="158" max="10" man="1"/>
    <brk id="188" max="10" man="1"/>
    <brk id="217" max="10" man="1"/>
    <brk id="246" max="10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7030A0"/>
    <pageSetUpPr fitToPage="1"/>
  </sheetPr>
  <dimension ref="A1:K59"/>
  <sheetViews>
    <sheetView topLeftCell="A28" zoomScale="90" zoomScaleNormal="90" zoomScaleSheetLayoutView="90" workbookViewId="0">
      <selection activeCell="F55" sqref="F55"/>
    </sheetView>
  </sheetViews>
  <sheetFormatPr defaultColWidth="9.6640625" defaultRowHeight="13.2" x14ac:dyDescent="0.25"/>
  <cols>
    <col min="1" max="1" width="10" style="1" bestFit="1" customWidth="1"/>
    <col min="2" max="2" width="9.6640625" style="1"/>
    <col min="3" max="3" width="62.33203125" style="1" customWidth="1"/>
    <col min="4" max="4" width="33.1640625" style="1" customWidth="1"/>
    <col min="5" max="6" width="20.33203125" style="1" bestFit="1" customWidth="1"/>
    <col min="7" max="7" width="14.6640625" style="1" customWidth="1"/>
    <col min="8" max="16384" width="9.6640625" style="1"/>
  </cols>
  <sheetData>
    <row r="1" spans="1:11" x14ac:dyDescent="0.25">
      <c r="G1" s="35" t="s">
        <v>574</v>
      </c>
    </row>
    <row r="2" spans="1:11" x14ac:dyDescent="0.25">
      <c r="G2" s="35" t="s">
        <v>399</v>
      </c>
    </row>
    <row r="3" spans="1:11" x14ac:dyDescent="0.25">
      <c r="G3" s="35" t="s">
        <v>459</v>
      </c>
    </row>
    <row r="4" spans="1:11" x14ac:dyDescent="0.25">
      <c r="A4" s="869" t="str">
        <f>CONAME</f>
        <v>Columbia Gas of Kentucky, Inc.</v>
      </c>
      <c r="B4" s="869"/>
      <c r="C4" s="869"/>
      <c r="D4" s="869"/>
      <c r="E4" s="869"/>
      <c r="F4" s="869"/>
      <c r="G4" s="869"/>
      <c r="H4" s="43"/>
      <c r="I4" s="43"/>
      <c r="J4" s="752"/>
      <c r="K4" s="39"/>
    </row>
    <row r="5" spans="1:11" x14ac:dyDescent="0.25">
      <c r="A5" s="894" t="s">
        <v>575</v>
      </c>
      <c r="B5" s="894"/>
      <c r="C5" s="894"/>
      <c r="D5" s="894"/>
      <c r="E5" s="894"/>
      <c r="F5" s="894"/>
      <c r="G5" s="894"/>
      <c r="H5" s="44"/>
      <c r="I5" s="44"/>
    </row>
    <row r="6" spans="1:11" x14ac:dyDescent="0.25">
      <c r="A6" s="869" t="str">
        <f>TYDESC</f>
        <v>For the 12 Months Ended December 31, 2017</v>
      </c>
      <c r="B6" s="869"/>
      <c r="C6" s="869"/>
      <c r="D6" s="869"/>
      <c r="E6" s="869"/>
      <c r="F6" s="869"/>
      <c r="G6" s="869"/>
      <c r="H6" s="43"/>
      <c r="I6" s="43"/>
    </row>
    <row r="7" spans="1:11" x14ac:dyDescent="0.25">
      <c r="A7" s="36" t="s">
        <v>1</v>
      </c>
      <c r="F7" s="36"/>
      <c r="G7" s="36"/>
      <c r="H7" s="36"/>
      <c r="I7" s="37"/>
      <c r="J7" s="36"/>
      <c r="K7" s="36"/>
    </row>
    <row r="8" spans="1:11" x14ac:dyDescent="0.25">
      <c r="A8" s="5" t="s">
        <v>3</v>
      </c>
      <c r="D8" s="5" t="s">
        <v>186</v>
      </c>
      <c r="E8" s="5" t="s">
        <v>182</v>
      </c>
      <c r="F8" s="5" t="s">
        <v>183</v>
      </c>
      <c r="G8" s="5"/>
      <c r="H8" s="5"/>
      <c r="I8" s="5"/>
      <c r="J8" s="5"/>
      <c r="K8" s="38"/>
    </row>
    <row r="9" spans="1:11" x14ac:dyDescent="0.25">
      <c r="E9" s="41" t="s">
        <v>60</v>
      </c>
      <c r="F9" s="41" t="s">
        <v>60</v>
      </c>
      <c r="G9" s="41"/>
      <c r="H9" s="41"/>
    </row>
    <row r="11" spans="1:11" x14ac:dyDescent="0.25">
      <c r="A11" s="1">
        <v>1</v>
      </c>
      <c r="C11" s="20" t="s">
        <v>181</v>
      </c>
    </row>
    <row r="13" spans="1:11" x14ac:dyDescent="0.25">
      <c r="A13" s="1">
        <f>A11+1</f>
        <v>2</v>
      </c>
      <c r="C13" s="1" t="s">
        <v>187</v>
      </c>
      <c r="F13" s="2">
        <f>'Sch M 2.2'!Q369</f>
        <v>476000</v>
      </c>
    </row>
    <row r="14" spans="1:11" x14ac:dyDescent="0.25">
      <c r="F14" s="2"/>
    </row>
    <row r="15" spans="1:11" x14ac:dyDescent="0.25">
      <c r="A15" s="1">
        <f>A13+1</f>
        <v>3</v>
      </c>
      <c r="C15" s="1" t="s">
        <v>184</v>
      </c>
      <c r="F15" s="2"/>
    </row>
    <row r="16" spans="1:11" x14ac:dyDescent="0.25">
      <c r="F16" s="2"/>
    </row>
    <row r="17" spans="1:8" x14ac:dyDescent="0.25">
      <c r="A17" s="1">
        <f>A15+1</f>
        <v>4</v>
      </c>
      <c r="B17" s="1" t="s">
        <v>75</v>
      </c>
      <c r="C17" s="1" t="str">
        <f>'Sch M 2.1'!B19</f>
        <v>General Service - Residential</v>
      </c>
      <c r="D17" s="1" t="s">
        <v>64</v>
      </c>
      <c r="E17" s="2">
        <f>'Sch M 2.1'!E19</f>
        <v>49618661.620000005</v>
      </c>
      <c r="F17" s="2"/>
      <c r="H17" s="1" t="s">
        <v>339</v>
      </c>
    </row>
    <row r="18" spans="1:8" x14ac:dyDescent="0.25">
      <c r="A18" s="1">
        <f>A17+1</f>
        <v>5</v>
      </c>
      <c r="B18" s="1" t="s">
        <v>77</v>
      </c>
      <c r="C18" s="1" t="str">
        <f>'Sch M 2.1'!B20</f>
        <v>LG&amp;E Commercial</v>
      </c>
      <c r="D18" s="1" t="s">
        <v>64</v>
      </c>
      <c r="E18" s="2">
        <f>'Sch M 2.1'!E20</f>
        <v>9744.43</v>
      </c>
      <c r="F18" s="2"/>
      <c r="H18" s="1" t="s">
        <v>340</v>
      </c>
    </row>
    <row r="19" spans="1:8" x14ac:dyDescent="0.25">
      <c r="A19" s="1">
        <f>A18+1</f>
        <v>6</v>
      </c>
      <c r="B19" s="1" t="s">
        <v>79</v>
      </c>
      <c r="C19" s="1" t="str">
        <f>'Sch M 2.1'!B21</f>
        <v>LG&amp;E Residential</v>
      </c>
      <c r="D19" s="1" t="s">
        <v>64</v>
      </c>
      <c r="E19" s="2">
        <f>'Sch M 2.1'!E21</f>
        <v>13751.73</v>
      </c>
      <c r="F19" s="2"/>
    </row>
    <row r="20" spans="1:8" x14ac:dyDescent="0.25">
      <c r="A20" s="1">
        <f>A19+1</f>
        <v>7</v>
      </c>
      <c r="B20" s="1" t="s">
        <v>74</v>
      </c>
      <c r="C20" s="1" t="str">
        <f>'Sch M 2.1'!B29</f>
        <v>General Service - Commercial</v>
      </c>
      <c r="D20" s="1" t="s">
        <v>64</v>
      </c>
      <c r="E20" s="2">
        <f>'Sch M 2.1'!E29</f>
        <v>18479342.059999999</v>
      </c>
      <c r="F20" s="2"/>
    </row>
    <row r="21" spans="1:8" x14ac:dyDescent="0.25">
      <c r="A21" s="1">
        <f t="shared" ref="A21:A38" si="0">A20+1</f>
        <v>8</v>
      </c>
      <c r="B21" s="1" t="s">
        <v>74</v>
      </c>
      <c r="C21" s="1" t="str">
        <f>'Sch M 2.1'!B30</f>
        <v>General Service - Industrial</v>
      </c>
      <c r="D21" s="1" t="s">
        <v>64</v>
      </c>
      <c r="E21" s="2">
        <f>'Sch M 2.1'!E30</f>
        <v>1407299.0899999999</v>
      </c>
      <c r="F21" s="2"/>
    </row>
    <row r="22" spans="1:8" x14ac:dyDescent="0.25">
      <c r="A22" s="1">
        <f>A21+1</f>
        <v>9</v>
      </c>
      <c r="B22" s="1" t="s">
        <v>283</v>
      </c>
      <c r="C22" s="1" t="str">
        <f>'Sch M 2.1'!B31</f>
        <v>Interruptible Service - Industrial</v>
      </c>
      <c r="D22" s="1" t="s">
        <v>64</v>
      </c>
      <c r="E22" s="2">
        <f>'Sch M 2.1'!E31</f>
        <v>0</v>
      </c>
      <c r="F22" s="2"/>
    </row>
    <row r="23" spans="1:8" x14ac:dyDescent="0.25">
      <c r="A23" s="1">
        <f>A22+1</f>
        <v>10</v>
      </c>
      <c r="B23" s="1" t="s">
        <v>92</v>
      </c>
      <c r="C23" s="1" t="str">
        <f>'Sch M 2.1'!B32</f>
        <v>Intrastate Utility Service - Wholesale</v>
      </c>
      <c r="D23" s="1" t="s">
        <v>64</v>
      </c>
      <c r="E23" s="2">
        <f>'Sch M 2.1'!E32</f>
        <v>47711.12000000001</v>
      </c>
      <c r="F23" s="2"/>
    </row>
    <row r="24" spans="1:8" x14ac:dyDescent="0.25">
      <c r="A24" s="1">
        <f>A23+1</f>
        <v>11</v>
      </c>
      <c r="B24" s="1" t="s">
        <v>96</v>
      </c>
      <c r="C24" s="1" t="str">
        <f>'Sch M 2.1'!B36</f>
        <v xml:space="preserve">GTS Choice - Residential </v>
      </c>
      <c r="D24" s="1" t="s">
        <v>64</v>
      </c>
      <c r="E24" s="2">
        <f>'Sch M 2.1'!E36</f>
        <v>9029105.3399999999</v>
      </c>
      <c r="F24" s="2"/>
    </row>
    <row r="25" spans="1:8" x14ac:dyDescent="0.25">
      <c r="A25" s="1">
        <f>A24+1</f>
        <v>12</v>
      </c>
      <c r="B25" s="1" t="s">
        <v>97</v>
      </c>
      <c r="C25" s="1" t="str">
        <f>'Sch M 2.1'!B37</f>
        <v>GTS Choice - Commercial</v>
      </c>
      <c r="D25" s="1" t="s">
        <v>64</v>
      </c>
      <c r="E25" s="2">
        <f>'Sch M 2.1'!E37</f>
        <v>5787037.3699999992</v>
      </c>
      <c r="F25" s="2"/>
    </row>
    <row r="26" spans="1:8" x14ac:dyDescent="0.25">
      <c r="A26" s="1">
        <f t="shared" si="0"/>
        <v>13</v>
      </c>
      <c r="B26" s="1" t="s">
        <v>97</v>
      </c>
      <c r="C26" s="1" t="str">
        <f>'Sch M 2.1'!B38</f>
        <v>GTS Choice - Industrial</v>
      </c>
      <c r="D26" s="1" t="s">
        <v>64</v>
      </c>
      <c r="E26" s="2">
        <f>'Sch M 2.1'!E38</f>
        <v>127654.24000000002</v>
      </c>
      <c r="F26" s="2"/>
    </row>
    <row r="27" spans="1:8" x14ac:dyDescent="0.25">
      <c r="A27" s="1">
        <f t="shared" si="0"/>
        <v>14</v>
      </c>
      <c r="B27" s="1" t="s">
        <v>161</v>
      </c>
      <c r="C27" s="1" t="str">
        <f>'Sch M 2.1'!B39</f>
        <v>GTS Delivery Service - Commercial</v>
      </c>
      <c r="D27" s="1" t="s">
        <v>64</v>
      </c>
      <c r="E27" s="2">
        <f>'Sch M 2.1'!E39</f>
        <v>1398811.3699999999</v>
      </c>
      <c r="F27" s="2"/>
    </row>
    <row r="28" spans="1:8" x14ac:dyDescent="0.25">
      <c r="A28" s="1">
        <f t="shared" si="0"/>
        <v>15</v>
      </c>
      <c r="B28" s="1" t="s">
        <v>161</v>
      </c>
      <c r="C28" s="1" t="str">
        <f>'Sch M 2.1'!B40</f>
        <v>GTS Delivery Service - Industrial</v>
      </c>
      <c r="D28" s="1" t="s">
        <v>64</v>
      </c>
      <c r="E28" s="2">
        <f>'Sch M 2.1'!E40</f>
        <v>3222464.1300000004</v>
      </c>
      <c r="F28" s="2"/>
    </row>
    <row r="29" spans="1:8" x14ac:dyDescent="0.25">
      <c r="A29" s="1">
        <f t="shared" si="0"/>
        <v>16</v>
      </c>
      <c r="B29" s="1" t="s">
        <v>164</v>
      </c>
      <c r="C29" s="1" t="str">
        <f>'Sch M 2.1'!B41</f>
        <v>GTS Grandfathered Delivery Service - Commercial</v>
      </c>
      <c r="D29" s="1" t="s">
        <v>64</v>
      </c>
      <c r="E29" s="2">
        <f>'Sch M 2.1'!E41</f>
        <v>351127.13</v>
      </c>
      <c r="F29" s="2"/>
    </row>
    <row r="30" spans="1:8" x14ac:dyDescent="0.25">
      <c r="A30" s="1">
        <f t="shared" si="0"/>
        <v>17</v>
      </c>
      <c r="B30" s="1" t="s">
        <v>164</v>
      </c>
      <c r="C30" s="1" t="str">
        <f>'Sch M 2.1'!B42</f>
        <v>GTS Grandfathered Delivery Service - Industrial</v>
      </c>
      <c r="D30" s="1" t="s">
        <v>64</v>
      </c>
      <c r="E30" s="2">
        <f>'Sch M 2.1'!E42</f>
        <v>276061.19</v>
      </c>
      <c r="F30" s="2"/>
    </row>
    <row r="31" spans="1:8" x14ac:dyDescent="0.25">
      <c r="A31" s="1">
        <f t="shared" si="0"/>
        <v>18</v>
      </c>
      <c r="B31" s="1" t="s">
        <v>73</v>
      </c>
      <c r="C31" s="1" t="str">
        <f>'Sch M 2.1'!B43</f>
        <v>GTS Main Line Service - Industrial</v>
      </c>
      <c r="D31" s="1" t="s">
        <v>64</v>
      </c>
      <c r="E31" s="2">
        <f>'Sch M 2.1'!E43</f>
        <v>67640.579999999987</v>
      </c>
      <c r="F31" s="2"/>
    </row>
    <row r="32" spans="1:8" x14ac:dyDescent="0.25">
      <c r="A32" s="1">
        <f t="shared" si="0"/>
        <v>19</v>
      </c>
      <c r="B32" s="1" t="s">
        <v>98</v>
      </c>
      <c r="C32" s="1" t="str">
        <f>'Sch M 2.1'!B44</f>
        <v>GTS Flex Rate - Commercial</v>
      </c>
      <c r="D32" s="1" t="s">
        <v>64</v>
      </c>
      <c r="E32" s="2">
        <f>'Sch M 2.1'!E44</f>
        <v>224062.07999999999</v>
      </c>
      <c r="F32" s="2"/>
    </row>
    <row r="33" spans="1:6" x14ac:dyDescent="0.25">
      <c r="A33" s="1">
        <f t="shared" si="0"/>
        <v>20</v>
      </c>
      <c r="B33" s="1" t="s">
        <v>99</v>
      </c>
      <c r="C33" s="1" t="str">
        <f>'Sch M 2.1'!B45</f>
        <v>GTS Flex Rate - Commercial</v>
      </c>
      <c r="D33" s="1" t="s">
        <v>64</v>
      </c>
      <c r="E33" s="2">
        <f>'Sch M 2.1'!E45</f>
        <v>221010.72000000003</v>
      </c>
      <c r="F33" s="2"/>
    </row>
    <row r="34" spans="1:6" x14ac:dyDescent="0.25">
      <c r="A34" s="1">
        <f>A33+1</f>
        <v>21</v>
      </c>
      <c r="B34" s="1" t="s">
        <v>100</v>
      </c>
      <c r="C34" s="1" t="str">
        <f>'Sch M 2.1'!B46</f>
        <v>GTS Flex Rate - Industrial</v>
      </c>
      <c r="D34" s="1" t="s">
        <v>64</v>
      </c>
      <c r="E34" s="2">
        <f>'Sch M 2.1'!E46</f>
        <v>411572.36</v>
      </c>
      <c r="F34" s="2"/>
    </row>
    <row r="35" spans="1:6" x14ac:dyDescent="0.25">
      <c r="A35" s="1">
        <f>A34+1</f>
        <v>22</v>
      </c>
      <c r="B35" s="1" t="s">
        <v>138</v>
      </c>
      <c r="C35" s="1" t="str">
        <f>'Sch M 2.1'!B47</f>
        <v>GTS Flex Rate - Industrial</v>
      </c>
      <c r="D35" s="1" t="s">
        <v>64</v>
      </c>
      <c r="E35" s="2">
        <f>'Sch M 2.1'!E47</f>
        <v>189660.33</v>
      </c>
      <c r="F35" s="2"/>
    </row>
    <row r="36" spans="1:6" x14ac:dyDescent="0.25">
      <c r="A36" s="1">
        <f>A35+1</f>
        <v>23</v>
      </c>
      <c r="B36" s="1" t="s">
        <v>139</v>
      </c>
      <c r="C36" s="1" t="str">
        <f>'Sch M 2.1'!B48</f>
        <v>GTS Special Agency Service</v>
      </c>
      <c r="D36" s="1" t="s">
        <v>64</v>
      </c>
      <c r="E36" s="2">
        <f>'Sch M 2.1'!E48</f>
        <v>0</v>
      </c>
      <c r="F36" s="2"/>
    </row>
    <row r="37" spans="1:6" x14ac:dyDescent="0.25">
      <c r="A37" s="1">
        <f t="shared" si="0"/>
        <v>24</v>
      </c>
      <c r="B37" s="1" t="s">
        <v>101</v>
      </c>
      <c r="C37" s="1" t="str">
        <f>'Sch M 2.1'!B49</f>
        <v>GTS Special Rate - Industrial</v>
      </c>
      <c r="D37" s="1" t="s">
        <v>64</v>
      </c>
      <c r="E37" s="2">
        <f>'Sch M 2.1'!E49</f>
        <v>500855.40000000008</v>
      </c>
      <c r="F37" s="2"/>
    </row>
    <row r="38" spans="1:6" x14ac:dyDescent="0.25">
      <c r="A38" s="1">
        <f t="shared" si="0"/>
        <v>25</v>
      </c>
      <c r="C38" s="1" t="s">
        <v>9</v>
      </c>
      <c r="F38" s="2">
        <f>SUM(E17:E37)</f>
        <v>91383572.290000007</v>
      </c>
    </row>
    <row r="40" spans="1:6" x14ac:dyDescent="0.25">
      <c r="A40" s="1">
        <f>A38+1</f>
        <v>26</v>
      </c>
      <c r="C40" s="1" t="s">
        <v>338</v>
      </c>
      <c r="D40" s="40" t="s">
        <v>190</v>
      </c>
      <c r="F40" s="45">
        <f>ROUND(F13/F38,9)</f>
        <v>5.208814E-3</v>
      </c>
    </row>
    <row r="42" spans="1:6" x14ac:dyDescent="0.25">
      <c r="A42" s="1">
        <f>A40+1</f>
        <v>27</v>
      </c>
      <c r="C42" s="1" t="s">
        <v>185</v>
      </c>
    </row>
    <row r="44" spans="1:6" x14ac:dyDescent="0.25">
      <c r="A44" s="1">
        <f>A42+1</f>
        <v>28</v>
      </c>
      <c r="C44" s="1" t="s">
        <v>159</v>
      </c>
      <c r="D44" s="9" t="s">
        <v>571</v>
      </c>
      <c r="E44" s="2">
        <f>'Rate Design MPB-1'!H13</f>
        <v>75096497.570000008</v>
      </c>
    </row>
    <row r="45" spans="1:6" x14ac:dyDescent="0.25">
      <c r="A45" s="1">
        <f>A44+1</f>
        <v>29</v>
      </c>
      <c r="C45" s="1" t="s">
        <v>173</v>
      </c>
      <c r="D45" s="9" t="s">
        <v>571</v>
      </c>
      <c r="E45" s="2">
        <f>'Rate Design MPB-1'!H14</f>
        <v>33254549.129999995</v>
      </c>
    </row>
    <row r="46" spans="1:6" x14ac:dyDescent="0.25">
      <c r="A46" s="1">
        <f t="shared" ref="A46:A55" si="1">A45+1</f>
        <v>30</v>
      </c>
      <c r="C46" s="9" t="s">
        <v>191</v>
      </c>
      <c r="D46" s="9" t="s">
        <v>571</v>
      </c>
      <c r="E46" s="2">
        <f>'Rate Design MPB-1'!H15</f>
        <v>6711801.5499999989</v>
      </c>
    </row>
    <row r="47" spans="1:6" x14ac:dyDescent="0.25">
      <c r="A47" s="1">
        <f t="shared" si="1"/>
        <v>31</v>
      </c>
      <c r="C47" s="9" t="s">
        <v>291</v>
      </c>
      <c r="D47" s="9" t="s">
        <v>571</v>
      </c>
      <c r="E47" s="2">
        <f>'Rate Design MPB-1'!H16</f>
        <v>0</v>
      </c>
    </row>
    <row r="48" spans="1:6" x14ac:dyDescent="0.25">
      <c r="A48" s="1">
        <f t="shared" si="1"/>
        <v>32</v>
      </c>
      <c r="C48" s="9" t="s">
        <v>92</v>
      </c>
      <c r="D48" s="9" t="s">
        <v>571</v>
      </c>
      <c r="E48" s="2">
        <f>'Rate Design MPB-1'!H17</f>
        <v>55929.760000000009</v>
      </c>
    </row>
    <row r="49" spans="1:6" x14ac:dyDescent="0.25">
      <c r="A49" s="1">
        <f t="shared" si="1"/>
        <v>33</v>
      </c>
      <c r="C49" s="9" t="s">
        <v>73</v>
      </c>
      <c r="D49" s="9" t="s">
        <v>571</v>
      </c>
      <c r="E49" s="2">
        <f>'Rate Design MPB-1'!H27</f>
        <v>67640.579999999987</v>
      </c>
    </row>
    <row r="50" spans="1:6" x14ac:dyDescent="0.25">
      <c r="A50" s="1">
        <f t="shared" si="1"/>
        <v>34</v>
      </c>
      <c r="C50" s="1" t="s">
        <v>98</v>
      </c>
      <c r="D50" s="9" t="s">
        <v>571</v>
      </c>
      <c r="E50" s="2">
        <f>'Rate Design MPB-1'!H28</f>
        <v>224062.07999999999</v>
      </c>
    </row>
    <row r="51" spans="1:6" x14ac:dyDescent="0.25">
      <c r="A51" s="1">
        <f t="shared" si="1"/>
        <v>35</v>
      </c>
      <c r="C51" s="1" t="s">
        <v>99</v>
      </c>
      <c r="D51" s="9" t="s">
        <v>571</v>
      </c>
      <c r="E51" s="2">
        <f>'Rate Design MPB-1'!H29</f>
        <v>221010.72000000003</v>
      </c>
    </row>
    <row r="52" spans="1:6" x14ac:dyDescent="0.25">
      <c r="A52" s="1">
        <f t="shared" si="1"/>
        <v>36</v>
      </c>
      <c r="C52" s="1" t="s">
        <v>100</v>
      </c>
      <c r="D52" s="9" t="s">
        <v>571</v>
      </c>
      <c r="E52" s="2">
        <f>'Rate Design MPB-1'!H30</f>
        <v>411572.36</v>
      </c>
    </row>
    <row r="53" spans="1:6" x14ac:dyDescent="0.25">
      <c r="A53" s="1">
        <f t="shared" si="1"/>
        <v>37</v>
      </c>
      <c r="C53" s="1" t="s">
        <v>138</v>
      </c>
      <c r="D53" s="9" t="s">
        <v>571</v>
      </c>
      <c r="E53" s="2">
        <f>'Rate Design MPB-1'!H31</f>
        <v>189660.33</v>
      </c>
    </row>
    <row r="54" spans="1:6" x14ac:dyDescent="0.25">
      <c r="A54" s="1">
        <f t="shared" si="1"/>
        <v>38</v>
      </c>
      <c r="C54" s="1" t="s">
        <v>101</v>
      </c>
      <c r="D54" s="9" t="s">
        <v>571</v>
      </c>
      <c r="E54" s="2">
        <f>'Rate Design MPB-1'!H32</f>
        <v>500855.40000000008</v>
      </c>
    </row>
    <row r="55" spans="1:6" x14ac:dyDescent="0.25">
      <c r="A55" s="1">
        <f t="shared" si="1"/>
        <v>39</v>
      </c>
      <c r="C55" s="1" t="s">
        <v>9</v>
      </c>
      <c r="F55" s="2">
        <f>SUM(E44:E54)</f>
        <v>116733579.48</v>
      </c>
    </row>
    <row r="57" spans="1:6" x14ac:dyDescent="0.25">
      <c r="A57" s="1">
        <f>A55+1</f>
        <v>40</v>
      </c>
      <c r="C57" s="1" t="s">
        <v>188</v>
      </c>
      <c r="D57" s="1" t="s">
        <v>572</v>
      </c>
      <c r="F57" s="2">
        <f>ROUND(F55*F40,0)</f>
        <v>608044</v>
      </c>
    </row>
    <row r="59" spans="1:6" x14ac:dyDescent="0.25">
      <c r="A59" s="1">
        <f>A57+1</f>
        <v>41</v>
      </c>
      <c r="C59" s="20" t="s">
        <v>189</v>
      </c>
      <c r="D59" s="20" t="s">
        <v>573</v>
      </c>
      <c r="E59" s="20"/>
      <c r="F59" s="42">
        <f>F57-F13</f>
        <v>132044</v>
      </c>
    </row>
  </sheetData>
  <mergeCells count="3">
    <mergeCell ref="A6:G6"/>
    <mergeCell ref="A5:G5"/>
    <mergeCell ref="A4:G4"/>
  </mergeCells>
  <phoneticPr fontId="2" type="noConversion"/>
  <pageMargins left="0.75" right="0.75" top="1" bottom="0.75" header="0.5" footer="0.5"/>
  <pageSetup scale="7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5"/>
  <sheetViews>
    <sheetView workbookViewId="0">
      <selection activeCell="B26" sqref="B26"/>
    </sheetView>
  </sheetViews>
  <sheetFormatPr defaultColWidth="9.6640625" defaultRowHeight="10.199999999999999" x14ac:dyDescent="0.2"/>
  <cols>
    <col min="1" max="1" width="6.33203125" style="221" customWidth="1"/>
    <col min="2" max="2" width="48.33203125" style="221" customWidth="1"/>
    <col min="3" max="3" width="15" style="221" customWidth="1"/>
    <col min="4" max="4" width="19.33203125" style="221" customWidth="1"/>
    <col min="5" max="5" width="14.6640625" style="221" customWidth="1"/>
    <col min="6" max="6" width="8.33203125" style="221" customWidth="1"/>
    <col min="7" max="16384" width="9.6640625" style="221"/>
  </cols>
  <sheetData>
    <row r="1" spans="1:8" ht="13.2" x14ac:dyDescent="0.25">
      <c r="A1" s="1"/>
      <c r="B1" s="1"/>
      <c r="C1" s="1"/>
      <c r="D1" s="1"/>
      <c r="E1" s="1"/>
      <c r="F1" s="821" t="s">
        <v>591</v>
      </c>
    </row>
    <row r="2" spans="1:8" ht="13.2" x14ac:dyDescent="0.25">
      <c r="A2" s="1"/>
      <c r="B2" s="1"/>
      <c r="C2" s="1"/>
      <c r="D2" s="1"/>
      <c r="E2" s="1"/>
      <c r="F2" s="821" t="s">
        <v>459</v>
      </c>
    </row>
    <row r="3" spans="1:8" ht="13.2" x14ac:dyDescent="0.25">
      <c r="A3" s="1"/>
      <c r="B3" s="1"/>
      <c r="C3" s="1"/>
      <c r="D3" s="1"/>
      <c r="E3" s="1"/>
      <c r="F3" s="821" t="s">
        <v>602</v>
      </c>
    </row>
    <row r="4" spans="1:8" ht="13.2" x14ac:dyDescent="0.25">
      <c r="A4" s="1"/>
      <c r="B4" s="1"/>
      <c r="C4" s="1"/>
      <c r="D4" s="1"/>
      <c r="E4" s="1"/>
      <c r="F4" s="821" t="s">
        <v>608</v>
      </c>
    </row>
    <row r="5" spans="1:8" ht="13.2" x14ac:dyDescent="0.25">
      <c r="A5" s="895" t="s">
        <v>36</v>
      </c>
      <c r="B5" s="895"/>
      <c r="C5" s="895"/>
      <c r="D5" s="895"/>
      <c r="E5" s="895"/>
      <c r="F5" s="895"/>
    </row>
    <row r="6" spans="1:8" ht="13.2" x14ac:dyDescent="0.25">
      <c r="A6" s="896" t="s">
        <v>583</v>
      </c>
      <c r="B6" s="896"/>
      <c r="C6" s="896"/>
      <c r="D6" s="896"/>
      <c r="E6" s="896"/>
      <c r="F6" s="896"/>
    </row>
    <row r="7" spans="1:8" ht="13.2" x14ac:dyDescent="0.25">
      <c r="A7" s="895" t="s">
        <v>592</v>
      </c>
      <c r="B7" s="895"/>
      <c r="C7" s="895"/>
      <c r="D7" s="895"/>
      <c r="E7" s="895"/>
      <c r="F7" s="895"/>
    </row>
    <row r="8" spans="1:8" ht="13.2" x14ac:dyDescent="0.25">
      <c r="A8" s="1"/>
      <c r="B8" s="1"/>
      <c r="C8" s="1"/>
      <c r="D8" s="1"/>
      <c r="E8" s="1"/>
      <c r="F8" s="1"/>
    </row>
    <row r="9" spans="1:8" ht="13.2" x14ac:dyDescent="0.25">
      <c r="A9" s="1"/>
      <c r="B9" s="1"/>
      <c r="C9" s="822" t="s">
        <v>47</v>
      </c>
      <c r="D9" s="822"/>
      <c r="E9" s="822" t="s">
        <v>30</v>
      </c>
      <c r="F9" s="822"/>
    </row>
    <row r="10" spans="1:8" ht="13.2" x14ac:dyDescent="0.25">
      <c r="A10" s="1"/>
      <c r="B10" s="1"/>
      <c r="C10" s="823" t="s">
        <v>48</v>
      </c>
      <c r="D10" s="823"/>
      <c r="E10" s="823" t="s">
        <v>48</v>
      </c>
      <c r="F10" s="823"/>
    </row>
    <row r="11" spans="1:8" ht="13.2" x14ac:dyDescent="0.25">
      <c r="A11" s="20" t="s">
        <v>603</v>
      </c>
      <c r="B11" s="9"/>
      <c r="C11" s="9"/>
      <c r="D11" s="9"/>
      <c r="E11" s="9"/>
      <c r="F11" s="824"/>
    </row>
    <row r="12" spans="1:8" ht="13.2" x14ac:dyDescent="0.25">
      <c r="A12" s="1"/>
      <c r="B12" s="9" t="s">
        <v>593</v>
      </c>
      <c r="C12" s="825">
        <f>'Rate Design MPB-1'!I182</f>
        <v>15</v>
      </c>
      <c r="D12" s="826"/>
      <c r="E12" s="825">
        <f>'Rate Design MPB-1'!F182</f>
        <v>19.75</v>
      </c>
      <c r="F12" s="827"/>
      <c r="H12" s="439"/>
    </row>
    <row r="13" spans="1:8" ht="13.2" x14ac:dyDescent="0.25">
      <c r="A13" s="1"/>
      <c r="B13" s="9" t="s">
        <v>110</v>
      </c>
      <c r="C13" s="830">
        <f>'Rate Design MPB-1'!I186</f>
        <v>2.2665999999999999</v>
      </c>
      <c r="D13" s="830"/>
      <c r="E13" s="830">
        <f>'Rate Design MPB-1'!F186</f>
        <v>3.8668</v>
      </c>
      <c r="F13" s="827"/>
      <c r="H13" s="829"/>
    </row>
    <row r="14" spans="1:8" ht="13.2" x14ac:dyDescent="0.25">
      <c r="A14" s="1"/>
      <c r="B14" s="9"/>
      <c r="C14" s="826"/>
      <c r="D14" s="826"/>
      <c r="E14" s="826"/>
      <c r="F14" s="827"/>
    </row>
    <row r="15" spans="1:8" ht="13.2" x14ac:dyDescent="0.25">
      <c r="A15" s="20" t="s">
        <v>604</v>
      </c>
      <c r="B15" s="9"/>
      <c r="C15" s="826"/>
      <c r="D15" s="826"/>
      <c r="E15" s="826"/>
      <c r="F15" s="824"/>
    </row>
    <row r="16" spans="1:8" ht="13.2" x14ac:dyDescent="0.25">
      <c r="A16" s="20"/>
      <c r="B16" s="9" t="s">
        <v>593</v>
      </c>
      <c r="C16" s="825">
        <f>'Rate Design MPB-1'!J205</f>
        <v>37.5</v>
      </c>
      <c r="D16" s="826"/>
      <c r="E16" s="825">
        <f>'Rate Design MPB-1'!F205</f>
        <v>51</v>
      </c>
      <c r="F16" s="824"/>
    </row>
    <row r="17" spans="1:6" ht="13.2" x14ac:dyDescent="0.25">
      <c r="A17" s="20"/>
      <c r="B17" s="9" t="s">
        <v>557</v>
      </c>
      <c r="C17" s="830">
        <f>'Rate Design MPB-1'!J210</f>
        <v>2.2665999999999999</v>
      </c>
      <c r="D17" s="830"/>
      <c r="E17" s="830">
        <f>'Rate Design MPB-1'!F210</f>
        <v>3.4714</v>
      </c>
      <c r="F17" s="824"/>
    </row>
    <row r="18" spans="1:6" ht="13.2" x14ac:dyDescent="0.25">
      <c r="A18" s="20"/>
      <c r="B18" s="9" t="s">
        <v>558</v>
      </c>
      <c r="C18" s="830">
        <f>'Rate Design MPB-1'!J211</f>
        <v>1.752</v>
      </c>
      <c r="D18" s="830"/>
      <c r="E18" s="830">
        <f>'Rate Design MPB-1'!F211</f>
        <v>2.6833</v>
      </c>
      <c r="F18" s="824"/>
    </row>
    <row r="19" spans="1:6" ht="13.2" x14ac:dyDescent="0.25">
      <c r="A19" s="20"/>
      <c r="B19" s="9" t="s">
        <v>559</v>
      </c>
      <c r="C19" s="830">
        <f>'Rate Design MPB-1'!J212</f>
        <v>1.6658999999999999</v>
      </c>
      <c r="D19" s="830"/>
      <c r="E19" s="830">
        <f>'Rate Design MPB-1'!F212</f>
        <v>2.5514000000000001</v>
      </c>
      <c r="F19" s="824"/>
    </row>
    <row r="20" spans="1:6" ht="13.2" x14ac:dyDescent="0.25">
      <c r="A20" s="20"/>
      <c r="B20" s="9" t="s">
        <v>560</v>
      </c>
      <c r="C20" s="830">
        <f>'Rate Design MPB-1'!J213</f>
        <v>1.5164</v>
      </c>
      <c r="D20" s="830"/>
      <c r="E20" s="830">
        <f>'Rate Design MPB-1'!F213</f>
        <v>2.3222999999999998</v>
      </c>
      <c r="F20" s="824"/>
    </row>
    <row r="21" spans="1:6" ht="13.2" x14ac:dyDescent="0.25">
      <c r="A21" s="20"/>
      <c r="B21" s="9"/>
      <c r="C21" s="830"/>
      <c r="D21" s="830"/>
      <c r="E21" s="830"/>
      <c r="F21" s="824"/>
    </row>
    <row r="22" spans="1:6" ht="13.2" x14ac:dyDescent="0.25">
      <c r="A22" s="20" t="s">
        <v>605</v>
      </c>
      <c r="B22" s="9"/>
      <c r="C22" s="826"/>
      <c r="D22" s="826"/>
      <c r="E22" s="826"/>
      <c r="F22" s="824"/>
    </row>
    <row r="23" spans="1:6" ht="13.2" x14ac:dyDescent="0.25">
      <c r="A23" s="20"/>
      <c r="B23" s="9" t="s">
        <v>593</v>
      </c>
      <c r="C23" s="825">
        <f>'Rate Design MPB-1'!J234</f>
        <v>1007.05</v>
      </c>
      <c r="D23" s="826"/>
      <c r="E23" s="825">
        <f>'Rate Design MPB-1'!F234</f>
        <v>1461.9999999999998</v>
      </c>
      <c r="F23" s="824"/>
    </row>
    <row r="24" spans="1:6" ht="13.2" x14ac:dyDescent="0.25">
      <c r="A24" s="20"/>
      <c r="B24" s="9" t="s">
        <v>496</v>
      </c>
      <c r="C24" s="830">
        <f>'Rate Design MPB-1'!J239</f>
        <v>0.54430000000000001</v>
      </c>
      <c r="D24" s="830"/>
      <c r="E24" s="830">
        <f>'Rate Design MPB-1'!F239</f>
        <v>0.9002</v>
      </c>
      <c r="F24" s="824"/>
    </row>
    <row r="25" spans="1:6" ht="13.2" x14ac:dyDescent="0.25">
      <c r="A25" s="20"/>
      <c r="B25" s="9" t="s">
        <v>497</v>
      </c>
      <c r="C25" s="830">
        <f>'Rate Design MPB-1'!J240</f>
        <v>0.28899999999999998</v>
      </c>
      <c r="D25" s="830"/>
      <c r="E25" s="830">
        <f>'Rate Design MPB-1'!F240</f>
        <v>0.47809999999999997</v>
      </c>
      <c r="F25" s="824"/>
    </row>
    <row r="26" spans="1:6" ht="13.2" x14ac:dyDescent="0.25">
      <c r="A26" s="20"/>
      <c r="B26" s="9"/>
      <c r="C26" s="828"/>
      <c r="D26" s="826"/>
      <c r="E26" s="828"/>
      <c r="F26" s="824"/>
    </row>
    <row r="27" spans="1:6" ht="13.2" x14ac:dyDescent="0.25">
      <c r="A27" s="20" t="s">
        <v>606</v>
      </c>
      <c r="B27" s="9"/>
      <c r="C27" s="826"/>
      <c r="D27" s="826"/>
      <c r="E27" s="826"/>
      <c r="F27" s="824"/>
    </row>
    <row r="28" spans="1:6" ht="13.2" x14ac:dyDescent="0.25">
      <c r="A28" s="20"/>
      <c r="B28" s="9"/>
      <c r="C28" s="826"/>
      <c r="D28" s="826"/>
      <c r="E28" s="826"/>
      <c r="F28" s="824"/>
    </row>
    <row r="29" spans="1:6" ht="13.2" x14ac:dyDescent="0.25">
      <c r="A29" s="20"/>
      <c r="B29" s="9" t="s">
        <v>593</v>
      </c>
      <c r="C29" s="825">
        <f>'Rate Design MPB-1'!J261</f>
        <v>477</v>
      </c>
      <c r="D29" s="826"/>
      <c r="E29" s="825">
        <f>'Rate Design MPB-1'!F261</f>
        <v>649</v>
      </c>
      <c r="F29" s="824"/>
    </row>
    <row r="30" spans="1:6" ht="13.2" x14ac:dyDescent="0.25">
      <c r="A30" s="20"/>
      <c r="B30" s="9" t="s">
        <v>110</v>
      </c>
      <c r="C30" s="830">
        <f>'Rate Design MPB-1'!J265</f>
        <v>0.81499999999999995</v>
      </c>
      <c r="D30" s="830"/>
      <c r="E30" s="830">
        <f>'Rate Design MPB-1'!F265</f>
        <v>1.3294999999999999</v>
      </c>
      <c r="F30" s="824"/>
    </row>
    <row r="31" spans="1:6" ht="13.2" x14ac:dyDescent="0.25">
      <c r="A31" s="20"/>
      <c r="B31" s="9"/>
      <c r="C31" s="826"/>
      <c r="D31" s="826"/>
      <c r="E31" s="826"/>
      <c r="F31" s="824"/>
    </row>
    <row r="32" spans="1:6" ht="13.2" x14ac:dyDescent="0.25">
      <c r="A32" s="20" t="s">
        <v>607</v>
      </c>
      <c r="B32" s="9"/>
      <c r="C32" s="9"/>
      <c r="D32" s="9"/>
      <c r="E32" s="9"/>
      <c r="F32" s="824"/>
    </row>
    <row r="33" spans="1:6" ht="13.2" x14ac:dyDescent="0.25">
      <c r="A33" s="1"/>
      <c r="B33" s="9" t="s">
        <v>593</v>
      </c>
      <c r="C33" s="825">
        <f>'Rate Design MPB-1'!J276</f>
        <v>200</v>
      </c>
      <c r="D33" s="826"/>
      <c r="E33" s="825">
        <f>'Rate Design MPB-1'!F276</f>
        <v>255.9</v>
      </c>
      <c r="F33" s="827"/>
    </row>
    <row r="34" spans="1:6" ht="13.2" x14ac:dyDescent="0.25">
      <c r="A34" s="1"/>
      <c r="B34" s="9" t="s">
        <v>110</v>
      </c>
      <c r="C34" s="830">
        <f>'Rate Design MPB-1'!J280</f>
        <v>8.5800000000000001E-2</v>
      </c>
      <c r="D34" s="830"/>
      <c r="E34" s="830">
        <f>'Rate Design MPB-1'!F280</f>
        <v>8.5800000000000001E-2</v>
      </c>
      <c r="F34" s="827"/>
    </row>
    <row r="35" spans="1:6" ht="13.2" x14ac:dyDescent="0.25">
      <c r="A35" s="1"/>
      <c r="B35" s="9"/>
      <c r="C35" s="826"/>
      <c r="D35" s="826"/>
      <c r="E35" s="826"/>
      <c r="F35" s="827"/>
    </row>
  </sheetData>
  <mergeCells count="3">
    <mergeCell ref="A5:F5"/>
    <mergeCell ref="A6:F6"/>
    <mergeCell ref="A7:F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243"/>
  <sheetViews>
    <sheetView topLeftCell="A100" workbookViewId="0">
      <selection activeCell="M130" sqref="M130"/>
    </sheetView>
  </sheetViews>
  <sheetFormatPr defaultColWidth="9.6640625" defaultRowHeight="13.2" x14ac:dyDescent="0.25"/>
  <cols>
    <col min="1" max="1" width="10" style="1" bestFit="1" customWidth="1"/>
    <col min="2" max="2" width="61.6640625" style="1" bestFit="1" customWidth="1"/>
    <col min="3" max="3" width="13.83203125" style="1" bestFit="1" customWidth="1"/>
    <col min="4" max="4" width="10.83203125" style="1" bestFit="1" customWidth="1"/>
    <col min="5" max="5" width="15.1640625" style="1" bestFit="1" customWidth="1"/>
    <col min="6" max="6" width="13.1640625" style="1" customWidth="1"/>
    <col min="7" max="16384" width="9.6640625" style="1"/>
  </cols>
  <sheetData>
    <row r="1" spans="1:6" x14ac:dyDescent="0.25">
      <c r="F1" s="821" t="s">
        <v>591</v>
      </c>
    </row>
    <row r="2" spans="1:6" x14ac:dyDescent="0.25">
      <c r="F2" s="821" t="s">
        <v>459</v>
      </c>
    </row>
    <row r="3" spans="1:6" x14ac:dyDescent="0.25">
      <c r="F3" s="821" t="s">
        <v>617</v>
      </c>
    </row>
    <row r="4" spans="1:6" x14ac:dyDescent="0.25">
      <c r="F4" s="821" t="s">
        <v>631</v>
      </c>
    </row>
    <row r="5" spans="1:6" x14ac:dyDescent="0.25">
      <c r="A5" s="869" t="s">
        <v>36</v>
      </c>
      <c r="B5" s="869"/>
      <c r="C5" s="869"/>
      <c r="D5" s="869"/>
      <c r="E5" s="869"/>
      <c r="F5" s="869"/>
    </row>
    <row r="6" spans="1:6" x14ac:dyDescent="0.25">
      <c r="A6" s="869" t="s">
        <v>609</v>
      </c>
      <c r="B6" s="869"/>
      <c r="C6" s="869"/>
      <c r="D6" s="869"/>
      <c r="E6" s="869"/>
      <c r="F6" s="869"/>
    </row>
    <row r="7" spans="1:6" x14ac:dyDescent="0.25">
      <c r="A7" s="897" t="s">
        <v>594</v>
      </c>
      <c r="B7" s="898"/>
      <c r="C7" s="898"/>
      <c r="D7" s="898"/>
      <c r="E7" s="898"/>
      <c r="F7" s="898"/>
    </row>
    <row r="8" spans="1:6" x14ac:dyDescent="0.25">
      <c r="A8" s="9"/>
      <c r="B8" s="9"/>
      <c r="C8" s="831"/>
      <c r="D8" s="831"/>
      <c r="E8" s="831"/>
      <c r="F8" s="831"/>
    </row>
    <row r="9" spans="1:6" x14ac:dyDescent="0.25">
      <c r="A9" s="819" t="s">
        <v>1</v>
      </c>
      <c r="B9" s="23"/>
      <c r="C9" s="819"/>
      <c r="D9" s="819" t="s">
        <v>0</v>
      </c>
      <c r="E9" s="819"/>
      <c r="F9" s="819"/>
    </row>
    <row r="10" spans="1:6" x14ac:dyDescent="0.25">
      <c r="A10" s="3" t="s">
        <v>3</v>
      </c>
      <c r="B10" s="10" t="s">
        <v>595</v>
      </c>
      <c r="C10" s="3" t="s">
        <v>596</v>
      </c>
      <c r="D10" s="3" t="s">
        <v>618</v>
      </c>
      <c r="E10" s="3" t="s">
        <v>183</v>
      </c>
      <c r="F10" s="819"/>
    </row>
    <row r="11" spans="1:6" x14ac:dyDescent="0.25">
      <c r="A11" s="9"/>
      <c r="B11" s="9"/>
      <c r="C11" s="819" t="s">
        <v>22</v>
      </c>
      <c r="D11" s="819" t="s">
        <v>24</v>
      </c>
      <c r="E11" s="819" t="s">
        <v>24</v>
      </c>
      <c r="F11" s="819"/>
    </row>
    <row r="12" spans="1:6" x14ac:dyDescent="0.25">
      <c r="A12" s="9"/>
      <c r="B12" s="9"/>
      <c r="C12" s="819"/>
      <c r="D12" s="819"/>
      <c r="E12" s="819"/>
      <c r="F12" s="819"/>
    </row>
    <row r="13" spans="1:6" x14ac:dyDescent="0.25">
      <c r="A13" s="831">
        <v>1</v>
      </c>
      <c r="B13" s="23" t="s">
        <v>597</v>
      </c>
      <c r="C13" s="819"/>
      <c r="D13" s="819"/>
      <c r="E13" s="819"/>
      <c r="F13" s="819"/>
    </row>
    <row r="14" spans="1:6" x14ac:dyDescent="0.25">
      <c r="A14" s="9"/>
      <c r="B14" s="9"/>
      <c r="C14" s="9"/>
      <c r="D14" s="9"/>
      <c r="E14" s="9"/>
      <c r="F14" s="9"/>
    </row>
    <row r="15" spans="1:6" x14ac:dyDescent="0.25">
      <c r="A15" s="831">
        <f>A13+1</f>
        <v>2</v>
      </c>
      <c r="B15" s="9" t="s">
        <v>598</v>
      </c>
      <c r="C15" s="9"/>
      <c r="D15" s="834"/>
      <c r="E15" s="835">
        <f>Input!H19</f>
        <v>15</v>
      </c>
      <c r="F15" s="836"/>
    </row>
    <row r="16" spans="1:6" x14ac:dyDescent="0.25">
      <c r="A16" s="831">
        <f>A15+1</f>
        <v>3</v>
      </c>
      <c r="B16" s="9" t="s">
        <v>610</v>
      </c>
      <c r="C16" s="9"/>
      <c r="D16" s="837"/>
      <c r="E16" s="835">
        <f>Input!J19</f>
        <v>2.25</v>
      </c>
      <c r="F16" s="836"/>
    </row>
    <row r="17" spans="1:6" x14ac:dyDescent="0.25">
      <c r="A17" s="831">
        <f>A16+1</f>
        <v>4</v>
      </c>
      <c r="B17" s="9" t="s">
        <v>612</v>
      </c>
      <c r="C17" s="9"/>
      <c r="D17" s="837"/>
      <c r="E17" s="835">
        <f>Input!K19</f>
        <v>0.69</v>
      </c>
      <c r="F17" s="836"/>
    </row>
    <row r="18" spans="1:6" x14ac:dyDescent="0.25">
      <c r="A18" s="831"/>
      <c r="B18" s="9"/>
      <c r="C18" s="9"/>
      <c r="D18" s="838"/>
      <c r="E18" s="835"/>
      <c r="F18" s="836"/>
    </row>
    <row r="19" spans="1:6" x14ac:dyDescent="0.25">
      <c r="A19" s="831">
        <f>A16+1</f>
        <v>4</v>
      </c>
      <c r="B19" s="9" t="s">
        <v>110</v>
      </c>
      <c r="C19" s="833">
        <f>ROUND(('C'!P17+'C'!P186)/(B!P15+B!P162),1)</f>
        <v>5.5</v>
      </c>
      <c r="D19" s="839">
        <f>Input!C19</f>
        <v>2.2665999999999999</v>
      </c>
      <c r="E19" s="835">
        <f>ROUND(C19*D19,2)</f>
        <v>12.47</v>
      </c>
      <c r="F19" s="9"/>
    </row>
    <row r="20" spans="1:6" x14ac:dyDescent="0.25">
      <c r="A20" s="831">
        <f>A19+1</f>
        <v>5</v>
      </c>
      <c r="B20" s="9" t="s">
        <v>611</v>
      </c>
      <c r="C20" s="833">
        <f>$C$19</f>
        <v>5.5</v>
      </c>
      <c r="D20" s="839">
        <f>Input!M19</f>
        <v>1.3899999999999999E-2</v>
      </c>
      <c r="E20" s="835">
        <f t="shared" ref="E20:E23" si="0">ROUND(C20*D20,2)</f>
        <v>0.08</v>
      </c>
      <c r="F20" s="9"/>
    </row>
    <row r="21" spans="1:6" x14ac:dyDescent="0.25">
      <c r="A21" s="831">
        <f t="shared" ref="A21:A22" si="1">A20+1</f>
        <v>6</v>
      </c>
      <c r="B21" s="9" t="s">
        <v>613</v>
      </c>
      <c r="C21" s="833">
        <f t="shared" ref="C21:C23" si="2">$C$19</f>
        <v>5.5</v>
      </c>
      <c r="D21" s="839">
        <f>Input!L19</f>
        <v>5.9700000000000003E-2</v>
      </c>
      <c r="E21" s="835">
        <f t="shared" si="0"/>
        <v>0.33</v>
      </c>
      <c r="F21" s="9"/>
    </row>
    <row r="22" spans="1:6" x14ac:dyDescent="0.25">
      <c r="A22" s="831">
        <f t="shared" si="1"/>
        <v>7</v>
      </c>
      <c r="B22" s="9" t="s">
        <v>614</v>
      </c>
      <c r="C22" s="833">
        <f t="shared" si="2"/>
        <v>5.5</v>
      </c>
      <c r="D22" s="839">
        <f>EGC</f>
        <v>2.2090999999999998</v>
      </c>
      <c r="E22" s="835">
        <f t="shared" si="0"/>
        <v>12.15</v>
      </c>
      <c r="F22" s="9"/>
    </row>
    <row r="23" spans="1:6" ht="15" x14ac:dyDescent="0.4">
      <c r="A23" s="831">
        <f t="shared" ref="A23" si="3">A22+1</f>
        <v>8</v>
      </c>
      <c r="B23" s="9" t="s">
        <v>539</v>
      </c>
      <c r="C23" s="833">
        <f t="shared" si="2"/>
        <v>5.5</v>
      </c>
      <c r="D23" s="839">
        <f>Input!N19</f>
        <v>1.6E-2</v>
      </c>
      <c r="E23" s="840">
        <f t="shared" si="0"/>
        <v>0.09</v>
      </c>
      <c r="F23" s="9"/>
    </row>
    <row r="24" spans="1:6" x14ac:dyDescent="0.25">
      <c r="A24" s="831"/>
      <c r="B24" s="9"/>
      <c r="C24" s="833"/>
      <c r="D24" s="839"/>
      <c r="E24" s="841"/>
      <c r="F24" s="9"/>
    </row>
    <row r="25" spans="1:6" ht="13.8" thickBot="1" x14ac:dyDescent="0.3">
      <c r="A25" s="831">
        <f>A23+1</f>
        <v>9</v>
      </c>
      <c r="B25" s="9" t="s">
        <v>599</v>
      </c>
      <c r="C25" s="833">
        <f>C23</f>
        <v>5.5</v>
      </c>
      <c r="D25" s="25"/>
      <c r="E25" s="842">
        <f>SUM(E15:E23)</f>
        <v>43.06</v>
      </c>
      <c r="F25" s="843"/>
    </row>
    <row r="26" spans="1:6" ht="13.8" thickTop="1" x14ac:dyDescent="0.25">
      <c r="A26" s="9"/>
      <c r="B26" s="9"/>
      <c r="C26" s="9"/>
      <c r="D26" s="25"/>
      <c r="E26" s="832"/>
      <c r="F26" s="9"/>
    </row>
    <row r="27" spans="1:6" x14ac:dyDescent="0.25">
      <c r="A27" s="831">
        <f>A25+1</f>
        <v>10</v>
      </c>
      <c r="B27" s="23" t="s">
        <v>135</v>
      </c>
      <c r="C27" s="819"/>
      <c r="D27" s="844"/>
      <c r="E27" s="845"/>
      <c r="F27" s="9"/>
    </row>
    <row r="28" spans="1:6" x14ac:dyDescent="0.25">
      <c r="A28" s="9"/>
      <c r="B28" s="9"/>
      <c r="C28" s="9"/>
      <c r="D28" s="25"/>
      <c r="E28" s="832"/>
      <c r="F28" s="9"/>
    </row>
    <row r="29" spans="1:6" x14ac:dyDescent="0.25">
      <c r="A29" s="831">
        <f>A27+1</f>
        <v>11</v>
      </c>
      <c r="B29" s="9" t="s">
        <v>598</v>
      </c>
      <c r="C29" s="9"/>
      <c r="D29" s="834"/>
      <c r="E29" s="835">
        <f>Input!U19</f>
        <v>19.75</v>
      </c>
      <c r="F29" s="9"/>
    </row>
    <row r="30" spans="1:6" x14ac:dyDescent="0.25">
      <c r="A30" s="831">
        <f>A29+1</f>
        <v>12</v>
      </c>
      <c r="B30" s="9" t="s">
        <v>610</v>
      </c>
      <c r="C30" s="9"/>
      <c r="D30" s="837"/>
      <c r="E30" s="835">
        <f>Input!W19</f>
        <v>0</v>
      </c>
      <c r="F30" s="9"/>
    </row>
    <row r="31" spans="1:6" x14ac:dyDescent="0.25">
      <c r="A31" s="831">
        <f>A30+1</f>
        <v>13</v>
      </c>
      <c r="B31" s="9" t="s">
        <v>612</v>
      </c>
      <c r="C31" s="9"/>
      <c r="D31" s="837"/>
      <c r="E31" s="835">
        <f>Input!X19</f>
        <v>0.69</v>
      </c>
      <c r="F31" s="9"/>
    </row>
    <row r="32" spans="1:6" x14ac:dyDescent="0.25">
      <c r="A32" s="831"/>
      <c r="B32" s="9"/>
      <c r="C32" s="9"/>
      <c r="D32" s="838"/>
      <c r="E32" s="835"/>
      <c r="F32" s="9"/>
    </row>
    <row r="33" spans="1:6" x14ac:dyDescent="0.25">
      <c r="A33" s="831">
        <f>A31+1</f>
        <v>14</v>
      </c>
      <c r="B33" s="9" t="s">
        <v>110</v>
      </c>
      <c r="C33" s="833">
        <f t="shared" ref="C33:C37" si="4">$C$19</f>
        <v>5.5</v>
      </c>
      <c r="D33" s="839">
        <f>Input!P19</f>
        <v>3.8668</v>
      </c>
      <c r="E33" s="835">
        <f t="shared" ref="E33:E37" si="5">ROUND(C33*D33,2)</f>
        <v>21.27</v>
      </c>
      <c r="F33" s="9"/>
    </row>
    <row r="34" spans="1:6" x14ac:dyDescent="0.25">
      <c r="A34" s="831">
        <f>A33+1</f>
        <v>15</v>
      </c>
      <c r="B34" s="9" t="s">
        <v>611</v>
      </c>
      <c r="C34" s="833">
        <f t="shared" si="4"/>
        <v>5.5</v>
      </c>
      <c r="D34" s="839">
        <f>Input!Z19</f>
        <v>1.3899999999999999E-2</v>
      </c>
      <c r="E34" s="835">
        <f t="shared" si="5"/>
        <v>0.08</v>
      </c>
      <c r="F34" s="9"/>
    </row>
    <row r="35" spans="1:6" x14ac:dyDescent="0.25">
      <c r="A35" s="831">
        <f t="shared" ref="A35:A36" si="6">A34+1</f>
        <v>16</v>
      </c>
      <c r="B35" s="9" t="s">
        <v>613</v>
      </c>
      <c r="C35" s="833">
        <f t="shared" si="4"/>
        <v>5.5</v>
      </c>
      <c r="D35" s="839">
        <f>Input!Y19</f>
        <v>5.9700000000000003E-2</v>
      </c>
      <c r="E35" s="835">
        <f t="shared" si="5"/>
        <v>0.33</v>
      </c>
      <c r="F35" s="9"/>
    </row>
    <row r="36" spans="1:6" x14ac:dyDescent="0.25">
      <c r="A36" s="831">
        <f t="shared" si="6"/>
        <v>17</v>
      </c>
      <c r="B36" s="9" t="s">
        <v>614</v>
      </c>
      <c r="C36" s="833">
        <f t="shared" si="4"/>
        <v>5.5</v>
      </c>
      <c r="D36" s="839">
        <f>D22</f>
        <v>2.2090999999999998</v>
      </c>
      <c r="E36" s="835">
        <f t="shared" si="5"/>
        <v>12.15</v>
      </c>
      <c r="F36" s="9"/>
    </row>
    <row r="37" spans="1:6" x14ac:dyDescent="0.25">
      <c r="A37" s="831">
        <f t="shared" ref="A37" si="7">A36+1</f>
        <v>18</v>
      </c>
      <c r="B37" s="9" t="s">
        <v>539</v>
      </c>
      <c r="C37" s="833">
        <f t="shared" si="4"/>
        <v>5.5</v>
      </c>
      <c r="D37" s="839">
        <f>Input!AA19</f>
        <v>2.5999999999999999E-2</v>
      </c>
      <c r="E37" s="835">
        <f t="shared" si="5"/>
        <v>0.14000000000000001</v>
      </c>
      <c r="F37" s="9"/>
    </row>
    <row r="38" spans="1:6" x14ac:dyDescent="0.25">
      <c r="A38" s="831"/>
      <c r="B38" s="9"/>
      <c r="C38" s="833"/>
      <c r="D38" s="839"/>
      <c r="E38" s="846"/>
      <c r="F38" s="9"/>
    </row>
    <row r="39" spans="1:6" ht="13.8" thickBot="1" x14ac:dyDescent="0.3">
      <c r="A39" s="831">
        <f>A37+1</f>
        <v>19</v>
      </c>
      <c r="B39" s="9" t="s">
        <v>599</v>
      </c>
      <c r="C39" s="833">
        <f>C37</f>
        <v>5.5</v>
      </c>
      <c r="D39" s="25"/>
      <c r="E39" s="847">
        <f>SUM(E29:E37)</f>
        <v>54.41</v>
      </c>
      <c r="F39" s="9"/>
    </row>
    <row r="40" spans="1:6" ht="14.4" thickTop="1" thickBot="1" x14ac:dyDescent="0.3">
      <c r="A40" s="9"/>
      <c r="B40" s="9"/>
      <c r="C40" s="9"/>
      <c r="D40" s="9"/>
      <c r="E40" s="9"/>
      <c r="F40" s="9"/>
    </row>
    <row r="41" spans="1:6" ht="13.8" thickBot="1" x14ac:dyDescent="0.3">
      <c r="A41" s="831">
        <f>A39+1</f>
        <v>20</v>
      </c>
      <c r="B41" s="848" t="s">
        <v>600</v>
      </c>
      <c r="C41" s="849"/>
      <c r="D41" s="849"/>
      <c r="E41" s="850">
        <f>ROUND((E39-E25)/E25,4)</f>
        <v>0.2636</v>
      </c>
      <c r="F41" s="9"/>
    </row>
    <row r="42" spans="1:6" x14ac:dyDescent="0.25">
      <c r="A42" s="831"/>
      <c r="B42" s="23"/>
      <c r="C42" s="23"/>
      <c r="D42" s="23"/>
      <c r="E42" s="23"/>
      <c r="F42" s="9"/>
    </row>
    <row r="43" spans="1:6" x14ac:dyDescent="0.25">
      <c r="A43" s="831">
        <f>A41+1</f>
        <v>21</v>
      </c>
      <c r="B43" s="23" t="s">
        <v>601</v>
      </c>
      <c r="C43" s="23"/>
      <c r="D43" s="23"/>
      <c r="E43" s="851">
        <f>ROUND((E29+E30+E33-E15-E16-E19)/(E15+E16+E19),4)</f>
        <v>0.38019999999999998</v>
      </c>
      <c r="F43" s="9"/>
    </row>
    <row r="44" spans="1:6" x14ac:dyDescent="0.25">
      <c r="A44" s="831"/>
      <c r="B44" s="23"/>
      <c r="C44" s="23"/>
      <c r="D44" s="23"/>
      <c r="E44" s="851"/>
      <c r="F44" s="9"/>
    </row>
    <row r="45" spans="1:6" x14ac:dyDescent="0.25">
      <c r="A45" s="831"/>
      <c r="B45" s="23"/>
      <c r="C45" s="23"/>
      <c r="D45" s="23"/>
      <c r="E45" s="851"/>
      <c r="F45" s="9"/>
    </row>
    <row r="47" spans="1:6" x14ac:dyDescent="0.25">
      <c r="A47" s="40" t="s">
        <v>615</v>
      </c>
    </row>
    <row r="48" spans="1:6" x14ac:dyDescent="0.25">
      <c r="F48" s="821" t="s">
        <v>591</v>
      </c>
    </row>
    <row r="49" spans="1:6" x14ac:dyDescent="0.25">
      <c r="F49" s="821" t="s">
        <v>459</v>
      </c>
    </row>
    <row r="50" spans="1:6" x14ac:dyDescent="0.25">
      <c r="F50" s="821" t="s">
        <v>617</v>
      </c>
    </row>
    <row r="51" spans="1:6" x14ac:dyDescent="0.25">
      <c r="F51" s="821" t="s">
        <v>632</v>
      </c>
    </row>
    <row r="52" spans="1:6" x14ac:dyDescent="0.25">
      <c r="A52" s="869" t="s">
        <v>36</v>
      </c>
      <c r="B52" s="869"/>
      <c r="C52" s="869"/>
      <c r="D52" s="869"/>
      <c r="E52" s="869"/>
      <c r="F52" s="869"/>
    </row>
    <row r="53" spans="1:6" x14ac:dyDescent="0.25">
      <c r="A53" s="869" t="s">
        <v>628</v>
      </c>
      <c r="B53" s="869"/>
      <c r="C53" s="869"/>
      <c r="D53" s="869"/>
      <c r="E53" s="869"/>
      <c r="F53" s="869"/>
    </row>
    <row r="54" spans="1:6" x14ac:dyDescent="0.25">
      <c r="A54" s="897" t="s">
        <v>594</v>
      </c>
      <c r="B54" s="898"/>
      <c r="C54" s="898"/>
      <c r="D54" s="898"/>
      <c r="E54" s="898"/>
      <c r="F54" s="898"/>
    </row>
    <row r="55" spans="1:6" x14ac:dyDescent="0.25">
      <c r="A55" s="9"/>
      <c r="B55" s="9"/>
      <c r="C55" s="831"/>
      <c r="D55" s="831"/>
      <c r="E55" s="831"/>
      <c r="F55" s="831"/>
    </row>
    <row r="56" spans="1:6" x14ac:dyDescent="0.25">
      <c r="A56" s="819" t="s">
        <v>1</v>
      </c>
      <c r="B56" s="23"/>
      <c r="C56" s="819"/>
      <c r="D56" s="819" t="s">
        <v>0</v>
      </c>
      <c r="E56" s="819" t="s">
        <v>616</v>
      </c>
      <c r="F56" s="819"/>
    </row>
    <row r="57" spans="1:6" x14ac:dyDescent="0.25">
      <c r="A57" s="3" t="s">
        <v>3</v>
      </c>
      <c r="B57" s="10" t="s">
        <v>595</v>
      </c>
      <c r="C57" s="3" t="s">
        <v>596</v>
      </c>
      <c r="D57" s="3" t="s">
        <v>618</v>
      </c>
      <c r="E57" s="3" t="s">
        <v>183</v>
      </c>
      <c r="F57" s="3"/>
    </row>
    <row r="58" spans="1:6" x14ac:dyDescent="0.25">
      <c r="A58" s="9"/>
      <c r="B58" s="9"/>
      <c r="C58" s="819" t="s">
        <v>22</v>
      </c>
      <c r="D58" s="819" t="s">
        <v>24</v>
      </c>
      <c r="E58" s="819" t="s">
        <v>24</v>
      </c>
      <c r="F58" s="819"/>
    </row>
    <row r="59" spans="1:6" x14ac:dyDescent="0.25">
      <c r="A59" s="9"/>
      <c r="B59" s="9"/>
      <c r="C59" s="819"/>
      <c r="D59" s="819"/>
      <c r="E59" s="819"/>
      <c r="F59" s="819"/>
    </row>
    <row r="60" spans="1:6" x14ac:dyDescent="0.25">
      <c r="A60" s="831">
        <v>1</v>
      </c>
      <c r="B60" s="23" t="s">
        <v>597</v>
      </c>
      <c r="C60" s="819"/>
      <c r="D60" s="819"/>
      <c r="E60" s="819"/>
      <c r="F60" s="819"/>
    </row>
    <row r="61" spans="1:6" x14ac:dyDescent="0.25">
      <c r="A61" s="9"/>
      <c r="B61" s="9"/>
      <c r="C61" s="9"/>
      <c r="D61" s="9"/>
      <c r="E61" s="9"/>
      <c r="F61" s="9"/>
    </row>
    <row r="62" spans="1:6" x14ac:dyDescent="0.25">
      <c r="A62" s="831">
        <f>A60+1</f>
        <v>2</v>
      </c>
      <c r="B62" s="9" t="s">
        <v>598</v>
      </c>
      <c r="C62" s="9"/>
      <c r="D62" s="834"/>
      <c r="E62" s="835">
        <f>Input!H30</f>
        <v>37.5</v>
      </c>
      <c r="F62" s="836"/>
    </row>
    <row r="63" spans="1:6" x14ac:dyDescent="0.25">
      <c r="A63" s="831">
        <f>A62+1</f>
        <v>3</v>
      </c>
      <c r="B63" s="9" t="s">
        <v>610</v>
      </c>
      <c r="C63" s="9"/>
      <c r="D63" s="837"/>
      <c r="E63" s="835">
        <f>Input!J30</f>
        <v>8.02</v>
      </c>
      <c r="F63" s="836"/>
    </row>
    <row r="64" spans="1:6" x14ac:dyDescent="0.25">
      <c r="A64" s="831"/>
      <c r="B64" s="9"/>
      <c r="C64" s="9"/>
      <c r="D64" s="838"/>
      <c r="E64" s="835"/>
      <c r="F64" s="836"/>
    </row>
    <row r="65" spans="1:6" x14ac:dyDescent="0.25">
      <c r="A65" s="831">
        <f>A63+1</f>
        <v>4</v>
      </c>
      <c r="B65" s="9" t="s">
        <v>557</v>
      </c>
      <c r="C65" s="833">
        <f>ROUND(('C'!P96+'C'!P129+'C'!P206+'C'!P239)/(B!P167+B!P173+B!P78+B!P84+B!P79+B!P85),1)</f>
        <v>32.4</v>
      </c>
      <c r="D65" s="839">
        <f>Input!C30</f>
        <v>2.2665999999999999</v>
      </c>
      <c r="E65" s="835">
        <f>ROUND(C65*D65,2)</f>
        <v>73.44</v>
      </c>
      <c r="F65" s="832"/>
    </row>
    <row r="66" spans="1:6" x14ac:dyDescent="0.25">
      <c r="A66" s="831">
        <f>A65+1</f>
        <v>5</v>
      </c>
      <c r="B66" s="9" t="s">
        <v>558</v>
      </c>
      <c r="C66" s="852">
        <v>0</v>
      </c>
      <c r="D66" s="839">
        <f>Input!D30</f>
        <v>1.752</v>
      </c>
      <c r="E66" s="835">
        <f t="shared" ref="E66:E68" si="8">ROUND(C66*D66,2)</f>
        <v>0</v>
      </c>
      <c r="F66" s="832"/>
    </row>
    <row r="67" spans="1:6" x14ac:dyDescent="0.25">
      <c r="A67" s="831">
        <f>A66+1</f>
        <v>6</v>
      </c>
      <c r="B67" s="9" t="s">
        <v>559</v>
      </c>
      <c r="C67" s="852">
        <v>0</v>
      </c>
      <c r="D67" s="839">
        <f>Input!E30</f>
        <v>1.6658999999999999</v>
      </c>
      <c r="E67" s="835">
        <f t="shared" si="8"/>
        <v>0</v>
      </c>
      <c r="F67" s="832"/>
    </row>
    <row r="68" spans="1:6" x14ac:dyDescent="0.25">
      <c r="A68" s="831">
        <f>A67+1</f>
        <v>7</v>
      </c>
      <c r="B68" s="9" t="s">
        <v>560</v>
      </c>
      <c r="C68" s="852">
        <v>0</v>
      </c>
      <c r="D68" s="839">
        <f>Input!F30</f>
        <v>1.5164</v>
      </c>
      <c r="E68" s="835">
        <f t="shared" si="8"/>
        <v>0</v>
      </c>
      <c r="F68" s="832"/>
    </row>
    <row r="69" spans="1:6" x14ac:dyDescent="0.25">
      <c r="A69" s="831">
        <f t="shared" ref="A69:A72" si="9">A68+1</f>
        <v>8</v>
      </c>
      <c r="B69" s="9" t="s">
        <v>611</v>
      </c>
      <c r="C69" s="833">
        <f>SUM(C65:C68)</f>
        <v>32.4</v>
      </c>
      <c r="D69" s="839">
        <f>Input!M30</f>
        <v>1.3899999999999999E-2</v>
      </c>
      <c r="E69" s="835">
        <f t="shared" ref="E69:E72" si="10">ROUND(C69*D69,2)</f>
        <v>0.45</v>
      </c>
      <c r="F69" s="832"/>
    </row>
    <row r="70" spans="1:6" x14ac:dyDescent="0.25">
      <c r="A70" s="831">
        <f t="shared" si="9"/>
        <v>9</v>
      </c>
      <c r="B70" s="9" t="s">
        <v>613</v>
      </c>
      <c r="C70" s="833">
        <f>C69</f>
        <v>32.4</v>
      </c>
      <c r="D70" s="839">
        <f>Input!L30</f>
        <v>0</v>
      </c>
      <c r="E70" s="835">
        <f t="shared" si="10"/>
        <v>0</v>
      </c>
      <c r="F70" s="832"/>
    </row>
    <row r="71" spans="1:6" x14ac:dyDescent="0.25">
      <c r="A71" s="831">
        <f t="shared" si="9"/>
        <v>10</v>
      </c>
      <c r="B71" s="9" t="s">
        <v>614</v>
      </c>
      <c r="C71" s="833">
        <f>C69</f>
        <v>32.4</v>
      </c>
      <c r="D71" s="839">
        <f>EGC</f>
        <v>2.2090999999999998</v>
      </c>
      <c r="E71" s="835">
        <f t="shared" si="10"/>
        <v>71.569999999999993</v>
      </c>
      <c r="F71" s="832"/>
    </row>
    <row r="72" spans="1:6" ht="15" x14ac:dyDescent="0.4">
      <c r="A72" s="831">
        <f t="shared" si="9"/>
        <v>11</v>
      </c>
      <c r="B72" s="9" t="s">
        <v>539</v>
      </c>
      <c r="C72" s="833">
        <f>C69</f>
        <v>32.4</v>
      </c>
      <c r="D72" s="839">
        <f>Input!N30</f>
        <v>1.6E-2</v>
      </c>
      <c r="E72" s="840">
        <f t="shared" si="10"/>
        <v>0.52</v>
      </c>
      <c r="F72" s="853"/>
    </row>
    <row r="73" spans="1:6" x14ac:dyDescent="0.25">
      <c r="A73" s="831"/>
      <c r="B73" s="9"/>
      <c r="C73" s="833"/>
      <c r="D73" s="839"/>
      <c r="E73" s="841"/>
      <c r="F73" s="9"/>
    </row>
    <row r="74" spans="1:6" ht="13.8" thickBot="1" x14ac:dyDescent="0.3">
      <c r="A74" s="831">
        <f>A72+1</f>
        <v>12</v>
      </c>
      <c r="B74" s="9" t="s">
        <v>599</v>
      </c>
      <c r="C74" s="833">
        <f>C72</f>
        <v>32.4</v>
      </c>
      <c r="D74" s="25"/>
      <c r="E74" s="842">
        <f>SUM(E62:E72)</f>
        <v>191.5</v>
      </c>
      <c r="F74" s="9"/>
    </row>
    <row r="75" spans="1:6" ht="13.8" thickTop="1" x14ac:dyDescent="0.25">
      <c r="A75" s="9"/>
      <c r="B75" s="9"/>
      <c r="C75" s="9"/>
      <c r="D75" s="25"/>
      <c r="E75" s="832"/>
      <c r="F75" s="9"/>
    </row>
    <row r="76" spans="1:6" x14ac:dyDescent="0.25">
      <c r="A76" s="831">
        <f>A74+1</f>
        <v>13</v>
      </c>
      <c r="B76" s="23" t="s">
        <v>135</v>
      </c>
      <c r="C76" s="819"/>
      <c r="D76" s="844"/>
      <c r="E76" s="845"/>
      <c r="F76" s="9"/>
    </row>
    <row r="77" spans="1:6" x14ac:dyDescent="0.25">
      <c r="A77" s="9"/>
      <c r="B77" s="9"/>
      <c r="C77" s="9"/>
      <c r="D77" s="25"/>
      <c r="E77" s="832"/>
      <c r="F77" s="9"/>
    </row>
    <row r="78" spans="1:6" x14ac:dyDescent="0.25">
      <c r="A78" s="831">
        <f>A76+1</f>
        <v>14</v>
      </c>
      <c r="B78" s="9" t="s">
        <v>598</v>
      </c>
      <c r="C78" s="9"/>
      <c r="D78" s="834"/>
      <c r="E78" s="835">
        <f>Input!U30</f>
        <v>51</v>
      </c>
      <c r="F78" s="832"/>
    </row>
    <row r="79" spans="1:6" x14ac:dyDescent="0.25">
      <c r="A79" s="831">
        <f>A78+1</f>
        <v>15</v>
      </c>
      <c r="B79" s="9" t="s">
        <v>610</v>
      </c>
      <c r="C79" s="9"/>
      <c r="D79" s="837"/>
      <c r="E79" s="835">
        <f>Input!W30</f>
        <v>0</v>
      </c>
      <c r="F79" s="832"/>
    </row>
    <row r="80" spans="1:6" x14ac:dyDescent="0.25">
      <c r="A80" s="831"/>
      <c r="B80" s="9"/>
      <c r="C80" s="9"/>
      <c r="D80" s="838"/>
      <c r="E80" s="835"/>
      <c r="F80" s="9"/>
    </row>
    <row r="81" spans="1:6" x14ac:dyDescent="0.25">
      <c r="A81" s="831">
        <f>A79+1</f>
        <v>16</v>
      </c>
      <c r="B81" s="9" t="s">
        <v>557</v>
      </c>
      <c r="C81" s="833">
        <f>C74</f>
        <v>32.4</v>
      </c>
      <c r="D81" s="839">
        <f>Input!P30</f>
        <v>3.4714</v>
      </c>
      <c r="E81" s="835">
        <f t="shared" ref="E81:E88" si="11">ROUND(C81*D81,2)</f>
        <v>112.47</v>
      </c>
      <c r="F81" s="832"/>
    </row>
    <row r="82" spans="1:6" x14ac:dyDescent="0.25">
      <c r="A82" s="831">
        <f>A81+1</f>
        <v>17</v>
      </c>
      <c r="B82" s="9" t="s">
        <v>558</v>
      </c>
      <c r="C82" s="852">
        <v>0</v>
      </c>
      <c r="D82" s="839">
        <f>Input!Q30</f>
        <v>2.6833</v>
      </c>
      <c r="E82" s="835">
        <f t="shared" si="11"/>
        <v>0</v>
      </c>
      <c r="F82" s="832"/>
    </row>
    <row r="83" spans="1:6" x14ac:dyDescent="0.25">
      <c r="A83" s="831">
        <f t="shared" ref="A83:A88" si="12">A82+1</f>
        <v>18</v>
      </c>
      <c r="B83" s="9" t="s">
        <v>559</v>
      </c>
      <c r="C83" s="852">
        <v>0</v>
      </c>
      <c r="D83" s="839">
        <f>Input!R30</f>
        <v>2.5514000000000001</v>
      </c>
      <c r="E83" s="835">
        <f t="shared" si="11"/>
        <v>0</v>
      </c>
      <c r="F83" s="832"/>
    </row>
    <row r="84" spans="1:6" x14ac:dyDescent="0.25">
      <c r="A84" s="831">
        <f t="shared" si="12"/>
        <v>19</v>
      </c>
      <c r="B84" s="9" t="s">
        <v>560</v>
      </c>
      <c r="C84" s="852">
        <v>0</v>
      </c>
      <c r="D84" s="839">
        <f>Input!S30</f>
        <v>2.3222999999999998</v>
      </c>
      <c r="E84" s="835">
        <f t="shared" si="11"/>
        <v>0</v>
      </c>
      <c r="F84" s="832"/>
    </row>
    <row r="85" spans="1:6" x14ac:dyDescent="0.25">
      <c r="A85" s="831">
        <f t="shared" si="12"/>
        <v>20</v>
      </c>
      <c r="B85" s="9" t="s">
        <v>611</v>
      </c>
      <c r="C85" s="833">
        <f>C81</f>
        <v>32.4</v>
      </c>
      <c r="D85" s="839">
        <f>Input!Z30</f>
        <v>1.3899999999999999E-2</v>
      </c>
      <c r="E85" s="835">
        <f t="shared" si="11"/>
        <v>0.45</v>
      </c>
      <c r="F85" s="832"/>
    </row>
    <row r="86" spans="1:6" x14ac:dyDescent="0.25">
      <c r="A86" s="831">
        <f t="shared" si="12"/>
        <v>21</v>
      </c>
      <c r="B86" s="9" t="s">
        <v>613</v>
      </c>
      <c r="C86" s="833">
        <f>C85</f>
        <v>32.4</v>
      </c>
      <c r="D86" s="839">
        <f>Input!Y30</f>
        <v>0</v>
      </c>
      <c r="E86" s="835">
        <f t="shared" si="11"/>
        <v>0</v>
      </c>
      <c r="F86" s="832"/>
    </row>
    <row r="87" spans="1:6" x14ac:dyDescent="0.25">
      <c r="A87" s="831">
        <f t="shared" si="12"/>
        <v>22</v>
      </c>
      <c r="B87" s="9" t="s">
        <v>614</v>
      </c>
      <c r="C87" s="833">
        <f t="shared" ref="C87:C88" si="13">C86</f>
        <v>32.4</v>
      </c>
      <c r="D87" s="839">
        <f>D71</f>
        <v>2.2090999999999998</v>
      </c>
      <c r="E87" s="835">
        <f t="shared" si="11"/>
        <v>71.569999999999993</v>
      </c>
      <c r="F87" s="832"/>
    </row>
    <row r="88" spans="1:6" x14ac:dyDescent="0.25">
      <c r="A88" s="831">
        <f t="shared" si="12"/>
        <v>23</v>
      </c>
      <c r="B88" s="9" t="s">
        <v>539</v>
      </c>
      <c r="C88" s="833">
        <f t="shared" si="13"/>
        <v>32.4</v>
      </c>
      <c r="D88" s="839">
        <f>Input!AA30</f>
        <v>2.5999999999999999E-2</v>
      </c>
      <c r="E88" s="835">
        <f t="shared" si="11"/>
        <v>0.84</v>
      </c>
      <c r="F88" s="832"/>
    </row>
    <row r="89" spans="1:6" x14ac:dyDescent="0.25">
      <c r="A89" s="831"/>
      <c r="B89" s="9"/>
      <c r="C89" s="833"/>
      <c r="D89" s="839"/>
      <c r="E89" s="846"/>
      <c r="F89" s="832"/>
    </row>
    <row r="90" spans="1:6" ht="13.8" thickBot="1" x14ac:dyDescent="0.3">
      <c r="A90" s="831">
        <f>A88+1</f>
        <v>24</v>
      </c>
      <c r="B90" s="9" t="s">
        <v>599</v>
      </c>
      <c r="C90" s="833">
        <f>C88</f>
        <v>32.4</v>
      </c>
      <c r="D90" s="25"/>
      <c r="E90" s="847">
        <f>SUM(E78:E88)</f>
        <v>236.32999999999998</v>
      </c>
      <c r="F90" s="832"/>
    </row>
    <row r="91" spans="1:6" ht="14.4" thickTop="1" thickBot="1" x14ac:dyDescent="0.3">
      <c r="A91" s="9"/>
      <c r="B91" s="9"/>
      <c r="C91" s="9"/>
      <c r="D91" s="9"/>
      <c r="E91" s="9"/>
      <c r="F91" s="832"/>
    </row>
    <row r="92" spans="1:6" ht="13.8" thickBot="1" x14ac:dyDescent="0.3">
      <c r="A92" s="831">
        <f>A90+1</f>
        <v>25</v>
      </c>
      <c r="B92" s="848" t="s">
        <v>600</v>
      </c>
      <c r="C92" s="849"/>
      <c r="D92" s="849"/>
      <c r="E92" s="850">
        <f>ROUND((E90-E74)/E74,4)</f>
        <v>0.2341</v>
      </c>
      <c r="F92" s="832"/>
    </row>
    <row r="93" spans="1:6" x14ac:dyDescent="0.25">
      <c r="A93" s="831"/>
      <c r="B93" s="23"/>
      <c r="C93" s="23"/>
      <c r="D93" s="23"/>
      <c r="E93" s="23"/>
      <c r="F93" s="832"/>
    </row>
    <row r="94" spans="1:6" x14ac:dyDescent="0.25">
      <c r="A94" s="831">
        <f>A92+1</f>
        <v>26</v>
      </c>
      <c r="B94" s="23" t="s">
        <v>601</v>
      </c>
      <c r="C94" s="23"/>
      <c r="D94" s="23"/>
      <c r="E94" s="851">
        <f>ROUND((E78+E79+E81+E82+E83+E84-E62-E63-E65-E66-E67-E68)/(E62+E63+E65+E66+E67+E68),4)</f>
        <v>0.37419999999999998</v>
      </c>
      <c r="F94" s="851"/>
    </row>
    <row r="95" spans="1:6" x14ac:dyDescent="0.25">
      <c r="A95" s="831"/>
      <c r="B95" s="23"/>
      <c r="C95" s="23"/>
      <c r="D95" s="23"/>
      <c r="E95" s="851"/>
      <c r="F95" s="9"/>
    </row>
    <row r="96" spans="1:6" x14ac:dyDescent="0.25">
      <c r="A96" s="40" t="s">
        <v>619</v>
      </c>
    </row>
    <row r="97" spans="1:6" x14ac:dyDescent="0.25">
      <c r="F97" s="821" t="s">
        <v>591</v>
      </c>
    </row>
    <row r="98" spans="1:6" x14ac:dyDescent="0.25">
      <c r="F98" s="821" t="s">
        <v>459</v>
      </c>
    </row>
    <row r="99" spans="1:6" x14ac:dyDescent="0.25">
      <c r="F99" s="821" t="s">
        <v>617</v>
      </c>
    </row>
    <row r="100" spans="1:6" x14ac:dyDescent="0.25">
      <c r="F100" s="821" t="s">
        <v>629</v>
      </c>
    </row>
    <row r="101" spans="1:6" x14ac:dyDescent="0.25">
      <c r="A101" s="869" t="s">
        <v>36</v>
      </c>
      <c r="B101" s="869"/>
      <c r="C101" s="869"/>
      <c r="D101" s="869"/>
      <c r="E101" s="869"/>
      <c r="F101" s="869"/>
    </row>
    <row r="102" spans="1:6" x14ac:dyDescent="0.25">
      <c r="A102" s="869" t="s">
        <v>630</v>
      </c>
      <c r="B102" s="869"/>
      <c r="C102" s="869"/>
      <c r="D102" s="869"/>
      <c r="E102" s="869"/>
      <c r="F102" s="869"/>
    </row>
    <row r="103" spans="1:6" x14ac:dyDescent="0.25">
      <c r="A103" s="897" t="s">
        <v>594</v>
      </c>
      <c r="B103" s="898"/>
      <c r="C103" s="898"/>
      <c r="D103" s="898"/>
      <c r="E103" s="898"/>
      <c r="F103" s="898"/>
    </row>
    <row r="104" spans="1:6" x14ac:dyDescent="0.25">
      <c r="A104" s="9"/>
      <c r="B104" s="9"/>
      <c r="C104" s="831"/>
      <c r="D104" s="831"/>
      <c r="E104" s="831"/>
      <c r="F104" s="831"/>
    </row>
    <row r="105" spans="1:6" x14ac:dyDescent="0.25">
      <c r="A105" s="857" t="s">
        <v>1</v>
      </c>
      <c r="B105" s="23"/>
      <c r="C105" s="857"/>
      <c r="D105" s="857" t="s">
        <v>0</v>
      </c>
      <c r="E105" s="857" t="s">
        <v>164</v>
      </c>
      <c r="F105" s="857"/>
    </row>
    <row r="106" spans="1:6" x14ac:dyDescent="0.25">
      <c r="A106" s="3" t="s">
        <v>3</v>
      </c>
      <c r="B106" s="10" t="s">
        <v>595</v>
      </c>
      <c r="C106" s="3" t="s">
        <v>596</v>
      </c>
      <c r="D106" s="3" t="s">
        <v>618</v>
      </c>
      <c r="E106" s="3" t="s">
        <v>183</v>
      </c>
      <c r="F106" s="3"/>
    </row>
    <row r="107" spans="1:6" x14ac:dyDescent="0.25">
      <c r="A107" s="9"/>
      <c r="B107" s="9"/>
      <c r="C107" s="857" t="s">
        <v>22</v>
      </c>
      <c r="D107" s="857" t="s">
        <v>24</v>
      </c>
      <c r="E107" s="857" t="s">
        <v>24</v>
      </c>
      <c r="F107" s="857"/>
    </row>
    <row r="108" spans="1:6" x14ac:dyDescent="0.25">
      <c r="A108" s="9"/>
      <c r="B108" s="9"/>
      <c r="C108" s="857"/>
      <c r="D108" s="857"/>
      <c r="E108" s="857"/>
      <c r="F108" s="857"/>
    </row>
    <row r="109" spans="1:6" x14ac:dyDescent="0.25">
      <c r="A109" s="831">
        <v>1</v>
      </c>
      <c r="B109" s="23" t="s">
        <v>597</v>
      </c>
      <c r="C109" s="857"/>
      <c r="D109" s="857"/>
      <c r="E109" s="857"/>
      <c r="F109" s="857"/>
    </row>
    <row r="110" spans="1:6" x14ac:dyDescent="0.25">
      <c r="A110" s="9"/>
      <c r="B110" s="9"/>
      <c r="C110" s="9"/>
      <c r="D110" s="9"/>
      <c r="E110" s="9"/>
      <c r="F110" s="9"/>
    </row>
    <row r="111" spans="1:6" x14ac:dyDescent="0.25">
      <c r="A111" s="831">
        <f>A109+1</f>
        <v>2</v>
      </c>
      <c r="B111" s="9" t="s">
        <v>598</v>
      </c>
      <c r="C111" s="9"/>
      <c r="D111" s="834"/>
      <c r="E111" s="835">
        <f>Input!H46</f>
        <v>37.5</v>
      </c>
      <c r="F111" s="836"/>
    </row>
    <row r="112" spans="1:6" x14ac:dyDescent="0.25">
      <c r="A112" s="831">
        <f>A111+1</f>
        <v>3</v>
      </c>
      <c r="B112" s="9" t="s">
        <v>610</v>
      </c>
      <c r="C112" s="9"/>
      <c r="D112" s="837"/>
      <c r="E112" s="835">
        <f>Input!J46</f>
        <v>8.02</v>
      </c>
      <c r="F112" s="836"/>
    </row>
    <row r="113" spans="1:6" x14ac:dyDescent="0.25">
      <c r="A113" s="831">
        <f>A112+1</f>
        <v>4</v>
      </c>
      <c r="B113" s="9" t="s">
        <v>535</v>
      </c>
      <c r="C113" s="9"/>
      <c r="D113" s="837"/>
      <c r="E113" s="835">
        <f>Input!I46</f>
        <v>55.9</v>
      </c>
      <c r="F113" s="835"/>
    </row>
    <row r="114" spans="1:6" x14ac:dyDescent="0.25">
      <c r="A114" s="831"/>
      <c r="B114" s="9"/>
      <c r="C114" s="9"/>
      <c r="D114" s="838"/>
      <c r="E114" s="835"/>
      <c r="F114" s="836"/>
    </row>
    <row r="115" spans="1:6" x14ac:dyDescent="0.25">
      <c r="A115" s="831">
        <f>A113+1</f>
        <v>5</v>
      </c>
      <c r="B115" s="9" t="s">
        <v>557</v>
      </c>
      <c r="C115" s="852">
        <v>50</v>
      </c>
      <c r="D115" s="839">
        <f>Input!C46</f>
        <v>2.2665999999999999</v>
      </c>
      <c r="E115" s="835">
        <f>ROUND(C115*D115,2)</f>
        <v>113.33</v>
      </c>
      <c r="F115" s="832"/>
    </row>
    <row r="116" spans="1:6" x14ac:dyDescent="0.25">
      <c r="A116" s="831">
        <f>A115+1</f>
        <v>6</v>
      </c>
      <c r="B116" s="9" t="s">
        <v>558</v>
      </c>
      <c r="C116" s="852">
        <v>350</v>
      </c>
      <c r="D116" s="839">
        <f>Input!D46</f>
        <v>1.752</v>
      </c>
      <c r="E116" s="835">
        <f t="shared" ref="E116:E122" si="14">ROUND(C116*D116,2)</f>
        <v>613.20000000000005</v>
      </c>
      <c r="F116" s="832"/>
    </row>
    <row r="117" spans="1:6" x14ac:dyDescent="0.25">
      <c r="A117" s="831">
        <f>A116+1</f>
        <v>7</v>
      </c>
      <c r="B117" s="9" t="s">
        <v>559</v>
      </c>
      <c r="C117" s="852">
        <v>600</v>
      </c>
      <c r="D117" s="839">
        <f>Input!E46</f>
        <v>1.6658999999999999</v>
      </c>
      <c r="E117" s="835">
        <f t="shared" si="14"/>
        <v>999.54</v>
      </c>
      <c r="F117" s="832"/>
    </row>
    <row r="118" spans="1:6" x14ac:dyDescent="0.25">
      <c r="A118" s="831">
        <f>A117+1</f>
        <v>8</v>
      </c>
      <c r="B118" s="9" t="s">
        <v>560</v>
      </c>
      <c r="C118" s="852">
        <f>C119-SUM(C115:C117)</f>
        <v>101.79999999999995</v>
      </c>
      <c r="D118" s="839">
        <f>Input!F46</f>
        <v>1.5164</v>
      </c>
      <c r="E118" s="835">
        <f t="shared" si="14"/>
        <v>154.37</v>
      </c>
      <c r="F118" s="832"/>
    </row>
    <row r="119" spans="1:6" x14ac:dyDescent="0.25">
      <c r="A119" s="831">
        <f>A115+1</f>
        <v>6</v>
      </c>
      <c r="B119" s="9" t="s">
        <v>611</v>
      </c>
      <c r="C119" s="833">
        <f>ROUND(('C'!$P$300+'C'!$P$320)/(B!$P$194+B!$P$200),1)</f>
        <v>1101.8</v>
      </c>
      <c r="D119" s="839">
        <f>Input!M46</f>
        <v>1.3899999999999999E-2</v>
      </c>
      <c r="E119" s="835">
        <f t="shared" si="14"/>
        <v>15.32</v>
      </c>
      <c r="F119" s="832"/>
    </row>
    <row r="120" spans="1:6" x14ac:dyDescent="0.25">
      <c r="A120" s="831">
        <f t="shared" ref="A120:A121" si="15">A116+1</f>
        <v>7</v>
      </c>
      <c r="B120" s="9" t="s">
        <v>613</v>
      </c>
      <c r="C120" s="833">
        <f>C119</f>
        <v>1101.8</v>
      </c>
      <c r="D120" s="839">
        <f>Input!L46</f>
        <v>0</v>
      </c>
      <c r="E120" s="835">
        <f t="shared" si="14"/>
        <v>0</v>
      </c>
      <c r="F120" s="832"/>
    </row>
    <row r="121" spans="1:6" x14ac:dyDescent="0.25">
      <c r="A121" s="831">
        <f t="shared" si="15"/>
        <v>8</v>
      </c>
      <c r="B121" s="9" t="s">
        <v>614</v>
      </c>
      <c r="C121" s="833">
        <f>C119</f>
        <v>1101.8</v>
      </c>
      <c r="D121" s="839">
        <f>EGC</f>
        <v>2.2090999999999998</v>
      </c>
      <c r="E121" s="835">
        <f t="shared" si="14"/>
        <v>2433.9899999999998</v>
      </c>
      <c r="F121" s="832"/>
    </row>
    <row r="122" spans="1:6" ht="15" x14ac:dyDescent="0.4">
      <c r="A122" s="831">
        <f t="shared" ref="A122" si="16">A121+1</f>
        <v>9</v>
      </c>
      <c r="B122" s="9" t="s">
        <v>539</v>
      </c>
      <c r="C122" s="833">
        <f>C119</f>
        <v>1101.8</v>
      </c>
      <c r="D122" s="839">
        <f>Input!N46</f>
        <v>0</v>
      </c>
      <c r="E122" s="840">
        <f t="shared" si="14"/>
        <v>0</v>
      </c>
      <c r="F122" s="832"/>
    </row>
    <row r="123" spans="1:6" x14ac:dyDescent="0.25">
      <c r="A123" s="831"/>
      <c r="B123" s="9"/>
      <c r="C123" s="833"/>
      <c r="D123" s="839"/>
      <c r="E123" s="841"/>
      <c r="F123" s="832"/>
    </row>
    <row r="124" spans="1:6" ht="13.8" thickBot="1" x14ac:dyDescent="0.3">
      <c r="A124" s="831">
        <f>A122+1</f>
        <v>10</v>
      </c>
      <c r="B124" s="9" t="s">
        <v>599</v>
      </c>
      <c r="C124" s="833">
        <f>C122</f>
        <v>1101.8</v>
      </c>
      <c r="D124" s="25"/>
      <c r="E124" s="842">
        <f>SUM(E111:E122)</f>
        <v>4431.17</v>
      </c>
      <c r="F124" s="832"/>
    </row>
    <row r="125" spans="1:6" ht="13.8" thickTop="1" x14ac:dyDescent="0.25">
      <c r="A125" s="9"/>
      <c r="B125" s="9"/>
      <c r="C125" s="9"/>
      <c r="D125" s="25"/>
      <c r="E125" s="832"/>
      <c r="F125" s="832"/>
    </row>
    <row r="126" spans="1:6" x14ac:dyDescent="0.25">
      <c r="A126" s="831">
        <f>A124+1</f>
        <v>11</v>
      </c>
      <c r="B126" s="23" t="s">
        <v>135</v>
      </c>
      <c r="C126" s="857"/>
      <c r="D126" s="844"/>
      <c r="E126" s="845"/>
      <c r="F126" s="832"/>
    </row>
    <row r="127" spans="1:6" x14ac:dyDescent="0.25">
      <c r="A127" s="9"/>
      <c r="B127" s="9"/>
      <c r="C127" s="9"/>
      <c r="D127" s="25"/>
      <c r="E127" s="832"/>
      <c r="F127" s="832"/>
    </row>
    <row r="128" spans="1:6" x14ac:dyDescent="0.25">
      <c r="A128" s="831">
        <f>A126+1</f>
        <v>12</v>
      </c>
      <c r="B128" s="9" t="s">
        <v>598</v>
      </c>
      <c r="C128" s="9"/>
      <c r="D128" s="834"/>
      <c r="E128" s="835">
        <f>Input!U46</f>
        <v>51</v>
      </c>
      <c r="F128" s="832"/>
    </row>
    <row r="129" spans="1:6" x14ac:dyDescent="0.25">
      <c r="A129" s="831">
        <f>A128+1</f>
        <v>13</v>
      </c>
      <c r="B129" s="9" t="s">
        <v>610</v>
      </c>
      <c r="C129" s="9"/>
      <c r="D129" s="837"/>
      <c r="E129" s="835">
        <f>Input!W46</f>
        <v>0</v>
      </c>
      <c r="F129" s="832"/>
    </row>
    <row r="130" spans="1:6" x14ac:dyDescent="0.25">
      <c r="A130" s="831">
        <f>A129+1</f>
        <v>14</v>
      </c>
      <c r="B130" s="9" t="s">
        <v>535</v>
      </c>
      <c r="C130" s="9"/>
      <c r="D130" s="837"/>
      <c r="E130" s="835">
        <f>Input!V44</f>
        <v>0</v>
      </c>
      <c r="F130" s="832"/>
    </row>
    <row r="131" spans="1:6" x14ac:dyDescent="0.25">
      <c r="A131" s="831"/>
      <c r="B131" s="9"/>
      <c r="C131" s="9"/>
      <c r="D131" s="838"/>
      <c r="E131" s="835"/>
      <c r="F131" s="832"/>
    </row>
    <row r="132" spans="1:6" x14ac:dyDescent="0.25">
      <c r="A132" s="831">
        <f>A130+1</f>
        <v>15</v>
      </c>
      <c r="B132" s="9" t="s">
        <v>557</v>
      </c>
      <c r="C132" s="852">
        <v>50</v>
      </c>
      <c r="D132" s="839">
        <f>Input!P46</f>
        <v>3.4714</v>
      </c>
      <c r="E132" s="835">
        <f t="shared" ref="E132:E139" si="17">ROUND(C132*D132,2)</f>
        <v>173.57</v>
      </c>
      <c r="F132" s="832"/>
    </row>
    <row r="133" spans="1:6" x14ac:dyDescent="0.25">
      <c r="A133" s="831">
        <f>A132+1</f>
        <v>16</v>
      </c>
      <c r="B133" s="9" t="s">
        <v>558</v>
      </c>
      <c r="C133" s="852">
        <v>350</v>
      </c>
      <c r="D133" s="839">
        <f>Input!Q46</f>
        <v>2.6833</v>
      </c>
      <c r="E133" s="835">
        <f t="shared" si="17"/>
        <v>939.16</v>
      </c>
      <c r="F133" s="832"/>
    </row>
    <row r="134" spans="1:6" x14ac:dyDescent="0.25">
      <c r="A134" s="831">
        <f t="shared" ref="A134:A139" si="18">A133+1</f>
        <v>17</v>
      </c>
      <c r="B134" s="9" t="s">
        <v>559</v>
      </c>
      <c r="C134" s="852">
        <v>600</v>
      </c>
      <c r="D134" s="839">
        <f>Input!R46</f>
        <v>2.5514000000000001</v>
      </c>
      <c r="E134" s="835">
        <f t="shared" si="17"/>
        <v>1530.84</v>
      </c>
      <c r="F134" s="832"/>
    </row>
    <row r="135" spans="1:6" x14ac:dyDescent="0.25">
      <c r="A135" s="831">
        <f t="shared" si="18"/>
        <v>18</v>
      </c>
      <c r="B135" s="9" t="s">
        <v>560</v>
      </c>
      <c r="C135" s="852">
        <f>C136-SUM(C132:C134)</f>
        <v>101.79999999999995</v>
      </c>
      <c r="D135" s="839">
        <f>Input!S46</f>
        <v>2.3222999999999998</v>
      </c>
      <c r="E135" s="835">
        <f t="shared" si="17"/>
        <v>236.41</v>
      </c>
      <c r="F135" s="832"/>
    </row>
    <row r="136" spans="1:6" x14ac:dyDescent="0.25">
      <c r="A136" s="831">
        <f t="shared" si="18"/>
        <v>19</v>
      </c>
      <c r="B136" s="9" t="s">
        <v>611</v>
      </c>
      <c r="C136" s="833">
        <f>ROUND(('C'!$P$300+'C'!$P$320)/(B!$P$194+B!$P$200),1)</f>
        <v>1101.8</v>
      </c>
      <c r="D136" s="839">
        <f>Input!Z46</f>
        <v>1.3899999999999999E-2</v>
      </c>
      <c r="E136" s="835">
        <f t="shared" si="17"/>
        <v>15.32</v>
      </c>
      <c r="F136" s="832"/>
    </row>
    <row r="137" spans="1:6" x14ac:dyDescent="0.25">
      <c r="A137" s="831">
        <f t="shared" si="18"/>
        <v>20</v>
      </c>
      <c r="B137" s="9" t="s">
        <v>613</v>
      </c>
      <c r="C137" s="833">
        <f>C136</f>
        <v>1101.8</v>
      </c>
      <c r="D137" s="839">
        <f>Input!Y46</f>
        <v>0</v>
      </c>
      <c r="E137" s="835">
        <f t="shared" si="17"/>
        <v>0</v>
      </c>
      <c r="F137" s="832"/>
    </row>
    <row r="138" spans="1:6" x14ac:dyDescent="0.25">
      <c r="A138" s="831">
        <f t="shared" si="18"/>
        <v>21</v>
      </c>
      <c r="B138" s="9" t="s">
        <v>614</v>
      </c>
      <c r="C138" s="833">
        <f t="shared" ref="C138:C139" si="19">C137</f>
        <v>1101.8</v>
      </c>
      <c r="D138" s="839">
        <f>D121</f>
        <v>2.2090999999999998</v>
      </c>
      <c r="E138" s="835">
        <f t="shared" si="17"/>
        <v>2433.9899999999998</v>
      </c>
      <c r="F138" s="832"/>
    </row>
    <row r="139" spans="1:6" x14ac:dyDescent="0.25">
      <c r="A139" s="831">
        <f t="shared" si="18"/>
        <v>22</v>
      </c>
      <c r="B139" s="9" t="s">
        <v>539</v>
      </c>
      <c r="C139" s="833">
        <f t="shared" si="19"/>
        <v>1101.8</v>
      </c>
      <c r="D139" s="839">
        <f>Input!AA46</f>
        <v>0</v>
      </c>
      <c r="E139" s="835">
        <f t="shared" si="17"/>
        <v>0</v>
      </c>
      <c r="F139" s="832"/>
    </row>
    <row r="140" spans="1:6" x14ac:dyDescent="0.25">
      <c r="A140" s="831"/>
      <c r="B140" s="9"/>
      <c r="C140" s="833"/>
      <c r="D140" s="839"/>
      <c r="E140" s="846"/>
      <c r="F140" s="832"/>
    </row>
    <row r="141" spans="1:6" ht="13.8" thickBot="1" x14ac:dyDescent="0.3">
      <c r="A141" s="831">
        <f>A139+1</f>
        <v>23</v>
      </c>
      <c r="B141" s="9" t="s">
        <v>599</v>
      </c>
      <c r="C141" s="833">
        <f>C139</f>
        <v>1101.8</v>
      </c>
      <c r="D141" s="25"/>
      <c r="E141" s="847">
        <f>SUM(E128:E139)</f>
        <v>5380.2899999999991</v>
      </c>
      <c r="F141" s="832"/>
    </row>
    <row r="142" spans="1:6" ht="14.4" thickTop="1" thickBot="1" x14ac:dyDescent="0.3">
      <c r="A142" s="9"/>
      <c r="B142" s="9"/>
      <c r="C142" s="9"/>
      <c r="D142" s="9"/>
      <c r="E142" s="9"/>
      <c r="F142" s="832"/>
    </row>
    <row r="143" spans="1:6" ht="13.8" thickBot="1" x14ac:dyDescent="0.3">
      <c r="A143" s="831">
        <f>A141+1</f>
        <v>24</v>
      </c>
      <c r="B143" s="848" t="s">
        <v>600</v>
      </c>
      <c r="C143" s="849"/>
      <c r="D143" s="849"/>
      <c r="E143" s="850">
        <f>ROUND((E141-E124)/E124,4)</f>
        <v>0.2142</v>
      </c>
      <c r="F143" s="832"/>
    </row>
    <row r="144" spans="1:6" x14ac:dyDescent="0.25">
      <c r="A144" s="831"/>
      <c r="B144" s="23"/>
      <c r="C144" s="23"/>
      <c r="D144" s="23"/>
      <c r="E144" s="23"/>
      <c r="F144" s="23"/>
    </row>
    <row r="145" spans="1:6" x14ac:dyDescent="0.25">
      <c r="A145" s="831">
        <f>A143+1</f>
        <v>25</v>
      </c>
      <c r="B145" s="23" t="s">
        <v>601</v>
      </c>
      <c r="C145" s="23"/>
      <c r="D145" s="23"/>
      <c r="E145" s="851">
        <f>ROUND((E128+E129+E132+E133+E134+E135-E111-E112-E115-E116-E117-E118)/(E111+E112+E115+E116+E117+E118),4)</f>
        <v>0.52180000000000004</v>
      </c>
      <c r="F145" s="851"/>
    </row>
    <row r="146" spans="1:6" x14ac:dyDescent="0.25">
      <c r="A146" s="831"/>
      <c r="B146" s="23"/>
      <c r="C146" s="23"/>
      <c r="D146" s="23"/>
      <c r="E146" s="851"/>
      <c r="F146" s="9"/>
    </row>
    <row r="147" spans="1:6" x14ac:dyDescent="0.25">
      <c r="A147" s="40" t="s">
        <v>619</v>
      </c>
    </row>
    <row r="148" spans="1:6" x14ac:dyDescent="0.25">
      <c r="F148" s="821" t="s">
        <v>591</v>
      </c>
    </row>
    <row r="149" spans="1:6" x14ac:dyDescent="0.25">
      <c r="F149" s="821" t="s">
        <v>459</v>
      </c>
    </row>
    <row r="150" spans="1:6" x14ac:dyDescent="0.25">
      <c r="F150" s="821" t="s">
        <v>617</v>
      </c>
    </row>
    <row r="151" spans="1:6" x14ac:dyDescent="0.25">
      <c r="F151" s="821" t="s">
        <v>633</v>
      </c>
    </row>
    <row r="152" spans="1:6" x14ac:dyDescent="0.25">
      <c r="A152" s="869" t="s">
        <v>36</v>
      </c>
      <c r="B152" s="869"/>
      <c r="C152" s="869"/>
      <c r="D152" s="869"/>
      <c r="E152" s="869"/>
      <c r="F152" s="869"/>
    </row>
    <row r="153" spans="1:6" x14ac:dyDescent="0.25">
      <c r="A153" s="869" t="s">
        <v>620</v>
      </c>
      <c r="B153" s="869"/>
      <c r="C153" s="869"/>
      <c r="D153" s="869"/>
      <c r="E153" s="869"/>
      <c r="F153" s="869"/>
    </row>
    <row r="154" spans="1:6" x14ac:dyDescent="0.25">
      <c r="A154" s="897" t="s">
        <v>594</v>
      </c>
      <c r="B154" s="898"/>
      <c r="C154" s="898"/>
      <c r="D154" s="898"/>
      <c r="E154" s="898"/>
      <c r="F154" s="898"/>
    </row>
    <row r="155" spans="1:6" x14ac:dyDescent="0.25">
      <c r="A155" s="9"/>
      <c r="B155" s="9"/>
      <c r="C155" s="831"/>
      <c r="D155" s="831"/>
      <c r="E155" s="831"/>
      <c r="F155" s="831"/>
    </row>
    <row r="156" spans="1:6" x14ac:dyDescent="0.25">
      <c r="A156" s="819" t="s">
        <v>1</v>
      </c>
      <c r="B156" s="23"/>
      <c r="C156" s="819"/>
      <c r="D156" s="819" t="s">
        <v>0</v>
      </c>
      <c r="E156" s="819" t="s">
        <v>161</v>
      </c>
      <c r="F156" s="819"/>
    </row>
    <row r="157" spans="1:6" x14ac:dyDescent="0.25">
      <c r="A157" s="3" t="s">
        <v>3</v>
      </c>
      <c r="B157" s="10" t="s">
        <v>595</v>
      </c>
      <c r="C157" s="3" t="s">
        <v>596</v>
      </c>
      <c r="D157" s="3" t="s">
        <v>618</v>
      </c>
      <c r="E157" s="3" t="s">
        <v>183</v>
      </c>
      <c r="F157" s="819"/>
    </row>
    <row r="158" spans="1:6" x14ac:dyDescent="0.25">
      <c r="A158" s="9"/>
      <c r="B158" s="9"/>
      <c r="C158" s="819" t="s">
        <v>22</v>
      </c>
      <c r="D158" s="819" t="s">
        <v>24</v>
      </c>
      <c r="E158" s="819" t="s">
        <v>24</v>
      </c>
      <c r="F158" s="819"/>
    </row>
    <row r="159" spans="1:6" x14ac:dyDescent="0.25">
      <c r="A159" s="9"/>
      <c r="B159" s="9"/>
      <c r="C159" s="819"/>
      <c r="D159" s="819"/>
      <c r="E159" s="819"/>
      <c r="F159" s="819"/>
    </row>
    <row r="160" spans="1:6" x14ac:dyDescent="0.25">
      <c r="A160" s="831">
        <v>1</v>
      </c>
      <c r="B160" s="23" t="s">
        <v>597</v>
      </c>
      <c r="C160" s="819"/>
      <c r="D160" s="819"/>
      <c r="E160" s="819"/>
      <c r="F160" s="819"/>
    </row>
    <row r="161" spans="1:6" x14ac:dyDescent="0.25">
      <c r="A161" s="9"/>
      <c r="B161" s="9"/>
      <c r="C161" s="9"/>
      <c r="D161" s="9"/>
      <c r="E161" s="9"/>
      <c r="F161" s="9"/>
    </row>
    <row r="162" spans="1:6" x14ac:dyDescent="0.25">
      <c r="A162" s="831">
        <f>A160+1</f>
        <v>2</v>
      </c>
      <c r="B162" s="9" t="s">
        <v>598</v>
      </c>
      <c r="C162" s="9"/>
      <c r="D162" s="834"/>
      <c r="E162" s="835">
        <f>Input!H44</f>
        <v>1007.05</v>
      </c>
      <c r="F162" s="836"/>
    </row>
    <row r="163" spans="1:6" x14ac:dyDescent="0.25">
      <c r="A163" s="831">
        <f>A162+1</f>
        <v>3</v>
      </c>
      <c r="B163" s="9" t="s">
        <v>610</v>
      </c>
      <c r="C163" s="9"/>
      <c r="D163" s="837"/>
      <c r="E163" s="835">
        <f>Input!J44</f>
        <v>449.59</v>
      </c>
      <c r="F163" s="836"/>
    </row>
    <row r="164" spans="1:6" x14ac:dyDescent="0.25">
      <c r="A164" s="831"/>
      <c r="B164" s="9" t="s">
        <v>535</v>
      </c>
      <c r="C164" s="9"/>
      <c r="D164" s="837"/>
      <c r="E164" s="835">
        <f>Input!I44</f>
        <v>55.9</v>
      </c>
      <c r="F164" s="836"/>
    </row>
    <row r="165" spans="1:6" x14ac:dyDescent="0.25">
      <c r="A165" s="831"/>
      <c r="B165" s="9"/>
      <c r="C165" s="9"/>
      <c r="D165" s="838"/>
      <c r="E165" s="835"/>
      <c r="F165" s="836"/>
    </row>
    <row r="166" spans="1:6" x14ac:dyDescent="0.25">
      <c r="A166" s="831">
        <f>A163+1</f>
        <v>4</v>
      </c>
      <c r="B166" s="9" t="s">
        <v>496</v>
      </c>
      <c r="C166" s="833">
        <f>ROUND(('C'!P253+'C'!P267)/(B!P179+B!P180+B!P185+B!P186),1)</f>
        <v>7794.2</v>
      </c>
      <c r="D166" s="839">
        <f>Input!C44</f>
        <v>0.54430000000000001</v>
      </c>
      <c r="E166" s="835">
        <f>ROUND(C166*D166,2)</f>
        <v>4242.38</v>
      </c>
      <c r="F166" s="9"/>
    </row>
    <row r="167" spans="1:6" x14ac:dyDescent="0.25">
      <c r="A167" s="831">
        <f>A166+1</f>
        <v>5</v>
      </c>
      <c r="B167" s="9" t="s">
        <v>497</v>
      </c>
      <c r="C167" s="852">
        <v>0</v>
      </c>
      <c r="D167" s="839">
        <f>Input!D44</f>
        <v>0.28899999999999998</v>
      </c>
      <c r="E167" s="835">
        <f>ROUND(C167*D167,2)</f>
        <v>0</v>
      </c>
      <c r="F167" s="9"/>
    </row>
    <row r="168" spans="1:6" x14ac:dyDescent="0.25">
      <c r="A168" s="831">
        <f t="shared" ref="A168:A171" si="20">A167+1</f>
        <v>6</v>
      </c>
      <c r="B168" s="9" t="s">
        <v>611</v>
      </c>
      <c r="C168" s="833">
        <f>C166</f>
        <v>7794.2</v>
      </c>
      <c r="D168" s="839">
        <f>Input!M44</f>
        <v>1.3899999999999999E-2</v>
      </c>
      <c r="E168" s="835">
        <f t="shared" ref="E168:E171" si="21">ROUND(C168*D168,2)</f>
        <v>108.34</v>
      </c>
      <c r="F168" s="9"/>
    </row>
    <row r="169" spans="1:6" x14ac:dyDescent="0.25">
      <c r="A169" s="831">
        <f t="shared" si="20"/>
        <v>7</v>
      </c>
      <c r="B169" s="9" t="s">
        <v>613</v>
      </c>
      <c r="C169" s="833">
        <f>C168</f>
        <v>7794.2</v>
      </c>
      <c r="D169" s="839">
        <f>Input!L44</f>
        <v>0</v>
      </c>
      <c r="E169" s="835">
        <f t="shared" si="21"/>
        <v>0</v>
      </c>
      <c r="F169" s="9"/>
    </row>
    <row r="170" spans="1:6" x14ac:dyDescent="0.25">
      <c r="A170" s="831">
        <f t="shared" si="20"/>
        <v>8</v>
      </c>
      <c r="B170" s="9" t="s">
        <v>614</v>
      </c>
      <c r="C170" s="833">
        <f t="shared" ref="C170:C171" si="22">C169</f>
        <v>7794.2</v>
      </c>
      <c r="D170" s="839">
        <f>Commodity</f>
        <v>2.8155000000000001</v>
      </c>
      <c r="E170" s="835">
        <f t="shared" si="21"/>
        <v>21944.57</v>
      </c>
      <c r="F170" s="9"/>
    </row>
    <row r="171" spans="1:6" ht="15" x14ac:dyDescent="0.4">
      <c r="A171" s="831">
        <f t="shared" si="20"/>
        <v>9</v>
      </c>
      <c r="B171" s="9" t="s">
        <v>539</v>
      </c>
      <c r="C171" s="833">
        <f t="shared" si="22"/>
        <v>7794.2</v>
      </c>
      <c r="D171" s="839">
        <f>Input!N44</f>
        <v>0</v>
      </c>
      <c r="E171" s="840">
        <f t="shared" si="21"/>
        <v>0</v>
      </c>
      <c r="F171" s="9"/>
    </row>
    <row r="172" spans="1:6" x14ac:dyDescent="0.25">
      <c r="A172" s="831"/>
      <c r="B172" s="9"/>
      <c r="C172" s="833"/>
      <c r="D172" s="839"/>
      <c r="E172" s="841"/>
      <c r="F172" s="9"/>
    </row>
    <row r="173" spans="1:6" ht="13.8" thickBot="1" x14ac:dyDescent="0.3">
      <c r="A173" s="831">
        <f>A171+1</f>
        <v>10</v>
      </c>
      <c r="B173" s="9" t="s">
        <v>599</v>
      </c>
      <c r="C173" s="833">
        <f>C171</f>
        <v>7794.2</v>
      </c>
      <c r="D173" s="25"/>
      <c r="E173" s="842">
        <f>SUM(E162:E171)</f>
        <v>27807.83</v>
      </c>
      <c r="F173" s="843"/>
    </row>
    <row r="174" spans="1:6" ht="13.8" thickTop="1" x14ac:dyDescent="0.25">
      <c r="A174" s="9"/>
      <c r="B174" s="9"/>
      <c r="C174" s="9"/>
      <c r="D174" s="25"/>
      <c r="E174" s="832"/>
      <c r="F174" s="9"/>
    </row>
    <row r="175" spans="1:6" x14ac:dyDescent="0.25">
      <c r="A175" s="831">
        <f>A173+1</f>
        <v>11</v>
      </c>
      <c r="B175" s="23" t="s">
        <v>135</v>
      </c>
      <c r="C175" s="819"/>
      <c r="D175" s="844"/>
      <c r="E175" s="845"/>
      <c r="F175" s="9"/>
    </row>
    <row r="176" spans="1:6" x14ac:dyDescent="0.25">
      <c r="A176" s="9"/>
      <c r="B176" s="9"/>
      <c r="C176" s="9"/>
      <c r="D176" s="25"/>
      <c r="E176" s="832"/>
      <c r="F176" s="9"/>
    </row>
    <row r="177" spans="1:6" x14ac:dyDescent="0.25">
      <c r="A177" s="831">
        <f>A175+1</f>
        <v>12</v>
      </c>
      <c r="B177" s="9" t="s">
        <v>598</v>
      </c>
      <c r="C177" s="9"/>
      <c r="D177" s="834"/>
      <c r="E177" s="835">
        <f>Input!U44</f>
        <v>1461.9999999999998</v>
      </c>
      <c r="F177" s="9"/>
    </row>
    <row r="178" spans="1:6" x14ac:dyDescent="0.25">
      <c r="A178" s="831">
        <f>A177+1</f>
        <v>13</v>
      </c>
      <c r="B178" s="9" t="s">
        <v>610</v>
      </c>
      <c r="C178" s="9"/>
      <c r="D178" s="837"/>
      <c r="E178" s="835">
        <f>Input!W44</f>
        <v>0</v>
      </c>
      <c r="F178" s="9"/>
    </row>
    <row r="179" spans="1:6" x14ac:dyDescent="0.25">
      <c r="A179" s="831">
        <f t="shared" ref="A179:A186" si="23">A178+1</f>
        <v>14</v>
      </c>
      <c r="B179" s="9" t="s">
        <v>535</v>
      </c>
      <c r="C179" s="9"/>
      <c r="D179" s="837"/>
      <c r="E179" s="835">
        <f>Input!V44</f>
        <v>0</v>
      </c>
      <c r="F179" s="9"/>
    </row>
    <row r="180" spans="1:6" x14ac:dyDescent="0.25">
      <c r="A180" s="831">
        <f t="shared" si="23"/>
        <v>15</v>
      </c>
      <c r="B180" s="9"/>
      <c r="C180" s="9"/>
      <c r="D180" s="838"/>
      <c r="E180" s="835"/>
      <c r="F180" s="9"/>
    </row>
    <row r="181" spans="1:6" x14ac:dyDescent="0.25">
      <c r="A181" s="831">
        <f t="shared" si="23"/>
        <v>16</v>
      </c>
      <c r="B181" s="9" t="s">
        <v>496</v>
      </c>
      <c r="C181" s="833">
        <f>C173</f>
        <v>7794.2</v>
      </c>
      <c r="D181" s="839">
        <f>Input!P44</f>
        <v>0.9002</v>
      </c>
      <c r="E181" s="835">
        <f t="shared" ref="E181:E186" si="24">ROUND(C181*D181,2)</f>
        <v>7016.34</v>
      </c>
      <c r="F181" s="9"/>
    </row>
    <row r="182" spans="1:6" x14ac:dyDescent="0.25">
      <c r="A182" s="831">
        <f t="shared" si="23"/>
        <v>17</v>
      </c>
      <c r="B182" s="9" t="s">
        <v>497</v>
      </c>
      <c r="C182" s="833">
        <f>C167</f>
        <v>0</v>
      </c>
      <c r="D182" s="839">
        <f>Input!Q44</f>
        <v>0.47809999999999997</v>
      </c>
      <c r="E182" s="835">
        <f t="shared" si="24"/>
        <v>0</v>
      </c>
      <c r="F182" s="9"/>
    </row>
    <row r="183" spans="1:6" x14ac:dyDescent="0.25">
      <c r="A183" s="831">
        <f t="shared" si="23"/>
        <v>18</v>
      </c>
      <c r="B183" s="9" t="s">
        <v>611</v>
      </c>
      <c r="C183" s="833">
        <f>C181</f>
        <v>7794.2</v>
      </c>
      <c r="D183" s="839">
        <f>Input!Z44</f>
        <v>1.3899999999999999E-2</v>
      </c>
      <c r="E183" s="835">
        <f t="shared" si="24"/>
        <v>108.34</v>
      </c>
      <c r="F183" s="9"/>
    </row>
    <row r="184" spans="1:6" x14ac:dyDescent="0.25">
      <c r="A184" s="831">
        <f t="shared" si="23"/>
        <v>19</v>
      </c>
      <c r="B184" s="9" t="s">
        <v>613</v>
      </c>
      <c r="C184" s="833">
        <f>C183</f>
        <v>7794.2</v>
      </c>
      <c r="D184" s="839">
        <f>Input!Y44</f>
        <v>0</v>
      </c>
      <c r="E184" s="835">
        <f t="shared" si="24"/>
        <v>0</v>
      </c>
      <c r="F184" s="9"/>
    </row>
    <row r="185" spans="1:6" x14ac:dyDescent="0.25">
      <c r="A185" s="831">
        <f t="shared" si="23"/>
        <v>20</v>
      </c>
      <c r="B185" s="9" t="s">
        <v>614</v>
      </c>
      <c r="C185" s="833">
        <f t="shared" ref="C185:C186" si="25">C184</f>
        <v>7794.2</v>
      </c>
      <c r="D185" s="839">
        <f>D170</f>
        <v>2.8155000000000001</v>
      </c>
      <c r="E185" s="835">
        <f t="shared" si="24"/>
        <v>21944.57</v>
      </c>
      <c r="F185" s="9"/>
    </row>
    <row r="186" spans="1:6" x14ac:dyDescent="0.25">
      <c r="A186" s="831">
        <f t="shared" si="23"/>
        <v>21</v>
      </c>
      <c r="B186" s="9" t="s">
        <v>539</v>
      </c>
      <c r="C186" s="833">
        <f t="shared" si="25"/>
        <v>7794.2</v>
      </c>
      <c r="D186" s="839">
        <f>Input!AA44</f>
        <v>0</v>
      </c>
      <c r="E186" s="835">
        <f t="shared" si="24"/>
        <v>0</v>
      </c>
      <c r="F186" s="9"/>
    </row>
    <row r="187" spans="1:6" x14ac:dyDescent="0.25">
      <c r="A187" s="831"/>
      <c r="B187" s="9"/>
      <c r="C187" s="833"/>
      <c r="D187" s="839"/>
      <c r="E187" s="846"/>
      <c r="F187" s="9"/>
    </row>
    <row r="188" spans="1:6" ht="13.8" thickBot="1" x14ac:dyDescent="0.3">
      <c r="A188" s="831">
        <f>A186+1</f>
        <v>22</v>
      </c>
      <c r="B188" s="9" t="s">
        <v>599</v>
      </c>
      <c r="C188" s="833">
        <f>C186</f>
        <v>7794.2</v>
      </c>
      <c r="D188" s="25"/>
      <c r="E188" s="847">
        <f>SUM(E177:E186)</f>
        <v>30531.25</v>
      </c>
      <c r="F188" s="9"/>
    </row>
    <row r="189" spans="1:6" ht="14.4" thickTop="1" thickBot="1" x14ac:dyDescent="0.3">
      <c r="A189" s="9"/>
      <c r="B189" s="9"/>
      <c r="C189" s="9"/>
      <c r="D189" s="9"/>
      <c r="E189" s="9"/>
      <c r="F189" s="9"/>
    </row>
    <row r="190" spans="1:6" ht="13.8" thickBot="1" x14ac:dyDescent="0.3">
      <c r="A190" s="831">
        <f>A188+1</f>
        <v>23</v>
      </c>
      <c r="B190" s="848" t="s">
        <v>600</v>
      </c>
      <c r="C190" s="849"/>
      <c r="D190" s="849"/>
      <c r="E190" s="850">
        <f>ROUND((E188-E173)/E173,4)</f>
        <v>9.7900000000000001E-2</v>
      </c>
      <c r="F190" s="9"/>
    </row>
    <row r="191" spans="1:6" x14ac:dyDescent="0.25">
      <c r="A191" s="831"/>
      <c r="B191" s="23"/>
      <c r="C191" s="23"/>
      <c r="D191" s="23"/>
      <c r="E191" s="23"/>
      <c r="F191" s="9"/>
    </row>
    <row r="192" spans="1:6" x14ac:dyDescent="0.25">
      <c r="A192" s="831">
        <f>A190+1</f>
        <v>24</v>
      </c>
      <c r="B192" s="23" t="s">
        <v>601</v>
      </c>
      <c r="C192" s="23"/>
      <c r="D192" s="23"/>
      <c r="E192" s="851">
        <f>ROUND((E177+E178+E179+E181+E182-E162-E163-E164-E166-E167)/(E162+E163+E164+E166+E167),4)</f>
        <v>0.47320000000000001</v>
      </c>
      <c r="F192" s="9"/>
    </row>
    <row r="193" spans="1:6" x14ac:dyDescent="0.25">
      <c r="A193" s="831"/>
      <c r="B193" s="23"/>
      <c r="C193" s="23"/>
      <c r="D193" s="23"/>
      <c r="E193" s="851"/>
      <c r="F193" s="9"/>
    </row>
    <row r="194" spans="1:6" x14ac:dyDescent="0.25">
      <c r="A194" s="831"/>
      <c r="B194" s="23"/>
      <c r="C194" s="23"/>
      <c r="D194" s="23"/>
      <c r="E194" s="851"/>
      <c r="F194" s="9"/>
    </row>
    <row r="196" spans="1:6" x14ac:dyDescent="0.25">
      <c r="A196" s="40" t="s">
        <v>621</v>
      </c>
    </row>
    <row r="197" spans="1:6" x14ac:dyDescent="0.25">
      <c r="F197" s="821" t="s">
        <v>591</v>
      </c>
    </row>
    <row r="198" spans="1:6" x14ac:dyDescent="0.25">
      <c r="F198" s="821" t="s">
        <v>459</v>
      </c>
    </row>
    <row r="199" spans="1:6" x14ac:dyDescent="0.25">
      <c r="F199" s="821" t="s">
        <v>617</v>
      </c>
    </row>
    <row r="200" spans="1:6" x14ac:dyDescent="0.25">
      <c r="F200" s="821" t="s">
        <v>634</v>
      </c>
    </row>
    <row r="201" spans="1:6" x14ac:dyDescent="0.25">
      <c r="A201" s="869" t="s">
        <v>36</v>
      </c>
      <c r="B201" s="869"/>
      <c r="C201" s="869"/>
      <c r="D201" s="869"/>
      <c r="E201" s="869"/>
      <c r="F201" s="869"/>
    </row>
    <row r="202" spans="1:6" x14ac:dyDescent="0.25">
      <c r="A202" s="869" t="s">
        <v>622</v>
      </c>
      <c r="B202" s="869"/>
      <c r="C202" s="869"/>
      <c r="D202" s="869"/>
      <c r="E202" s="869"/>
      <c r="F202" s="869"/>
    </row>
    <row r="203" spans="1:6" x14ac:dyDescent="0.25">
      <c r="A203" s="897" t="s">
        <v>594</v>
      </c>
      <c r="B203" s="898"/>
      <c r="C203" s="898"/>
      <c r="D203" s="898"/>
      <c r="E203" s="898"/>
      <c r="F203" s="898"/>
    </row>
    <row r="204" spans="1:6" x14ac:dyDescent="0.25">
      <c r="A204" s="9"/>
      <c r="B204" s="9"/>
      <c r="C204" s="831"/>
      <c r="D204" s="831"/>
      <c r="E204" s="831"/>
      <c r="F204" s="831"/>
    </row>
    <row r="205" spans="1:6" x14ac:dyDescent="0.25">
      <c r="A205" s="820" t="s">
        <v>1</v>
      </c>
      <c r="B205" s="23"/>
      <c r="C205" s="820"/>
      <c r="D205" s="820" t="s">
        <v>0</v>
      </c>
      <c r="E205" s="820" t="s">
        <v>541</v>
      </c>
      <c r="F205" s="820"/>
    </row>
    <row r="206" spans="1:6" x14ac:dyDescent="0.25">
      <c r="A206" s="3" t="s">
        <v>3</v>
      </c>
      <c r="B206" s="10" t="s">
        <v>595</v>
      </c>
      <c r="C206" s="3" t="s">
        <v>596</v>
      </c>
      <c r="D206" s="3" t="s">
        <v>618</v>
      </c>
      <c r="E206" s="3" t="s">
        <v>183</v>
      </c>
      <c r="F206" s="820"/>
    </row>
    <row r="207" spans="1:6" x14ac:dyDescent="0.25">
      <c r="A207" s="9"/>
      <c r="B207" s="9"/>
      <c r="C207" s="820" t="s">
        <v>22</v>
      </c>
      <c r="D207" s="820" t="s">
        <v>24</v>
      </c>
      <c r="E207" s="820" t="s">
        <v>24</v>
      </c>
      <c r="F207" s="820"/>
    </row>
    <row r="208" spans="1:6" x14ac:dyDescent="0.25">
      <c r="A208" s="9"/>
      <c r="B208" s="9"/>
      <c r="C208" s="820"/>
      <c r="D208" s="820"/>
      <c r="E208" s="820"/>
      <c r="F208" s="820"/>
    </row>
    <row r="209" spans="1:6" x14ac:dyDescent="0.25">
      <c r="A209" s="831">
        <v>1</v>
      </c>
      <c r="B209" s="23" t="s">
        <v>597</v>
      </c>
      <c r="C209" s="820"/>
      <c r="D209" s="820"/>
      <c r="E209" s="820"/>
      <c r="F209" s="820"/>
    </row>
    <row r="210" spans="1:6" x14ac:dyDescent="0.25">
      <c r="A210" s="9"/>
      <c r="B210" s="9"/>
      <c r="C210" s="9"/>
      <c r="D210" s="9"/>
      <c r="E210" s="9"/>
      <c r="F210" s="9"/>
    </row>
    <row r="211" spans="1:6" x14ac:dyDescent="0.25">
      <c r="A211" s="831">
        <f>A209+1</f>
        <v>2</v>
      </c>
      <c r="B211" s="9" t="s">
        <v>598</v>
      </c>
      <c r="C211" s="9"/>
      <c r="D211" s="834"/>
      <c r="E211" s="835">
        <f>Input!H48</f>
        <v>200</v>
      </c>
      <c r="F211" s="836"/>
    </row>
    <row r="212" spans="1:6" x14ac:dyDescent="0.25">
      <c r="A212" s="831">
        <f>A211+1</f>
        <v>3</v>
      </c>
      <c r="B212" s="9" t="s">
        <v>610</v>
      </c>
      <c r="C212" s="9"/>
      <c r="D212" s="837"/>
      <c r="E212" s="835">
        <f>Input!J48</f>
        <v>0</v>
      </c>
      <c r="F212" s="836"/>
    </row>
    <row r="213" spans="1:6" x14ac:dyDescent="0.25">
      <c r="A213" s="831">
        <f>A212+1</f>
        <v>4</v>
      </c>
      <c r="B213" s="9" t="s">
        <v>535</v>
      </c>
      <c r="C213" s="9"/>
      <c r="D213" s="837"/>
      <c r="E213" s="835">
        <f>Input!I48</f>
        <v>55.9</v>
      </c>
      <c r="F213" s="836"/>
    </row>
    <row r="214" spans="1:6" x14ac:dyDescent="0.25">
      <c r="A214" s="831"/>
      <c r="B214" s="9"/>
      <c r="C214" s="9"/>
      <c r="D214" s="838"/>
      <c r="E214" s="835"/>
      <c r="F214" s="836"/>
    </row>
    <row r="215" spans="1:6" x14ac:dyDescent="0.25">
      <c r="A215" s="831">
        <f>A213+1</f>
        <v>5</v>
      </c>
      <c r="B215" s="9" t="s">
        <v>110</v>
      </c>
      <c r="C215" s="833">
        <f>ROUND(('C'!P325)/(B!P219+B!P220),1)</f>
        <v>18916.099999999999</v>
      </c>
      <c r="D215" s="839">
        <f>Input!C48</f>
        <v>8.5800000000000001E-2</v>
      </c>
      <c r="E215" s="835">
        <f>ROUND(C215*D215,2)</f>
        <v>1623</v>
      </c>
      <c r="F215" s="9"/>
    </row>
    <row r="216" spans="1:6" x14ac:dyDescent="0.25">
      <c r="A216" s="831">
        <f>A215+1</f>
        <v>6</v>
      </c>
      <c r="B216" s="9" t="s">
        <v>611</v>
      </c>
      <c r="C216" s="833">
        <f>C215</f>
        <v>18916.099999999999</v>
      </c>
      <c r="D216" s="839">
        <f>Input!M48</f>
        <v>1.3899999999999999E-2</v>
      </c>
      <c r="E216" s="835">
        <f t="shared" ref="E216:E219" si="26">ROUND(C216*D216,2)</f>
        <v>262.93</v>
      </c>
      <c r="F216" s="9"/>
    </row>
    <row r="217" spans="1:6" x14ac:dyDescent="0.25">
      <c r="A217" s="831">
        <f t="shared" ref="A217:A218" si="27">A216+1</f>
        <v>7</v>
      </c>
      <c r="B217" s="9" t="s">
        <v>613</v>
      </c>
      <c r="C217" s="833">
        <f>C216</f>
        <v>18916.099999999999</v>
      </c>
      <c r="D217" s="839">
        <f>Input!L48</f>
        <v>0</v>
      </c>
      <c r="E217" s="835">
        <f t="shared" si="26"/>
        <v>0</v>
      </c>
      <c r="F217" s="9"/>
    </row>
    <row r="218" spans="1:6" x14ac:dyDescent="0.25">
      <c r="A218" s="831">
        <f t="shared" si="27"/>
        <v>8</v>
      </c>
      <c r="B218" s="9" t="s">
        <v>614</v>
      </c>
      <c r="C218" s="833">
        <f t="shared" ref="C218:C219" si="28">C217</f>
        <v>18916.099999999999</v>
      </c>
      <c r="D218" s="839">
        <f>Commodity</f>
        <v>2.8155000000000001</v>
      </c>
      <c r="E218" s="835">
        <f t="shared" si="26"/>
        <v>53258.28</v>
      </c>
      <c r="F218" s="9"/>
    </row>
    <row r="219" spans="1:6" ht="15" x14ac:dyDescent="0.4">
      <c r="A219" s="831">
        <f t="shared" ref="A219" si="29">A218+1</f>
        <v>9</v>
      </c>
      <c r="B219" s="9" t="s">
        <v>539</v>
      </c>
      <c r="C219" s="833">
        <f t="shared" si="28"/>
        <v>18916.099999999999</v>
      </c>
      <c r="D219" s="839">
        <f>Input!N48</f>
        <v>0</v>
      </c>
      <c r="E219" s="840">
        <f t="shared" si="26"/>
        <v>0</v>
      </c>
      <c r="F219" s="9"/>
    </row>
    <row r="220" spans="1:6" x14ac:dyDescent="0.25">
      <c r="A220" s="831"/>
      <c r="B220" s="9"/>
      <c r="C220" s="833"/>
      <c r="D220" s="839"/>
      <c r="E220" s="841"/>
      <c r="F220" s="9"/>
    </row>
    <row r="221" spans="1:6" ht="13.8" thickBot="1" x14ac:dyDescent="0.3">
      <c r="A221" s="831">
        <f>A219+1</f>
        <v>10</v>
      </c>
      <c r="B221" s="9" t="s">
        <v>599</v>
      </c>
      <c r="C221" s="833">
        <f>C219</f>
        <v>18916.099999999999</v>
      </c>
      <c r="D221" s="25"/>
      <c r="E221" s="842">
        <f>SUM(E211:E219)</f>
        <v>55400.11</v>
      </c>
      <c r="F221" s="843"/>
    </row>
    <row r="222" spans="1:6" ht="13.8" thickTop="1" x14ac:dyDescent="0.25">
      <c r="A222" s="9"/>
      <c r="B222" s="9"/>
      <c r="C222" s="9"/>
      <c r="D222" s="25"/>
      <c r="E222" s="832"/>
      <c r="F222" s="9"/>
    </row>
    <row r="223" spans="1:6" x14ac:dyDescent="0.25">
      <c r="A223" s="831">
        <f>A221+1</f>
        <v>11</v>
      </c>
      <c r="B223" s="23" t="s">
        <v>135</v>
      </c>
      <c r="C223" s="819"/>
      <c r="D223" s="844"/>
      <c r="E223" s="845"/>
      <c r="F223" s="9"/>
    </row>
    <row r="224" spans="1:6" x14ac:dyDescent="0.25">
      <c r="A224" s="9"/>
      <c r="B224" s="9"/>
      <c r="C224" s="9"/>
      <c r="D224" s="25"/>
      <c r="E224" s="832"/>
      <c r="F224" s="9"/>
    </row>
    <row r="225" spans="1:6" x14ac:dyDescent="0.25">
      <c r="A225" s="831">
        <f>A223+1</f>
        <v>12</v>
      </c>
      <c r="B225" s="9" t="s">
        <v>598</v>
      </c>
      <c r="C225" s="9"/>
      <c r="D225" s="834"/>
      <c r="E225" s="835">
        <f>Input!U48</f>
        <v>255.9</v>
      </c>
      <c r="F225" s="9"/>
    </row>
    <row r="226" spans="1:6" x14ac:dyDescent="0.25">
      <c r="A226" s="831">
        <f>A225+1</f>
        <v>13</v>
      </c>
      <c r="B226" s="9" t="s">
        <v>610</v>
      </c>
      <c r="C226" s="9"/>
      <c r="D226" s="837"/>
      <c r="E226" s="835">
        <f>Input!W48</f>
        <v>0</v>
      </c>
      <c r="F226" s="9"/>
    </row>
    <row r="227" spans="1:6" x14ac:dyDescent="0.25">
      <c r="A227" s="831">
        <f>A226+1</f>
        <v>14</v>
      </c>
      <c r="B227" s="9" t="s">
        <v>535</v>
      </c>
      <c r="C227" s="9"/>
      <c r="D227" s="837"/>
      <c r="E227" s="835">
        <f>Input!V48</f>
        <v>0</v>
      </c>
      <c r="F227" s="9"/>
    </row>
    <row r="228" spans="1:6" x14ac:dyDescent="0.25">
      <c r="A228" s="831"/>
      <c r="B228" s="9"/>
      <c r="C228" s="9"/>
      <c r="D228" s="838"/>
      <c r="E228" s="835"/>
      <c r="F228" s="9"/>
    </row>
    <row r="229" spans="1:6" x14ac:dyDescent="0.25">
      <c r="A229" s="831">
        <f>A227+1</f>
        <v>15</v>
      </c>
      <c r="B229" s="9" t="s">
        <v>110</v>
      </c>
      <c r="C229" s="833">
        <f>C221</f>
        <v>18916.099999999999</v>
      </c>
      <c r="D229" s="839">
        <f>Input!P48</f>
        <v>8.5800000000000001E-2</v>
      </c>
      <c r="E229" s="835">
        <f t="shared" ref="E229:E233" si="30">ROUND(C229*D229,2)</f>
        <v>1623</v>
      </c>
      <c r="F229" s="9"/>
    </row>
    <row r="230" spans="1:6" x14ac:dyDescent="0.25">
      <c r="A230" s="831">
        <f>A229+1</f>
        <v>16</v>
      </c>
      <c r="B230" s="9" t="s">
        <v>611</v>
      </c>
      <c r="C230" s="833">
        <f>C229</f>
        <v>18916.099999999999</v>
      </c>
      <c r="D230" s="839">
        <f>Input!Z48</f>
        <v>1.3899999999999999E-2</v>
      </c>
      <c r="E230" s="835">
        <f t="shared" si="30"/>
        <v>262.93</v>
      </c>
      <c r="F230" s="9"/>
    </row>
    <row r="231" spans="1:6" x14ac:dyDescent="0.25">
      <c r="A231" s="831">
        <f t="shared" ref="A231:A232" si="31">A230+1</f>
        <v>17</v>
      </c>
      <c r="B231" s="9" t="s">
        <v>613</v>
      </c>
      <c r="C231" s="833">
        <f>C230</f>
        <v>18916.099999999999</v>
      </c>
      <c r="D231" s="839">
        <f>Input!Y48</f>
        <v>0</v>
      </c>
      <c r="E231" s="835">
        <f t="shared" si="30"/>
        <v>0</v>
      </c>
      <c r="F231" s="9"/>
    </row>
    <row r="232" spans="1:6" x14ac:dyDescent="0.25">
      <c r="A232" s="831">
        <f t="shared" si="31"/>
        <v>18</v>
      </c>
      <c r="B232" s="9" t="s">
        <v>614</v>
      </c>
      <c r="C232" s="833">
        <f t="shared" ref="C232:C233" si="32">C231</f>
        <v>18916.099999999999</v>
      </c>
      <c r="D232" s="839">
        <f>D218</f>
        <v>2.8155000000000001</v>
      </c>
      <c r="E232" s="835">
        <f t="shared" si="30"/>
        <v>53258.28</v>
      </c>
      <c r="F232" s="9"/>
    </row>
    <row r="233" spans="1:6" x14ac:dyDescent="0.25">
      <c r="A233" s="831">
        <f t="shared" ref="A233" si="33">A232+1</f>
        <v>19</v>
      </c>
      <c r="B233" s="9" t="s">
        <v>539</v>
      </c>
      <c r="C233" s="833">
        <f t="shared" si="32"/>
        <v>18916.099999999999</v>
      </c>
      <c r="D233" s="839">
        <f>Input!AA48</f>
        <v>0</v>
      </c>
      <c r="E233" s="835">
        <f t="shared" si="30"/>
        <v>0</v>
      </c>
      <c r="F233" s="9"/>
    </row>
    <row r="234" spans="1:6" x14ac:dyDescent="0.25">
      <c r="A234" s="831"/>
      <c r="B234" s="9"/>
      <c r="C234" s="833"/>
      <c r="D234" s="839"/>
      <c r="E234" s="846"/>
      <c r="F234" s="9"/>
    </row>
    <row r="235" spans="1:6" ht="13.8" thickBot="1" x14ac:dyDescent="0.3">
      <c r="A235" s="831">
        <f>A233+1</f>
        <v>20</v>
      </c>
      <c r="B235" s="9" t="s">
        <v>599</v>
      </c>
      <c r="C235" s="833">
        <f>C233</f>
        <v>18916.099999999999</v>
      </c>
      <c r="D235" s="25"/>
      <c r="E235" s="847">
        <f>SUM(E225:E233)</f>
        <v>55400.11</v>
      </c>
      <c r="F235" s="9"/>
    </row>
    <row r="236" spans="1:6" ht="14.4" thickTop="1" thickBot="1" x14ac:dyDescent="0.3">
      <c r="A236" s="9"/>
      <c r="B236" s="9"/>
      <c r="C236" s="9"/>
      <c r="D236" s="9"/>
      <c r="E236" s="832"/>
      <c r="F236" s="9"/>
    </row>
    <row r="237" spans="1:6" ht="13.8" thickBot="1" x14ac:dyDescent="0.3">
      <c r="A237" s="831">
        <f>A235+1</f>
        <v>21</v>
      </c>
      <c r="B237" s="848" t="s">
        <v>600</v>
      </c>
      <c r="C237" s="849"/>
      <c r="D237" s="849"/>
      <c r="E237" s="850">
        <f>ROUND((E235-E221)/E221,4)</f>
        <v>0</v>
      </c>
      <c r="F237" s="9"/>
    </row>
    <row r="238" spans="1:6" x14ac:dyDescent="0.25">
      <c r="A238" s="831"/>
      <c r="B238" s="23"/>
      <c r="C238" s="23"/>
      <c r="D238" s="23"/>
      <c r="E238" s="23"/>
      <c r="F238" s="9"/>
    </row>
    <row r="239" spans="1:6" x14ac:dyDescent="0.25">
      <c r="A239" s="831">
        <f>A237+1</f>
        <v>22</v>
      </c>
      <c r="B239" s="23" t="s">
        <v>601</v>
      </c>
      <c r="C239" s="23"/>
      <c r="D239" s="23"/>
      <c r="E239" s="851">
        <f>ROUND((E225+E226+E227+E229-E211-E212-E213-E215)/(E211+E212+E213+E215),4)</f>
        <v>0</v>
      </c>
      <c r="F239" s="9"/>
    </row>
    <row r="240" spans="1:6" x14ac:dyDescent="0.25">
      <c r="A240" s="831"/>
      <c r="B240" s="23"/>
      <c r="C240" s="23"/>
      <c r="D240" s="23"/>
      <c r="E240" s="851"/>
      <c r="F240" s="9"/>
    </row>
    <row r="241" spans="1:6" x14ac:dyDescent="0.25">
      <c r="A241" s="831"/>
      <c r="B241" s="23"/>
      <c r="C241" s="23"/>
      <c r="D241" s="23"/>
      <c r="E241" s="851"/>
      <c r="F241" s="9"/>
    </row>
    <row r="243" spans="1:6" x14ac:dyDescent="0.25">
      <c r="A243" s="40" t="s">
        <v>623</v>
      </c>
    </row>
  </sheetData>
  <mergeCells count="15">
    <mergeCell ref="A203:F203"/>
    <mergeCell ref="A5:F5"/>
    <mergeCell ref="A6:F6"/>
    <mergeCell ref="A7:F7"/>
    <mergeCell ref="A52:F52"/>
    <mergeCell ref="A53:F53"/>
    <mergeCell ref="A54:F54"/>
    <mergeCell ref="A152:F152"/>
    <mergeCell ref="A153:F153"/>
    <mergeCell ref="A154:F154"/>
    <mergeCell ref="A201:F201"/>
    <mergeCell ref="A202:F202"/>
    <mergeCell ref="A101:F101"/>
    <mergeCell ref="A102:F102"/>
    <mergeCell ref="A103:F103"/>
  </mergeCells>
  <pageMargins left="0.7" right="0.7" top="0.75" bottom="0.75" header="0.3" footer="0.3"/>
  <pageSetup orientation="portrait" r:id="rId1"/>
  <rowBreaks count="4" manualBreakCount="4">
    <brk id="47" max="5" man="1"/>
    <brk id="96" max="5" man="1"/>
    <brk id="147" max="5" man="1"/>
    <brk id="19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"/>
  <dimension ref="A1:AD330"/>
  <sheetViews>
    <sheetView topLeftCell="A24" zoomScale="90" zoomScaleNormal="90" workbookViewId="0">
      <selection activeCell="C18" sqref="C18"/>
    </sheetView>
  </sheetViews>
  <sheetFormatPr defaultColWidth="10" defaultRowHeight="13.2" x14ac:dyDescent="0.25"/>
  <cols>
    <col min="1" max="1" width="15" style="1" customWidth="1"/>
    <col min="2" max="2" width="59.1640625" style="1" customWidth="1"/>
    <col min="3" max="3" width="14.6640625" style="1" customWidth="1"/>
    <col min="4" max="4" width="17.6640625" style="14" customWidth="1"/>
    <col min="5" max="5" width="17.1640625" style="1" customWidth="1"/>
    <col min="6" max="6" width="18.33203125" style="1" customWidth="1"/>
    <col min="7" max="7" width="15.83203125" style="1" customWidth="1"/>
    <col min="8" max="14" width="14.1640625" style="1" customWidth="1"/>
    <col min="15" max="15" width="2" style="1" customWidth="1"/>
    <col min="16" max="16" width="15.83203125" style="1" bestFit="1" customWidth="1"/>
    <col min="17" max="17" width="19.6640625" style="1" bestFit="1" customWidth="1"/>
    <col min="18" max="18" width="17.33203125" style="1" bestFit="1" customWidth="1"/>
    <col min="19" max="19" width="18.6640625" style="1" bestFit="1" customWidth="1"/>
    <col min="20" max="20" width="15.83203125" style="1" bestFit="1" customWidth="1"/>
    <col min="21" max="21" width="14.33203125" style="1" bestFit="1" customWidth="1"/>
    <col min="22" max="22" width="16.33203125" style="1" bestFit="1" customWidth="1"/>
    <col min="23" max="23" width="10.1640625" style="1" bestFit="1" customWidth="1"/>
    <col min="24" max="24" width="10.83203125" style="1" bestFit="1" customWidth="1"/>
    <col min="25" max="26" width="10.1640625" style="1" bestFit="1" customWidth="1"/>
    <col min="27" max="27" width="13" style="1" customWidth="1"/>
    <col min="28" max="29" width="10" style="1"/>
    <col min="30" max="30" width="10.1640625" style="1" bestFit="1" customWidth="1"/>
    <col min="31" max="16384" width="10" style="1"/>
  </cols>
  <sheetData>
    <row r="1" spans="1:16" x14ac:dyDescent="0.25">
      <c r="A1" s="21" t="s">
        <v>137</v>
      </c>
      <c r="B1" s="21"/>
      <c r="C1" s="21"/>
      <c r="D1" s="22"/>
      <c r="P1" s="20"/>
    </row>
    <row r="2" spans="1:16" x14ac:dyDescent="0.25">
      <c r="A2" s="21" t="s">
        <v>123</v>
      </c>
      <c r="B2" s="21"/>
      <c r="C2" s="21"/>
      <c r="D2" s="22"/>
    </row>
    <row r="3" spans="1:16" x14ac:dyDescent="0.25">
      <c r="A3" s="21"/>
      <c r="B3" s="21"/>
      <c r="C3" s="21"/>
      <c r="D3" s="22"/>
    </row>
    <row r="4" spans="1:16" x14ac:dyDescent="0.25">
      <c r="A4" s="9" t="s">
        <v>36</v>
      </c>
      <c r="B4" s="9"/>
      <c r="C4" s="9"/>
      <c r="D4" s="25"/>
    </row>
    <row r="5" spans="1:16" x14ac:dyDescent="0.25">
      <c r="A5" s="9"/>
      <c r="B5" s="9"/>
      <c r="C5" s="9"/>
      <c r="D5" s="25"/>
    </row>
    <row r="6" spans="1:16" x14ac:dyDescent="0.25">
      <c r="A6" s="23" t="s">
        <v>38</v>
      </c>
      <c r="B6" s="812" t="s">
        <v>583</v>
      </c>
    </row>
    <row r="7" spans="1:16" x14ac:dyDescent="0.25">
      <c r="A7" s="9"/>
      <c r="B7" s="9"/>
      <c r="C7" s="9"/>
    </row>
    <row r="8" spans="1:16" x14ac:dyDescent="0.25">
      <c r="A8" s="23" t="s">
        <v>62</v>
      </c>
      <c r="B8" s="24" t="s">
        <v>430</v>
      </c>
    </row>
    <row r="9" spans="1:16" x14ac:dyDescent="0.25">
      <c r="A9" s="23"/>
      <c r="B9" s="24"/>
    </row>
    <row r="10" spans="1:16" x14ac:dyDescent="0.25">
      <c r="A10" s="23" t="s">
        <v>114</v>
      </c>
      <c r="B10" s="9"/>
      <c r="C10" s="854">
        <v>2.8155000000000001</v>
      </c>
    </row>
    <row r="11" spans="1:16" x14ac:dyDescent="0.25">
      <c r="A11" s="23" t="s">
        <v>174</v>
      </c>
      <c r="B11" s="9"/>
      <c r="C11" s="855">
        <f>SUM(C12:C13)</f>
        <v>2.2090999999999998</v>
      </c>
      <c r="P11" s="16"/>
    </row>
    <row r="12" spans="1:16" x14ac:dyDescent="0.25">
      <c r="A12" s="23" t="s">
        <v>175</v>
      </c>
      <c r="B12" s="9"/>
      <c r="C12" s="856">
        <f>0.9137-0.016</f>
        <v>0.89769999999999994</v>
      </c>
      <c r="D12" s="14" t="s">
        <v>415</v>
      </c>
      <c r="P12" s="16"/>
    </row>
    <row r="13" spans="1:16" x14ac:dyDescent="0.25">
      <c r="A13" s="23" t="s">
        <v>176</v>
      </c>
      <c r="B13" s="9"/>
      <c r="C13" s="854">
        <v>1.3113999999999999</v>
      </c>
      <c r="P13" s="16"/>
    </row>
    <row r="14" spans="1:16" x14ac:dyDescent="0.25">
      <c r="A14" s="23" t="s">
        <v>177</v>
      </c>
      <c r="B14" s="9"/>
      <c r="C14" s="24" t="s">
        <v>414</v>
      </c>
      <c r="P14" s="16"/>
    </row>
    <row r="15" spans="1:16" x14ac:dyDescent="0.25">
      <c r="A15" s="9"/>
      <c r="B15" s="9"/>
      <c r="C15" s="9"/>
      <c r="D15" s="25"/>
      <c r="E15" s="9"/>
      <c r="F15" s="9"/>
      <c r="G15" s="9"/>
    </row>
    <row r="16" spans="1:16" x14ac:dyDescent="0.25">
      <c r="A16" s="23" t="s">
        <v>124</v>
      </c>
      <c r="B16" s="9"/>
      <c r="C16" s="9"/>
      <c r="D16" s="25"/>
      <c r="E16" s="9"/>
      <c r="F16" s="9"/>
      <c r="G16" s="9"/>
      <c r="O16" s="26"/>
    </row>
    <row r="17" spans="1:30" x14ac:dyDescent="0.25">
      <c r="A17" s="9"/>
      <c r="B17" s="9"/>
      <c r="C17" s="869" t="s">
        <v>134</v>
      </c>
      <c r="D17" s="869"/>
      <c r="E17" s="869"/>
      <c r="F17" s="869"/>
      <c r="G17" s="869"/>
      <c r="H17" s="869"/>
      <c r="I17" s="869"/>
      <c r="J17" s="869"/>
      <c r="K17" s="869"/>
      <c r="L17" s="869"/>
      <c r="M17" s="869"/>
      <c r="N17" s="869"/>
      <c r="O17" s="26"/>
      <c r="P17" s="870" t="s">
        <v>135</v>
      </c>
      <c r="Q17" s="870"/>
      <c r="R17" s="870"/>
      <c r="S17" s="870"/>
      <c r="T17" s="870"/>
      <c r="U17" s="870"/>
      <c r="V17" s="870"/>
      <c r="W17" s="870"/>
      <c r="X17" s="870"/>
      <c r="Y17" s="870"/>
      <c r="Z17" s="870"/>
      <c r="AA17" s="870"/>
    </row>
    <row r="18" spans="1:30" x14ac:dyDescent="0.25">
      <c r="A18" s="3" t="s">
        <v>126</v>
      </c>
      <c r="B18" s="3" t="s">
        <v>127</v>
      </c>
      <c r="C18" s="3" t="s">
        <v>128</v>
      </c>
      <c r="D18" s="4" t="s">
        <v>129</v>
      </c>
      <c r="E18" s="3" t="s">
        <v>130</v>
      </c>
      <c r="F18" s="3" t="s">
        <v>131</v>
      </c>
      <c r="G18" s="3" t="s">
        <v>132</v>
      </c>
      <c r="H18" s="5" t="s">
        <v>133</v>
      </c>
      <c r="I18" s="5" t="s">
        <v>158</v>
      </c>
      <c r="J18" s="3" t="s">
        <v>193</v>
      </c>
      <c r="K18" s="3" t="s">
        <v>192</v>
      </c>
      <c r="L18" s="5" t="s">
        <v>141</v>
      </c>
      <c r="M18" s="5" t="s">
        <v>142</v>
      </c>
      <c r="N18" s="5" t="s">
        <v>178</v>
      </c>
      <c r="O18" s="6"/>
      <c r="P18" s="3" t="s">
        <v>128</v>
      </c>
      <c r="Q18" s="3" t="s">
        <v>129</v>
      </c>
      <c r="R18" s="3" t="s">
        <v>130</v>
      </c>
      <c r="S18" s="3" t="s">
        <v>131</v>
      </c>
      <c r="T18" s="3" t="s">
        <v>132</v>
      </c>
      <c r="U18" s="5" t="s">
        <v>133</v>
      </c>
      <c r="V18" s="5" t="s">
        <v>157</v>
      </c>
      <c r="W18" s="3" t="s">
        <v>193</v>
      </c>
      <c r="X18" s="3" t="s">
        <v>192</v>
      </c>
      <c r="Y18" s="5" t="s">
        <v>141</v>
      </c>
      <c r="Z18" s="5" t="s">
        <v>142</v>
      </c>
      <c r="AA18" s="5" t="s">
        <v>178</v>
      </c>
    </row>
    <row r="19" spans="1:30" x14ac:dyDescent="0.25">
      <c r="A19" s="7" t="s">
        <v>75</v>
      </c>
      <c r="B19" s="7" t="s">
        <v>76</v>
      </c>
      <c r="C19" s="27">
        <v>2.2665999999999999</v>
      </c>
      <c r="D19" s="18"/>
      <c r="E19" s="18"/>
      <c r="F19" s="18"/>
      <c r="G19" s="18"/>
      <c r="H19" s="28">
        <v>15</v>
      </c>
      <c r="I19" s="29"/>
      <c r="J19" s="28">
        <v>2.25</v>
      </c>
      <c r="K19" s="28">
        <f>0.61+0.03+0.12+-0.07</f>
        <v>0.69</v>
      </c>
      <c r="L19" s="30">
        <v>5.9700000000000003E-2</v>
      </c>
      <c r="M19" s="30">
        <v>1.3899999999999999E-2</v>
      </c>
      <c r="N19" s="30">
        <v>1.6E-2</v>
      </c>
      <c r="O19" s="21"/>
      <c r="P19" s="31">
        <f>'Rate Design MPB-1'!F186</f>
        <v>3.8668</v>
      </c>
      <c r="Q19" s="31"/>
      <c r="R19" s="8"/>
      <c r="S19" s="8"/>
      <c r="T19" s="8"/>
      <c r="U19" s="156">
        <f>'Rate Design MPB-1'!F182</f>
        <v>19.75</v>
      </c>
      <c r="V19" s="15"/>
      <c r="W19" s="28">
        <v>0</v>
      </c>
      <c r="X19" s="31">
        <f>K19</f>
        <v>0.69</v>
      </c>
      <c r="Y19" s="31">
        <f>L19</f>
        <v>5.9700000000000003E-2</v>
      </c>
      <c r="Z19" s="31">
        <f>M19</f>
        <v>1.3899999999999999E-2</v>
      </c>
      <c r="AA19" s="34">
        <v>2.5999999999999999E-2</v>
      </c>
      <c r="AB19" s="16"/>
      <c r="AC19" s="16"/>
      <c r="AD19" s="16"/>
    </row>
    <row r="20" spans="1:30" x14ac:dyDescent="0.25">
      <c r="A20" s="7" t="s">
        <v>77</v>
      </c>
      <c r="B20" s="7" t="s">
        <v>78</v>
      </c>
      <c r="C20" s="27">
        <v>2.1558000000000002</v>
      </c>
      <c r="D20" s="27"/>
      <c r="E20" s="32"/>
      <c r="F20" s="32"/>
      <c r="G20" s="32"/>
      <c r="H20" s="28">
        <v>56.92</v>
      </c>
      <c r="I20" s="29"/>
      <c r="J20" s="28"/>
      <c r="K20" s="28"/>
      <c r="L20" s="28"/>
      <c r="M20" s="29"/>
      <c r="N20" s="28"/>
      <c r="O20" s="21"/>
      <c r="P20" s="31">
        <f t="shared" ref="P20:P29" si="0">C20</f>
        <v>2.1558000000000002</v>
      </c>
      <c r="Q20" s="8"/>
      <c r="R20" s="8"/>
      <c r="S20" s="8"/>
      <c r="T20" s="8"/>
      <c r="U20" s="15">
        <f t="shared" ref="U20:U29" si="1">H20</f>
        <v>56.92</v>
      </c>
      <c r="V20" s="15"/>
      <c r="W20" s="29"/>
      <c r="Y20" s="29"/>
      <c r="Z20" s="29"/>
      <c r="AA20" s="160"/>
      <c r="AB20" s="16"/>
      <c r="AC20" s="16"/>
      <c r="AD20" s="16"/>
    </row>
    <row r="21" spans="1:30" x14ac:dyDescent="0.25">
      <c r="A21" s="7" t="s">
        <v>79</v>
      </c>
      <c r="B21" s="7" t="s">
        <v>80</v>
      </c>
      <c r="C21" s="27">
        <v>2.96</v>
      </c>
      <c r="D21" s="27"/>
      <c r="E21" s="27"/>
      <c r="F21" s="27"/>
      <c r="G21" s="27"/>
      <c r="H21" s="28">
        <v>17.27</v>
      </c>
      <c r="I21" s="29"/>
      <c r="J21" s="28"/>
      <c r="K21" s="28"/>
      <c r="L21" s="28"/>
      <c r="M21" s="29"/>
      <c r="N21" s="28"/>
      <c r="O21" s="21"/>
      <c r="P21" s="31">
        <f t="shared" si="0"/>
        <v>2.96</v>
      </c>
      <c r="Q21" s="8"/>
      <c r="R21" s="8"/>
      <c r="S21" s="8"/>
      <c r="T21" s="8"/>
      <c r="U21" s="15">
        <f t="shared" si="1"/>
        <v>17.27</v>
      </c>
      <c r="V21" s="15"/>
      <c r="W21" s="29"/>
      <c r="Y21" s="29"/>
      <c r="Z21" s="29"/>
      <c r="AA21" s="160"/>
      <c r="AB21" s="16"/>
      <c r="AC21" s="16"/>
      <c r="AD21" s="16"/>
    </row>
    <row r="22" spans="1:30" x14ac:dyDescent="0.25">
      <c r="A22" s="7" t="s">
        <v>81</v>
      </c>
      <c r="B22" s="7" t="s">
        <v>82</v>
      </c>
      <c r="C22" s="27">
        <v>0.4</v>
      </c>
      <c r="D22" s="27"/>
      <c r="E22" s="27"/>
      <c r="F22" s="27"/>
      <c r="G22" s="27"/>
      <c r="H22" s="28">
        <v>0</v>
      </c>
      <c r="I22" s="28"/>
      <c r="J22" s="28"/>
      <c r="K22" s="30"/>
      <c r="L22" s="28"/>
      <c r="M22" s="34">
        <f>$M$19</f>
        <v>1.3899999999999999E-2</v>
      </c>
      <c r="N22" s="30"/>
      <c r="O22" s="21"/>
      <c r="P22" s="31">
        <f t="shared" si="0"/>
        <v>0.4</v>
      </c>
      <c r="Q22" s="8"/>
      <c r="R22" s="8"/>
      <c r="S22" s="8"/>
      <c r="T22" s="8"/>
      <c r="U22" s="15">
        <f t="shared" si="1"/>
        <v>0</v>
      </c>
      <c r="V22" s="15"/>
      <c r="W22" s="29"/>
      <c r="Y22" s="29"/>
      <c r="Z22" s="31">
        <f>M22</f>
        <v>1.3899999999999999E-2</v>
      </c>
      <c r="AA22" s="160"/>
      <c r="AB22" s="16"/>
      <c r="AC22" s="16"/>
      <c r="AD22" s="16"/>
    </row>
    <row r="23" spans="1:30" x14ac:dyDescent="0.25">
      <c r="A23" s="7" t="s">
        <v>81</v>
      </c>
      <c r="B23" s="7" t="s">
        <v>83</v>
      </c>
      <c r="C23" s="27">
        <v>0.4</v>
      </c>
      <c r="D23" s="27"/>
      <c r="E23" s="27"/>
      <c r="F23" s="27"/>
      <c r="G23" s="27"/>
      <c r="H23" s="28">
        <v>0</v>
      </c>
      <c r="I23" s="28"/>
      <c r="J23" s="28"/>
      <c r="K23" s="30"/>
      <c r="L23" s="28"/>
      <c r="M23" s="34">
        <f>$M$19</f>
        <v>1.3899999999999999E-2</v>
      </c>
      <c r="N23" s="30"/>
      <c r="O23" s="21"/>
      <c r="P23" s="31">
        <f t="shared" si="0"/>
        <v>0.4</v>
      </c>
      <c r="Q23" s="8"/>
      <c r="R23" s="8"/>
      <c r="S23" s="8"/>
      <c r="T23" s="8"/>
      <c r="U23" s="15">
        <f t="shared" si="1"/>
        <v>0</v>
      </c>
      <c r="V23" s="15"/>
      <c r="W23" s="29"/>
      <c r="Y23" s="29"/>
      <c r="Z23" s="31">
        <f>M23</f>
        <v>1.3899999999999999E-2</v>
      </c>
      <c r="AA23" s="160"/>
      <c r="AB23" s="16"/>
      <c r="AC23" s="16"/>
      <c r="AD23" s="16"/>
    </row>
    <row r="24" spans="1:30" x14ac:dyDescent="0.25">
      <c r="A24" s="7" t="s">
        <v>84</v>
      </c>
      <c r="B24" s="7" t="s">
        <v>82</v>
      </c>
      <c r="C24" s="27">
        <v>0.55000000000000004</v>
      </c>
      <c r="D24" s="27"/>
      <c r="E24" s="27"/>
      <c r="F24" s="27"/>
      <c r="G24" s="27"/>
      <c r="H24" s="28">
        <v>0</v>
      </c>
      <c r="I24" s="28"/>
      <c r="J24" s="28"/>
      <c r="K24" s="30"/>
      <c r="L24" s="28"/>
      <c r="M24" s="34">
        <f>$M$19</f>
        <v>1.3899999999999999E-2</v>
      </c>
      <c r="N24" s="30"/>
      <c r="O24" s="21"/>
      <c r="P24" s="31">
        <f t="shared" si="0"/>
        <v>0.55000000000000004</v>
      </c>
      <c r="Q24" s="8"/>
      <c r="R24" s="8"/>
      <c r="S24" s="8"/>
      <c r="T24" s="8"/>
      <c r="U24" s="15">
        <f t="shared" si="1"/>
        <v>0</v>
      </c>
      <c r="V24" s="15"/>
      <c r="W24" s="29"/>
      <c r="Y24" s="29"/>
      <c r="Z24" s="31">
        <f>M24</f>
        <v>1.3899999999999999E-2</v>
      </c>
      <c r="AA24" s="160"/>
      <c r="AC24" s="16"/>
      <c r="AD24" s="16"/>
    </row>
    <row r="25" spans="1:30" x14ac:dyDescent="0.25">
      <c r="A25" s="7" t="s">
        <v>85</v>
      </c>
      <c r="B25" s="7" t="s">
        <v>82</v>
      </c>
      <c r="C25" s="27">
        <v>0.6</v>
      </c>
      <c r="D25" s="27"/>
      <c r="E25" s="27"/>
      <c r="F25" s="27"/>
      <c r="G25" s="27"/>
      <c r="H25" s="28">
        <v>0</v>
      </c>
      <c r="I25" s="28"/>
      <c r="J25" s="28"/>
      <c r="K25" s="30"/>
      <c r="L25" s="28"/>
      <c r="M25" s="34">
        <f>$M$19</f>
        <v>1.3899999999999999E-2</v>
      </c>
      <c r="N25" s="30"/>
      <c r="O25" s="21"/>
      <c r="P25" s="31">
        <f t="shared" si="0"/>
        <v>0.6</v>
      </c>
      <c r="Q25" s="8"/>
      <c r="R25" s="8"/>
      <c r="S25" s="8"/>
      <c r="T25" s="8"/>
      <c r="U25" s="15">
        <f t="shared" si="1"/>
        <v>0</v>
      </c>
      <c r="V25" s="15"/>
      <c r="W25" s="29"/>
      <c r="Y25" s="29"/>
      <c r="Z25" s="31">
        <f>M25</f>
        <v>1.3899999999999999E-2</v>
      </c>
      <c r="AA25" s="160"/>
      <c r="AC25" s="16"/>
      <c r="AD25" s="16"/>
    </row>
    <row r="26" spans="1:30" x14ac:dyDescent="0.25">
      <c r="A26" s="7" t="s">
        <v>86</v>
      </c>
      <c r="B26" s="7" t="s">
        <v>87</v>
      </c>
      <c r="C26" s="27">
        <v>0.35</v>
      </c>
      <c r="D26" s="27"/>
      <c r="E26" s="27"/>
      <c r="F26" s="27"/>
      <c r="G26" s="27"/>
      <c r="H26" s="28">
        <v>0</v>
      </c>
      <c r="I26" s="28"/>
      <c r="J26" s="28"/>
      <c r="K26" s="28"/>
      <c r="L26" s="28"/>
      <c r="M26" s="28"/>
      <c r="N26" s="28"/>
      <c r="O26" s="21"/>
      <c r="P26" s="31">
        <f t="shared" si="0"/>
        <v>0.35</v>
      </c>
      <c r="Q26" s="8"/>
      <c r="R26" s="8"/>
      <c r="S26" s="8"/>
      <c r="T26" s="8"/>
      <c r="U26" s="15">
        <f t="shared" si="1"/>
        <v>0</v>
      </c>
      <c r="V26" s="15"/>
      <c r="W26" s="28"/>
      <c r="Y26" s="29"/>
      <c r="Z26" s="29"/>
      <c r="AA26" s="160"/>
      <c r="AC26" s="16"/>
      <c r="AD26" s="16"/>
    </row>
    <row r="27" spans="1:30" x14ac:dyDescent="0.25">
      <c r="A27" s="7" t="s">
        <v>86</v>
      </c>
      <c r="B27" s="7" t="s">
        <v>78</v>
      </c>
      <c r="C27" s="27">
        <v>0.35</v>
      </c>
      <c r="D27" s="27"/>
      <c r="E27" s="27"/>
      <c r="F27" s="27"/>
      <c r="G27" s="27"/>
      <c r="H27" s="28">
        <v>0</v>
      </c>
      <c r="I27" s="28"/>
      <c r="J27" s="28"/>
      <c r="K27" s="28"/>
      <c r="L27" s="28"/>
      <c r="M27" s="28"/>
      <c r="N27" s="28"/>
      <c r="O27" s="21"/>
      <c r="P27" s="31">
        <f t="shared" si="0"/>
        <v>0.35</v>
      </c>
      <c r="Q27" s="8"/>
      <c r="R27" s="8"/>
      <c r="S27" s="8"/>
      <c r="T27" s="8"/>
      <c r="U27" s="15">
        <f t="shared" si="1"/>
        <v>0</v>
      </c>
      <c r="V27" s="15"/>
      <c r="W27" s="28"/>
      <c r="Y27" s="29"/>
      <c r="Z27" s="29"/>
      <c r="AA27" s="160"/>
      <c r="AC27" s="16"/>
      <c r="AD27" s="16"/>
    </row>
    <row r="28" spans="1:30" x14ac:dyDescent="0.25">
      <c r="A28" s="7" t="s">
        <v>88</v>
      </c>
      <c r="B28" s="7" t="s">
        <v>80</v>
      </c>
      <c r="C28" s="27">
        <v>0</v>
      </c>
      <c r="D28" s="27">
        <v>0.35</v>
      </c>
      <c r="E28" s="32"/>
      <c r="F28" s="32"/>
      <c r="G28" s="32"/>
      <c r="H28" s="28">
        <v>1.2</v>
      </c>
      <c r="I28" s="28"/>
      <c r="J28" s="28"/>
      <c r="K28" s="28"/>
      <c r="L28" s="28"/>
      <c r="M28" s="28"/>
      <c r="N28" s="28"/>
      <c r="O28" s="21"/>
      <c r="P28" s="31">
        <f t="shared" si="0"/>
        <v>0</v>
      </c>
      <c r="Q28" s="31">
        <f>D28</f>
        <v>0.35</v>
      </c>
      <c r="R28" s="8"/>
      <c r="S28" s="8"/>
      <c r="T28" s="8"/>
      <c r="U28" s="15">
        <f t="shared" si="1"/>
        <v>1.2</v>
      </c>
      <c r="V28" s="15"/>
      <c r="W28" s="28"/>
      <c r="Y28" s="29"/>
      <c r="Z28" s="29"/>
      <c r="AA28" s="160"/>
      <c r="AB28" s="16"/>
      <c r="AC28" s="16"/>
      <c r="AD28" s="16"/>
    </row>
    <row r="29" spans="1:30" x14ac:dyDescent="0.25">
      <c r="A29" s="7" t="s">
        <v>89</v>
      </c>
      <c r="B29" s="7" t="s">
        <v>80</v>
      </c>
      <c r="C29" s="27">
        <v>0.4</v>
      </c>
      <c r="D29" s="27"/>
      <c r="E29" s="27"/>
      <c r="F29" s="27"/>
      <c r="G29" s="27"/>
      <c r="H29" s="28">
        <v>0</v>
      </c>
      <c r="I29" s="28"/>
      <c r="J29" s="28"/>
      <c r="K29" s="28"/>
      <c r="L29" s="28"/>
      <c r="M29" s="28"/>
      <c r="N29" s="28"/>
      <c r="O29" s="21"/>
      <c r="P29" s="31">
        <f t="shared" si="0"/>
        <v>0.4</v>
      </c>
      <c r="Q29" s="8"/>
      <c r="R29" s="8"/>
      <c r="S29" s="8"/>
      <c r="T29" s="8"/>
      <c r="U29" s="15">
        <f t="shared" si="1"/>
        <v>0</v>
      </c>
      <c r="V29" s="15"/>
      <c r="W29" s="28"/>
      <c r="Y29" s="29"/>
      <c r="Z29" s="29"/>
      <c r="AA29" s="160"/>
      <c r="AB29" s="16"/>
      <c r="AC29" s="16"/>
      <c r="AD29" s="16"/>
    </row>
    <row r="30" spans="1:30" x14ac:dyDescent="0.25">
      <c r="A30" s="7" t="s">
        <v>74</v>
      </c>
      <c r="B30" s="7" t="s">
        <v>90</v>
      </c>
      <c r="C30" s="27">
        <v>2.2665999999999999</v>
      </c>
      <c r="D30" s="27">
        <v>1.752</v>
      </c>
      <c r="E30" s="27">
        <v>1.6658999999999999</v>
      </c>
      <c r="F30" s="27">
        <v>1.5164</v>
      </c>
      <c r="G30" s="27"/>
      <c r="H30" s="28">
        <v>37.5</v>
      </c>
      <c r="I30" s="28"/>
      <c r="J30" s="28">
        <v>8.02</v>
      </c>
      <c r="K30" s="30"/>
      <c r="L30" s="9"/>
      <c r="M30" s="34">
        <f>$M$19</f>
        <v>1.3899999999999999E-2</v>
      </c>
      <c r="N30" s="34">
        <f>$N$19</f>
        <v>1.6E-2</v>
      </c>
      <c r="O30" s="21"/>
      <c r="P30" s="31">
        <f>'Rate Design MPB-1'!F210</f>
        <v>3.4714</v>
      </c>
      <c r="Q30" s="31">
        <f>'Rate Design MPB-1'!F211</f>
        <v>2.6833</v>
      </c>
      <c r="R30" s="31">
        <f>'Rate Design MPB-1'!F212</f>
        <v>2.5514000000000001</v>
      </c>
      <c r="S30" s="31">
        <f>'Rate Design MPB-1'!F213</f>
        <v>2.3222999999999998</v>
      </c>
      <c r="T30" s="31"/>
      <c r="U30" s="156">
        <f>'Rate Design MPB-1'!F205</f>
        <v>51</v>
      </c>
      <c r="V30" s="15"/>
      <c r="W30" s="28">
        <v>0</v>
      </c>
      <c r="X30" s="31"/>
      <c r="Z30" s="31">
        <f>M30</f>
        <v>1.3899999999999999E-2</v>
      </c>
      <c r="AA30" s="34">
        <f>AA19</f>
        <v>2.5999999999999999E-2</v>
      </c>
      <c r="AB30" s="16"/>
      <c r="AC30" s="16"/>
      <c r="AD30" s="16"/>
    </row>
    <row r="31" spans="1:30" x14ac:dyDescent="0.25">
      <c r="A31" s="7" t="s">
        <v>74</v>
      </c>
      <c r="B31" s="7" t="s">
        <v>91</v>
      </c>
      <c r="C31" s="25">
        <f>C30</f>
        <v>2.2665999999999999</v>
      </c>
      <c r="D31" s="25">
        <f t="shared" ref="D31:F31" si="2">D30</f>
        <v>1.752</v>
      </c>
      <c r="E31" s="25">
        <f t="shared" si="2"/>
        <v>1.6658999999999999</v>
      </c>
      <c r="F31" s="25">
        <f t="shared" si="2"/>
        <v>1.5164</v>
      </c>
      <c r="G31" s="27"/>
      <c r="H31" s="33">
        <f>H30</f>
        <v>37.5</v>
      </c>
      <c r="I31" s="28"/>
      <c r="J31" s="28">
        <v>8.02</v>
      </c>
      <c r="K31" s="30"/>
      <c r="L31" s="9"/>
      <c r="M31" s="34">
        <f>$M$19</f>
        <v>1.3899999999999999E-2</v>
      </c>
      <c r="N31" s="34">
        <f>$N$19</f>
        <v>1.6E-2</v>
      </c>
      <c r="O31" s="21"/>
      <c r="P31" s="31">
        <f>'Rate Design MPB-1'!F210</f>
        <v>3.4714</v>
      </c>
      <c r="Q31" s="31">
        <f>'Rate Design MPB-1'!F211</f>
        <v>2.6833</v>
      </c>
      <c r="R31" s="31">
        <f>'Rate Design MPB-1'!F212</f>
        <v>2.5514000000000001</v>
      </c>
      <c r="S31" s="31">
        <f>'Rate Design MPB-1'!F213</f>
        <v>2.3222999999999998</v>
      </c>
      <c r="T31" s="31"/>
      <c r="U31" s="156">
        <f>'Rate Design MPB-1'!F205</f>
        <v>51</v>
      </c>
      <c r="V31" s="15"/>
      <c r="W31" s="28">
        <v>0</v>
      </c>
      <c r="X31" s="31"/>
      <c r="Z31" s="31">
        <f>M31</f>
        <v>1.3899999999999999E-2</v>
      </c>
      <c r="AA31" s="34">
        <f>AA19</f>
        <v>2.5999999999999999E-2</v>
      </c>
      <c r="AB31" s="16"/>
      <c r="AC31" s="16"/>
      <c r="AD31" s="16"/>
    </row>
    <row r="32" spans="1:30" x14ac:dyDescent="0.25">
      <c r="A32" s="7" t="s">
        <v>295</v>
      </c>
      <c r="B32" s="7" t="s">
        <v>296</v>
      </c>
      <c r="C32" s="27">
        <v>0</v>
      </c>
      <c r="D32" s="27"/>
      <c r="E32" s="27"/>
      <c r="F32" s="27"/>
      <c r="G32" s="27"/>
      <c r="H32" s="28">
        <v>0</v>
      </c>
      <c r="I32" s="28"/>
      <c r="J32" s="28"/>
      <c r="K32" s="30"/>
      <c r="L32" s="9"/>
      <c r="M32" s="30"/>
      <c r="N32" s="30"/>
      <c r="O32" s="21"/>
      <c r="P32" s="31">
        <v>0</v>
      </c>
      <c r="Q32" s="31"/>
      <c r="R32" s="31"/>
      <c r="S32" s="31"/>
      <c r="T32" s="31"/>
      <c r="U32" s="33">
        <v>0</v>
      </c>
      <c r="V32" s="15"/>
      <c r="W32" s="28"/>
      <c r="X32" s="31"/>
      <c r="Z32" s="31"/>
      <c r="AA32" s="159"/>
      <c r="AB32" s="16"/>
      <c r="AC32" s="16"/>
      <c r="AD32" s="16"/>
    </row>
    <row r="33" spans="1:30" x14ac:dyDescent="0.25">
      <c r="A33" s="7" t="s">
        <v>295</v>
      </c>
      <c r="B33" s="7" t="s">
        <v>297</v>
      </c>
      <c r="C33" s="27">
        <v>0</v>
      </c>
      <c r="D33" s="27"/>
      <c r="E33" s="27"/>
      <c r="F33" s="27"/>
      <c r="G33" s="27"/>
      <c r="H33" s="28">
        <v>0</v>
      </c>
      <c r="I33" s="28"/>
      <c r="J33" s="28"/>
      <c r="K33" s="30"/>
      <c r="L33" s="9"/>
      <c r="M33" s="30"/>
      <c r="N33" s="30"/>
      <c r="O33" s="21"/>
      <c r="P33" s="31">
        <v>0</v>
      </c>
      <c r="Q33" s="31"/>
      <c r="R33" s="31"/>
      <c r="S33" s="31"/>
      <c r="T33" s="31"/>
      <c r="U33" s="33">
        <v>0</v>
      </c>
      <c r="V33" s="15"/>
      <c r="W33" s="28"/>
      <c r="X33" s="31"/>
      <c r="Z33" s="31"/>
      <c r="AA33" s="159"/>
      <c r="AB33" s="16"/>
      <c r="AC33" s="16"/>
      <c r="AD33" s="16"/>
    </row>
    <row r="34" spans="1:30" x14ac:dyDescent="0.25">
      <c r="A34" s="7" t="s">
        <v>298</v>
      </c>
      <c r="B34" s="7" t="s">
        <v>299</v>
      </c>
      <c r="C34" s="27">
        <v>0</v>
      </c>
      <c r="D34" s="27"/>
      <c r="E34" s="27"/>
      <c r="F34" s="27"/>
      <c r="G34" s="27"/>
      <c r="H34" s="28">
        <v>0</v>
      </c>
      <c r="I34" s="28"/>
      <c r="J34" s="28"/>
      <c r="K34" s="30"/>
      <c r="L34" s="9"/>
      <c r="M34" s="30"/>
      <c r="N34" s="30"/>
      <c r="O34" s="21"/>
      <c r="P34" s="31">
        <v>0</v>
      </c>
      <c r="Q34" s="31"/>
      <c r="R34" s="31"/>
      <c r="S34" s="31"/>
      <c r="T34" s="31"/>
      <c r="U34" s="33">
        <v>0</v>
      </c>
      <c r="V34" s="15"/>
      <c r="W34" s="28"/>
      <c r="X34" s="31"/>
      <c r="Z34" s="31"/>
      <c r="AA34" s="159"/>
      <c r="AB34" s="16"/>
      <c r="AC34" s="16"/>
      <c r="AD34" s="16"/>
    </row>
    <row r="35" spans="1:30" x14ac:dyDescent="0.25">
      <c r="A35" s="7" t="s">
        <v>298</v>
      </c>
      <c r="B35" s="7" t="s">
        <v>300</v>
      </c>
      <c r="C35" s="27">
        <v>0</v>
      </c>
      <c r="D35" s="27"/>
      <c r="E35" s="27"/>
      <c r="F35" s="27"/>
      <c r="G35" s="27"/>
      <c r="H35" s="28">
        <v>0</v>
      </c>
      <c r="I35" s="28"/>
      <c r="J35" s="28"/>
      <c r="K35" s="30"/>
      <c r="L35" s="9"/>
      <c r="M35" s="30"/>
      <c r="N35" s="30"/>
      <c r="O35" s="21"/>
      <c r="P35" s="31">
        <v>0</v>
      </c>
      <c r="Q35" s="31"/>
      <c r="R35" s="31"/>
      <c r="S35" s="31"/>
      <c r="T35" s="31"/>
      <c r="U35" s="33">
        <v>0</v>
      </c>
      <c r="V35" s="15"/>
      <c r="W35" s="28"/>
      <c r="X35" s="31"/>
      <c r="Z35" s="31"/>
      <c r="AA35" s="159"/>
      <c r="AB35" s="16"/>
      <c r="AC35" s="16"/>
      <c r="AD35" s="16"/>
    </row>
    <row r="36" spans="1:30" x14ac:dyDescent="0.25">
      <c r="A36" s="7" t="s">
        <v>283</v>
      </c>
      <c r="B36" s="7" t="s">
        <v>292</v>
      </c>
      <c r="C36" s="27">
        <v>0.54430000000000001</v>
      </c>
      <c r="D36" s="27">
        <v>0.28899999999999998</v>
      </c>
      <c r="E36" s="27"/>
      <c r="F36" s="27"/>
      <c r="G36" s="27"/>
      <c r="H36" s="28">
        <v>1007.05</v>
      </c>
      <c r="I36" s="28"/>
      <c r="J36" s="28">
        <v>449.59</v>
      </c>
      <c r="K36" s="30"/>
      <c r="L36" s="9"/>
      <c r="M36" s="34">
        <f>$M$19</f>
        <v>1.3899999999999999E-2</v>
      </c>
      <c r="N36" s="34">
        <f>$N$19</f>
        <v>1.6E-2</v>
      </c>
      <c r="O36" s="21"/>
      <c r="P36" s="31">
        <f>'Rate Design MPB-1'!F239</f>
        <v>0.9002</v>
      </c>
      <c r="Q36" s="31">
        <f>'Rate Design MPB-1'!F240</f>
        <v>0.47809999999999997</v>
      </c>
      <c r="R36" s="31"/>
      <c r="S36" s="31"/>
      <c r="T36" s="31"/>
      <c r="U36" s="156">
        <f>'Rate Design MPB-1'!F234</f>
        <v>1461.9999999999998</v>
      </c>
      <c r="V36" s="33"/>
      <c r="W36" s="28">
        <v>0</v>
      </c>
      <c r="X36" s="31"/>
      <c r="Y36" s="9"/>
      <c r="Z36" s="34"/>
      <c r="AA36" s="34">
        <f>AA19</f>
        <v>2.5999999999999999E-2</v>
      </c>
      <c r="AB36" s="16"/>
      <c r="AC36" s="16"/>
      <c r="AD36" s="16"/>
    </row>
    <row r="37" spans="1:30" x14ac:dyDescent="0.25">
      <c r="A37" s="7" t="s">
        <v>92</v>
      </c>
      <c r="B37" s="7" t="s">
        <v>93</v>
      </c>
      <c r="C37" s="27">
        <v>0.81499999999999995</v>
      </c>
      <c r="D37" s="27"/>
      <c r="E37" s="27"/>
      <c r="F37" s="27"/>
      <c r="G37" s="27"/>
      <c r="H37" s="28">
        <v>477</v>
      </c>
      <c r="I37" s="28"/>
      <c r="J37" s="28">
        <v>76.959999999999994</v>
      </c>
      <c r="K37" s="28"/>
      <c r="L37" s="28"/>
      <c r="M37" s="34">
        <f>$M$19</f>
        <v>1.3899999999999999E-2</v>
      </c>
      <c r="N37" s="34">
        <f>$N$19</f>
        <v>1.6E-2</v>
      </c>
      <c r="O37" s="21"/>
      <c r="P37" s="31">
        <f>'Rate Design MPB-1'!F265</f>
        <v>1.3294999999999999</v>
      </c>
      <c r="Q37" s="8"/>
      <c r="R37" s="8"/>
      <c r="S37" s="8"/>
      <c r="T37" s="8"/>
      <c r="U37" s="156">
        <f>'Rate Design MPB-1'!F261</f>
        <v>649</v>
      </c>
      <c r="V37" s="15"/>
      <c r="W37" s="28">
        <v>0</v>
      </c>
      <c r="X37" s="31"/>
      <c r="Y37" s="29"/>
      <c r="Z37" s="31">
        <f>M37</f>
        <v>1.3899999999999999E-2</v>
      </c>
      <c r="AA37" s="34">
        <f>AA19</f>
        <v>2.5999999999999999E-2</v>
      </c>
      <c r="AB37" s="16"/>
      <c r="AC37" s="16"/>
      <c r="AD37" s="16"/>
    </row>
    <row r="38" spans="1:30" x14ac:dyDescent="0.25">
      <c r="A38" s="9"/>
      <c r="B38" s="9"/>
      <c r="C38" s="9"/>
      <c r="D38" s="32"/>
      <c r="E38" s="32"/>
      <c r="F38" s="32"/>
      <c r="G38" s="32"/>
      <c r="H38" s="9"/>
      <c r="I38" s="9"/>
      <c r="J38" s="33"/>
      <c r="K38" s="33"/>
      <c r="L38" s="9"/>
      <c r="M38" s="9"/>
      <c r="N38" s="9"/>
      <c r="O38" s="21"/>
      <c r="P38" s="8"/>
      <c r="Q38" s="8"/>
      <c r="R38" s="8"/>
      <c r="S38" s="8"/>
      <c r="T38" s="8"/>
      <c r="U38" s="8"/>
      <c r="V38" s="8"/>
      <c r="W38" s="33"/>
      <c r="AA38" s="160"/>
      <c r="AB38" s="16"/>
      <c r="AC38" s="16"/>
      <c r="AD38" s="16"/>
    </row>
    <row r="39" spans="1:30" x14ac:dyDescent="0.25">
      <c r="A39" s="9"/>
      <c r="B39" s="10" t="s">
        <v>95</v>
      </c>
      <c r="C39" s="9"/>
      <c r="D39" s="25"/>
      <c r="E39" s="9"/>
      <c r="F39" s="9"/>
      <c r="G39" s="9"/>
      <c r="H39" s="9"/>
      <c r="I39" s="9"/>
      <c r="J39" s="33"/>
      <c r="K39" s="33"/>
      <c r="L39" s="9"/>
      <c r="M39" s="9"/>
      <c r="N39" s="9"/>
      <c r="O39" s="21"/>
      <c r="P39" s="8"/>
      <c r="Q39" s="8"/>
      <c r="R39" s="8"/>
      <c r="S39" s="8"/>
      <c r="T39" s="8"/>
      <c r="U39" s="8"/>
      <c r="V39" s="8"/>
      <c r="W39" s="33"/>
      <c r="AA39" s="160"/>
      <c r="AB39" s="16"/>
      <c r="AC39" s="16"/>
      <c r="AD39" s="16"/>
    </row>
    <row r="40" spans="1:30" x14ac:dyDescent="0.25">
      <c r="A40" s="9"/>
      <c r="B40" s="9"/>
      <c r="C40" s="9"/>
      <c r="D40" s="25"/>
      <c r="E40" s="9"/>
      <c r="F40" s="9"/>
      <c r="G40" s="9"/>
      <c r="H40" s="9"/>
      <c r="I40" s="9"/>
      <c r="J40" s="33"/>
      <c r="K40" s="33"/>
      <c r="L40" s="9"/>
      <c r="M40" s="9"/>
      <c r="N40" s="9"/>
      <c r="O40" s="21"/>
      <c r="P40" s="8"/>
      <c r="Q40" s="8"/>
      <c r="R40" s="8"/>
      <c r="S40" s="8"/>
      <c r="T40" s="8"/>
      <c r="U40" s="8"/>
      <c r="V40" s="8"/>
      <c r="W40" s="33"/>
      <c r="AA40" s="160"/>
      <c r="AB40" s="16"/>
      <c r="AC40" s="16"/>
      <c r="AD40" s="16"/>
    </row>
    <row r="41" spans="1:30" x14ac:dyDescent="0.25">
      <c r="A41" s="7" t="s">
        <v>96</v>
      </c>
      <c r="B41" s="7" t="s">
        <v>116</v>
      </c>
      <c r="C41" s="34">
        <f>C19</f>
        <v>2.2665999999999999</v>
      </c>
      <c r="D41" s="27"/>
      <c r="E41" s="7"/>
      <c r="F41" s="7"/>
      <c r="G41" s="7"/>
      <c r="H41" s="33">
        <f>H19</f>
        <v>15</v>
      </c>
      <c r="I41" s="9"/>
      <c r="J41" s="33">
        <f>J19</f>
        <v>2.25</v>
      </c>
      <c r="K41" s="33">
        <f>K19</f>
        <v>0.69</v>
      </c>
      <c r="L41" s="34">
        <f>L19</f>
        <v>5.9700000000000003E-2</v>
      </c>
      <c r="M41" s="34">
        <f>$M$19</f>
        <v>1.3899999999999999E-2</v>
      </c>
      <c r="N41" s="30"/>
      <c r="O41" s="21"/>
      <c r="P41" s="31">
        <f>'Rate Design MPB-1'!F186</f>
        <v>3.8668</v>
      </c>
      <c r="Q41" s="31"/>
      <c r="R41" s="8"/>
      <c r="S41" s="8"/>
      <c r="T41" s="8"/>
      <c r="U41" s="156">
        <f>'Rate Design MPB-1'!F182</f>
        <v>19.75</v>
      </c>
      <c r="V41" s="15"/>
      <c r="W41" s="28">
        <v>0</v>
      </c>
      <c r="X41" s="15">
        <f>K41</f>
        <v>0.69</v>
      </c>
      <c r="Y41" s="31">
        <f>L41</f>
        <v>5.9700000000000003E-2</v>
      </c>
      <c r="Z41" s="31">
        <f>M41</f>
        <v>1.3899999999999999E-2</v>
      </c>
      <c r="AA41" s="160"/>
      <c r="AB41" s="16"/>
      <c r="AC41" s="16"/>
      <c r="AD41" s="16"/>
    </row>
    <row r="42" spans="1:30" x14ac:dyDescent="0.25">
      <c r="A42" s="7" t="s">
        <v>97</v>
      </c>
      <c r="B42" s="7" t="s">
        <v>117</v>
      </c>
      <c r="C42" s="34">
        <f>C30</f>
        <v>2.2665999999999999</v>
      </c>
      <c r="D42" s="34">
        <f t="shared" ref="D42:F43" si="3">D30</f>
        <v>1.752</v>
      </c>
      <c r="E42" s="34">
        <f t="shared" si="3"/>
        <v>1.6658999999999999</v>
      </c>
      <c r="F42" s="34">
        <f t="shared" si="3"/>
        <v>1.5164</v>
      </c>
      <c r="G42" s="30"/>
      <c r="H42" s="33">
        <f>H30</f>
        <v>37.5</v>
      </c>
      <c r="I42" s="28"/>
      <c r="J42" s="33">
        <f>J30</f>
        <v>8.02</v>
      </c>
      <c r="K42" s="28"/>
      <c r="L42" s="7"/>
      <c r="M42" s="34">
        <f t="shared" ref="M42:M48" si="4">$M$19</f>
        <v>1.3899999999999999E-2</v>
      </c>
      <c r="N42" s="30"/>
      <c r="O42" s="21"/>
      <c r="P42" s="31">
        <f>'Rate Design MPB-1'!F210</f>
        <v>3.4714</v>
      </c>
      <c r="Q42" s="31">
        <f>'Rate Design MPB-1'!F211</f>
        <v>2.6833</v>
      </c>
      <c r="R42" s="31">
        <f>'Rate Design MPB-1'!F212</f>
        <v>2.5514000000000001</v>
      </c>
      <c r="S42" s="31">
        <f>'Rate Design MPB-1'!F213</f>
        <v>2.3222999999999998</v>
      </c>
      <c r="T42" s="31"/>
      <c r="U42" s="156">
        <f>'Rate Design MPB-1'!F205</f>
        <v>51</v>
      </c>
      <c r="V42" s="15"/>
      <c r="W42" s="28">
        <v>0</v>
      </c>
      <c r="Y42" s="8"/>
      <c r="Z42" s="31">
        <f t="shared" ref="Z42:Z48" si="5">M42</f>
        <v>1.3899999999999999E-2</v>
      </c>
      <c r="AA42" s="160"/>
      <c r="AB42" s="16"/>
      <c r="AC42" s="16"/>
      <c r="AD42" s="16"/>
    </row>
    <row r="43" spans="1:30" ht="13.5" customHeight="1" x14ac:dyDescent="0.25">
      <c r="A43" s="7" t="s">
        <v>97</v>
      </c>
      <c r="B43" s="7" t="s">
        <v>118</v>
      </c>
      <c r="C43" s="34">
        <f>C31</f>
        <v>2.2665999999999999</v>
      </c>
      <c r="D43" s="34">
        <f t="shared" si="3"/>
        <v>1.752</v>
      </c>
      <c r="E43" s="34">
        <f t="shared" si="3"/>
        <v>1.6658999999999999</v>
      </c>
      <c r="F43" s="34">
        <f t="shared" si="3"/>
        <v>1.5164</v>
      </c>
      <c r="G43" s="30"/>
      <c r="H43" s="33">
        <f>H31</f>
        <v>37.5</v>
      </c>
      <c r="I43" s="28"/>
      <c r="J43" s="33">
        <f>J31</f>
        <v>8.02</v>
      </c>
      <c r="K43" s="30"/>
      <c r="L43" s="7"/>
      <c r="M43" s="34">
        <f t="shared" si="4"/>
        <v>1.3899999999999999E-2</v>
      </c>
      <c r="N43" s="30"/>
      <c r="O43" s="21"/>
      <c r="P43" s="31">
        <f>'Rate Design MPB-1'!F210</f>
        <v>3.4714</v>
      </c>
      <c r="Q43" s="31">
        <f>'Rate Design MPB-1'!F211</f>
        <v>2.6833</v>
      </c>
      <c r="R43" s="31">
        <f>'Rate Design MPB-1'!F212</f>
        <v>2.5514000000000001</v>
      </c>
      <c r="S43" s="31">
        <f>'Rate Design MPB-1'!F213</f>
        <v>2.3222999999999998</v>
      </c>
      <c r="T43" s="31"/>
      <c r="U43" s="156">
        <f>'Rate Design MPB-1'!F205</f>
        <v>51</v>
      </c>
      <c r="V43" s="15"/>
      <c r="W43" s="28">
        <v>0</v>
      </c>
      <c r="Y43" s="8"/>
      <c r="Z43" s="31">
        <f t="shared" si="5"/>
        <v>1.3899999999999999E-2</v>
      </c>
      <c r="AA43" s="160"/>
      <c r="AB43" s="16"/>
      <c r="AC43" s="16"/>
      <c r="AD43" s="16"/>
    </row>
    <row r="44" spans="1:30" x14ac:dyDescent="0.25">
      <c r="A44" s="7" t="s">
        <v>161</v>
      </c>
      <c r="B44" s="7" t="s">
        <v>162</v>
      </c>
      <c r="C44" s="30">
        <v>0.54430000000000001</v>
      </c>
      <c r="D44" s="159">
        <v>0.28899999999999998</v>
      </c>
      <c r="E44" s="7"/>
      <c r="F44" s="7"/>
      <c r="G44" s="7"/>
      <c r="H44" s="28">
        <v>1007.05</v>
      </c>
      <c r="I44" s="28">
        <v>55.9</v>
      </c>
      <c r="J44" s="33">
        <f>J36</f>
        <v>449.59</v>
      </c>
      <c r="K44" s="30"/>
      <c r="L44" s="28"/>
      <c r="M44" s="34">
        <f t="shared" si="4"/>
        <v>1.3899999999999999E-2</v>
      </c>
      <c r="N44" s="30"/>
      <c r="O44" s="21"/>
      <c r="P44" s="31">
        <f>'Rate Design MPB-1'!F239</f>
        <v>0.9002</v>
      </c>
      <c r="Q44" s="31">
        <f>'Rate Design MPB-1'!F240</f>
        <v>0.47809999999999997</v>
      </c>
      <c r="R44" s="8"/>
      <c r="S44" s="8"/>
      <c r="T44" s="8"/>
      <c r="U44" s="156">
        <f>'Rate Design MPB-1'!F234</f>
        <v>1461.9999999999998</v>
      </c>
      <c r="V44" s="33">
        <f>'Rate Design MPB-1'!F235</f>
        <v>0</v>
      </c>
      <c r="W44" s="28">
        <v>0</v>
      </c>
      <c r="X44" s="31"/>
      <c r="Y44" s="28"/>
      <c r="Z44" s="31">
        <f t="shared" si="5"/>
        <v>1.3899999999999999E-2</v>
      </c>
      <c r="AA44" s="159"/>
      <c r="AC44" s="16"/>
      <c r="AD44" s="16"/>
    </row>
    <row r="45" spans="1:30" x14ac:dyDescent="0.25">
      <c r="A45" s="7" t="s">
        <v>161</v>
      </c>
      <c r="B45" s="7" t="s">
        <v>163</v>
      </c>
      <c r="C45" s="34">
        <f>C44</f>
        <v>0.54430000000000001</v>
      </c>
      <c r="D45" s="34">
        <f>D44</f>
        <v>0.28899999999999998</v>
      </c>
      <c r="E45" s="7"/>
      <c r="F45" s="7"/>
      <c r="G45" s="7"/>
      <c r="H45" s="33">
        <f>H44</f>
        <v>1007.05</v>
      </c>
      <c r="I45" s="28">
        <v>55.9</v>
      </c>
      <c r="J45" s="33">
        <f>J36</f>
        <v>449.59</v>
      </c>
      <c r="K45" s="30"/>
      <c r="L45" s="28"/>
      <c r="M45" s="34">
        <f t="shared" si="4"/>
        <v>1.3899999999999999E-2</v>
      </c>
      <c r="N45" s="30"/>
      <c r="O45" s="21"/>
      <c r="P45" s="31">
        <f>'Rate Design MPB-1'!F239</f>
        <v>0.9002</v>
      </c>
      <c r="Q45" s="31">
        <f>'Rate Design MPB-1'!F240</f>
        <v>0.47809999999999997</v>
      </c>
      <c r="R45" s="8"/>
      <c r="S45" s="8"/>
      <c r="T45" s="8"/>
      <c r="U45" s="156">
        <f>'Rate Design MPB-1'!F234</f>
        <v>1461.9999999999998</v>
      </c>
      <c r="V45" s="33">
        <f>'Rate Design MPB-1'!F235</f>
        <v>0</v>
      </c>
      <c r="W45" s="28">
        <v>0</v>
      </c>
      <c r="Y45" s="28"/>
      <c r="Z45" s="31">
        <f t="shared" si="5"/>
        <v>1.3899999999999999E-2</v>
      </c>
      <c r="AA45" s="160"/>
      <c r="AC45" s="16"/>
      <c r="AD45" s="16"/>
    </row>
    <row r="46" spans="1:30" x14ac:dyDescent="0.25">
      <c r="A46" s="7" t="s">
        <v>164</v>
      </c>
      <c r="B46" s="7" t="s">
        <v>165</v>
      </c>
      <c r="C46" s="30">
        <v>2.2665999999999999</v>
      </c>
      <c r="D46" s="159">
        <v>1.752</v>
      </c>
      <c r="E46" s="7">
        <v>1.6658999999999999</v>
      </c>
      <c r="F46" s="7">
        <v>1.5164</v>
      </c>
      <c r="G46" s="7"/>
      <c r="H46" s="28">
        <v>37.5</v>
      </c>
      <c r="I46" s="28">
        <v>55.9</v>
      </c>
      <c r="J46" s="33">
        <f>J30</f>
        <v>8.02</v>
      </c>
      <c r="K46" s="30"/>
      <c r="L46" s="28"/>
      <c r="M46" s="34">
        <f t="shared" si="4"/>
        <v>1.3899999999999999E-2</v>
      </c>
      <c r="N46" s="30"/>
      <c r="O46" s="21"/>
      <c r="P46" s="31">
        <f>'Rate Design MPB-1'!F210</f>
        <v>3.4714</v>
      </c>
      <c r="Q46" s="31">
        <f>'Rate Design MPB-1'!F211</f>
        <v>2.6833</v>
      </c>
      <c r="R46" s="31">
        <f>'Rate Design MPB-1'!F212</f>
        <v>2.5514000000000001</v>
      </c>
      <c r="S46" s="31">
        <f>'Rate Design MPB-1'!F213</f>
        <v>2.3222999999999998</v>
      </c>
      <c r="T46" s="8"/>
      <c r="U46" s="156">
        <f>'Rate Design MPB-1'!F205</f>
        <v>51</v>
      </c>
      <c r="V46" s="33">
        <f>'Rate Design MPB-1'!F206</f>
        <v>0</v>
      </c>
      <c r="W46" s="28">
        <v>0</v>
      </c>
      <c r="Y46" s="29"/>
      <c r="Z46" s="31">
        <f t="shared" si="5"/>
        <v>1.3899999999999999E-2</v>
      </c>
      <c r="AA46" s="9"/>
      <c r="AC46" s="16"/>
      <c r="AD46" s="16"/>
    </row>
    <row r="47" spans="1:30" x14ac:dyDescent="0.25">
      <c r="A47" s="7" t="s">
        <v>164</v>
      </c>
      <c r="B47" s="7" t="s">
        <v>166</v>
      </c>
      <c r="C47" s="34">
        <f>C46</f>
        <v>2.2665999999999999</v>
      </c>
      <c r="D47" s="34">
        <f t="shared" ref="D47:F47" si="6">D46</f>
        <v>1.752</v>
      </c>
      <c r="E47" s="34">
        <f t="shared" si="6"/>
        <v>1.6658999999999999</v>
      </c>
      <c r="F47" s="34">
        <f t="shared" si="6"/>
        <v>1.5164</v>
      </c>
      <c r="G47" s="30"/>
      <c r="H47" s="33">
        <f>H46</f>
        <v>37.5</v>
      </c>
      <c r="I47" s="28">
        <v>55.9</v>
      </c>
      <c r="J47" s="33">
        <f>J31</f>
        <v>8.02</v>
      </c>
      <c r="K47" s="30"/>
      <c r="L47" s="28"/>
      <c r="M47" s="34">
        <f t="shared" si="4"/>
        <v>1.3899999999999999E-2</v>
      </c>
      <c r="N47" s="30"/>
      <c r="O47" s="21"/>
      <c r="P47" s="31">
        <f>'Rate Design MPB-1'!F210</f>
        <v>3.4714</v>
      </c>
      <c r="Q47" s="31">
        <f>'Rate Design MPB-1'!F211</f>
        <v>2.6833</v>
      </c>
      <c r="R47" s="31">
        <f>'Rate Design MPB-1'!F212</f>
        <v>2.5514000000000001</v>
      </c>
      <c r="S47" s="31">
        <f>'Rate Design MPB-1'!F213</f>
        <v>2.3222999999999998</v>
      </c>
      <c r="T47" s="31"/>
      <c r="U47" s="156">
        <f>'Rate Design MPB-1'!F205</f>
        <v>51</v>
      </c>
      <c r="V47" s="33">
        <f>'Rate Design MPB-1'!F206</f>
        <v>0</v>
      </c>
      <c r="W47" s="28">
        <v>0</v>
      </c>
      <c r="Y47" s="28"/>
      <c r="Z47" s="31">
        <f t="shared" si="5"/>
        <v>1.3899999999999999E-2</v>
      </c>
      <c r="AB47" s="16"/>
      <c r="AC47" s="16"/>
      <c r="AD47" s="16"/>
    </row>
    <row r="48" spans="1:30" x14ac:dyDescent="0.25">
      <c r="A48" s="7" t="s">
        <v>73</v>
      </c>
      <c r="B48" s="7" t="s">
        <v>120</v>
      </c>
      <c r="C48" s="30">
        <v>8.5800000000000001E-2</v>
      </c>
      <c r="D48" s="27"/>
      <c r="E48" s="7"/>
      <c r="F48" s="7"/>
      <c r="G48" s="7"/>
      <c r="H48" s="28">
        <v>200</v>
      </c>
      <c r="I48" s="28">
        <v>55.9</v>
      </c>
      <c r="J48" s="28"/>
      <c r="K48" s="30"/>
      <c r="L48" s="28"/>
      <c r="M48" s="34">
        <f t="shared" si="4"/>
        <v>1.3899999999999999E-2</v>
      </c>
      <c r="N48" s="30"/>
      <c r="O48" s="21"/>
      <c r="P48" s="31">
        <f>'Rate Design MPB-1'!F280</f>
        <v>8.5800000000000001E-2</v>
      </c>
      <c r="Q48" s="8"/>
      <c r="R48" s="8"/>
      <c r="S48" s="8"/>
      <c r="T48" s="8"/>
      <c r="U48" s="156">
        <f>'Rate Design MPB-1'!F276</f>
        <v>255.9</v>
      </c>
      <c r="V48" s="33">
        <f>'Rate Design MPB-1'!F277</f>
        <v>0</v>
      </c>
      <c r="W48" s="28"/>
      <c r="Y48" s="28"/>
      <c r="Z48" s="31">
        <f t="shared" si="5"/>
        <v>1.3899999999999999E-2</v>
      </c>
      <c r="AB48" s="16"/>
      <c r="AC48" s="16"/>
      <c r="AD48" s="16"/>
    </row>
    <row r="49" spans="1:30" x14ac:dyDescent="0.25">
      <c r="A49" s="7" t="s">
        <v>98</v>
      </c>
      <c r="B49" s="7" t="s">
        <v>122</v>
      </c>
      <c r="C49" s="30">
        <v>0.39</v>
      </c>
      <c r="D49" s="27"/>
      <c r="E49" s="7"/>
      <c r="F49" s="7"/>
      <c r="G49" s="9"/>
      <c r="H49" s="28">
        <v>1007.05</v>
      </c>
      <c r="I49" s="28">
        <v>55.9</v>
      </c>
      <c r="J49" s="28"/>
      <c r="K49" s="28"/>
      <c r="L49" s="28"/>
      <c r="M49" s="28"/>
      <c r="N49" s="28"/>
      <c r="O49" s="21"/>
      <c r="P49" s="31">
        <f t="shared" ref="P49:P54" si="7">C49</f>
        <v>0.39</v>
      </c>
      <c r="Q49" s="31"/>
      <c r="R49" s="8"/>
      <c r="S49" s="8"/>
      <c r="T49" s="8"/>
      <c r="U49" s="15">
        <f>H49+I49</f>
        <v>1062.95</v>
      </c>
      <c r="V49" s="28">
        <v>0</v>
      </c>
      <c r="W49" s="28"/>
      <c r="Y49" s="29"/>
      <c r="Z49" s="29"/>
      <c r="AB49" s="16"/>
      <c r="AC49" s="16"/>
      <c r="AD49" s="16"/>
    </row>
    <row r="50" spans="1:30" x14ac:dyDescent="0.25">
      <c r="A50" s="7" t="s">
        <v>99</v>
      </c>
      <c r="B50" s="7" t="s">
        <v>122</v>
      </c>
      <c r="C50" s="30">
        <v>0.39</v>
      </c>
      <c r="D50" s="27"/>
      <c r="E50" s="7"/>
      <c r="F50" s="7"/>
      <c r="G50" s="7"/>
      <c r="H50" s="28">
        <v>1007.05</v>
      </c>
      <c r="I50" s="28">
        <v>55.9</v>
      </c>
      <c r="J50" s="28"/>
      <c r="K50" s="28"/>
      <c r="L50" s="28"/>
      <c r="M50" s="28"/>
      <c r="N50" s="28"/>
      <c r="O50" s="21"/>
      <c r="P50" s="31">
        <f t="shared" si="7"/>
        <v>0.39</v>
      </c>
      <c r="Q50" s="8"/>
      <c r="R50" s="8"/>
      <c r="S50" s="8"/>
      <c r="T50" s="8"/>
      <c r="U50" s="15">
        <f>H50+I49</f>
        <v>1062.95</v>
      </c>
      <c r="V50" s="28">
        <v>0</v>
      </c>
      <c r="W50" s="28"/>
      <c r="Y50" s="29"/>
      <c r="Z50" s="29"/>
      <c r="AB50" s="16"/>
      <c r="AC50" s="16"/>
      <c r="AD50" s="16"/>
    </row>
    <row r="51" spans="1:30" x14ac:dyDescent="0.25">
      <c r="A51" s="7" t="s">
        <v>100</v>
      </c>
      <c r="B51" s="7" t="s">
        <v>121</v>
      </c>
      <c r="C51" s="30">
        <v>8.5800000000000001E-2</v>
      </c>
      <c r="D51" s="27"/>
      <c r="E51" s="7"/>
      <c r="F51" s="7"/>
      <c r="G51" s="7"/>
      <c r="H51" s="28">
        <v>200</v>
      </c>
      <c r="I51" s="28">
        <v>55.9</v>
      </c>
      <c r="J51" s="28"/>
      <c r="K51" s="28"/>
      <c r="L51" s="28"/>
      <c r="M51" s="28"/>
      <c r="N51" s="28"/>
      <c r="O51" s="21"/>
      <c r="P51" s="31">
        <f t="shared" si="7"/>
        <v>8.5800000000000001E-2</v>
      </c>
      <c r="Q51" s="8"/>
      <c r="R51" s="8"/>
      <c r="S51" s="8"/>
      <c r="T51" s="8"/>
      <c r="U51" s="15">
        <f>H51+I51</f>
        <v>255.9</v>
      </c>
      <c r="V51" s="28">
        <v>0</v>
      </c>
      <c r="W51" s="28"/>
      <c r="Y51" s="29"/>
      <c r="Z51" s="29"/>
      <c r="AB51" s="16"/>
      <c r="AC51" s="16"/>
      <c r="AD51" s="16"/>
    </row>
    <row r="52" spans="1:30" x14ac:dyDescent="0.25">
      <c r="A52" s="7" t="s">
        <v>138</v>
      </c>
      <c r="B52" s="7" t="s">
        <v>121</v>
      </c>
      <c r="C52" s="30">
        <v>0.49</v>
      </c>
      <c r="D52" s="27">
        <v>0.27</v>
      </c>
      <c r="E52" s="7"/>
      <c r="F52" s="7"/>
      <c r="G52" s="7"/>
      <c r="H52" s="28">
        <v>1007.05</v>
      </c>
      <c r="I52" s="28">
        <v>55.9</v>
      </c>
      <c r="J52" s="33"/>
      <c r="K52" s="9"/>
      <c r="L52" s="28"/>
      <c r="M52" s="9"/>
      <c r="N52" s="9"/>
      <c r="O52" s="21"/>
      <c r="P52" s="31">
        <f t="shared" si="7"/>
        <v>0.49</v>
      </c>
      <c r="Q52" s="31">
        <f>D52</f>
        <v>0.27</v>
      </c>
      <c r="R52" s="8"/>
      <c r="S52" s="8"/>
      <c r="T52" s="8"/>
      <c r="U52" s="15">
        <f>H52+I52</f>
        <v>1062.95</v>
      </c>
      <c r="V52" s="28">
        <v>0</v>
      </c>
      <c r="W52" s="33"/>
      <c r="Y52" s="28"/>
      <c r="AB52" s="16"/>
      <c r="AC52" s="16"/>
      <c r="AD52" s="16"/>
    </row>
    <row r="53" spans="1:30" x14ac:dyDescent="0.25">
      <c r="A53" s="7" t="s">
        <v>139</v>
      </c>
      <c r="B53" s="7" t="s">
        <v>140</v>
      </c>
      <c r="C53" s="30">
        <v>0.54430000000000001</v>
      </c>
      <c r="D53" s="27">
        <v>0.28899999999999998</v>
      </c>
      <c r="E53" s="7"/>
      <c r="F53" s="7"/>
      <c r="G53" s="7"/>
      <c r="H53" s="28">
        <v>1007.05</v>
      </c>
      <c r="I53" s="28">
        <v>55.9</v>
      </c>
      <c r="J53" s="33">
        <f>J36</f>
        <v>449.59</v>
      </c>
      <c r="K53" s="30"/>
      <c r="L53" s="28"/>
      <c r="M53" s="34">
        <f t="shared" ref="M53" si="8">$M$19</f>
        <v>1.3899999999999999E-2</v>
      </c>
      <c r="N53" s="30"/>
      <c r="O53" s="21"/>
      <c r="P53" s="31">
        <f>'Rate Design MPB-1'!F239</f>
        <v>0.9002</v>
      </c>
      <c r="Q53" s="31">
        <f>'Rate Design MPB-1'!F240</f>
        <v>0.47809999999999997</v>
      </c>
      <c r="R53" s="7"/>
      <c r="S53" s="7"/>
      <c r="T53" s="7"/>
      <c r="U53" s="156">
        <f>'Rate Design MPB-1'!F234</f>
        <v>1461.9999999999998</v>
      </c>
      <c r="V53" s="33">
        <f>'Rate Design MPB-1'!F235</f>
        <v>0</v>
      </c>
      <c r="W53" s="28">
        <v>0</v>
      </c>
      <c r="Y53" s="28"/>
      <c r="Z53" s="31">
        <f>M53</f>
        <v>1.3899999999999999E-2</v>
      </c>
      <c r="AB53" s="16"/>
      <c r="AC53" s="16"/>
      <c r="AD53" s="16"/>
    </row>
    <row r="54" spans="1:30" x14ac:dyDescent="0.25">
      <c r="A54" s="7" t="s">
        <v>101</v>
      </c>
      <c r="B54" s="7" t="s">
        <v>119</v>
      </c>
      <c r="C54" s="30">
        <v>0.28999999999999998</v>
      </c>
      <c r="D54" s="27">
        <v>0.16</v>
      </c>
      <c r="E54" s="7"/>
      <c r="F54" s="7"/>
      <c r="G54" s="7"/>
      <c r="H54" s="28">
        <v>1007.05</v>
      </c>
      <c r="I54" s="28">
        <v>55.9</v>
      </c>
      <c r="J54" s="28"/>
      <c r="K54" s="28"/>
      <c r="L54" s="28"/>
      <c r="M54" s="28"/>
      <c r="N54" s="28"/>
      <c r="O54" s="21"/>
      <c r="P54" s="31">
        <f t="shared" si="7"/>
        <v>0.28999999999999998</v>
      </c>
      <c r="Q54" s="31">
        <f>D54</f>
        <v>0.16</v>
      </c>
      <c r="R54" s="8"/>
      <c r="S54" s="8"/>
      <c r="T54" s="8"/>
      <c r="U54" s="15">
        <f>H54+I54</f>
        <v>1062.95</v>
      </c>
      <c r="V54" s="28">
        <v>0</v>
      </c>
      <c r="W54" s="29"/>
      <c r="Y54" s="29"/>
      <c r="Z54" s="29"/>
      <c r="AB54" s="16"/>
      <c r="AC54" s="16"/>
      <c r="AD54" s="16"/>
    </row>
    <row r="55" spans="1:30" ht="13.8" thickBot="1" x14ac:dyDescent="0.3">
      <c r="A55" s="11"/>
      <c r="B55" s="11"/>
      <c r="C55" s="11"/>
      <c r="D55" s="12"/>
      <c r="E55" s="11"/>
      <c r="F55" s="11"/>
      <c r="G55" s="11"/>
      <c r="H55" s="11"/>
      <c r="I55" s="11"/>
      <c r="J55" s="13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6"/>
      <c r="AC55" s="16"/>
      <c r="AD55" s="16"/>
    </row>
    <row r="56" spans="1:30" x14ac:dyDescent="0.25">
      <c r="A56" s="9"/>
      <c r="B56" s="9"/>
      <c r="J56" s="15"/>
      <c r="AA56" s="16"/>
      <c r="AB56" s="16"/>
      <c r="AC56" s="16"/>
    </row>
    <row r="57" spans="1:30" x14ac:dyDescent="0.25">
      <c r="A57" s="7"/>
      <c r="B57" s="7"/>
      <c r="C57" s="17"/>
      <c r="D57" s="18"/>
      <c r="E57" s="17"/>
      <c r="F57" s="17"/>
      <c r="G57" s="17"/>
      <c r="H57" s="19"/>
      <c r="I57" s="19"/>
      <c r="J57" s="15"/>
      <c r="AA57" s="16"/>
      <c r="AB57" s="16"/>
      <c r="AC57" s="16"/>
    </row>
    <row r="58" spans="1:30" x14ac:dyDescent="0.25">
      <c r="A58" s="7"/>
      <c r="B58" s="7"/>
      <c r="C58" s="17"/>
      <c r="D58" s="18"/>
      <c r="E58" s="17"/>
      <c r="F58" s="17"/>
      <c r="G58" s="17"/>
      <c r="H58" s="19"/>
      <c r="I58" s="19"/>
      <c r="J58" s="15"/>
      <c r="AA58" s="16"/>
      <c r="AB58" s="16"/>
      <c r="AC58" s="16"/>
    </row>
    <row r="59" spans="1:30" x14ac:dyDescent="0.25">
      <c r="A59" s="7"/>
      <c r="B59" s="7"/>
      <c r="C59" s="17"/>
      <c r="D59" s="18"/>
      <c r="E59" s="17"/>
      <c r="F59" s="17"/>
      <c r="G59" s="17"/>
      <c r="H59" s="19"/>
      <c r="I59" s="19"/>
      <c r="J59" s="15"/>
      <c r="AA59" s="16"/>
      <c r="AB59" s="16"/>
      <c r="AC59" s="16"/>
    </row>
    <row r="60" spans="1:30" x14ac:dyDescent="0.25">
      <c r="A60" s="9"/>
      <c r="B60" s="9"/>
      <c r="J60" s="15"/>
      <c r="AA60" s="16"/>
      <c r="AB60" s="16"/>
      <c r="AC60" s="16"/>
    </row>
    <row r="61" spans="1:30" x14ac:dyDescent="0.25">
      <c r="A61" s="9"/>
      <c r="B61" s="9"/>
      <c r="J61" s="15"/>
      <c r="AA61" s="16"/>
      <c r="AB61" s="16"/>
      <c r="AC61" s="16"/>
    </row>
    <row r="62" spans="1:30" x14ac:dyDescent="0.25">
      <c r="A62" s="9"/>
      <c r="B62" s="9"/>
      <c r="J62" s="15"/>
      <c r="AA62" s="16"/>
      <c r="AB62" s="16"/>
      <c r="AC62" s="16"/>
    </row>
    <row r="63" spans="1:30" x14ac:dyDescent="0.25">
      <c r="A63" s="9"/>
      <c r="B63" s="9"/>
      <c r="J63" s="15"/>
      <c r="AA63" s="16"/>
      <c r="AB63" s="16"/>
      <c r="AC63" s="16"/>
    </row>
    <row r="64" spans="1:30" x14ac:dyDescent="0.25">
      <c r="A64" s="9"/>
      <c r="B64" s="9"/>
      <c r="J64" s="15"/>
      <c r="AA64" s="16"/>
      <c r="AB64" s="16"/>
      <c r="AC64" s="16"/>
    </row>
    <row r="65" spans="1:29" x14ac:dyDescent="0.25">
      <c r="A65" s="9"/>
      <c r="B65" s="9"/>
      <c r="J65" s="15"/>
      <c r="AB65" s="16"/>
      <c r="AC65" s="16"/>
    </row>
    <row r="66" spans="1:29" x14ac:dyDescent="0.25">
      <c r="A66" s="9"/>
      <c r="B66" s="9"/>
      <c r="J66" s="15"/>
      <c r="AB66" s="16"/>
      <c r="AC66" s="16"/>
    </row>
    <row r="67" spans="1:29" x14ac:dyDescent="0.25">
      <c r="A67" s="9"/>
      <c r="B67" s="9"/>
      <c r="J67" s="15"/>
      <c r="AB67" s="16"/>
      <c r="AC67" s="16"/>
    </row>
    <row r="68" spans="1:29" x14ac:dyDescent="0.25">
      <c r="A68" s="9"/>
      <c r="B68" s="9"/>
      <c r="J68" s="15"/>
      <c r="AB68" s="16"/>
      <c r="AC68" s="16"/>
    </row>
    <row r="69" spans="1:29" x14ac:dyDescent="0.25">
      <c r="A69" s="9"/>
      <c r="B69" s="9"/>
      <c r="J69" s="15"/>
      <c r="AB69" s="16"/>
      <c r="AC69" s="16"/>
    </row>
    <row r="70" spans="1:29" x14ac:dyDescent="0.25">
      <c r="A70" s="9"/>
      <c r="B70" s="9"/>
      <c r="J70" s="15"/>
      <c r="AA70" s="16"/>
      <c r="AB70" s="16"/>
      <c r="AC70" s="16"/>
    </row>
    <row r="71" spans="1:29" x14ac:dyDescent="0.25">
      <c r="A71" s="9"/>
      <c r="B71" s="9"/>
      <c r="J71" s="15"/>
      <c r="AA71" s="16"/>
      <c r="AB71" s="16"/>
      <c r="AC71" s="16"/>
    </row>
    <row r="72" spans="1:29" x14ac:dyDescent="0.25">
      <c r="A72" s="9"/>
      <c r="B72" s="9"/>
      <c r="J72" s="15"/>
      <c r="AA72" s="16"/>
      <c r="AB72" s="16"/>
      <c r="AC72" s="16"/>
    </row>
    <row r="73" spans="1:29" x14ac:dyDescent="0.25">
      <c r="A73" s="9"/>
      <c r="B73" s="9"/>
      <c r="J73" s="15"/>
      <c r="AA73" s="16"/>
      <c r="AB73" s="16"/>
      <c r="AC73" s="16"/>
    </row>
    <row r="74" spans="1:29" x14ac:dyDescent="0.25">
      <c r="A74" s="9"/>
      <c r="B74" s="9"/>
      <c r="J74" s="15"/>
      <c r="AA74" s="16"/>
      <c r="AB74" s="16"/>
      <c r="AC74" s="16"/>
    </row>
    <row r="75" spans="1:29" x14ac:dyDescent="0.25">
      <c r="A75" s="9"/>
      <c r="B75" s="9"/>
      <c r="J75" s="15"/>
      <c r="AA75" s="16"/>
      <c r="AB75" s="16"/>
      <c r="AC75" s="16"/>
    </row>
    <row r="76" spans="1:29" x14ac:dyDescent="0.25">
      <c r="A76" s="9"/>
      <c r="B76" s="9"/>
      <c r="J76" s="15"/>
      <c r="AA76" s="16"/>
      <c r="AB76" s="16"/>
      <c r="AC76" s="16"/>
    </row>
    <row r="77" spans="1:29" x14ac:dyDescent="0.25">
      <c r="A77" s="9"/>
      <c r="B77" s="9"/>
      <c r="J77" s="15"/>
      <c r="AA77" s="16"/>
      <c r="AB77" s="16"/>
      <c r="AC77" s="16"/>
    </row>
    <row r="78" spans="1:29" x14ac:dyDescent="0.25">
      <c r="A78" s="9"/>
      <c r="B78" s="9"/>
      <c r="J78" s="15"/>
      <c r="AA78" s="16"/>
      <c r="AB78" s="16"/>
      <c r="AC78" s="16"/>
    </row>
    <row r="79" spans="1:29" x14ac:dyDescent="0.25">
      <c r="A79" s="9"/>
      <c r="B79" s="9"/>
      <c r="J79" s="15"/>
    </row>
    <row r="80" spans="1:29" x14ac:dyDescent="0.25">
      <c r="A80" s="9"/>
      <c r="B80" s="9"/>
      <c r="J80" s="15"/>
      <c r="AA80" s="16"/>
      <c r="AB80" s="16"/>
      <c r="AC80" s="16"/>
    </row>
    <row r="81" spans="1:30" x14ac:dyDescent="0.25">
      <c r="A81" s="9"/>
      <c r="B81" s="9"/>
      <c r="J81" s="15"/>
      <c r="AA81" s="16"/>
      <c r="AB81" s="16"/>
      <c r="AC81" s="16"/>
    </row>
    <row r="82" spans="1:30" x14ac:dyDescent="0.25">
      <c r="A82" s="9"/>
      <c r="B82" s="9"/>
      <c r="J82" s="15"/>
      <c r="AA82" s="16"/>
      <c r="AB82" s="16"/>
      <c r="AC82" s="16"/>
    </row>
    <row r="83" spans="1:30" x14ac:dyDescent="0.25">
      <c r="A83" s="9"/>
      <c r="B83" s="9"/>
      <c r="J83" s="15"/>
      <c r="AA83" s="16"/>
      <c r="AB83" s="16"/>
      <c r="AC83" s="16"/>
    </row>
    <row r="84" spans="1:30" x14ac:dyDescent="0.25">
      <c r="A84" s="9"/>
      <c r="B84" s="9"/>
      <c r="J84" s="15"/>
      <c r="AA84" s="16"/>
      <c r="AB84" s="16"/>
      <c r="AC84" s="16"/>
    </row>
    <row r="85" spans="1:30" x14ac:dyDescent="0.25">
      <c r="A85" s="9"/>
      <c r="B85" s="9"/>
      <c r="J85" s="15"/>
    </row>
    <row r="86" spans="1:30" x14ac:dyDescent="0.25">
      <c r="A86" s="9"/>
      <c r="B86" s="9"/>
      <c r="J86" s="15"/>
      <c r="AA86" s="16"/>
      <c r="AB86" s="16"/>
      <c r="AD86" s="16">
        <f>SUM(AD81:AD84)</f>
        <v>0</v>
      </c>
    </row>
    <row r="87" spans="1:30" x14ac:dyDescent="0.25">
      <c r="A87" s="9"/>
      <c r="B87" s="9"/>
      <c r="J87" s="15"/>
    </row>
    <row r="88" spans="1:30" x14ac:dyDescent="0.25">
      <c r="A88" s="9"/>
      <c r="B88" s="9"/>
      <c r="J88" s="15"/>
    </row>
    <row r="89" spans="1:30" x14ac:dyDescent="0.25">
      <c r="A89" s="9"/>
      <c r="B89" s="9"/>
      <c r="J89" s="15"/>
      <c r="AA89" s="16"/>
      <c r="AB89" s="16"/>
      <c r="AC89" s="16"/>
    </row>
    <row r="90" spans="1:30" x14ac:dyDescent="0.25">
      <c r="A90" s="9"/>
      <c r="B90" s="9"/>
      <c r="J90" s="15"/>
      <c r="AA90" s="16"/>
      <c r="AB90" s="16"/>
      <c r="AC90" s="16"/>
    </row>
    <row r="91" spans="1:30" x14ac:dyDescent="0.25">
      <c r="A91" s="9"/>
      <c r="B91" s="9"/>
      <c r="J91" s="15"/>
      <c r="AA91" s="16"/>
      <c r="AB91" s="16"/>
      <c r="AC91" s="16"/>
    </row>
    <row r="92" spans="1:30" x14ac:dyDescent="0.25">
      <c r="A92" s="9"/>
      <c r="B92" s="9"/>
      <c r="J92" s="15"/>
      <c r="AA92" s="16"/>
      <c r="AB92" s="16"/>
      <c r="AC92" s="16"/>
    </row>
    <row r="93" spans="1:30" x14ac:dyDescent="0.25">
      <c r="A93" s="9"/>
      <c r="B93" s="9"/>
      <c r="J93" s="15"/>
      <c r="AA93" s="16"/>
      <c r="AB93" s="16"/>
      <c r="AC93" s="16"/>
    </row>
    <row r="94" spans="1:30" x14ac:dyDescent="0.25">
      <c r="A94" s="9"/>
      <c r="B94" s="9"/>
      <c r="J94" s="15"/>
      <c r="AA94" s="16"/>
      <c r="AB94" s="16"/>
      <c r="AC94" s="16"/>
    </row>
    <row r="95" spans="1:30" x14ac:dyDescent="0.25">
      <c r="A95" s="9"/>
      <c r="B95" s="9"/>
      <c r="J95" s="15"/>
      <c r="AB95" s="16"/>
      <c r="AC95" s="16"/>
    </row>
    <row r="96" spans="1:30" x14ac:dyDescent="0.25">
      <c r="A96" s="9"/>
      <c r="B96" s="9"/>
      <c r="J96" s="15"/>
      <c r="AB96" s="16"/>
      <c r="AC96" s="16"/>
    </row>
    <row r="97" spans="10:29" x14ac:dyDescent="0.25">
      <c r="J97" s="15"/>
      <c r="AB97" s="16"/>
      <c r="AC97" s="16"/>
    </row>
    <row r="98" spans="10:29" x14ac:dyDescent="0.25">
      <c r="J98" s="15"/>
      <c r="AB98" s="16"/>
      <c r="AC98" s="16"/>
    </row>
    <row r="99" spans="10:29" x14ac:dyDescent="0.25">
      <c r="J99" s="15"/>
      <c r="AB99" s="16"/>
      <c r="AC99" s="16"/>
    </row>
    <row r="100" spans="10:29" x14ac:dyDescent="0.25">
      <c r="J100" s="15"/>
    </row>
    <row r="101" spans="10:29" x14ac:dyDescent="0.25">
      <c r="J101" s="15"/>
    </row>
    <row r="102" spans="10:29" x14ac:dyDescent="0.25">
      <c r="J102" s="15"/>
    </row>
    <row r="103" spans="10:29" x14ac:dyDescent="0.25">
      <c r="J103" s="15"/>
      <c r="AA103" s="16"/>
      <c r="AB103" s="16"/>
      <c r="AC103" s="16"/>
    </row>
    <row r="104" spans="10:29" x14ac:dyDescent="0.25">
      <c r="J104" s="15"/>
      <c r="AA104" s="16"/>
      <c r="AB104" s="16"/>
      <c r="AC104" s="16"/>
    </row>
    <row r="105" spans="10:29" x14ac:dyDescent="0.25">
      <c r="J105" s="15"/>
      <c r="AA105" s="16"/>
      <c r="AB105" s="16"/>
      <c r="AC105" s="16"/>
    </row>
    <row r="106" spans="10:29" x14ac:dyDescent="0.25">
      <c r="J106" s="15"/>
      <c r="AA106" s="16"/>
      <c r="AB106" s="16"/>
      <c r="AC106" s="16"/>
    </row>
    <row r="107" spans="10:29" x14ac:dyDescent="0.25">
      <c r="J107" s="15"/>
      <c r="AA107" s="16"/>
      <c r="AB107" s="16"/>
      <c r="AC107" s="16"/>
    </row>
    <row r="108" spans="10:29" x14ac:dyDescent="0.25">
      <c r="AA108" s="16"/>
      <c r="AB108" s="16"/>
      <c r="AC108" s="16"/>
    </row>
    <row r="109" spans="10:29" x14ac:dyDescent="0.25">
      <c r="AA109" s="16"/>
      <c r="AB109" s="16"/>
      <c r="AC109" s="16"/>
    </row>
    <row r="110" spans="10:29" x14ac:dyDescent="0.25">
      <c r="AA110" s="16"/>
      <c r="AB110" s="16"/>
      <c r="AC110" s="16"/>
    </row>
    <row r="111" spans="10:29" x14ac:dyDescent="0.25">
      <c r="AA111" s="16"/>
      <c r="AB111" s="16"/>
      <c r="AC111" s="16"/>
    </row>
    <row r="112" spans="10:29" x14ac:dyDescent="0.25">
      <c r="AA112" s="16"/>
      <c r="AB112" s="16"/>
      <c r="AC112" s="16"/>
    </row>
    <row r="113" spans="27:30" x14ac:dyDescent="0.25">
      <c r="AA113" s="16"/>
      <c r="AB113" s="16"/>
      <c r="AC113" s="16"/>
    </row>
    <row r="115" spans="27:30" x14ac:dyDescent="0.25">
      <c r="AA115" s="16"/>
    </row>
    <row r="117" spans="27:30" x14ac:dyDescent="0.25">
      <c r="AA117" s="16"/>
      <c r="AB117" s="16"/>
      <c r="AC117" s="16"/>
    </row>
    <row r="118" spans="27:30" x14ac:dyDescent="0.25">
      <c r="AA118" s="16"/>
      <c r="AB118" s="16"/>
      <c r="AC118" s="16"/>
    </row>
    <row r="119" spans="27:30" x14ac:dyDescent="0.25">
      <c r="AA119" s="16"/>
      <c r="AB119" s="16"/>
      <c r="AC119" s="16"/>
    </row>
    <row r="120" spans="27:30" ht="5.0999999999999996" customHeight="1" x14ac:dyDescent="0.25">
      <c r="AA120" s="16"/>
      <c r="AB120" s="16"/>
      <c r="AC120" s="16"/>
    </row>
    <row r="121" spans="27:30" x14ac:dyDescent="0.25">
      <c r="AB121" s="16"/>
      <c r="AC121" s="16"/>
    </row>
    <row r="122" spans="27:30" ht="5.0999999999999996" customHeight="1" x14ac:dyDescent="0.25">
      <c r="AB122" s="16"/>
      <c r="AC122" s="16"/>
    </row>
    <row r="123" spans="27:30" x14ac:dyDescent="0.25">
      <c r="AB123" s="16"/>
      <c r="AD123" s="16"/>
    </row>
    <row r="124" spans="27:30" ht="5.0999999999999996" customHeight="1" x14ac:dyDescent="0.25">
      <c r="AB124" s="16"/>
      <c r="AC124" s="16"/>
    </row>
    <row r="125" spans="27:30" x14ac:dyDescent="0.25">
      <c r="AB125" s="16"/>
      <c r="AD125" s="16"/>
    </row>
    <row r="126" spans="27:30" ht="5.0999999999999996" customHeight="1" x14ac:dyDescent="0.25">
      <c r="AB126" s="16"/>
      <c r="AC126" s="16"/>
    </row>
    <row r="127" spans="27:30" x14ac:dyDescent="0.25">
      <c r="AB127" s="16"/>
      <c r="AC127" s="16"/>
    </row>
    <row r="128" spans="27:30" x14ac:dyDescent="0.25">
      <c r="AA128" s="16"/>
      <c r="AB128" s="16"/>
      <c r="AC128" s="16"/>
    </row>
    <row r="129" spans="27:29" ht="0.9" customHeight="1" x14ac:dyDescent="0.25">
      <c r="AA129" s="16"/>
      <c r="AB129" s="16"/>
      <c r="AC129" s="16"/>
    </row>
    <row r="130" spans="27:29" x14ac:dyDescent="0.25">
      <c r="AA130" s="16"/>
      <c r="AB130" s="16"/>
      <c r="AC130" s="16"/>
    </row>
    <row r="131" spans="27:29" x14ac:dyDescent="0.25">
      <c r="AA131" s="16"/>
      <c r="AB131" s="16"/>
    </row>
    <row r="132" spans="27:29" x14ac:dyDescent="0.25">
      <c r="AA132" s="16"/>
      <c r="AB132" s="16"/>
    </row>
    <row r="133" spans="27:29" x14ac:dyDescent="0.25">
      <c r="AA133" s="16"/>
      <c r="AB133" s="16"/>
    </row>
    <row r="134" spans="27:29" x14ac:dyDescent="0.25">
      <c r="AA134" s="16"/>
      <c r="AB134" s="16"/>
    </row>
    <row r="135" spans="27:29" x14ac:dyDescent="0.25">
      <c r="AA135" s="16"/>
      <c r="AB135" s="16"/>
    </row>
    <row r="136" spans="27:29" x14ac:dyDescent="0.25">
      <c r="AA136" s="16"/>
      <c r="AB136" s="16"/>
    </row>
    <row r="137" spans="27:29" x14ac:dyDescent="0.25">
      <c r="AB137" s="16"/>
    </row>
    <row r="138" spans="27:29" x14ac:dyDescent="0.25">
      <c r="AB138" s="16"/>
    </row>
    <row r="139" spans="27:29" x14ac:dyDescent="0.25">
      <c r="AB139" s="16"/>
    </row>
    <row r="140" spans="27:29" x14ac:dyDescent="0.25">
      <c r="AB140" s="16"/>
    </row>
    <row r="141" spans="27:29" x14ac:dyDescent="0.25">
      <c r="AB141" s="16"/>
    </row>
    <row r="142" spans="27:29" ht="5.0999999999999996" customHeight="1" x14ac:dyDescent="0.25">
      <c r="AA142" s="16"/>
      <c r="AB142" s="16"/>
    </row>
    <row r="143" spans="27:29" ht="0.9" customHeight="1" x14ac:dyDescent="0.25">
      <c r="AA143" s="16"/>
      <c r="AB143" s="16"/>
    </row>
    <row r="144" spans="27:29" x14ac:dyDescent="0.25">
      <c r="AA144" s="16"/>
      <c r="AB144" s="16"/>
    </row>
    <row r="145" spans="27:28" x14ac:dyDescent="0.25">
      <c r="AA145" s="16"/>
      <c r="AB145" s="16"/>
    </row>
    <row r="146" spans="27:28" x14ac:dyDescent="0.25">
      <c r="AA146" s="16"/>
      <c r="AB146" s="16"/>
    </row>
    <row r="147" spans="27:28" x14ac:dyDescent="0.25">
      <c r="AA147" s="16"/>
      <c r="AB147" s="16"/>
    </row>
    <row r="148" spans="27:28" x14ac:dyDescent="0.25">
      <c r="AA148" s="16"/>
      <c r="AB148" s="16"/>
    </row>
    <row r="149" spans="27:28" x14ac:dyDescent="0.25">
      <c r="AA149" s="16"/>
      <c r="AB149" s="16"/>
    </row>
    <row r="150" spans="27:28" x14ac:dyDescent="0.25">
      <c r="AA150" s="16"/>
      <c r="AB150" s="16"/>
    </row>
    <row r="151" spans="27:28" x14ac:dyDescent="0.25">
      <c r="AA151" s="16"/>
      <c r="AB151" s="16"/>
    </row>
    <row r="152" spans="27:28" x14ac:dyDescent="0.25">
      <c r="AA152" s="16"/>
      <c r="AB152" s="16"/>
    </row>
    <row r="153" spans="27:28" x14ac:dyDescent="0.25">
      <c r="AA153" s="16"/>
      <c r="AB153" s="16"/>
    </row>
    <row r="154" spans="27:28" x14ac:dyDescent="0.25">
      <c r="AA154" s="16"/>
      <c r="AB154" s="16"/>
    </row>
    <row r="155" spans="27:28" x14ac:dyDescent="0.25">
      <c r="AA155" s="16"/>
      <c r="AB155" s="16"/>
    </row>
    <row r="156" spans="27:28" x14ac:dyDescent="0.25">
      <c r="AA156" s="16"/>
      <c r="AB156" s="16"/>
    </row>
    <row r="157" spans="27:28" x14ac:dyDescent="0.25">
      <c r="AA157" s="16"/>
      <c r="AB157" s="16"/>
    </row>
    <row r="158" spans="27:28" x14ac:dyDescent="0.25">
      <c r="AA158" s="16"/>
      <c r="AB158" s="16"/>
    </row>
    <row r="159" spans="27:28" x14ac:dyDescent="0.25">
      <c r="AA159" s="16"/>
      <c r="AB159" s="16"/>
    </row>
    <row r="160" spans="27:28" x14ac:dyDescent="0.25">
      <c r="AA160" s="16"/>
      <c r="AB160" s="16"/>
    </row>
    <row r="161" spans="27:30" x14ac:dyDescent="0.25">
      <c r="AA161" s="16"/>
      <c r="AB161" s="16"/>
    </row>
    <row r="162" spans="27:30" x14ac:dyDescent="0.25">
      <c r="AA162" s="16"/>
      <c r="AB162" s="16"/>
    </row>
    <row r="163" spans="27:30" x14ac:dyDescent="0.25">
      <c r="AA163" s="16"/>
      <c r="AB163" s="16"/>
    </row>
    <row r="164" spans="27:30" x14ac:dyDescent="0.25">
      <c r="AA164" s="16"/>
      <c r="AB164" s="16"/>
    </row>
    <row r="165" spans="27:30" x14ac:dyDescent="0.25">
      <c r="AA165" s="16"/>
      <c r="AB165" s="16"/>
    </row>
    <row r="166" spans="27:30" x14ac:dyDescent="0.25">
      <c r="AA166" s="16"/>
      <c r="AB166" s="16"/>
    </row>
    <row r="167" spans="27:30" x14ac:dyDescent="0.25">
      <c r="AA167" s="16"/>
      <c r="AB167" s="16"/>
    </row>
    <row r="168" spans="27:30" x14ac:dyDescent="0.25">
      <c r="AA168" s="16"/>
      <c r="AB168" s="16"/>
    </row>
    <row r="169" spans="27:30" x14ac:dyDescent="0.25">
      <c r="AA169" s="16"/>
      <c r="AB169" s="16"/>
    </row>
    <row r="170" spans="27:30" x14ac:dyDescent="0.25">
      <c r="AA170" s="16"/>
      <c r="AB170" s="16"/>
    </row>
    <row r="172" spans="27:30" x14ac:dyDescent="0.25">
      <c r="AA172" s="16"/>
    </row>
    <row r="174" spans="27:30" x14ac:dyDescent="0.25">
      <c r="AA174" s="16"/>
    </row>
    <row r="176" spans="27:30" x14ac:dyDescent="0.25">
      <c r="AB176" s="16"/>
      <c r="AD176" s="16"/>
    </row>
    <row r="178" spans="27:29" x14ac:dyDescent="0.25">
      <c r="AA178" s="16"/>
    </row>
    <row r="192" spans="27:29" x14ac:dyDescent="0.25">
      <c r="AA192" s="16"/>
      <c r="AB192" s="16"/>
      <c r="AC192" s="16"/>
    </row>
    <row r="193" spans="27:29" x14ac:dyDescent="0.25">
      <c r="AA193" s="16"/>
      <c r="AB193" s="16"/>
      <c r="AC193" s="16"/>
    </row>
    <row r="194" spans="27:29" x14ac:dyDescent="0.25">
      <c r="AA194" s="16"/>
      <c r="AB194" s="16"/>
      <c r="AC194" s="16"/>
    </row>
    <row r="195" spans="27:29" x14ac:dyDescent="0.25">
      <c r="AA195" s="16"/>
      <c r="AB195" s="16"/>
      <c r="AC195" s="16"/>
    </row>
    <row r="196" spans="27:29" x14ac:dyDescent="0.25">
      <c r="AA196" s="16"/>
      <c r="AB196" s="16"/>
      <c r="AC196" s="16"/>
    </row>
    <row r="197" spans="27:29" x14ac:dyDescent="0.25">
      <c r="AA197" s="16"/>
      <c r="AB197" s="16"/>
      <c r="AC197" s="16"/>
    </row>
    <row r="198" spans="27:29" x14ac:dyDescent="0.25">
      <c r="AB198" s="16"/>
      <c r="AC198" s="16"/>
    </row>
    <row r="199" spans="27:29" x14ac:dyDescent="0.25">
      <c r="AB199" s="16"/>
      <c r="AC199" s="16"/>
    </row>
    <row r="200" spans="27:29" x14ac:dyDescent="0.25">
      <c r="AB200" s="16"/>
      <c r="AC200" s="16"/>
    </row>
    <row r="201" spans="27:29" x14ac:dyDescent="0.25">
      <c r="AB201" s="16"/>
      <c r="AC201" s="16"/>
    </row>
    <row r="202" spans="27:29" x14ac:dyDescent="0.25">
      <c r="AB202" s="16"/>
      <c r="AC202" s="16"/>
    </row>
    <row r="203" spans="27:29" x14ac:dyDescent="0.25">
      <c r="AA203" s="16"/>
      <c r="AB203" s="16"/>
      <c r="AC203" s="16"/>
    </row>
    <row r="204" spans="27:29" x14ac:dyDescent="0.25">
      <c r="AA204" s="16"/>
      <c r="AB204" s="16"/>
      <c r="AC204" s="16"/>
    </row>
    <row r="205" spans="27:29" x14ac:dyDescent="0.25">
      <c r="AA205" s="16"/>
      <c r="AB205" s="16"/>
      <c r="AC205" s="16"/>
    </row>
    <row r="206" spans="27:29" x14ac:dyDescent="0.25">
      <c r="AA206" s="16"/>
      <c r="AB206" s="16"/>
      <c r="AC206" s="16"/>
    </row>
    <row r="207" spans="27:29" x14ac:dyDescent="0.25">
      <c r="AA207" s="16"/>
      <c r="AB207" s="16"/>
      <c r="AC207" s="16"/>
    </row>
    <row r="208" spans="27:29" x14ac:dyDescent="0.25">
      <c r="AA208" s="16"/>
      <c r="AB208" s="16"/>
      <c r="AC208" s="16"/>
    </row>
    <row r="209" spans="27:29" x14ac:dyDescent="0.25">
      <c r="AA209" s="16"/>
      <c r="AB209" s="16"/>
      <c r="AC209" s="16"/>
    </row>
    <row r="210" spans="27:29" x14ac:dyDescent="0.25">
      <c r="AA210" s="16"/>
      <c r="AB210" s="16"/>
      <c r="AC210" s="16"/>
    </row>
    <row r="211" spans="27:29" x14ac:dyDescent="0.25">
      <c r="AA211" s="16"/>
      <c r="AB211" s="16"/>
      <c r="AC211" s="16"/>
    </row>
    <row r="212" spans="27:29" x14ac:dyDescent="0.25">
      <c r="AA212" s="16"/>
      <c r="AB212" s="16"/>
      <c r="AC212" s="16"/>
    </row>
    <row r="213" spans="27:29" x14ac:dyDescent="0.25">
      <c r="AA213" s="16"/>
      <c r="AB213" s="16"/>
      <c r="AC213" s="16"/>
    </row>
    <row r="214" spans="27:29" x14ac:dyDescent="0.25">
      <c r="AA214" s="16"/>
      <c r="AB214" s="16"/>
      <c r="AC214" s="16"/>
    </row>
    <row r="215" spans="27:29" x14ac:dyDescent="0.25">
      <c r="AA215" s="16"/>
      <c r="AB215" s="16"/>
      <c r="AC215" s="16"/>
    </row>
    <row r="216" spans="27:29" x14ac:dyDescent="0.25">
      <c r="AA216" s="16"/>
      <c r="AB216" s="16"/>
      <c r="AC216" s="16"/>
    </row>
    <row r="217" spans="27:29" x14ac:dyDescent="0.25">
      <c r="AA217" s="16"/>
      <c r="AB217" s="16"/>
      <c r="AC217" s="16"/>
    </row>
    <row r="218" spans="27:29" x14ac:dyDescent="0.25">
      <c r="AA218" s="16"/>
      <c r="AB218" s="16"/>
      <c r="AC218" s="16"/>
    </row>
    <row r="219" spans="27:29" x14ac:dyDescent="0.25">
      <c r="AA219" s="16"/>
      <c r="AB219" s="16"/>
      <c r="AC219" s="16"/>
    </row>
    <row r="220" spans="27:29" x14ac:dyDescent="0.25">
      <c r="AA220" s="16"/>
      <c r="AB220" s="16"/>
      <c r="AC220" s="16"/>
    </row>
    <row r="221" spans="27:29" x14ac:dyDescent="0.25">
      <c r="AA221" s="16"/>
      <c r="AB221" s="16"/>
      <c r="AC221" s="16"/>
    </row>
    <row r="222" spans="27:29" x14ac:dyDescent="0.25">
      <c r="AA222" s="16"/>
      <c r="AB222" s="16"/>
      <c r="AC222" s="16"/>
    </row>
    <row r="223" spans="27:29" x14ac:dyDescent="0.25">
      <c r="AA223" s="16"/>
      <c r="AB223" s="16"/>
      <c r="AC223" s="16"/>
    </row>
    <row r="224" spans="27:29" x14ac:dyDescent="0.25">
      <c r="AA224" s="16"/>
      <c r="AB224" s="16"/>
      <c r="AC224" s="16"/>
    </row>
    <row r="225" spans="7:29" x14ac:dyDescent="0.25">
      <c r="AA225" s="16"/>
      <c r="AB225" s="16"/>
      <c r="AC225" s="16"/>
    </row>
    <row r="226" spans="7:29" x14ac:dyDescent="0.25">
      <c r="AA226" s="16"/>
      <c r="AB226" s="16"/>
      <c r="AC226" s="16"/>
    </row>
    <row r="227" spans="7:29" x14ac:dyDescent="0.25">
      <c r="AA227" s="16"/>
      <c r="AB227" s="16"/>
      <c r="AC227" s="16"/>
    </row>
    <row r="228" spans="7:29" x14ac:dyDescent="0.25">
      <c r="AA228" s="16"/>
      <c r="AB228" s="16"/>
      <c r="AC228" s="16"/>
    </row>
    <row r="229" spans="7:29" x14ac:dyDescent="0.25">
      <c r="AA229" s="16"/>
      <c r="AB229" s="16"/>
      <c r="AC229" s="16"/>
    </row>
    <row r="230" spans="7:29" x14ac:dyDescent="0.25">
      <c r="AA230" s="16"/>
      <c r="AB230" s="16"/>
      <c r="AC230" s="16"/>
    </row>
    <row r="231" spans="7:29" x14ac:dyDescent="0.25">
      <c r="AA231" s="16"/>
      <c r="AB231" s="16"/>
      <c r="AC231" s="16"/>
    </row>
    <row r="232" spans="7:29" x14ac:dyDescent="0.25">
      <c r="AA232" s="16"/>
      <c r="AB232" s="16"/>
      <c r="AC232" s="16"/>
    </row>
    <row r="233" spans="7:29" x14ac:dyDescent="0.25">
      <c r="AA233" s="16"/>
      <c r="AB233" s="16"/>
      <c r="AC233" s="16"/>
    </row>
    <row r="234" spans="7:29" x14ac:dyDescent="0.25">
      <c r="AA234" s="16"/>
      <c r="AB234" s="16"/>
      <c r="AC234" s="16"/>
    </row>
    <row r="235" spans="7:29" x14ac:dyDescent="0.25">
      <c r="AA235" s="16"/>
      <c r="AB235" s="16"/>
      <c r="AC235" s="16"/>
    </row>
    <row r="236" spans="7:29" x14ac:dyDescent="0.25">
      <c r="AA236" s="16"/>
      <c r="AB236" s="16"/>
      <c r="AC236" s="16"/>
    </row>
    <row r="237" spans="7:29" x14ac:dyDescent="0.25">
      <c r="AA237" s="16"/>
      <c r="AB237" s="16"/>
      <c r="AC237" s="16"/>
    </row>
    <row r="238" spans="7:29" x14ac:dyDescent="0.25"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R238" s="16"/>
      <c r="T238" s="16"/>
      <c r="U238" s="16"/>
      <c r="V238" s="16"/>
      <c r="W238" s="16"/>
      <c r="X238" s="16"/>
      <c r="Z238" s="16"/>
      <c r="AA238" s="16"/>
      <c r="AB238" s="16"/>
      <c r="AC238" s="16"/>
    </row>
    <row r="239" spans="7:29" x14ac:dyDescent="0.25"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R239" s="16"/>
      <c r="T239" s="16"/>
      <c r="U239" s="16"/>
      <c r="V239" s="16"/>
      <c r="W239" s="16"/>
      <c r="X239" s="16"/>
      <c r="Z239" s="16"/>
      <c r="AA239" s="16"/>
      <c r="AB239" s="16"/>
      <c r="AC239" s="16"/>
    </row>
    <row r="240" spans="7:29" x14ac:dyDescent="0.25"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R240" s="16"/>
      <c r="T240" s="16"/>
      <c r="U240" s="16"/>
      <c r="V240" s="16"/>
      <c r="W240" s="16"/>
      <c r="X240" s="16"/>
      <c r="Z240" s="16"/>
      <c r="AA240" s="16"/>
      <c r="AB240" s="16"/>
      <c r="AC240" s="16"/>
    </row>
    <row r="241" spans="7:29" x14ac:dyDescent="0.25"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R241" s="16"/>
      <c r="T241" s="16"/>
      <c r="U241" s="16"/>
      <c r="V241" s="16"/>
      <c r="W241" s="16"/>
      <c r="X241" s="16"/>
      <c r="Z241" s="16"/>
      <c r="AA241" s="16"/>
      <c r="AB241" s="16"/>
      <c r="AC241" s="16"/>
    </row>
    <row r="242" spans="7:29" x14ac:dyDescent="0.25"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R242" s="16"/>
      <c r="T242" s="16"/>
      <c r="U242" s="16"/>
      <c r="V242" s="16"/>
      <c r="W242" s="16"/>
      <c r="X242" s="16"/>
      <c r="Z242" s="16"/>
      <c r="AA242" s="16"/>
      <c r="AB242" s="16"/>
      <c r="AC242" s="16"/>
    </row>
    <row r="243" spans="7:29" x14ac:dyDescent="0.25"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R243" s="16"/>
      <c r="T243" s="16"/>
      <c r="U243" s="16"/>
      <c r="V243" s="16"/>
      <c r="W243" s="16"/>
      <c r="X243" s="16"/>
      <c r="Z243" s="16"/>
      <c r="AA243" s="16"/>
      <c r="AB243" s="16"/>
      <c r="AC243" s="16"/>
    </row>
    <row r="244" spans="7:29" x14ac:dyDescent="0.25"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R244" s="16"/>
      <c r="T244" s="16"/>
      <c r="U244" s="16"/>
      <c r="V244" s="16"/>
      <c r="W244" s="16"/>
      <c r="X244" s="16"/>
      <c r="Z244" s="16"/>
      <c r="AA244" s="16"/>
      <c r="AB244" s="16"/>
      <c r="AC244" s="16"/>
    </row>
    <row r="245" spans="7:29" x14ac:dyDescent="0.25"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R245" s="16"/>
      <c r="T245" s="16"/>
      <c r="U245" s="16"/>
      <c r="V245" s="16"/>
      <c r="W245" s="16"/>
      <c r="X245" s="16"/>
      <c r="Z245" s="16"/>
      <c r="AA245" s="16"/>
      <c r="AB245" s="16"/>
      <c r="AC245" s="16"/>
    </row>
    <row r="246" spans="7:29" x14ac:dyDescent="0.25"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R246" s="16"/>
      <c r="T246" s="16"/>
      <c r="U246" s="16"/>
      <c r="V246" s="16"/>
      <c r="W246" s="16"/>
      <c r="X246" s="16"/>
      <c r="Z246" s="16"/>
      <c r="AA246" s="16"/>
      <c r="AB246" s="16"/>
      <c r="AC246" s="16"/>
    </row>
    <row r="247" spans="7:29" x14ac:dyDescent="0.25"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R247" s="16"/>
      <c r="T247" s="16"/>
      <c r="U247" s="16"/>
      <c r="V247" s="16"/>
      <c r="W247" s="16"/>
      <c r="X247" s="16"/>
      <c r="Z247" s="16"/>
      <c r="AA247" s="16"/>
      <c r="AB247" s="16"/>
      <c r="AC247" s="16"/>
    </row>
    <row r="248" spans="7:29" x14ac:dyDescent="0.25"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R248" s="16"/>
      <c r="T248" s="16"/>
      <c r="U248" s="16"/>
      <c r="V248" s="16"/>
      <c r="W248" s="16"/>
      <c r="X248" s="16"/>
      <c r="Z248" s="16"/>
      <c r="AA248" s="16"/>
      <c r="AB248" s="16"/>
      <c r="AC248" s="16"/>
    </row>
    <row r="249" spans="7:29" x14ac:dyDescent="0.25"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R249" s="16"/>
      <c r="T249" s="16"/>
      <c r="U249" s="16"/>
      <c r="V249" s="16"/>
      <c r="W249" s="16"/>
      <c r="X249" s="16"/>
      <c r="Z249" s="16"/>
      <c r="AA249" s="16"/>
      <c r="AB249" s="16"/>
      <c r="AC249" s="16"/>
    </row>
    <row r="250" spans="7:29" x14ac:dyDescent="0.25"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R250" s="16"/>
      <c r="T250" s="16"/>
      <c r="U250" s="16"/>
      <c r="V250" s="16"/>
      <c r="W250" s="16"/>
      <c r="X250" s="16"/>
      <c r="Z250" s="16"/>
      <c r="AA250" s="16"/>
      <c r="AB250" s="16"/>
      <c r="AC250" s="16"/>
    </row>
    <row r="251" spans="7:29" x14ac:dyDescent="0.25"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R251" s="16"/>
      <c r="T251" s="16"/>
      <c r="U251" s="16"/>
      <c r="V251" s="16"/>
      <c r="W251" s="16"/>
      <c r="X251" s="16"/>
      <c r="Z251" s="16"/>
      <c r="AA251" s="16"/>
      <c r="AB251" s="16"/>
      <c r="AC251" s="16"/>
    </row>
    <row r="252" spans="7:29" x14ac:dyDescent="0.25"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R252" s="16"/>
      <c r="T252" s="16"/>
      <c r="U252" s="16"/>
      <c r="V252" s="16"/>
      <c r="W252" s="16"/>
      <c r="X252" s="16"/>
      <c r="Z252" s="16"/>
      <c r="AA252" s="16"/>
      <c r="AB252" s="16"/>
      <c r="AC252" s="16"/>
    </row>
    <row r="253" spans="7:29" x14ac:dyDescent="0.25"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R253" s="16"/>
      <c r="T253" s="16"/>
      <c r="U253" s="16"/>
      <c r="V253" s="16"/>
      <c r="W253" s="16"/>
      <c r="X253" s="16"/>
      <c r="Z253" s="16"/>
      <c r="AA253" s="16"/>
      <c r="AB253" s="16"/>
      <c r="AC253" s="16"/>
    </row>
    <row r="254" spans="7:29" x14ac:dyDescent="0.25"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R254" s="16"/>
      <c r="T254" s="16"/>
      <c r="U254" s="16"/>
      <c r="V254" s="16"/>
      <c r="W254" s="16"/>
      <c r="X254" s="16"/>
      <c r="Z254" s="16"/>
      <c r="AA254" s="16"/>
      <c r="AB254" s="16"/>
      <c r="AC254" s="16"/>
    </row>
    <row r="255" spans="7:29" x14ac:dyDescent="0.25"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R255" s="16"/>
      <c r="T255" s="16"/>
      <c r="U255" s="16"/>
      <c r="V255" s="16"/>
      <c r="W255" s="16"/>
      <c r="X255" s="16"/>
      <c r="Z255" s="16"/>
      <c r="AA255" s="16"/>
      <c r="AB255" s="16"/>
      <c r="AC255" s="16"/>
    </row>
    <row r="256" spans="7:29" x14ac:dyDescent="0.25"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R256" s="16"/>
      <c r="T256" s="16"/>
      <c r="U256" s="16"/>
      <c r="V256" s="16"/>
      <c r="W256" s="16"/>
      <c r="X256" s="16"/>
      <c r="Z256" s="16"/>
      <c r="AA256" s="16"/>
      <c r="AB256" s="16"/>
      <c r="AC256" s="16"/>
    </row>
    <row r="257" spans="7:29" x14ac:dyDescent="0.25"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R257" s="16"/>
      <c r="T257" s="16"/>
      <c r="U257" s="16"/>
      <c r="V257" s="16"/>
      <c r="W257" s="16"/>
      <c r="X257" s="16"/>
      <c r="Z257" s="16"/>
      <c r="AA257" s="16"/>
      <c r="AB257" s="16"/>
      <c r="AC257" s="16"/>
    </row>
    <row r="258" spans="7:29" x14ac:dyDescent="0.25"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R258" s="16"/>
      <c r="T258" s="16"/>
      <c r="U258" s="16"/>
      <c r="V258" s="16"/>
      <c r="W258" s="16"/>
      <c r="X258" s="16"/>
      <c r="Z258" s="16"/>
      <c r="AA258" s="16"/>
      <c r="AB258" s="16"/>
      <c r="AC258" s="16"/>
    </row>
    <row r="259" spans="7:29" x14ac:dyDescent="0.25"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R259" s="16"/>
      <c r="T259" s="16"/>
      <c r="U259" s="16"/>
      <c r="V259" s="16"/>
      <c r="W259" s="16"/>
      <c r="X259" s="16"/>
      <c r="Z259" s="16"/>
      <c r="AA259" s="16"/>
      <c r="AB259" s="16"/>
      <c r="AC259" s="16"/>
    </row>
    <row r="260" spans="7:29" x14ac:dyDescent="0.25"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R260" s="16"/>
      <c r="T260" s="16"/>
      <c r="U260" s="16"/>
      <c r="V260" s="16"/>
      <c r="W260" s="16"/>
      <c r="X260" s="16"/>
      <c r="Z260" s="16"/>
      <c r="AA260" s="16"/>
      <c r="AB260" s="16"/>
      <c r="AC260" s="16"/>
    </row>
    <row r="261" spans="7:29" x14ac:dyDescent="0.25"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R261" s="16"/>
      <c r="T261" s="16"/>
      <c r="U261" s="16"/>
      <c r="V261" s="16"/>
      <c r="W261" s="16"/>
      <c r="X261" s="16"/>
      <c r="Z261" s="16"/>
      <c r="AA261" s="16"/>
      <c r="AB261" s="16"/>
      <c r="AC261" s="16"/>
    </row>
    <row r="262" spans="7:29" x14ac:dyDescent="0.25"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R262" s="16"/>
      <c r="T262" s="16"/>
      <c r="U262" s="16"/>
      <c r="V262" s="16"/>
      <c r="W262" s="16"/>
      <c r="X262" s="16"/>
      <c r="Z262" s="16"/>
      <c r="AA262" s="16"/>
      <c r="AB262" s="16"/>
      <c r="AC262" s="16"/>
    </row>
    <row r="263" spans="7:29" x14ac:dyDescent="0.25"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R263" s="16"/>
      <c r="T263" s="16"/>
      <c r="U263" s="16"/>
      <c r="V263" s="16"/>
      <c r="W263" s="16"/>
      <c r="X263" s="16"/>
      <c r="Z263" s="16"/>
      <c r="AA263" s="16"/>
      <c r="AB263" s="16"/>
      <c r="AC263" s="16"/>
    </row>
    <row r="264" spans="7:29" x14ac:dyDescent="0.25"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R264" s="16"/>
      <c r="T264" s="16"/>
      <c r="U264" s="16"/>
      <c r="V264" s="16"/>
      <c r="W264" s="16"/>
      <c r="X264" s="16"/>
      <c r="Z264" s="16"/>
      <c r="AA264" s="16"/>
      <c r="AB264" s="16"/>
      <c r="AC264" s="16"/>
    </row>
    <row r="265" spans="7:29" x14ac:dyDescent="0.25"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R265" s="16"/>
      <c r="T265" s="16"/>
      <c r="U265" s="16"/>
      <c r="V265" s="16"/>
      <c r="W265" s="16"/>
      <c r="X265" s="16"/>
      <c r="Z265" s="16"/>
      <c r="AA265" s="16"/>
      <c r="AB265" s="16"/>
      <c r="AC265" s="16"/>
    </row>
    <row r="266" spans="7:29" x14ac:dyDescent="0.25"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R266" s="16"/>
      <c r="T266" s="16"/>
      <c r="U266" s="16"/>
      <c r="V266" s="16"/>
      <c r="W266" s="16"/>
      <c r="X266" s="16"/>
      <c r="Z266" s="16"/>
      <c r="AA266" s="16"/>
      <c r="AB266" s="16"/>
      <c r="AC266" s="16"/>
    </row>
    <row r="267" spans="7:29" x14ac:dyDescent="0.25"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R267" s="16"/>
      <c r="T267" s="16"/>
      <c r="U267" s="16"/>
      <c r="V267" s="16"/>
      <c r="W267" s="16"/>
      <c r="X267" s="16"/>
      <c r="Z267" s="16"/>
      <c r="AA267" s="16"/>
      <c r="AB267" s="16"/>
      <c r="AC267" s="16"/>
    </row>
    <row r="268" spans="7:29" x14ac:dyDescent="0.25"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R268" s="16"/>
      <c r="T268" s="16"/>
      <c r="U268" s="16"/>
      <c r="V268" s="16"/>
      <c r="W268" s="16"/>
      <c r="X268" s="16"/>
      <c r="Z268" s="16"/>
      <c r="AA268" s="16"/>
      <c r="AB268" s="16"/>
      <c r="AC268" s="16"/>
    </row>
    <row r="269" spans="7:29" x14ac:dyDescent="0.25"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R269" s="16"/>
      <c r="T269" s="16"/>
      <c r="U269" s="16"/>
      <c r="V269" s="16"/>
      <c r="W269" s="16"/>
      <c r="X269" s="16"/>
      <c r="Z269" s="16"/>
      <c r="AA269" s="16"/>
      <c r="AB269" s="16"/>
      <c r="AC269" s="16"/>
    </row>
    <row r="270" spans="7:29" x14ac:dyDescent="0.25"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R270" s="16"/>
      <c r="T270" s="16"/>
      <c r="U270" s="16"/>
      <c r="V270" s="16"/>
      <c r="W270" s="16"/>
      <c r="X270" s="16"/>
      <c r="Z270" s="16"/>
      <c r="AA270" s="16"/>
      <c r="AB270" s="16"/>
      <c r="AC270" s="16"/>
    </row>
    <row r="271" spans="7:29" x14ac:dyDescent="0.25"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R271" s="16"/>
      <c r="T271" s="16"/>
      <c r="U271" s="16"/>
      <c r="V271" s="16"/>
      <c r="W271" s="16"/>
      <c r="X271" s="16"/>
      <c r="Z271" s="16"/>
      <c r="AA271" s="16"/>
      <c r="AB271" s="16"/>
      <c r="AC271" s="16"/>
    </row>
    <row r="272" spans="7:29" x14ac:dyDescent="0.25"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R272" s="16"/>
      <c r="T272" s="16"/>
      <c r="U272" s="16"/>
      <c r="V272" s="16"/>
      <c r="W272" s="16"/>
      <c r="X272" s="16"/>
      <c r="Z272" s="16"/>
      <c r="AA272" s="16"/>
      <c r="AB272" s="16"/>
      <c r="AC272" s="16"/>
    </row>
    <row r="273" spans="7:29" x14ac:dyDescent="0.25"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R273" s="16"/>
      <c r="T273" s="16"/>
      <c r="U273" s="16"/>
      <c r="V273" s="16"/>
      <c r="W273" s="16"/>
      <c r="X273" s="16"/>
      <c r="Z273" s="16"/>
      <c r="AA273" s="16"/>
      <c r="AB273" s="16"/>
      <c r="AC273" s="16"/>
    </row>
    <row r="274" spans="7:29" x14ac:dyDescent="0.25"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R274" s="16"/>
      <c r="T274" s="16"/>
      <c r="U274" s="16"/>
      <c r="V274" s="16"/>
      <c r="W274" s="16"/>
      <c r="X274" s="16"/>
      <c r="Z274" s="16"/>
      <c r="AA274" s="16"/>
      <c r="AB274" s="16"/>
      <c r="AC274" s="16"/>
    </row>
    <row r="275" spans="7:29" x14ac:dyDescent="0.25"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T275" s="16"/>
      <c r="U275" s="16"/>
      <c r="V275" s="16"/>
      <c r="W275" s="16"/>
      <c r="X275" s="16"/>
      <c r="Z275" s="16"/>
      <c r="AA275" s="16"/>
      <c r="AB275" s="16"/>
      <c r="AC275" s="16"/>
    </row>
    <row r="276" spans="7:29" x14ac:dyDescent="0.25"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T276" s="16"/>
      <c r="U276" s="16"/>
      <c r="V276" s="16"/>
      <c r="W276" s="16"/>
      <c r="X276" s="16"/>
      <c r="Z276" s="16"/>
      <c r="AA276" s="16"/>
      <c r="AB276" s="16"/>
      <c r="AC276" s="16"/>
    </row>
    <row r="277" spans="7:29" x14ac:dyDescent="0.25"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T277" s="16"/>
      <c r="U277" s="16"/>
      <c r="V277" s="16"/>
      <c r="W277" s="16"/>
      <c r="X277" s="16"/>
      <c r="Z277" s="16"/>
      <c r="AA277" s="16"/>
      <c r="AB277" s="16"/>
      <c r="AC277" s="16"/>
    </row>
    <row r="278" spans="7:29" x14ac:dyDescent="0.25"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T278" s="16"/>
      <c r="U278" s="16"/>
      <c r="V278" s="16"/>
      <c r="W278" s="16"/>
      <c r="X278" s="16"/>
      <c r="Z278" s="16"/>
      <c r="AA278" s="16"/>
      <c r="AB278" s="16"/>
      <c r="AC278" s="16"/>
    </row>
    <row r="279" spans="7:29" x14ac:dyDescent="0.25"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T279" s="16"/>
      <c r="U279" s="16"/>
      <c r="V279" s="16"/>
      <c r="W279" s="16"/>
      <c r="X279" s="16"/>
      <c r="Z279" s="16"/>
      <c r="AA279" s="16"/>
      <c r="AB279" s="16"/>
      <c r="AC279" s="16"/>
    </row>
    <row r="280" spans="7:29" x14ac:dyDescent="0.25"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T280" s="16"/>
      <c r="U280" s="16"/>
      <c r="V280" s="16"/>
      <c r="W280" s="16"/>
      <c r="X280" s="16"/>
      <c r="Z280" s="16"/>
      <c r="AA280" s="16"/>
      <c r="AB280" s="16"/>
      <c r="AC280" s="16"/>
    </row>
    <row r="281" spans="7:29" x14ac:dyDescent="0.25"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T281" s="16"/>
      <c r="U281" s="16"/>
      <c r="V281" s="16"/>
      <c r="W281" s="16"/>
      <c r="X281" s="16"/>
      <c r="Z281" s="16"/>
      <c r="AA281" s="16"/>
      <c r="AB281" s="16"/>
      <c r="AC281" s="16"/>
    </row>
    <row r="282" spans="7:29" x14ac:dyDescent="0.25"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T282" s="16"/>
      <c r="U282" s="16"/>
      <c r="V282" s="16"/>
      <c r="W282" s="16"/>
      <c r="X282" s="16"/>
      <c r="Z282" s="16"/>
      <c r="AA282" s="16"/>
      <c r="AB282" s="16"/>
      <c r="AC282" s="16"/>
    </row>
    <row r="283" spans="7:29" x14ac:dyDescent="0.25"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T283" s="16"/>
      <c r="U283" s="16"/>
      <c r="V283" s="16"/>
      <c r="W283" s="16"/>
      <c r="X283" s="16"/>
      <c r="Z283" s="16"/>
      <c r="AA283" s="16"/>
      <c r="AB283" s="16"/>
      <c r="AC283" s="16"/>
    </row>
    <row r="284" spans="7:29" x14ac:dyDescent="0.25"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T284" s="16"/>
      <c r="U284" s="16"/>
      <c r="V284" s="16"/>
      <c r="W284" s="16"/>
      <c r="X284" s="16"/>
      <c r="Z284" s="16"/>
      <c r="AA284" s="16"/>
      <c r="AB284" s="16"/>
      <c r="AC284" s="16"/>
    </row>
    <row r="285" spans="7:29" x14ac:dyDescent="0.25"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T285" s="16"/>
      <c r="U285" s="16"/>
      <c r="V285" s="16"/>
      <c r="W285" s="16"/>
      <c r="X285" s="16"/>
      <c r="Z285" s="16"/>
      <c r="AA285" s="16"/>
      <c r="AB285" s="16"/>
      <c r="AC285" s="16"/>
    </row>
    <row r="286" spans="7:29" x14ac:dyDescent="0.25"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T286" s="16"/>
      <c r="U286" s="16"/>
      <c r="V286" s="16"/>
      <c r="W286" s="16"/>
      <c r="X286" s="16"/>
      <c r="Z286" s="16"/>
      <c r="AA286" s="16"/>
      <c r="AB286" s="16"/>
      <c r="AC286" s="16"/>
    </row>
    <row r="287" spans="7:29" x14ac:dyDescent="0.25"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T287" s="16"/>
      <c r="U287" s="16"/>
      <c r="V287" s="16"/>
      <c r="W287" s="16"/>
      <c r="X287" s="16"/>
      <c r="Z287" s="16"/>
      <c r="AA287" s="16"/>
      <c r="AB287" s="16"/>
      <c r="AC287" s="16"/>
    </row>
    <row r="288" spans="7:29" x14ac:dyDescent="0.25"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T288" s="16"/>
      <c r="U288" s="16"/>
      <c r="V288" s="16"/>
      <c r="W288" s="16"/>
      <c r="X288" s="16"/>
      <c r="Z288" s="16"/>
      <c r="AA288" s="16"/>
      <c r="AB288" s="16"/>
      <c r="AC288" s="16"/>
    </row>
    <row r="289" spans="7:29" x14ac:dyDescent="0.25"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T289" s="16"/>
      <c r="U289" s="16"/>
      <c r="V289" s="16"/>
      <c r="W289" s="16"/>
      <c r="X289" s="16"/>
      <c r="Z289" s="16"/>
      <c r="AA289" s="16"/>
      <c r="AB289" s="16"/>
      <c r="AC289" s="16"/>
    </row>
    <row r="290" spans="7:29" x14ac:dyDescent="0.25"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T290" s="16"/>
      <c r="U290" s="16"/>
      <c r="V290" s="16"/>
      <c r="W290" s="16"/>
      <c r="X290" s="16"/>
      <c r="Z290" s="16"/>
      <c r="AA290" s="16"/>
      <c r="AB290" s="16"/>
      <c r="AC290" s="16"/>
    </row>
    <row r="291" spans="7:29" x14ac:dyDescent="0.25"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T291" s="16"/>
      <c r="U291" s="16"/>
      <c r="V291" s="16"/>
      <c r="W291" s="16"/>
      <c r="X291" s="16"/>
      <c r="Z291" s="16"/>
      <c r="AA291" s="16"/>
      <c r="AB291" s="16"/>
      <c r="AC291" s="16"/>
    </row>
    <row r="292" spans="7:29" x14ac:dyDescent="0.25"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T292" s="16"/>
      <c r="U292" s="16"/>
      <c r="V292" s="16"/>
      <c r="W292" s="16"/>
      <c r="X292" s="16"/>
      <c r="Z292" s="16"/>
      <c r="AA292" s="16"/>
      <c r="AB292" s="16"/>
      <c r="AC292" s="16"/>
    </row>
    <row r="293" spans="7:29" x14ac:dyDescent="0.25"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T293" s="16"/>
      <c r="U293" s="16"/>
      <c r="V293" s="16"/>
      <c r="W293" s="16"/>
      <c r="X293" s="16"/>
      <c r="Z293" s="16"/>
      <c r="AA293" s="16"/>
      <c r="AB293" s="16"/>
      <c r="AC293" s="16"/>
    </row>
    <row r="294" spans="7:29" x14ac:dyDescent="0.25"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T294" s="16"/>
      <c r="U294" s="16"/>
      <c r="V294" s="16"/>
      <c r="W294" s="16"/>
      <c r="X294" s="16"/>
      <c r="Z294" s="16"/>
      <c r="AA294" s="16"/>
      <c r="AB294" s="16"/>
      <c r="AC294" s="16"/>
    </row>
    <row r="295" spans="7:29" x14ac:dyDescent="0.25"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T295" s="16"/>
      <c r="U295" s="16"/>
      <c r="V295" s="16"/>
      <c r="W295" s="16"/>
      <c r="X295" s="16"/>
      <c r="Z295" s="16"/>
      <c r="AA295" s="16"/>
      <c r="AB295" s="16"/>
      <c r="AC295" s="16"/>
    </row>
    <row r="296" spans="7:29" x14ac:dyDescent="0.25"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T296" s="16"/>
      <c r="U296" s="16"/>
      <c r="V296" s="16"/>
      <c r="W296" s="16"/>
      <c r="X296" s="16"/>
      <c r="Z296" s="16"/>
      <c r="AA296" s="16"/>
      <c r="AB296" s="16"/>
      <c r="AC296" s="16"/>
    </row>
    <row r="297" spans="7:29" x14ac:dyDescent="0.25"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T297" s="16"/>
      <c r="U297" s="16"/>
      <c r="V297" s="16"/>
      <c r="W297" s="16"/>
      <c r="X297" s="16"/>
      <c r="Z297" s="16"/>
      <c r="AA297" s="16"/>
      <c r="AB297" s="16"/>
      <c r="AC297" s="16"/>
    </row>
    <row r="298" spans="7:29" x14ac:dyDescent="0.25"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T298" s="16"/>
      <c r="U298" s="16"/>
      <c r="V298" s="16"/>
      <c r="W298" s="16"/>
      <c r="X298" s="16"/>
      <c r="Z298" s="16"/>
      <c r="AA298" s="16"/>
      <c r="AB298" s="16"/>
      <c r="AC298" s="16"/>
    </row>
    <row r="299" spans="7:29" x14ac:dyDescent="0.25"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T299" s="16"/>
      <c r="U299" s="16"/>
      <c r="V299" s="16"/>
      <c r="W299" s="16"/>
      <c r="X299" s="16"/>
      <c r="Z299" s="16"/>
      <c r="AA299" s="16"/>
      <c r="AB299" s="16"/>
      <c r="AC299" s="16"/>
    </row>
    <row r="300" spans="7:29" x14ac:dyDescent="0.25"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T300" s="16"/>
      <c r="U300" s="16"/>
      <c r="V300" s="16"/>
      <c r="W300" s="16"/>
      <c r="X300" s="16"/>
      <c r="Z300" s="16"/>
      <c r="AA300" s="16"/>
      <c r="AB300" s="16"/>
      <c r="AC300" s="16"/>
    </row>
    <row r="301" spans="7:29" x14ac:dyDescent="0.25"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T301" s="16"/>
      <c r="U301" s="16"/>
      <c r="V301" s="16"/>
      <c r="W301" s="16"/>
      <c r="X301" s="16"/>
      <c r="Z301" s="16"/>
      <c r="AA301" s="16"/>
      <c r="AB301" s="16"/>
      <c r="AC301" s="16"/>
    </row>
    <row r="302" spans="7:29" x14ac:dyDescent="0.25"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T302" s="16"/>
      <c r="U302" s="16"/>
      <c r="V302" s="16"/>
      <c r="W302" s="16"/>
      <c r="X302" s="16"/>
      <c r="Z302" s="16"/>
      <c r="AA302" s="16"/>
      <c r="AB302" s="16"/>
      <c r="AC302" s="16"/>
    </row>
    <row r="303" spans="7:29" x14ac:dyDescent="0.25"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T303" s="16"/>
      <c r="U303" s="16"/>
      <c r="V303" s="16"/>
      <c r="W303" s="16"/>
      <c r="X303" s="16"/>
      <c r="Z303" s="16"/>
      <c r="AA303" s="16"/>
      <c r="AB303" s="16"/>
      <c r="AC303" s="16"/>
    </row>
    <row r="304" spans="7:29" x14ac:dyDescent="0.25"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T304" s="16"/>
      <c r="U304" s="16"/>
      <c r="V304" s="16"/>
      <c r="W304" s="16"/>
      <c r="X304" s="16"/>
      <c r="Z304" s="16"/>
      <c r="AA304" s="16"/>
      <c r="AB304" s="16"/>
      <c r="AC304" s="16"/>
    </row>
    <row r="305" spans="7:29" x14ac:dyDescent="0.25"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T305" s="16"/>
      <c r="U305" s="16"/>
      <c r="V305" s="16"/>
      <c r="W305" s="16"/>
      <c r="X305" s="16"/>
      <c r="Z305" s="16"/>
      <c r="AA305" s="16"/>
      <c r="AB305" s="16"/>
      <c r="AC305" s="16"/>
    </row>
    <row r="306" spans="7:29" x14ac:dyDescent="0.25"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T306" s="16"/>
      <c r="U306" s="16"/>
      <c r="V306" s="16"/>
      <c r="W306" s="16"/>
      <c r="X306" s="16"/>
      <c r="Z306" s="16"/>
      <c r="AA306" s="16"/>
      <c r="AB306" s="16"/>
      <c r="AC306" s="16"/>
    </row>
    <row r="307" spans="7:29" x14ac:dyDescent="0.25"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T307" s="16"/>
      <c r="U307" s="16"/>
      <c r="V307" s="16"/>
      <c r="W307" s="16"/>
      <c r="X307" s="16"/>
      <c r="Z307" s="16"/>
      <c r="AA307" s="16"/>
      <c r="AB307" s="16"/>
      <c r="AC307" s="16"/>
    </row>
    <row r="308" spans="7:29" x14ac:dyDescent="0.25"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T308" s="16"/>
      <c r="U308" s="16"/>
      <c r="V308" s="16"/>
      <c r="W308" s="16"/>
      <c r="X308" s="16"/>
      <c r="Z308" s="16"/>
      <c r="AA308" s="16"/>
      <c r="AB308" s="16"/>
      <c r="AC308" s="16"/>
    </row>
    <row r="309" spans="7:29" x14ac:dyDescent="0.25"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T309" s="16"/>
      <c r="U309" s="16"/>
      <c r="V309" s="16"/>
      <c r="W309" s="16"/>
      <c r="X309" s="16"/>
      <c r="Z309" s="16"/>
      <c r="AA309" s="16"/>
      <c r="AB309" s="16"/>
      <c r="AC309" s="16"/>
    </row>
    <row r="310" spans="7:29" x14ac:dyDescent="0.25"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T310" s="16"/>
      <c r="U310" s="16"/>
      <c r="V310" s="16"/>
      <c r="W310" s="16"/>
      <c r="X310" s="16"/>
      <c r="Z310" s="16"/>
      <c r="AA310" s="16"/>
      <c r="AB310" s="16"/>
      <c r="AC310" s="16"/>
    </row>
    <row r="311" spans="7:29" x14ac:dyDescent="0.25"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T311" s="16"/>
      <c r="U311" s="16"/>
      <c r="V311" s="16"/>
      <c r="W311" s="16"/>
      <c r="X311" s="16"/>
      <c r="Z311" s="16"/>
      <c r="AA311" s="16"/>
      <c r="AB311" s="16"/>
      <c r="AC311" s="16"/>
    </row>
    <row r="312" spans="7:29" x14ac:dyDescent="0.25"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T312" s="16"/>
      <c r="U312" s="16"/>
      <c r="V312" s="16"/>
      <c r="W312" s="16"/>
      <c r="X312" s="16"/>
      <c r="Z312" s="16"/>
      <c r="AA312" s="16"/>
      <c r="AB312" s="16"/>
      <c r="AC312" s="16"/>
    </row>
    <row r="313" spans="7:29" x14ac:dyDescent="0.25"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T313" s="16"/>
      <c r="U313" s="16"/>
      <c r="V313" s="16"/>
      <c r="W313" s="16"/>
      <c r="X313" s="16"/>
      <c r="Z313" s="16"/>
      <c r="AA313" s="16"/>
      <c r="AB313" s="16"/>
      <c r="AC313" s="16"/>
    </row>
    <row r="314" spans="7:29" x14ac:dyDescent="0.25"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T314" s="16"/>
      <c r="U314" s="16"/>
      <c r="V314" s="16"/>
      <c r="W314" s="16"/>
      <c r="X314" s="16"/>
      <c r="Z314" s="16"/>
      <c r="AA314" s="16"/>
      <c r="AB314" s="16"/>
      <c r="AC314" s="16"/>
    </row>
    <row r="315" spans="7:29" x14ac:dyDescent="0.25"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T315" s="16"/>
      <c r="U315" s="16"/>
      <c r="V315" s="16"/>
      <c r="W315" s="16"/>
      <c r="X315" s="16"/>
      <c r="Z315" s="16"/>
      <c r="AA315" s="16"/>
      <c r="AB315" s="16"/>
      <c r="AC315" s="16"/>
    </row>
    <row r="316" spans="7:29" x14ac:dyDescent="0.25"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T316" s="16"/>
      <c r="U316" s="16"/>
      <c r="V316" s="16"/>
      <c r="W316" s="16"/>
      <c r="X316" s="16"/>
      <c r="Z316" s="16"/>
      <c r="AA316" s="16"/>
      <c r="AB316" s="16"/>
      <c r="AC316" s="16"/>
    </row>
    <row r="317" spans="7:29" x14ac:dyDescent="0.25"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T317" s="16"/>
      <c r="U317" s="16"/>
      <c r="V317" s="16"/>
      <c r="W317" s="16"/>
      <c r="X317" s="16"/>
      <c r="Z317" s="16"/>
      <c r="AA317" s="16"/>
      <c r="AB317" s="16"/>
      <c r="AC317" s="16"/>
    </row>
    <row r="318" spans="7:29" x14ac:dyDescent="0.25"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T318" s="16"/>
      <c r="U318" s="16"/>
      <c r="V318" s="16"/>
      <c r="W318" s="16"/>
      <c r="X318" s="16"/>
      <c r="Z318" s="16"/>
      <c r="AA318" s="16"/>
      <c r="AB318" s="16"/>
      <c r="AC318" s="16"/>
    </row>
    <row r="319" spans="7:29" x14ac:dyDescent="0.25"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T319" s="16"/>
      <c r="U319" s="16"/>
      <c r="V319" s="16"/>
      <c r="W319" s="16"/>
      <c r="X319" s="16"/>
      <c r="Z319" s="16"/>
      <c r="AA319" s="16"/>
      <c r="AB319" s="16"/>
      <c r="AC319" s="16"/>
    </row>
    <row r="320" spans="7:29" x14ac:dyDescent="0.25"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T320" s="16"/>
      <c r="U320" s="16"/>
      <c r="V320" s="16"/>
      <c r="W320" s="16"/>
      <c r="X320" s="16"/>
      <c r="Z320" s="16"/>
      <c r="AA320" s="16"/>
      <c r="AB320" s="16"/>
      <c r="AC320" s="16"/>
    </row>
    <row r="321" spans="7:29" x14ac:dyDescent="0.25"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T321" s="16"/>
      <c r="U321" s="16"/>
      <c r="V321" s="16"/>
      <c r="W321" s="16"/>
      <c r="X321" s="16"/>
      <c r="Z321" s="16"/>
      <c r="AA321" s="16"/>
      <c r="AB321" s="16"/>
      <c r="AC321" s="16"/>
    </row>
    <row r="322" spans="7:29" x14ac:dyDescent="0.25"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T322" s="16"/>
      <c r="U322" s="16"/>
      <c r="V322" s="16"/>
      <c r="W322" s="16"/>
      <c r="X322" s="16"/>
      <c r="Z322" s="16"/>
      <c r="AA322" s="16"/>
      <c r="AB322" s="16"/>
      <c r="AC322" s="16"/>
    </row>
    <row r="323" spans="7:29" x14ac:dyDescent="0.25"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T323" s="16"/>
      <c r="U323" s="16"/>
      <c r="V323" s="16"/>
      <c r="W323" s="16"/>
      <c r="X323" s="16"/>
      <c r="Z323" s="16"/>
      <c r="AA323" s="16"/>
      <c r="AB323" s="16"/>
      <c r="AC323" s="16"/>
    </row>
    <row r="324" spans="7:29" x14ac:dyDescent="0.25"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T324" s="16"/>
      <c r="U324" s="16"/>
      <c r="V324" s="16"/>
      <c r="W324" s="16"/>
      <c r="X324" s="16"/>
      <c r="Z324" s="16"/>
      <c r="AA324" s="16"/>
      <c r="AB324" s="16"/>
      <c r="AC324" s="16"/>
    </row>
    <row r="325" spans="7:29" x14ac:dyDescent="0.25"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T325" s="16"/>
      <c r="U325" s="16"/>
      <c r="V325" s="16"/>
      <c r="W325" s="16"/>
      <c r="X325" s="16"/>
      <c r="Z325" s="16"/>
      <c r="AA325" s="16"/>
      <c r="AB325" s="16"/>
      <c r="AC325" s="16"/>
    </row>
    <row r="326" spans="7:29" x14ac:dyDescent="0.25"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T326" s="16"/>
      <c r="U326" s="16"/>
      <c r="V326" s="16"/>
      <c r="W326" s="16"/>
      <c r="X326" s="16"/>
      <c r="Z326" s="16"/>
      <c r="AA326" s="16"/>
      <c r="AB326" s="16"/>
      <c r="AC326" s="16"/>
    </row>
    <row r="327" spans="7:29" x14ac:dyDescent="0.25"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T327" s="16"/>
      <c r="U327" s="16"/>
      <c r="V327" s="16"/>
      <c r="W327" s="16"/>
      <c r="X327" s="16"/>
      <c r="Z327" s="16"/>
      <c r="AA327" s="16"/>
      <c r="AB327" s="16"/>
      <c r="AC327" s="16"/>
    </row>
    <row r="328" spans="7:29" x14ac:dyDescent="0.25"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T328" s="16"/>
      <c r="U328" s="16"/>
      <c r="V328" s="16"/>
      <c r="W328" s="16"/>
      <c r="X328" s="16"/>
      <c r="Z328" s="16"/>
      <c r="AA328" s="16"/>
      <c r="AB328" s="16"/>
      <c r="AC328" s="16"/>
    </row>
    <row r="329" spans="7:29" x14ac:dyDescent="0.25"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T329" s="16"/>
      <c r="U329" s="16"/>
      <c r="V329" s="16"/>
      <c r="W329" s="16"/>
      <c r="X329" s="16"/>
      <c r="Z329" s="16"/>
      <c r="AA329" s="16"/>
      <c r="AB329" s="16"/>
      <c r="AC329" s="16"/>
    </row>
    <row r="330" spans="7:29" x14ac:dyDescent="0.25"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T330" s="16"/>
      <c r="U330" s="16"/>
      <c r="V330" s="16"/>
      <c r="W330" s="16"/>
      <c r="X330" s="16"/>
      <c r="Z330" s="16"/>
      <c r="AA330" s="16"/>
      <c r="AB330" s="16"/>
      <c r="AC330" s="16"/>
    </row>
  </sheetData>
  <mergeCells count="2">
    <mergeCell ref="C17:N17"/>
    <mergeCell ref="P17:AA17"/>
  </mergeCells>
  <phoneticPr fontId="0" type="noConversion"/>
  <printOptions horizontalCentered="1"/>
  <pageMargins left="0.5" right="0.25" top="0.5" bottom="0.25" header="0.25" footer="0.5"/>
  <pageSetup scale="68" orientation="landscape" r:id="rId1"/>
  <headerFooter alignWithMargins="0">
    <oddHeader>&amp;RKY PSC Case No. 2016-00162
Attachment B to PSC 2-65</oddHeader>
  </headerFooter>
  <rowBreaks count="3" manualBreakCount="3">
    <brk id="165" max="65535" man="1"/>
    <brk id="207" max="65535" man="1"/>
    <brk id="268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6"/>
  <dimension ref="A1:Y638"/>
  <sheetViews>
    <sheetView topLeftCell="A4" zoomScaleNormal="100" zoomScaleSheetLayoutView="90" workbookViewId="0">
      <selection activeCell="C18" sqref="C18"/>
    </sheetView>
  </sheetViews>
  <sheetFormatPr defaultColWidth="10" defaultRowHeight="10.199999999999999" x14ac:dyDescent="0.2"/>
  <cols>
    <col min="1" max="1" width="7" style="263" customWidth="1"/>
    <col min="2" max="2" width="27.6640625" style="224" customWidth="1"/>
    <col min="3" max="3" width="6.83203125" style="224" bestFit="1" customWidth="1"/>
    <col min="4" max="5" width="14.6640625" style="306" bestFit="1" customWidth="1"/>
    <col min="6" max="9" width="12.6640625" style="306" bestFit="1" customWidth="1"/>
    <col min="10" max="12" width="11.33203125" style="306" bestFit="1" customWidth="1"/>
    <col min="13" max="15" width="12.6640625" style="306" bestFit="1" customWidth="1"/>
    <col min="16" max="16" width="15.83203125" style="306" customWidth="1"/>
    <col min="17" max="17" width="2" style="224" customWidth="1"/>
    <col min="18" max="18" width="15.1640625" style="224" customWidth="1"/>
    <col min="19" max="19" width="15.6640625" style="224" bestFit="1" customWidth="1"/>
    <col min="20" max="21" width="11.1640625" style="224" bestFit="1" customWidth="1"/>
    <col min="22" max="22" width="11.33203125" style="224" bestFit="1" customWidth="1"/>
    <col min="23" max="23" width="11.1640625" style="224" bestFit="1" customWidth="1"/>
    <col min="24" max="24" width="11.6640625" style="224" bestFit="1" customWidth="1"/>
    <col min="25" max="25" width="10" style="224"/>
    <col min="26" max="26" width="11.1640625" style="224" bestFit="1" customWidth="1"/>
    <col min="27" max="30" width="10" style="224"/>
    <col min="31" max="31" width="11.1640625" style="224" bestFit="1" customWidth="1"/>
    <col min="32" max="16384" width="10" style="224"/>
  </cols>
  <sheetData>
    <row r="1" spans="1:25" x14ac:dyDescent="0.2">
      <c r="A1" s="872" t="s">
        <v>36</v>
      </c>
      <c r="B1" s="872"/>
      <c r="C1" s="872"/>
      <c r="D1" s="872"/>
      <c r="E1" s="872"/>
      <c r="F1" s="872"/>
      <c r="G1" s="872"/>
      <c r="H1" s="872"/>
      <c r="I1" s="872"/>
      <c r="J1" s="872"/>
      <c r="K1" s="872"/>
      <c r="L1" s="872"/>
      <c r="M1" s="872"/>
      <c r="N1" s="872"/>
      <c r="O1" s="872"/>
      <c r="P1" s="872"/>
    </row>
    <row r="2" spans="1:25" x14ac:dyDescent="0.2">
      <c r="A2" s="872" t="s">
        <v>366</v>
      </c>
      <c r="B2" s="872"/>
      <c r="C2" s="872"/>
      <c r="D2" s="872"/>
      <c r="E2" s="872"/>
      <c r="F2" s="872"/>
      <c r="G2" s="872"/>
      <c r="H2" s="872"/>
      <c r="I2" s="872"/>
      <c r="J2" s="872"/>
      <c r="K2" s="872"/>
      <c r="L2" s="872"/>
      <c r="M2" s="872"/>
      <c r="N2" s="872"/>
      <c r="O2" s="872"/>
      <c r="P2" s="872"/>
    </row>
    <row r="3" spans="1:25" x14ac:dyDescent="0.2">
      <c r="A3" s="871" t="s">
        <v>416</v>
      </c>
      <c r="B3" s="871"/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</row>
    <row r="4" spans="1:25" x14ac:dyDescent="0.2">
      <c r="B4" s="585"/>
      <c r="C4" s="585"/>
      <c r="D4" s="586"/>
      <c r="E4" s="586"/>
      <c r="F4" s="586"/>
      <c r="G4" s="586"/>
      <c r="H4" s="586"/>
      <c r="I4" s="586"/>
      <c r="J4" s="586"/>
      <c r="K4" s="586"/>
      <c r="L4" s="586"/>
      <c r="M4" s="586"/>
    </row>
    <row r="5" spans="1:25" s="221" customFormat="1" x14ac:dyDescent="0.2">
      <c r="A5" s="587" t="s">
        <v>538</v>
      </c>
      <c r="B5" s="416"/>
      <c r="C5" s="416"/>
      <c r="D5" s="227"/>
      <c r="E5" s="227"/>
      <c r="F5" s="306"/>
      <c r="G5" s="305"/>
      <c r="H5" s="305"/>
      <c r="I5" s="305"/>
      <c r="J5" s="305"/>
      <c r="K5" s="305"/>
      <c r="L5" s="305"/>
      <c r="M5" s="305"/>
      <c r="N5" s="305"/>
      <c r="O5" s="305"/>
      <c r="P5" s="305"/>
    </row>
    <row r="6" spans="1:25" s="221" customFormat="1" x14ac:dyDescent="0.2">
      <c r="A6" s="587" t="s">
        <v>537</v>
      </c>
      <c r="B6" s="416"/>
      <c r="C6" s="416"/>
      <c r="D6" s="227"/>
      <c r="E6" s="227"/>
      <c r="F6" s="306"/>
      <c r="G6" s="305"/>
      <c r="H6" s="305"/>
      <c r="I6" s="305"/>
      <c r="J6" s="305"/>
      <c r="K6" s="305"/>
      <c r="L6" s="305"/>
      <c r="M6" s="305"/>
      <c r="N6" s="305"/>
      <c r="O6" s="305"/>
      <c r="P6" s="305"/>
    </row>
    <row r="7" spans="1:25" s="221" customFormat="1" x14ac:dyDescent="0.2">
      <c r="A7" s="588" t="s">
        <v>63</v>
      </c>
      <c r="B7" s="416"/>
      <c r="C7" s="416"/>
      <c r="D7" s="227"/>
      <c r="E7" s="227"/>
      <c r="F7" s="306"/>
      <c r="G7" s="305"/>
      <c r="H7" s="305"/>
      <c r="I7" s="305"/>
      <c r="J7" s="305"/>
      <c r="K7" s="305"/>
      <c r="L7" s="305"/>
      <c r="M7" s="305"/>
      <c r="N7" s="305"/>
      <c r="O7" s="305"/>
      <c r="P7" s="589" t="s">
        <v>335</v>
      </c>
    </row>
    <row r="8" spans="1:25" s="221" customFormat="1" x14ac:dyDescent="0.2">
      <c r="A8" s="590" t="s">
        <v>303</v>
      </c>
      <c r="B8" s="416"/>
      <c r="C8" s="423"/>
      <c r="D8" s="591"/>
      <c r="E8" s="592"/>
      <c r="F8" s="593"/>
      <c r="G8" s="592"/>
      <c r="H8" s="594"/>
      <c r="I8" s="592"/>
      <c r="J8" s="592"/>
      <c r="K8" s="592"/>
      <c r="L8" s="592"/>
      <c r="M8" s="592"/>
      <c r="N8" s="592"/>
      <c r="O8" s="305"/>
      <c r="P8" s="595" t="s">
        <v>367</v>
      </c>
      <c r="Q8" s="226"/>
    </row>
    <row r="9" spans="1:25" x14ac:dyDescent="0.2">
      <c r="A9" s="873" t="s">
        <v>471</v>
      </c>
      <c r="B9" s="873"/>
      <c r="C9" s="873"/>
      <c r="D9" s="873"/>
      <c r="E9" s="873"/>
      <c r="F9" s="873"/>
      <c r="G9" s="873"/>
      <c r="H9" s="873"/>
      <c r="I9" s="873"/>
      <c r="J9" s="873"/>
      <c r="K9" s="873"/>
      <c r="L9" s="873"/>
      <c r="M9" s="873"/>
      <c r="N9" s="873"/>
      <c r="O9" s="873"/>
      <c r="P9" s="873"/>
    </row>
    <row r="10" spans="1:25" x14ac:dyDescent="0.2">
      <c r="A10" s="416" t="s">
        <v>1</v>
      </c>
      <c r="B10" s="266"/>
      <c r="C10" s="266"/>
      <c r="D10" s="440"/>
      <c r="E10" s="440"/>
      <c r="F10" s="440"/>
      <c r="G10" s="440"/>
      <c r="H10" s="440"/>
      <c r="I10" s="440"/>
      <c r="J10" s="227"/>
      <c r="K10" s="227"/>
      <c r="L10" s="227"/>
      <c r="M10" s="227"/>
      <c r="N10" s="227"/>
      <c r="O10" s="227"/>
      <c r="P10" s="227"/>
    </row>
    <row r="11" spans="1:25" x14ac:dyDescent="0.2">
      <c r="A11" s="285" t="s">
        <v>3</v>
      </c>
      <c r="B11" s="285" t="s">
        <v>4</v>
      </c>
      <c r="C11" s="285"/>
      <c r="D11" s="596" t="s">
        <v>417</v>
      </c>
      <c r="E11" s="596" t="s">
        <v>418</v>
      </c>
      <c r="F11" s="596" t="s">
        <v>419</v>
      </c>
      <c r="G11" s="596" t="s">
        <v>420</v>
      </c>
      <c r="H11" s="596" t="s">
        <v>421</v>
      </c>
      <c r="I11" s="596" t="s">
        <v>422</v>
      </c>
      <c r="J11" s="596" t="s">
        <v>423</v>
      </c>
      <c r="K11" s="596" t="s">
        <v>424</v>
      </c>
      <c r="L11" s="596" t="s">
        <v>425</v>
      </c>
      <c r="M11" s="596" t="s">
        <v>426</v>
      </c>
      <c r="N11" s="596" t="s">
        <v>427</v>
      </c>
      <c r="O11" s="596" t="s">
        <v>428</v>
      </c>
      <c r="P11" s="262" t="s">
        <v>9</v>
      </c>
    </row>
    <row r="12" spans="1:25" x14ac:dyDescent="0.2">
      <c r="A12" s="416"/>
      <c r="B12" s="231" t="s">
        <v>42</v>
      </c>
      <c r="C12" s="231"/>
      <c r="D12" s="597" t="s">
        <v>43</v>
      </c>
      <c r="E12" s="597" t="s">
        <v>45</v>
      </c>
      <c r="F12" s="598" t="s">
        <v>46</v>
      </c>
      <c r="G12" s="598" t="s">
        <v>49</v>
      </c>
      <c r="H12" s="598" t="s">
        <v>50</v>
      </c>
      <c r="I12" s="598" t="s">
        <v>51</v>
      </c>
      <c r="J12" s="598" t="s">
        <v>52</v>
      </c>
      <c r="K12" s="598" t="s">
        <v>53</v>
      </c>
      <c r="L12" s="599" t="s">
        <v>54</v>
      </c>
      <c r="M12" s="599" t="s">
        <v>55</v>
      </c>
      <c r="N12" s="599" t="s">
        <v>56</v>
      </c>
      <c r="O12" s="599" t="s">
        <v>57</v>
      </c>
      <c r="P12" s="599" t="s">
        <v>58</v>
      </c>
    </row>
    <row r="13" spans="1:25" x14ac:dyDescent="0.2">
      <c r="A13" s="416"/>
      <c r="B13" s="266"/>
      <c r="C13" s="266"/>
      <c r="D13" s="440"/>
      <c r="E13" s="440"/>
      <c r="F13" s="440"/>
      <c r="G13" s="440"/>
      <c r="H13" s="440"/>
      <c r="I13" s="440"/>
      <c r="J13" s="227"/>
      <c r="K13" s="227"/>
      <c r="L13" s="227"/>
      <c r="M13" s="227"/>
      <c r="N13" s="227"/>
      <c r="O13" s="227"/>
      <c r="P13" s="227"/>
    </row>
    <row r="14" spans="1:25" x14ac:dyDescent="0.2">
      <c r="A14" s="263">
        <v>1</v>
      </c>
      <c r="B14" s="225" t="s">
        <v>241</v>
      </c>
      <c r="J14" s="600"/>
      <c r="K14" s="600"/>
    </row>
    <row r="15" spans="1:25" x14ac:dyDescent="0.2">
      <c r="R15" s="601"/>
      <c r="S15" s="601"/>
      <c r="T15" s="601"/>
      <c r="U15" s="601"/>
      <c r="V15" s="601"/>
      <c r="Y15" s="601"/>
    </row>
    <row r="16" spans="1:25" x14ac:dyDescent="0.2">
      <c r="A16" s="263">
        <f>A14+1</f>
        <v>2</v>
      </c>
      <c r="B16" s="224" t="s">
        <v>365</v>
      </c>
      <c r="C16" s="467" t="s">
        <v>23</v>
      </c>
      <c r="D16" s="602">
        <f>2.2251-0.016</f>
        <v>2.2090999999999998</v>
      </c>
      <c r="E16" s="603">
        <f>$D$16</f>
        <v>2.2090999999999998</v>
      </c>
      <c r="F16" s="603">
        <f t="shared" ref="F16:O16" si="0">$D$16</f>
        <v>2.2090999999999998</v>
      </c>
      <c r="G16" s="603">
        <f t="shared" si="0"/>
        <v>2.2090999999999998</v>
      </c>
      <c r="H16" s="603">
        <f t="shared" si="0"/>
        <v>2.2090999999999998</v>
      </c>
      <c r="I16" s="603">
        <f t="shared" si="0"/>
        <v>2.2090999999999998</v>
      </c>
      <c r="J16" s="603">
        <f t="shared" si="0"/>
        <v>2.2090999999999998</v>
      </c>
      <c r="K16" s="603">
        <f t="shared" si="0"/>
        <v>2.2090999999999998</v>
      </c>
      <c r="L16" s="603">
        <f t="shared" si="0"/>
        <v>2.2090999999999998</v>
      </c>
      <c r="M16" s="603">
        <f t="shared" si="0"/>
        <v>2.2090999999999998</v>
      </c>
      <c r="N16" s="603">
        <f t="shared" si="0"/>
        <v>2.2090999999999998</v>
      </c>
      <c r="O16" s="603">
        <f t="shared" si="0"/>
        <v>2.2090999999999998</v>
      </c>
      <c r="P16" s="604"/>
      <c r="R16" s="605"/>
      <c r="S16" s="605"/>
      <c r="T16" s="606"/>
      <c r="U16" s="607"/>
      <c r="V16" s="244"/>
      <c r="Y16" s="607"/>
    </row>
    <row r="17" spans="1:25" ht="12" x14ac:dyDescent="0.35">
      <c r="A17" s="263">
        <f>A16+1</f>
        <v>3</v>
      </c>
      <c r="B17" s="224" t="s">
        <v>26</v>
      </c>
      <c r="C17" s="224" t="s">
        <v>22</v>
      </c>
      <c r="D17" s="608">
        <f>'C'!D17</f>
        <v>1331907.1000000001</v>
      </c>
      <c r="E17" s="608">
        <f>'C'!E17</f>
        <v>1291151.8</v>
      </c>
      <c r="F17" s="608">
        <f>'C'!F17</f>
        <v>968403</v>
      </c>
      <c r="G17" s="608">
        <f>'C'!G17</f>
        <v>552553.4</v>
      </c>
      <c r="H17" s="608">
        <f>'C'!H17</f>
        <v>259776.40000000002</v>
      </c>
      <c r="I17" s="608">
        <f>'C'!I17</f>
        <v>123911.3</v>
      </c>
      <c r="J17" s="608">
        <f>'C'!J17</f>
        <v>88930</v>
      </c>
      <c r="K17" s="608">
        <f>'C'!K17</f>
        <v>85940.7</v>
      </c>
      <c r="L17" s="608">
        <f>'C'!L17</f>
        <v>88922.9</v>
      </c>
      <c r="M17" s="608">
        <f>'C'!M17</f>
        <v>141784.29999999999</v>
      </c>
      <c r="N17" s="608">
        <f>'C'!N17</f>
        <v>408542.4</v>
      </c>
      <c r="O17" s="608">
        <f>'C'!O17</f>
        <v>906257.2</v>
      </c>
      <c r="P17" s="604">
        <f>SUM(D17:O17)</f>
        <v>6248080.5000000009</v>
      </c>
      <c r="R17" s="605"/>
      <c r="S17" s="605"/>
      <c r="T17" s="606"/>
      <c r="U17" s="607"/>
      <c r="V17" s="244"/>
      <c r="Y17" s="607"/>
    </row>
    <row r="18" spans="1:25" x14ac:dyDescent="0.2">
      <c r="A18" s="263">
        <f>A17+1</f>
        <v>4</v>
      </c>
      <c r="B18" s="224" t="s">
        <v>319</v>
      </c>
      <c r="C18" s="224" t="s">
        <v>24</v>
      </c>
      <c r="D18" s="609">
        <f>ROUND(D16*D17,2)</f>
        <v>2942315.97</v>
      </c>
      <c r="E18" s="609">
        <f t="shared" ref="E18:O18" si="1">ROUND(E16*E17,2)</f>
        <v>2852283.44</v>
      </c>
      <c r="F18" s="609">
        <f t="shared" si="1"/>
        <v>2139299.0699999998</v>
      </c>
      <c r="G18" s="609">
        <f t="shared" si="1"/>
        <v>1220645.72</v>
      </c>
      <c r="H18" s="609">
        <f t="shared" si="1"/>
        <v>573872.05000000005</v>
      </c>
      <c r="I18" s="609">
        <f t="shared" si="1"/>
        <v>273732.45</v>
      </c>
      <c r="J18" s="609">
        <f t="shared" si="1"/>
        <v>196455.26</v>
      </c>
      <c r="K18" s="609">
        <f t="shared" si="1"/>
        <v>189851.6</v>
      </c>
      <c r="L18" s="609">
        <f t="shared" si="1"/>
        <v>196439.58</v>
      </c>
      <c r="M18" s="609">
        <f t="shared" si="1"/>
        <v>313215.7</v>
      </c>
      <c r="N18" s="609">
        <f t="shared" si="1"/>
        <v>902511.02</v>
      </c>
      <c r="O18" s="609">
        <f t="shared" si="1"/>
        <v>2002012.78</v>
      </c>
      <c r="P18" s="610">
        <f>SUM(D18:O18)</f>
        <v>13802634.639999999</v>
      </c>
      <c r="R18" s="605"/>
      <c r="S18" s="605"/>
      <c r="T18" s="606"/>
      <c r="U18" s="607"/>
      <c r="V18" s="244"/>
      <c r="Y18" s="607"/>
    </row>
    <row r="19" spans="1:25" x14ac:dyDescent="0.2">
      <c r="J19" s="600"/>
      <c r="K19" s="600"/>
      <c r="L19" s="600"/>
      <c r="M19" s="611"/>
      <c r="N19" s="612"/>
      <c r="O19" s="612"/>
      <c r="P19" s="611"/>
      <c r="R19" s="297"/>
      <c r="S19" s="297"/>
    </row>
    <row r="20" spans="1:25" x14ac:dyDescent="0.2">
      <c r="A20" s="263">
        <f>A18+1</f>
        <v>5</v>
      </c>
      <c r="B20" s="225" t="s">
        <v>254</v>
      </c>
    </row>
    <row r="21" spans="1:25" x14ac:dyDescent="0.2">
      <c r="R21" s="601"/>
      <c r="S21" s="601"/>
      <c r="U21" s="601"/>
      <c r="V21" s="601"/>
    </row>
    <row r="22" spans="1:25" x14ac:dyDescent="0.2">
      <c r="A22" s="263">
        <f>A20+1</f>
        <v>6</v>
      </c>
      <c r="B22" s="224" t="s">
        <v>365</v>
      </c>
      <c r="C22" s="467" t="s">
        <v>23</v>
      </c>
      <c r="D22" s="613">
        <f>D16</f>
        <v>2.2090999999999998</v>
      </c>
      <c r="E22" s="613">
        <f t="shared" ref="E22:O22" si="2">E16</f>
        <v>2.2090999999999998</v>
      </c>
      <c r="F22" s="613">
        <f t="shared" si="2"/>
        <v>2.2090999999999998</v>
      </c>
      <c r="G22" s="613">
        <f t="shared" si="2"/>
        <v>2.2090999999999998</v>
      </c>
      <c r="H22" s="613">
        <f t="shared" si="2"/>
        <v>2.2090999999999998</v>
      </c>
      <c r="I22" s="613">
        <f t="shared" si="2"/>
        <v>2.2090999999999998</v>
      </c>
      <c r="J22" s="613">
        <f t="shared" si="2"/>
        <v>2.2090999999999998</v>
      </c>
      <c r="K22" s="613">
        <f t="shared" si="2"/>
        <v>2.2090999999999998</v>
      </c>
      <c r="L22" s="613">
        <f t="shared" si="2"/>
        <v>2.2090999999999998</v>
      </c>
      <c r="M22" s="613">
        <f t="shared" si="2"/>
        <v>2.2090999999999998</v>
      </c>
      <c r="N22" s="613">
        <f t="shared" si="2"/>
        <v>2.2090999999999998</v>
      </c>
      <c r="O22" s="613">
        <f t="shared" si="2"/>
        <v>2.2090999999999998</v>
      </c>
      <c r="P22" s="604"/>
      <c r="R22" s="605"/>
      <c r="S22" s="605"/>
      <c r="T22" s="606"/>
      <c r="U22" s="607"/>
      <c r="V22" s="244"/>
      <c r="Y22" s="607"/>
    </row>
    <row r="23" spans="1:25" ht="12" x14ac:dyDescent="0.35">
      <c r="A23" s="263">
        <f>A22+1</f>
        <v>7</v>
      </c>
      <c r="B23" s="224" t="s">
        <v>26</v>
      </c>
      <c r="C23" s="224" t="s">
        <v>22</v>
      </c>
      <c r="D23" s="608">
        <f>'C'!D96</f>
        <v>660739.99999999988</v>
      </c>
      <c r="E23" s="608">
        <f>'C'!E96</f>
        <v>655060.9</v>
      </c>
      <c r="F23" s="608">
        <f>'C'!F96</f>
        <v>456847.5</v>
      </c>
      <c r="G23" s="608">
        <f>'C'!G96</f>
        <v>277301.89999999997</v>
      </c>
      <c r="H23" s="608">
        <f>'C'!H96</f>
        <v>134480.19999999998</v>
      </c>
      <c r="I23" s="608">
        <f>'C'!I96</f>
        <v>80718.299999999988</v>
      </c>
      <c r="J23" s="608">
        <f>'C'!J96</f>
        <v>56728.5</v>
      </c>
      <c r="K23" s="608">
        <f>'C'!K96</f>
        <v>52785.7</v>
      </c>
      <c r="L23" s="608">
        <f>'C'!L96</f>
        <v>51801.2</v>
      </c>
      <c r="M23" s="608">
        <f>'C'!M96</f>
        <v>77144.100000000006</v>
      </c>
      <c r="N23" s="608">
        <f>'C'!N96</f>
        <v>171035.9</v>
      </c>
      <c r="O23" s="608">
        <f>'C'!O96</f>
        <v>423570.9</v>
      </c>
      <c r="P23" s="604">
        <f>SUM(D23:O23)</f>
        <v>3098215.1</v>
      </c>
      <c r="R23" s="605"/>
      <c r="S23" s="605"/>
      <c r="T23" s="606"/>
      <c r="U23" s="607"/>
      <c r="V23" s="244"/>
      <c r="Y23" s="607"/>
    </row>
    <row r="24" spans="1:25" x14ac:dyDescent="0.2">
      <c r="A24" s="263">
        <f>A23+1</f>
        <v>8</v>
      </c>
      <c r="B24" s="224" t="s">
        <v>319</v>
      </c>
      <c r="C24" s="224" t="s">
        <v>24</v>
      </c>
      <c r="D24" s="609">
        <f>ROUND(D22*D23,2)</f>
        <v>1459640.73</v>
      </c>
      <c r="E24" s="609">
        <f t="shared" ref="E24:O24" si="3">ROUND(E22*E23,2)</f>
        <v>1447095.03</v>
      </c>
      <c r="F24" s="609">
        <f t="shared" si="3"/>
        <v>1009221.81</v>
      </c>
      <c r="G24" s="609">
        <f t="shared" si="3"/>
        <v>612587.63</v>
      </c>
      <c r="H24" s="609">
        <f t="shared" si="3"/>
        <v>297080.21000000002</v>
      </c>
      <c r="I24" s="609">
        <f t="shared" si="3"/>
        <v>178314.8</v>
      </c>
      <c r="J24" s="609">
        <f t="shared" si="3"/>
        <v>125318.93</v>
      </c>
      <c r="K24" s="609">
        <f t="shared" si="3"/>
        <v>116608.89</v>
      </c>
      <c r="L24" s="609">
        <f t="shared" si="3"/>
        <v>114434.03</v>
      </c>
      <c r="M24" s="609">
        <f t="shared" si="3"/>
        <v>170419.03</v>
      </c>
      <c r="N24" s="609">
        <f t="shared" si="3"/>
        <v>377835.41</v>
      </c>
      <c r="O24" s="609">
        <f t="shared" si="3"/>
        <v>935710.48</v>
      </c>
      <c r="P24" s="610">
        <f>SUM(D24:O24)</f>
        <v>6844266.9800000004</v>
      </c>
      <c r="R24" s="605"/>
      <c r="S24" s="605"/>
      <c r="T24" s="606"/>
      <c r="U24" s="607"/>
      <c r="V24" s="244"/>
      <c r="Y24" s="607"/>
    </row>
    <row r="25" spans="1:25" x14ac:dyDescent="0.2">
      <c r="B25" s="463"/>
      <c r="C25" s="463"/>
      <c r="D25" s="614"/>
      <c r="E25" s="614"/>
      <c r="F25" s="614"/>
      <c r="G25" s="614"/>
      <c r="H25" s="614"/>
      <c r="I25" s="614"/>
      <c r="J25" s="614"/>
      <c r="K25" s="614"/>
      <c r="L25" s="614"/>
      <c r="M25" s="614"/>
      <c r="N25" s="614"/>
      <c r="O25" s="614"/>
      <c r="P25" s="615"/>
      <c r="R25" s="607"/>
      <c r="S25" s="607"/>
      <c r="U25" s="607"/>
      <c r="V25" s="607"/>
    </row>
    <row r="26" spans="1:25" x14ac:dyDescent="0.2">
      <c r="A26" s="263">
        <f>A24+1</f>
        <v>9</v>
      </c>
      <c r="B26" s="225" t="s">
        <v>264</v>
      </c>
    </row>
    <row r="27" spans="1:25" x14ac:dyDescent="0.2">
      <c r="R27" s="601"/>
      <c r="S27" s="601"/>
      <c r="T27" s="601"/>
    </row>
    <row r="28" spans="1:25" x14ac:dyDescent="0.2">
      <c r="A28" s="263">
        <f>A26+1</f>
        <v>10</v>
      </c>
      <c r="B28" s="224" t="s">
        <v>365</v>
      </c>
      <c r="C28" s="467" t="s">
        <v>23</v>
      </c>
      <c r="D28" s="613">
        <f>D22</f>
        <v>2.2090999999999998</v>
      </c>
      <c r="E28" s="613">
        <f t="shared" ref="E28:O28" si="4">E22</f>
        <v>2.2090999999999998</v>
      </c>
      <c r="F28" s="613">
        <f t="shared" si="4"/>
        <v>2.2090999999999998</v>
      </c>
      <c r="G28" s="613">
        <f t="shared" si="4"/>
        <v>2.2090999999999998</v>
      </c>
      <c r="H28" s="613">
        <f t="shared" si="4"/>
        <v>2.2090999999999998</v>
      </c>
      <c r="I28" s="613">
        <f t="shared" si="4"/>
        <v>2.2090999999999998</v>
      </c>
      <c r="J28" s="613">
        <f t="shared" si="4"/>
        <v>2.2090999999999998</v>
      </c>
      <c r="K28" s="613">
        <f t="shared" si="4"/>
        <v>2.2090999999999998</v>
      </c>
      <c r="L28" s="613">
        <f t="shared" si="4"/>
        <v>2.2090999999999998</v>
      </c>
      <c r="M28" s="613">
        <f t="shared" si="4"/>
        <v>2.2090999999999998</v>
      </c>
      <c r="N28" s="613">
        <f t="shared" si="4"/>
        <v>2.2090999999999998</v>
      </c>
      <c r="O28" s="613">
        <f t="shared" si="4"/>
        <v>2.2090999999999998</v>
      </c>
      <c r="P28" s="604"/>
      <c r="R28" s="605"/>
      <c r="S28" s="605"/>
      <c r="T28" s="606"/>
      <c r="U28" s="607"/>
      <c r="V28" s="244"/>
      <c r="Y28" s="607"/>
    </row>
    <row r="29" spans="1:25" ht="12" x14ac:dyDescent="0.35">
      <c r="A29" s="263">
        <f>A28+1</f>
        <v>11</v>
      </c>
      <c r="B29" s="224" t="s">
        <v>26</v>
      </c>
      <c r="C29" s="224" t="s">
        <v>22</v>
      </c>
      <c r="D29" s="608">
        <f>'C'!D129</f>
        <v>33000.199999999997</v>
      </c>
      <c r="E29" s="608">
        <f>'C'!E129</f>
        <v>31999.9</v>
      </c>
      <c r="F29" s="608">
        <f>'C'!F129</f>
        <v>30900</v>
      </c>
      <c r="G29" s="608">
        <f>'C'!G129</f>
        <v>29799.9</v>
      </c>
      <c r="H29" s="608">
        <f>'C'!H129</f>
        <v>28800.3</v>
      </c>
      <c r="I29" s="608">
        <f>'C'!I129</f>
        <v>27749.9</v>
      </c>
      <c r="J29" s="608">
        <f>'C'!J129</f>
        <v>27749.9</v>
      </c>
      <c r="K29" s="608">
        <f>'C'!K129</f>
        <v>28750.199999999997</v>
      </c>
      <c r="L29" s="608">
        <f>'C'!L129</f>
        <v>28750.2</v>
      </c>
      <c r="M29" s="608">
        <f>'C'!M129</f>
        <v>30849.9</v>
      </c>
      <c r="N29" s="608">
        <f>'C'!N129</f>
        <v>30900</v>
      </c>
      <c r="O29" s="608">
        <f>'C'!O129</f>
        <v>31000.1</v>
      </c>
      <c r="P29" s="604">
        <f>SUM(D29:O29)</f>
        <v>360250.5</v>
      </c>
      <c r="R29" s="605"/>
      <c r="S29" s="605"/>
      <c r="T29" s="606"/>
      <c r="U29" s="607"/>
      <c r="V29" s="244"/>
      <c r="Y29" s="607"/>
    </row>
    <row r="30" spans="1:25" x14ac:dyDescent="0.2">
      <c r="A30" s="263">
        <f>A29+1</f>
        <v>12</v>
      </c>
      <c r="B30" s="224" t="s">
        <v>319</v>
      </c>
      <c r="C30" s="224" t="s">
        <v>24</v>
      </c>
      <c r="D30" s="609">
        <f>ROUND(D28*D29,2)</f>
        <v>72900.740000000005</v>
      </c>
      <c r="E30" s="609">
        <f t="shared" ref="E30:O30" si="5">ROUND(E28*E29,2)</f>
        <v>70690.98</v>
      </c>
      <c r="F30" s="609">
        <f t="shared" si="5"/>
        <v>68261.19</v>
      </c>
      <c r="G30" s="609">
        <f t="shared" si="5"/>
        <v>65830.960000000006</v>
      </c>
      <c r="H30" s="609">
        <f t="shared" si="5"/>
        <v>63622.74</v>
      </c>
      <c r="I30" s="609">
        <f t="shared" si="5"/>
        <v>61302.3</v>
      </c>
      <c r="J30" s="609">
        <f t="shared" si="5"/>
        <v>61302.3</v>
      </c>
      <c r="K30" s="609">
        <f t="shared" si="5"/>
        <v>63512.07</v>
      </c>
      <c r="L30" s="609">
        <f t="shared" si="5"/>
        <v>63512.07</v>
      </c>
      <c r="M30" s="609">
        <f t="shared" si="5"/>
        <v>68150.509999999995</v>
      </c>
      <c r="N30" s="609">
        <f t="shared" si="5"/>
        <v>68261.19</v>
      </c>
      <c r="O30" s="609">
        <f t="shared" si="5"/>
        <v>68482.320000000007</v>
      </c>
      <c r="P30" s="610">
        <f>SUM(D30:O30)</f>
        <v>795829.36999999988</v>
      </c>
      <c r="R30" s="605"/>
      <c r="S30" s="605"/>
      <c r="T30" s="606"/>
      <c r="U30" s="607"/>
      <c r="V30" s="244"/>
      <c r="Y30" s="607"/>
    </row>
    <row r="31" spans="1:25" x14ac:dyDescent="0.2">
      <c r="B31" s="463"/>
      <c r="C31" s="463"/>
      <c r="D31" s="616"/>
      <c r="E31" s="616"/>
      <c r="F31" s="616"/>
      <c r="G31" s="616"/>
      <c r="H31" s="616"/>
      <c r="I31" s="616"/>
      <c r="J31" s="617"/>
      <c r="K31" s="617"/>
      <c r="L31" s="618"/>
      <c r="M31" s="504"/>
      <c r="N31" s="612"/>
      <c r="O31" s="612"/>
      <c r="P31" s="604"/>
      <c r="R31" s="607"/>
      <c r="S31" s="607"/>
      <c r="T31" s="607"/>
    </row>
    <row r="32" spans="1:25" x14ac:dyDescent="0.2">
      <c r="A32" s="263">
        <f>A30+1</f>
        <v>13</v>
      </c>
      <c r="B32" s="225" t="s">
        <v>284</v>
      </c>
    </row>
    <row r="33" spans="1:25" x14ac:dyDescent="0.2">
      <c r="B33" s="463"/>
      <c r="C33" s="463"/>
      <c r="D33" s="616"/>
      <c r="E33" s="616"/>
      <c r="F33" s="616"/>
      <c r="G33" s="616"/>
      <c r="H33" s="616"/>
      <c r="I33" s="616"/>
      <c r="J33" s="617"/>
      <c r="K33" s="617"/>
      <c r="L33" s="618"/>
      <c r="M33" s="504"/>
      <c r="N33" s="612"/>
      <c r="O33" s="612"/>
      <c r="P33" s="604"/>
      <c r="R33" s="607"/>
      <c r="S33" s="607"/>
      <c r="T33" s="607"/>
    </row>
    <row r="34" spans="1:25" x14ac:dyDescent="0.2">
      <c r="A34" s="263">
        <f>A32+1</f>
        <v>14</v>
      </c>
      <c r="B34" s="224" t="s">
        <v>365</v>
      </c>
      <c r="C34" s="467" t="s">
        <v>23</v>
      </c>
      <c r="D34" s="613">
        <f>D28</f>
        <v>2.2090999999999998</v>
      </c>
      <c r="E34" s="613">
        <f t="shared" ref="E34:O34" si="6">E28</f>
        <v>2.2090999999999998</v>
      </c>
      <c r="F34" s="613">
        <f t="shared" si="6"/>
        <v>2.2090999999999998</v>
      </c>
      <c r="G34" s="613">
        <f t="shared" si="6"/>
        <v>2.2090999999999998</v>
      </c>
      <c r="H34" s="613">
        <f t="shared" si="6"/>
        <v>2.2090999999999998</v>
      </c>
      <c r="I34" s="613">
        <f t="shared" si="6"/>
        <v>2.2090999999999998</v>
      </c>
      <c r="J34" s="613">
        <f t="shared" si="6"/>
        <v>2.2090999999999998</v>
      </c>
      <c r="K34" s="613">
        <f t="shared" si="6"/>
        <v>2.2090999999999998</v>
      </c>
      <c r="L34" s="613">
        <f t="shared" si="6"/>
        <v>2.2090999999999998</v>
      </c>
      <c r="M34" s="613">
        <f t="shared" si="6"/>
        <v>2.2090999999999998</v>
      </c>
      <c r="N34" s="613">
        <f t="shared" si="6"/>
        <v>2.2090999999999998</v>
      </c>
      <c r="O34" s="613">
        <f t="shared" si="6"/>
        <v>2.2090999999999998</v>
      </c>
      <c r="P34" s="604"/>
      <c r="R34" s="605"/>
      <c r="S34" s="605"/>
      <c r="T34" s="606"/>
      <c r="U34" s="607"/>
      <c r="V34" s="244"/>
      <c r="Y34" s="607"/>
    </row>
    <row r="35" spans="1:25" ht="12" x14ac:dyDescent="0.35">
      <c r="A35" s="263">
        <f>A34+1</f>
        <v>15</v>
      </c>
      <c r="B35" s="224" t="s">
        <v>26</v>
      </c>
      <c r="C35" s="224" t="s">
        <v>22</v>
      </c>
      <c r="D35" s="608">
        <f>'C'!D135</f>
        <v>0</v>
      </c>
      <c r="E35" s="608">
        <f>'C'!E135</f>
        <v>0</v>
      </c>
      <c r="F35" s="608">
        <f>'C'!F135</f>
        <v>0</v>
      </c>
      <c r="G35" s="608">
        <f>'C'!G135</f>
        <v>0</v>
      </c>
      <c r="H35" s="608">
        <f>'C'!H135</f>
        <v>0</v>
      </c>
      <c r="I35" s="608">
        <f>'C'!I135</f>
        <v>0</v>
      </c>
      <c r="J35" s="608">
        <f>'C'!J135</f>
        <v>0</v>
      </c>
      <c r="K35" s="608">
        <f>'C'!K135</f>
        <v>0</v>
      </c>
      <c r="L35" s="608">
        <f>'C'!L135</f>
        <v>0</v>
      </c>
      <c r="M35" s="608">
        <f>'C'!M135</f>
        <v>0</v>
      </c>
      <c r="N35" s="608">
        <f>'C'!N135</f>
        <v>0</v>
      </c>
      <c r="O35" s="608">
        <f>'C'!O135</f>
        <v>0</v>
      </c>
      <c r="P35" s="604">
        <f>SUM(D35:O35)</f>
        <v>0</v>
      </c>
      <c r="R35" s="605"/>
      <c r="S35" s="605"/>
      <c r="T35" s="606"/>
      <c r="U35" s="607"/>
      <c r="V35" s="244"/>
      <c r="Y35" s="607"/>
    </row>
    <row r="36" spans="1:25" x14ac:dyDescent="0.2">
      <c r="A36" s="263">
        <f>A35+1</f>
        <v>16</v>
      </c>
      <c r="B36" s="224" t="s">
        <v>319</v>
      </c>
      <c r="C36" s="224" t="s">
        <v>24</v>
      </c>
      <c r="D36" s="609">
        <f>ROUND(D34*D35,2)</f>
        <v>0</v>
      </c>
      <c r="E36" s="609">
        <f t="shared" ref="E36:O36" si="7">ROUND(E34*E35,2)</f>
        <v>0</v>
      </c>
      <c r="F36" s="609">
        <f t="shared" si="7"/>
        <v>0</v>
      </c>
      <c r="G36" s="609">
        <f t="shared" si="7"/>
        <v>0</v>
      </c>
      <c r="H36" s="609">
        <f t="shared" si="7"/>
        <v>0</v>
      </c>
      <c r="I36" s="609">
        <f t="shared" si="7"/>
        <v>0</v>
      </c>
      <c r="J36" s="609">
        <f t="shared" si="7"/>
        <v>0</v>
      </c>
      <c r="K36" s="609">
        <f t="shared" si="7"/>
        <v>0</v>
      </c>
      <c r="L36" s="609">
        <f t="shared" si="7"/>
        <v>0</v>
      </c>
      <c r="M36" s="609">
        <f t="shared" si="7"/>
        <v>0</v>
      </c>
      <c r="N36" s="609">
        <f t="shared" si="7"/>
        <v>0</v>
      </c>
      <c r="O36" s="609">
        <f t="shared" si="7"/>
        <v>0</v>
      </c>
      <c r="P36" s="610">
        <f>SUM(D36:O36)</f>
        <v>0</v>
      </c>
      <c r="R36" s="605"/>
      <c r="S36" s="605"/>
      <c r="T36" s="606"/>
      <c r="U36" s="607"/>
      <c r="V36" s="244"/>
      <c r="Y36" s="607"/>
    </row>
    <row r="37" spans="1:25" x14ac:dyDescent="0.2">
      <c r="J37" s="600"/>
      <c r="K37" s="600"/>
      <c r="L37" s="600"/>
      <c r="M37" s="611"/>
      <c r="N37" s="612"/>
      <c r="O37" s="612"/>
      <c r="P37" s="611"/>
      <c r="R37" s="297"/>
      <c r="S37" s="297"/>
    </row>
    <row r="38" spans="1:25" x14ac:dyDescent="0.2">
      <c r="A38" s="263">
        <f>A36+1</f>
        <v>17</v>
      </c>
      <c r="B38" s="225" t="s">
        <v>265</v>
      </c>
    </row>
    <row r="39" spans="1:25" x14ac:dyDescent="0.2">
      <c r="R39" s="601"/>
      <c r="S39" s="601"/>
      <c r="T39" s="601"/>
      <c r="U39" s="601"/>
      <c r="V39" s="601"/>
    </row>
    <row r="40" spans="1:25" x14ac:dyDescent="0.2">
      <c r="A40" s="263">
        <f>A38+1</f>
        <v>18</v>
      </c>
      <c r="B40" s="224" t="s">
        <v>365</v>
      </c>
      <c r="C40" s="467" t="s">
        <v>23</v>
      </c>
      <c r="D40" s="613">
        <f>D34</f>
        <v>2.2090999999999998</v>
      </c>
      <c r="E40" s="613">
        <f t="shared" ref="E40:O40" si="8">E34</f>
        <v>2.2090999999999998</v>
      </c>
      <c r="F40" s="613">
        <f t="shared" si="8"/>
        <v>2.2090999999999998</v>
      </c>
      <c r="G40" s="613">
        <f t="shared" si="8"/>
        <v>2.2090999999999998</v>
      </c>
      <c r="H40" s="613">
        <f t="shared" si="8"/>
        <v>2.2090999999999998</v>
      </c>
      <c r="I40" s="613">
        <f t="shared" si="8"/>
        <v>2.2090999999999998</v>
      </c>
      <c r="J40" s="613">
        <f t="shared" si="8"/>
        <v>2.2090999999999998</v>
      </c>
      <c r="K40" s="613">
        <f t="shared" si="8"/>
        <v>2.2090999999999998</v>
      </c>
      <c r="L40" s="613">
        <f t="shared" si="8"/>
        <v>2.2090999999999998</v>
      </c>
      <c r="M40" s="613">
        <f t="shared" si="8"/>
        <v>2.2090999999999998</v>
      </c>
      <c r="N40" s="613">
        <f t="shared" si="8"/>
        <v>2.2090999999999998</v>
      </c>
      <c r="O40" s="613">
        <f t="shared" si="8"/>
        <v>2.2090999999999998</v>
      </c>
      <c r="P40" s="604"/>
      <c r="R40" s="605"/>
      <c r="S40" s="605"/>
      <c r="T40" s="606"/>
      <c r="U40" s="607"/>
      <c r="V40" s="244"/>
      <c r="Y40" s="607"/>
    </row>
    <row r="41" spans="1:25" ht="12" x14ac:dyDescent="0.35">
      <c r="A41" s="263">
        <f>A40+1</f>
        <v>19</v>
      </c>
      <c r="B41" s="224" t="s">
        <v>26</v>
      </c>
      <c r="C41" s="224" t="s">
        <v>22</v>
      </c>
      <c r="D41" s="608">
        <f>'C'!D140</f>
        <v>3136.7</v>
      </c>
      <c r="E41" s="608">
        <f>'C'!E140</f>
        <v>2307.1999999999998</v>
      </c>
      <c r="F41" s="608">
        <f>'C'!F140</f>
        <v>1098.5999999999999</v>
      </c>
      <c r="G41" s="608">
        <f>'C'!G140</f>
        <v>641.70000000000005</v>
      </c>
      <c r="H41" s="608">
        <f>'C'!H140</f>
        <v>362.9</v>
      </c>
      <c r="I41" s="608">
        <f>'C'!I140</f>
        <v>221.4</v>
      </c>
      <c r="J41" s="608">
        <f>'C'!J140</f>
        <v>245</v>
      </c>
      <c r="K41" s="608">
        <f>'C'!K140</f>
        <v>196.3</v>
      </c>
      <c r="L41" s="608">
        <f>'C'!L140</f>
        <v>196.6</v>
      </c>
      <c r="M41" s="608">
        <f>'C'!M140</f>
        <v>705.2</v>
      </c>
      <c r="N41" s="608">
        <f>'C'!N140</f>
        <v>1014.3</v>
      </c>
      <c r="O41" s="608">
        <f>'C'!O140</f>
        <v>1194.8</v>
      </c>
      <c r="P41" s="604">
        <f>SUM(D41:O41)</f>
        <v>11320.699999999999</v>
      </c>
      <c r="R41" s="605"/>
      <c r="S41" s="605"/>
      <c r="T41" s="606"/>
      <c r="U41" s="607"/>
      <c r="V41" s="244"/>
      <c r="Y41" s="607"/>
    </row>
    <row r="42" spans="1:25" x14ac:dyDescent="0.2">
      <c r="A42" s="263">
        <f>A41+1</f>
        <v>20</v>
      </c>
      <c r="B42" s="224" t="s">
        <v>319</v>
      </c>
      <c r="C42" s="224" t="s">
        <v>24</v>
      </c>
      <c r="D42" s="609">
        <f>ROUND(D40*D41,2)</f>
        <v>6929.28</v>
      </c>
      <c r="E42" s="609">
        <f t="shared" ref="E42:O42" si="9">ROUND(E40*E41,2)</f>
        <v>5096.84</v>
      </c>
      <c r="F42" s="609">
        <f t="shared" si="9"/>
        <v>2426.92</v>
      </c>
      <c r="G42" s="609">
        <f t="shared" si="9"/>
        <v>1417.58</v>
      </c>
      <c r="H42" s="609">
        <f t="shared" si="9"/>
        <v>801.68</v>
      </c>
      <c r="I42" s="609">
        <f t="shared" si="9"/>
        <v>489.09</v>
      </c>
      <c r="J42" s="609">
        <f t="shared" si="9"/>
        <v>541.23</v>
      </c>
      <c r="K42" s="609">
        <f t="shared" si="9"/>
        <v>433.65</v>
      </c>
      <c r="L42" s="609">
        <f t="shared" si="9"/>
        <v>434.31</v>
      </c>
      <c r="M42" s="609">
        <f t="shared" si="9"/>
        <v>1557.86</v>
      </c>
      <c r="N42" s="609">
        <f t="shared" si="9"/>
        <v>2240.69</v>
      </c>
      <c r="O42" s="609">
        <f t="shared" si="9"/>
        <v>2639.43</v>
      </c>
      <c r="P42" s="610">
        <f>SUM(D42:O42)</f>
        <v>25008.560000000001</v>
      </c>
      <c r="R42" s="605"/>
      <c r="S42" s="605"/>
      <c r="T42" s="606"/>
      <c r="U42" s="607"/>
      <c r="V42" s="244"/>
      <c r="Y42" s="607"/>
    </row>
    <row r="43" spans="1:25" x14ac:dyDescent="0.2">
      <c r="B43" s="463"/>
      <c r="C43" s="463"/>
      <c r="D43" s="616"/>
      <c r="E43" s="616"/>
      <c r="F43" s="616"/>
      <c r="G43" s="616"/>
      <c r="H43" s="616"/>
      <c r="I43" s="616"/>
      <c r="J43" s="617"/>
      <c r="K43" s="617"/>
      <c r="L43" s="618"/>
      <c r="M43" s="619"/>
      <c r="N43" s="612"/>
      <c r="O43" s="612"/>
      <c r="P43" s="604"/>
      <c r="R43" s="607"/>
      <c r="S43" s="607"/>
      <c r="T43" s="607"/>
      <c r="U43" s="607"/>
      <c r="V43" s="607"/>
    </row>
    <row r="44" spans="1:25" x14ac:dyDescent="0.2">
      <c r="A44" s="263">
        <f>A42+1</f>
        <v>21</v>
      </c>
      <c r="B44" s="225" t="s">
        <v>243</v>
      </c>
    </row>
    <row r="46" spans="1:25" x14ac:dyDescent="0.2">
      <c r="A46" s="263">
        <f>A44+1</f>
        <v>22</v>
      </c>
      <c r="B46" s="224" t="s">
        <v>365</v>
      </c>
      <c r="C46" s="467" t="s">
        <v>23</v>
      </c>
      <c r="D46" s="613">
        <f>D40</f>
        <v>2.2090999999999998</v>
      </c>
      <c r="E46" s="613">
        <f t="shared" ref="E46:O46" si="10">E40</f>
        <v>2.2090999999999998</v>
      </c>
      <c r="F46" s="613">
        <f t="shared" si="10"/>
        <v>2.2090999999999998</v>
      </c>
      <c r="G46" s="613">
        <f t="shared" si="10"/>
        <v>2.2090999999999998</v>
      </c>
      <c r="H46" s="613">
        <f t="shared" si="10"/>
        <v>2.2090999999999998</v>
      </c>
      <c r="I46" s="613">
        <f t="shared" si="10"/>
        <v>2.2090999999999998</v>
      </c>
      <c r="J46" s="613">
        <f t="shared" si="10"/>
        <v>2.2090999999999998</v>
      </c>
      <c r="K46" s="613">
        <f t="shared" si="10"/>
        <v>2.2090999999999998</v>
      </c>
      <c r="L46" s="613">
        <f t="shared" si="10"/>
        <v>2.2090999999999998</v>
      </c>
      <c r="M46" s="613">
        <f t="shared" si="10"/>
        <v>2.2090999999999998</v>
      </c>
      <c r="N46" s="613">
        <f t="shared" si="10"/>
        <v>2.2090999999999998</v>
      </c>
      <c r="O46" s="613">
        <f t="shared" si="10"/>
        <v>2.2090999999999998</v>
      </c>
      <c r="P46" s="604"/>
      <c r="R46" s="605"/>
      <c r="S46" s="605"/>
      <c r="T46" s="606"/>
      <c r="U46" s="607"/>
      <c r="V46" s="244"/>
      <c r="Y46" s="607"/>
    </row>
    <row r="47" spans="1:25" ht="12" x14ac:dyDescent="0.35">
      <c r="A47" s="263">
        <f>A46+1</f>
        <v>23</v>
      </c>
      <c r="B47" s="224" t="s">
        <v>26</v>
      </c>
      <c r="C47" s="224" t="s">
        <v>22</v>
      </c>
      <c r="D47" s="608">
        <f>'C'!D27</f>
        <v>458.3</v>
      </c>
      <c r="E47" s="608">
        <f>'C'!E27</f>
        <v>345.9</v>
      </c>
      <c r="F47" s="608">
        <f>'C'!F27</f>
        <v>279.39999999999998</v>
      </c>
      <c r="G47" s="608">
        <f>'C'!G27</f>
        <v>174.8</v>
      </c>
      <c r="H47" s="608">
        <f>'C'!H27</f>
        <v>81.099999999999994</v>
      </c>
      <c r="I47" s="608">
        <f>'C'!I27</f>
        <v>33.4</v>
      </c>
      <c r="J47" s="608">
        <f>'C'!J27</f>
        <v>24.1</v>
      </c>
      <c r="K47" s="608">
        <f>'C'!K27</f>
        <v>27.6</v>
      </c>
      <c r="L47" s="608">
        <f>'C'!L27</f>
        <v>28.4</v>
      </c>
      <c r="M47" s="608">
        <f>'C'!M27</f>
        <v>68</v>
      </c>
      <c r="N47" s="608">
        <f>'C'!N27</f>
        <v>159.19999999999999</v>
      </c>
      <c r="O47" s="608">
        <f>'C'!O27</f>
        <v>338.7</v>
      </c>
      <c r="P47" s="604">
        <f>SUM(D47:O47)</f>
        <v>2018.8999999999999</v>
      </c>
      <c r="R47" s="605"/>
      <c r="S47" s="605"/>
      <c r="T47" s="606"/>
      <c r="U47" s="607"/>
      <c r="V47" s="244"/>
      <c r="Y47" s="607"/>
    </row>
    <row r="48" spans="1:25" x14ac:dyDescent="0.2">
      <c r="A48" s="263">
        <f>A47+1</f>
        <v>24</v>
      </c>
      <c r="B48" s="224" t="s">
        <v>319</v>
      </c>
      <c r="C48" s="224" t="s">
        <v>24</v>
      </c>
      <c r="D48" s="609">
        <f>ROUND(D46*D47,2)</f>
        <v>1012.43</v>
      </c>
      <c r="E48" s="609">
        <f t="shared" ref="E48:O48" si="11">ROUND(E46*E47,2)</f>
        <v>764.13</v>
      </c>
      <c r="F48" s="609">
        <f t="shared" si="11"/>
        <v>617.22</v>
      </c>
      <c r="G48" s="609">
        <f t="shared" si="11"/>
        <v>386.15</v>
      </c>
      <c r="H48" s="609">
        <f t="shared" si="11"/>
        <v>179.16</v>
      </c>
      <c r="I48" s="609">
        <f t="shared" si="11"/>
        <v>73.78</v>
      </c>
      <c r="J48" s="609">
        <f t="shared" si="11"/>
        <v>53.24</v>
      </c>
      <c r="K48" s="609">
        <f t="shared" si="11"/>
        <v>60.97</v>
      </c>
      <c r="L48" s="609">
        <f t="shared" si="11"/>
        <v>62.74</v>
      </c>
      <c r="M48" s="609">
        <f t="shared" si="11"/>
        <v>150.22</v>
      </c>
      <c r="N48" s="609">
        <f t="shared" si="11"/>
        <v>351.69</v>
      </c>
      <c r="O48" s="609">
        <f t="shared" si="11"/>
        <v>748.22</v>
      </c>
      <c r="P48" s="610">
        <f>SUM(D48:O48)</f>
        <v>4459.9499999999989</v>
      </c>
      <c r="R48" s="605"/>
      <c r="S48" s="605"/>
      <c r="T48" s="606"/>
      <c r="U48" s="607"/>
      <c r="V48" s="244"/>
      <c r="Y48" s="607"/>
    </row>
    <row r="49" spans="1:25" x14ac:dyDescent="0.2">
      <c r="B49" s="463"/>
      <c r="C49" s="463"/>
      <c r="D49" s="616"/>
      <c r="E49" s="616"/>
      <c r="F49" s="616"/>
      <c r="G49" s="616"/>
      <c r="H49" s="616"/>
      <c r="I49" s="616"/>
      <c r="J49" s="617"/>
      <c r="K49" s="617"/>
      <c r="L49" s="618"/>
      <c r="M49" s="619"/>
      <c r="N49" s="612"/>
      <c r="O49" s="612"/>
      <c r="P49" s="604"/>
      <c r="R49" s="607"/>
      <c r="S49" s="607"/>
      <c r="U49" s="607"/>
    </row>
    <row r="50" spans="1:25" x14ac:dyDescent="0.2">
      <c r="A50" s="263">
        <f>A48+1</f>
        <v>25</v>
      </c>
      <c r="B50" s="225" t="s">
        <v>242</v>
      </c>
    </row>
    <row r="52" spans="1:25" x14ac:dyDescent="0.2">
      <c r="A52" s="263">
        <f>A50+1</f>
        <v>26</v>
      </c>
      <c r="B52" s="224" t="s">
        <v>365</v>
      </c>
      <c r="C52" s="467" t="s">
        <v>23</v>
      </c>
      <c r="D52" s="613">
        <f>D46</f>
        <v>2.2090999999999998</v>
      </c>
      <c r="E52" s="613">
        <f t="shared" ref="E52:O52" si="12">E46</f>
        <v>2.2090999999999998</v>
      </c>
      <c r="F52" s="613">
        <f t="shared" si="12"/>
        <v>2.2090999999999998</v>
      </c>
      <c r="G52" s="613">
        <f t="shared" si="12"/>
        <v>2.2090999999999998</v>
      </c>
      <c r="H52" s="613">
        <f t="shared" si="12"/>
        <v>2.2090999999999998</v>
      </c>
      <c r="I52" s="613">
        <f t="shared" si="12"/>
        <v>2.2090999999999998</v>
      </c>
      <c r="J52" s="613">
        <f t="shared" si="12"/>
        <v>2.2090999999999998</v>
      </c>
      <c r="K52" s="613">
        <f t="shared" si="12"/>
        <v>2.2090999999999998</v>
      </c>
      <c r="L52" s="613">
        <f t="shared" si="12"/>
        <v>2.2090999999999998</v>
      </c>
      <c r="M52" s="613">
        <f t="shared" si="12"/>
        <v>2.2090999999999998</v>
      </c>
      <c r="N52" s="613">
        <f t="shared" si="12"/>
        <v>2.2090999999999998</v>
      </c>
      <c r="O52" s="613">
        <f t="shared" si="12"/>
        <v>2.2090999999999998</v>
      </c>
      <c r="P52" s="604"/>
      <c r="R52" s="605"/>
      <c r="S52" s="605"/>
      <c r="T52" s="606"/>
      <c r="U52" s="607"/>
      <c r="V52" s="244"/>
      <c r="Y52" s="607"/>
    </row>
    <row r="53" spans="1:25" ht="12" x14ac:dyDescent="0.35">
      <c r="A53" s="263">
        <f>A52+1</f>
        <v>27</v>
      </c>
      <c r="B53" s="224" t="s">
        <v>26</v>
      </c>
      <c r="C53" s="224" t="s">
        <v>22</v>
      </c>
      <c r="D53" s="608">
        <f>'C'!D22</f>
        <v>307.2</v>
      </c>
      <c r="E53" s="608">
        <f>'C'!E22</f>
        <v>374.8</v>
      </c>
      <c r="F53" s="608">
        <f>'C'!F22</f>
        <v>373.1</v>
      </c>
      <c r="G53" s="608">
        <f>'C'!G22</f>
        <v>173.3</v>
      </c>
      <c r="H53" s="608">
        <f>'C'!H22</f>
        <v>68.900000000000006</v>
      </c>
      <c r="I53" s="608">
        <f>'C'!I22</f>
        <v>18</v>
      </c>
      <c r="J53" s="608">
        <f>'C'!J22</f>
        <v>29.1</v>
      </c>
      <c r="K53" s="608">
        <f>'C'!K22</f>
        <v>16.7</v>
      </c>
      <c r="L53" s="608">
        <f>'C'!L22</f>
        <v>8.8000000000000007</v>
      </c>
      <c r="M53" s="608">
        <f>'C'!M22</f>
        <v>22.2</v>
      </c>
      <c r="N53" s="608">
        <f>'C'!N22</f>
        <v>83.3</v>
      </c>
      <c r="O53" s="608">
        <f>'C'!O22</f>
        <v>222.4</v>
      </c>
      <c r="P53" s="604">
        <f>SUM(D53:O53)</f>
        <v>1697.8</v>
      </c>
      <c r="R53" s="605"/>
      <c r="S53" s="605"/>
      <c r="T53" s="606"/>
      <c r="U53" s="607"/>
      <c r="V53" s="244"/>
      <c r="Y53" s="607"/>
    </row>
    <row r="54" spans="1:25" x14ac:dyDescent="0.2">
      <c r="A54" s="263">
        <f>A53+1</f>
        <v>28</v>
      </c>
      <c r="B54" s="224" t="s">
        <v>319</v>
      </c>
      <c r="C54" s="224" t="s">
        <v>24</v>
      </c>
      <c r="D54" s="609">
        <f>ROUND(D52*D53,2)</f>
        <v>678.64</v>
      </c>
      <c r="E54" s="609">
        <f t="shared" ref="E54:O54" si="13">ROUND(E52*E53,2)</f>
        <v>827.97</v>
      </c>
      <c r="F54" s="609">
        <f t="shared" si="13"/>
        <v>824.22</v>
      </c>
      <c r="G54" s="609">
        <f t="shared" si="13"/>
        <v>382.84</v>
      </c>
      <c r="H54" s="609">
        <f t="shared" si="13"/>
        <v>152.21</v>
      </c>
      <c r="I54" s="609">
        <f t="shared" si="13"/>
        <v>39.76</v>
      </c>
      <c r="J54" s="609">
        <f t="shared" si="13"/>
        <v>64.28</v>
      </c>
      <c r="K54" s="609">
        <f t="shared" si="13"/>
        <v>36.89</v>
      </c>
      <c r="L54" s="609">
        <f t="shared" si="13"/>
        <v>19.440000000000001</v>
      </c>
      <c r="M54" s="609">
        <f t="shared" si="13"/>
        <v>49.04</v>
      </c>
      <c r="N54" s="609">
        <f t="shared" si="13"/>
        <v>184.02</v>
      </c>
      <c r="O54" s="609">
        <f t="shared" si="13"/>
        <v>491.3</v>
      </c>
      <c r="P54" s="610">
        <f>SUM(D54:O54)</f>
        <v>3750.6100000000006</v>
      </c>
      <c r="R54" s="605"/>
      <c r="S54" s="605"/>
      <c r="T54" s="606"/>
      <c r="U54" s="607"/>
      <c r="V54" s="244"/>
      <c r="Y54" s="607"/>
    </row>
    <row r="55" spans="1:25" x14ac:dyDescent="0.2">
      <c r="K55" s="620"/>
      <c r="M55" s="611"/>
      <c r="N55" s="612"/>
      <c r="O55" s="612"/>
      <c r="P55" s="621"/>
      <c r="R55" s="297"/>
      <c r="S55" s="297"/>
      <c r="T55" s="297"/>
      <c r="U55" s="297"/>
    </row>
    <row r="56" spans="1:25" x14ac:dyDescent="0.2">
      <c r="A56" s="622">
        <f>A54+1</f>
        <v>29</v>
      </c>
      <c r="B56" s="440"/>
      <c r="C56" s="306"/>
      <c r="D56" s="623">
        <f t="shared" ref="D56:P56" si="14">D18+D24+D30+D36+D42+D48+D54</f>
        <v>4483477.79</v>
      </c>
      <c r="E56" s="623">
        <f t="shared" si="14"/>
        <v>4376758.3899999997</v>
      </c>
      <c r="F56" s="623">
        <f t="shared" si="14"/>
        <v>3220650.43</v>
      </c>
      <c r="G56" s="623">
        <f t="shared" si="14"/>
        <v>1901250.8800000001</v>
      </c>
      <c r="H56" s="623">
        <f t="shared" si="14"/>
        <v>935708.05</v>
      </c>
      <c r="I56" s="623">
        <f t="shared" si="14"/>
        <v>513952.18000000005</v>
      </c>
      <c r="J56" s="623">
        <f t="shared" si="14"/>
        <v>383735.24</v>
      </c>
      <c r="K56" s="623">
        <f t="shared" si="14"/>
        <v>370504.07</v>
      </c>
      <c r="L56" s="623">
        <f t="shared" si="14"/>
        <v>374902.17</v>
      </c>
      <c r="M56" s="623">
        <f t="shared" si="14"/>
        <v>553542.36</v>
      </c>
      <c r="N56" s="623">
        <f t="shared" si="14"/>
        <v>1351384.0199999998</v>
      </c>
      <c r="O56" s="623">
        <f t="shared" si="14"/>
        <v>3010084.53</v>
      </c>
      <c r="P56" s="623">
        <f t="shared" si="14"/>
        <v>21475950.109999996</v>
      </c>
      <c r="R56" s="607"/>
      <c r="S56" s="607"/>
      <c r="T56" s="607"/>
      <c r="U56" s="624"/>
    </row>
    <row r="57" spans="1:25" x14ac:dyDescent="0.2">
      <c r="A57" s="224"/>
      <c r="J57" s="621"/>
      <c r="K57" s="621"/>
      <c r="L57" s="621"/>
      <c r="M57" s="625"/>
      <c r="N57" s="626"/>
      <c r="O57" s="626"/>
      <c r="P57" s="625"/>
      <c r="R57" s="627"/>
      <c r="S57" s="627"/>
      <c r="T57" s="627"/>
      <c r="U57" s="628"/>
    </row>
    <row r="58" spans="1:25" x14ac:dyDescent="0.2">
      <c r="A58" s="629" t="s">
        <v>429</v>
      </c>
      <c r="J58" s="630"/>
      <c r="K58" s="630"/>
      <c r="L58" s="630"/>
      <c r="M58" s="611"/>
      <c r="N58" s="612"/>
      <c r="O58" s="612"/>
      <c r="P58" s="611"/>
      <c r="R58" s="297"/>
      <c r="S58" s="297"/>
      <c r="T58" s="297"/>
      <c r="U58" s="631"/>
    </row>
    <row r="59" spans="1:25" x14ac:dyDescent="0.2">
      <c r="M59" s="611"/>
      <c r="P59" s="611"/>
      <c r="R59" s="297"/>
      <c r="S59" s="297"/>
      <c r="T59" s="297"/>
    </row>
    <row r="60" spans="1:25" x14ac:dyDescent="0.2">
      <c r="M60" s="611"/>
      <c r="P60" s="611"/>
      <c r="R60" s="297"/>
      <c r="S60" s="297"/>
      <c r="T60" s="297"/>
    </row>
    <row r="61" spans="1:25" x14ac:dyDescent="0.2">
      <c r="M61" s="611"/>
      <c r="P61" s="611"/>
      <c r="R61" s="297"/>
      <c r="S61" s="297"/>
      <c r="T61" s="297"/>
    </row>
    <row r="62" spans="1:25" x14ac:dyDescent="0.2">
      <c r="M62" s="611"/>
      <c r="P62" s="611"/>
      <c r="R62" s="297"/>
      <c r="S62" s="297"/>
      <c r="T62" s="297"/>
    </row>
    <row r="63" spans="1:25" x14ac:dyDescent="0.2">
      <c r="M63" s="611"/>
      <c r="P63" s="611"/>
      <c r="R63" s="297"/>
      <c r="S63" s="297"/>
      <c r="T63" s="297"/>
    </row>
    <row r="64" spans="1:25" x14ac:dyDescent="0.2">
      <c r="M64" s="611"/>
      <c r="P64" s="611"/>
      <c r="R64" s="297"/>
      <c r="S64" s="297"/>
      <c r="T64" s="297"/>
    </row>
    <row r="65" spans="1:20" x14ac:dyDescent="0.2">
      <c r="M65" s="611"/>
      <c r="P65" s="611"/>
      <c r="R65" s="297"/>
      <c r="S65" s="297"/>
      <c r="T65" s="297"/>
    </row>
    <row r="66" spans="1:20" x14ac:dyDescent="0.2">
      <c r="M66" s="611"/>
      <c r="P66" s="611"/>
      <c r="R66" s="297"/>
      <c r="S66" s="297"/>
      <c r="T66" s="297"/>
    </row>
    <row r="67" spans="1:20" x14ac:dyDescent="0.2">
      <c r="M67" s="611"/>
      <c r="P67" s="611"/>
      <c r="R67" s="297"/>
      <c r="S67" s="297"/>
      <c r="T67" s="297"/>
    </row>
    <row r="68" spans="1:20" x14ac:dyDescent="0.2">
      <c r="K68" s="440"/>
      <c r="M68" s="611"/>
      <c r="P68" s="611"/>
      <c r="R68" s="297"/>
      <c r="S68" s="297"/>
      <c r="T68" s="297"/>
    </row>
    <row r="69" spans="1:20" x14ac:dyDescent="0.2">
      <c r="K69" s="440"/>
      <c r="M69" s="611"/>
      <c r="P69" s="611"/>
      <c r="R69" s="297"/>
      <c r="S69" s="297"/>
      <c r="T69" s="297"/>
    </row>
    <row r="70" spans="1:20" x14ac:dyDescent="0.2">
      <c r="K70" s="440"/>
      <c r="M70" s="611"/>
      <c r="P70" s="604"/>
      <c r="R70" s="297"/>
      <c r="S70" s="297"/>
      <c r="T70" s="297"/>
    </row>
    <row r="71" spans="1:20" x14ac:dyDescent="0.2">
      <c r="M71" s="611"/>
      <c r="P71" s="611"/>
      <c r="R71" s="297"/>
      <c r="S71" s="297"/>
      <c r="T71" s="297"/>
    </row>
    <row r="72" spans="1:20" x14ac:dyDescent="0.2">
      <c r="J72" s="227"/>
      <c r="K72" s="227"/>
      <c r="L72" s="227"/>
      <c r="M72" s="632"/>
      <c r="N72" s="227"/>
      <c r="O72" s="227"/>
      <c r="P72" s="633"/>
      <c r="R72" s="297"/>
      <c r="S72" s="297"/>
      <c r="T72" s="297"/>
    </row>
    <row r="73" spans="1:20" x14ac:dyDescent="0.2">
      <c r="A73" s="416"/>
      <c r="B73" s="266"/>
      <c r="C73" s="266"/>
      <c r="D73" s="440"/>
      <c r="E73" s="440"/>
      <c r="F73" s="440"/>
      <c r="G73" s="440"/>
      <c r="H73" s="440"/>
      <c r="I73" s="440"/>
      <c r="J73" s="227"/>
      <c r="K73" s="227"/>
      <c r="L73" s="227"/>
      <c r="M73" s="633"/>
      <c r="N73" s="227"/>
      <c r="O73" s="227"/>
      <c r="P73" s="633"/>
      <c r="R73" s="297"/>
      <c r="S73" s="297"/>
      <c r="T73" s="297"/>
    </row>
    <row r="74" spans="1:20" x14ac:dyDescent="0.2">
      <c r="A74" s="285"/>
      <c r="B74" s="285"/>
      <c r="C74" s="285"/>
      <c r="D74" s="262"/>
      <c r="E74" s="262"/>
      <c r="F74" s="262"/>
      <c r="G74" s="262"/>
      <c r="H74" s="262"/>
      <c r="I74" s="262"/>
      <c r="J74" s="262"/>
      <c r="K74" s="262"/>
      <c r="L74" s="262"/>
      <c r="M74" s="634"/>
      <c r="N74" s="262"/>
      <c r="O74" s="262"/>
      <c r="P74" s="634"/>
      <c r="R74" s="297"/>
      <c r="S74" s="297"/>
      <c r="T74" s="297"/>
    </row>
    <row r="75" spans="1:20" x14ac:dyDescent="0.2">
      <c r="A75" s="416"/>
      <c r="B75" s="266"/>
      <c r="C75" s="266"/>
      <c r="D75" s="440"/>
      <c r="E75" s="440"/>
      <c r="F75" s="440"/>
      <c r="G75" s="440"/>
      <c r="H75" s="440"/>
      <c r="I75" s="440"/>
      <c r="J75" s="227"/>
      <c r="K75" s="227"/>
      <c r="L75" s="227"/>
      <c r="M75" s="633"/>
      <c r="N75" s="227"/>
      <c r="O75" s="227"/>
      <c r="P75" s="633"/>
      <c r="R75" s="297"/>
      <c r="S75" s="297"/>
      <c r="T75" s="297"/>
    </row>
    <row r="76" spans="1:20" x14ac:dyDescent="0.2">
      <c r="A76" s="416"/>
      <c r="B76" s="266"/>
      <c r="C76" s="266"/>
      <c r="D76" s="440"/>
      <c r="E76" s="440"/>
      <c r="F76" s="440"/>
      <c r="G76" s="440"/>
      <c r="H76" s="440"/>
      <c r="I76" s="440"/>
      <c r="J76" s="227"/>
      <c r="K76" s="227"/>
      <c r="L76" s="227"/>
      <c r="M76" s="633"/>
      <c r="N76" s="227"/>
      <c r="O76" s="227"/>
      <c r="P76" s="633"/>
      <c r="R76" s="297"/>
      <c r="S76" s="297"/>
      <c r="T76" s="297"/>
    </row>
    <row r="77" spans="1:20" x14ac:dyDescent="0.2">
      <c r="B77" s="266"/>
      <c r="C77" s="266"/>
      <c r="D77" s="440"/>
      <c r="E77" s="440"/>
      <c r="F77" s="440"/>
      <c r="G77" s="440"/>
      <c r="H77" s="440"/>
      <c r="I77" s="440"/>
      <c r="M77" s="611"/>
      <c r="P77" s="611"/>
      <c r="R77" s="297"/>
      <c r="S77" s="297"/>
      <c r="T77" s="297"/>
    </row>
    <row r="78" spans="1:20" x14ac:dyDescent="0.2">
      <c r="M78" s="611"/>
      <c r="P78" s="611"/>
      <c r="R78" s="297"/>
      <c r="S78" s="297"/>
      <c r="T78" s="297"/>
    </row>
    <row r="79" spans="1:20" x14ac:dyDescent="0.2">
      <c r="M79" s="611"/>
      <c r="P79" s="611"/>
      <c r="R79" s="297"/>
      <c r="S79" s="297"/>
      <c r="T79" s="297"/>
    </row>
    <row r="80" spans="1:20" x14ac:dyDescent="0.2">
      <c r="M80" s="611"/>
      <c r="P80" s="611"/>
      <c r="R80" s="297"/>
      <c r="S80" s="297"/>
      <c r="T80" s="297"/>
    </row>
    <row r="81" spans="10:22" x14ac:dyDescent="0.2">
      <c r="M81" s="611"/>
      <c r="P81" s="611"/>
      <c r="R81" s="297"/>
      <c r="S81" s="297"/>
      <c r="T81" s="297"/>
    </row>
    <row r="82" spans="10:22" x14ac:dyDescent="0.2">
      <c r="M82" s="611"/>
      <c r="P82" s="611"/>
      <c r="R82" s="297"/>
      <c r="S82" s="297"/>
      <c r="T82" s="297"/>
    </row>
    <row r="83" spans="10:22" x14ac:dyDescent="0.2">
      <c r="M83" s="611"/>
      <c r="P83" s="611"/>
      <c r="R83" s="297"/>
      <c r="S83" s="297"/>
    </row>
    <row r="84" spans="10:22" x14ac:dyDescent="0.2">
      <c r="J84" s="635"/>
      <c r="K84" s="635"/>
      <c r="L84" s="621"/>
      <c r="M84" s="604"/>
      <c r="N84" s="612"/>
      <c r="O84" s="612"/>
      <c r="P84" s="604"/>
      <c r="R84" s="624"/>
      <c r="S84" s="624"/>
      <c r="T84" s="624"/>
      <c r="U84" s="624"/>
      <c r="V84" s="624"/>
    </row>
    <row r="85" spans="10:22" x14ac:dyDescent="0.2">
      <c r="J85" s="635"/>
      <c r="K85" s="635"/>
      <c r="L85" s="621"/>
      <c r="M85" s="604"/>
      <c r="N85" s="612"/>
      <c r="O85" s="612"/>
      <c r="P85" s="604"/>
      <c r="R85" s="624"/>
      <c r="S85" s="624"/>
      <c r="T85" s="624"/>
      <c r="U85" s="624"/>
      <c r="V85" s="624"/>
    </row>
    <row r="86" spans="10:22" x14ac:dyDescent="0.2">
      <c r="J86" s="635"/>
      <c r="K86" s="635"/>
      <c r="L86" s="621"/>
      <c r="M86" s="604"/>
      <c r="N86" s="612"/>
      <c r="O86" s="612"/>
      <c r="P86" s="604"/>
      <c r="R86" s="624"/>
      <c r="S86" s="624"/>
      <c r="T86" s="624"/>
      <c r="U86" s="624"/>
      <c r="V86" s="624"/>
    </row>
    <row r="87" spans="10:22" x14ac:dyDescent="0.2">
      <c r="J87" s="635"/>
      <c r="K87" s="635"/>
      <c r="L87" s="621"/>
      <c r="M87" s="604"/>
      <c r="N87" s="612"/>
      <c r="O87" s="612"/>
      <c r="P87" s="604"/>
      <c r="R87" s="624"/>
      <c r="S87" s="624"/>
      <c r="T87" s="624"/>
      <c r="U87" s="624"/>
      <c r="V87" s="624"/>
    </row>
    <row r="88" spans="10:22" x14ac:dyDescent="0.2">
      <c r="J88" s="635"/>
      <c r="K88" s="635"/>
      <c r="L88" s="621"/>
      <c r="M88" s="604"/>
      <c r="N88" s="612"/>
      <c r="O88" s="612"/>
      <c r="P88" s="604"/>
      <c r="R88" s="624"/>
      <c r="S88" s="624"/>
      <c r="T88" s="624"/>
      <c r="U88" s="624"/>
      <c r="V88" s="624"/>
    </row>
    <row r="89" spans="10:22" x14ac:dyDescent="0.2">
      <c r="J89" s="635"/>
      <c r="K89" s="635"/>
      <c r="L89" s="621"/>
      <c r="M89" s="604"/>
      <c r="N89" s="612"/>
      <c r="O89" s="612"/>
      <c r="P89" s="604"/>
      <c r="R89" s="624"/>
      <c r="S89" s="624"/>
      <c r="T89" s="624"/>
      <c r="U89" s="624"/>
      <c r="V89" s="624"/>
    </row>
    <row r="90" spans="10:22" x14ac:dyDescent="0.2">
      <c r="J90" s="635"/>
      <c r="K90" s="635"/>
      <c r="L90" s="621"/>
      <c r="M90" s="604"/>
      <c r="N90" s="612"/>
      <c r="O90" s="612"/>
      <c r="P90" s="604"/>
      <c r="R90" s="624"/>
      <c r="S90" s="624"/>
      <c r="T90" s="624"/>
      <c r="U90" s="624"/>
      <c r="V90" s="624"/>
    </row>
    <row r="91" spans="10:22" x14ac:dyDescent="0.2">
      <c r="J91" s="635"/>
      <c r="K91" s="635"/>
      <c r="L91" s="621"/>
      <c r="M91" s="604"/>
      <c r="N91" s="612"/>
      <c r="O91" s="612"/>
      <c r="P91" s="604"/>
      <c r="R91" s="624"/>
      <c r="S91" s="624"/>
      <c r="T91" s="624"/>
      <c r="U91" s="624"/>
      <c r="V91" s="624"/>
    </row>
    <row r="92" spans="10:22" x14ac:dyDescent="0.2">
      <c r="J92" s="635"/>
      <c r="K92" s="635"/>
      <c r="L92" s="621"/>
      <c r="M92" s="604"/>
      <c r="N92" s="612"/>
      <c r="O92" s="612"/>
      <c r="P92" s="604"/>
      <c r="R92" s="624"/>
      <c r="S92" s="624"/>
      <c r="T92" s="624"/>
      <c r="U92" s="624"/>
      <c r="V92" s="624"/>
    </row>
    <row r="93" spans="10:22" x14ac:dyDescent="0.2">
      <c r="J93" s="635"/>
      <c r="K93" s="635"/>
      <c r="L93" s="621"/>
      <c r="M93" s="604"/>
      <c r="N93" s="612"/>
      <c r="O93" s="612"/>
      <c r="P93" s="604"/>
      <c r="R93" s="624"/>
      <c r="S93" s="624"/>
      <c r="T93" s="624"/>
      <c r="U93" s="624"/>
      <c r="V93" s="624"/>
    </row>
    <row r="94" spans="10:22" x14ac:dyDescent="0.2">
      <c r="J94" s="635"/>
      <c r="K94" s="635"/>
      <c r="L94" s="621"/>
      <c r="M94" s="604"/>
      <c r="N94" s="612"/>
      <c r="O94" s="612"/>
      <c r="P94" s="604"/>
      <c r="R94" s="624"/>
      <c r="S94" s="624"/>
      <c r="T94" s="624"/>
      <c r="U94" s="624"/>
      <c r="V94" s="624"/>
    </row>
    <row r="95" spans="10:22" x14ac:dyDescent="0.2">
      <c r="J95" s="635"/>
      <c r="K95" s="635"/>
      <c r="L95" s="621"/>
      <c r="M95" s="625"/>
      <c r="N95" s="626"/>
      <c r="O95" s="626"/>
      <c r="P95" s="625"/>
      <c r="R95" s="628"/>
      <c r="S95" s="628"/>
      <c r="T95" s="628"/>
      <c r="U95" s="628"/>
      <c r="V95" s="628"/>
    </row>
    <row r="96" spans="10:22" x14ac:dyDescent="0.2">
      <c r="J96" s="621"/>
      <c r="K96" s="621"/>
      <c r="L96" s="621"/>
      <c r="M96" s="611"/>
      <c r="N96" s="612"/>
      <c r="O96" s="612"/>
      <c r="P96" s="611"/>
      <c r="R96" s="631"/>
      <c r="S96" s="631"/>
      <c r="T96" s="631"/>
      <c r="U96" s="631"/>
      <c r="V96" s="631"/>
    </row>
    <row r="97" spans="10:22" x14ac:dyDescent="0.2">
      <c r="J97" s="621"/>
      <c r="K97" s="621"/>
      <c r="L97" s="621"/>
      <c r="M97" s="611"/>
      <c r="P97" s="611"/>
      <c r="R97" s="631"/>
      <c r="S97" s="631"/>
      <c r="T97" s="631"/>
      <c r="U97" s="631"/>
      <c r="V97" s="631"/>
    </row>
    <row r="98" spans="10:22" x14ac:dyDescent="0.2">
      <c r="J98" s="621"/>
      <c r="K98" s="621"/>
      <c r="L98" s="621"/>
      <c r="M98" s="611"/>
      <c r="P98" s="611"/>
      <c r="R98" s="631"/>
      <c r="S98" s="631"/>
      <c r="T98" s="631"/>
      <c r="U98" s="631"/>
      <c r="V98" s="631"/>
    </row>
    <row r="99" spans="10:22" x14ac:dyDescent="0.2">
      <c r="J99" s="621"/>
      <c r="K99" s="621"/>
      <c r="L99" s="621"/>
      <c r="M99" s="611"/>
      <c r="P99" s="611"/>
      <c r="R99" s="631"/>
      <c r="S99" s="631"/>
      <c r="T99" s="631"/>
      <c r="U99" s="631"/>
      <c r="V99" s="631"/>
    </row>
    <row r="100" spans="10:22" x14ac:dyDescent="0.2">
      <c r="J100" s="621"/>
      <c r="K100" s="621"/>
      <c r="L100" s="621"/>
      <c r="M100" s="604"/>
      <c r="N100" s="612"/>
      <c r="O100" s="612"/>
      <c r="P100" s="604"/>
      <c r="R100" s="624"/>
      <c r="S100" s="624"/>
      <c r="T100" s="624"/>
      <c r="U100" s="624"/>
      <c r="V100" s="624"/>
    </row>
    <row r="101" spans="10:22" x14ac:dyDescent="0.2">
      <c r="J101" s="621"/>
      <c r="K101" s="621"/>
      <c r="L101" s="621"/>
      <c r="M101" s="604"/>
      <c r="N101" s="612"/>
      <c r="O101" s="612"/>
      <c r="P101" s="604"/>
      <c r="R101" s="624"/>
      <c r="S101" s="624"/>
      <c r="T101" s="624"/>
      <c r="U101" s="624"/>
      <c r="V101" s="624"/>
    </row>
    <row r="102" spans="10:22" x14ac:dyDescent="0.2">
      <c r="J102" s="621"/>
      <c r="K102" s="621"/>
      <c r="L102" s="621"/>
      <c r="M102" s="604"/>
      <c r="N102" s="612"/>
      <c r="O102" s="612"/>
      <c r="P102" s="604"/>
      <c r="R102" s="624"/>
      <c r="S102" s="624"/>
      <c r="T102" s="624"/>
      <c r="U102" s="624"/>
      <c r="V102" s="624"/>
    </row>
    <row r="103" spans="10:22" x14ac:dyDescent="0.2">
      <c r="J103" s="621"/>
      <c r="K103" s="621"/>
      <c r="L103" s="621"/>
      <c r="M103" s="604"/>
      <c r="N103" s="612"/>
      <c r="O103" s="612"/>
      <c r="P103" s="604"/>
      <c r="R103" s="624"/>
      <c r="S103" s="624"/>
      <c r="T103" s="624"/>
      <c r="U103" s="624"/>
      <c r="V103" s="624"/>
    </row>
    <row r="104" spans="10:22" x14ac:dyDescent="0.2">
      <c r="J104" s="621"/>
      <c r="K104" s="621"/>
      <c r="L104" s="621"/>
      <c r="M104" s="604"/>
      <c r="N104" s="612"/>
      <c r="O104" s="612"/>
      <c r="P104" s="604"/>
      <c r="R104" s="624"/>
      <c r="S104" s="624"/>
      <c r="T104" s="624"/>
      <c r="U104" s="624"/>
      <c r="V104" s="624"/>
    </row>
    <row r="105" spans="10:22" x14ac:dyDescent="0.2">
      <c r="J105" s="621"/>
      <c r="K105" s="621"/>
      <c r="L105" s="621"/>
      <c r="M105" s="604"/>
      <c r="N105" s="612"/>
      <c r="O105" s="612"/>
      <c r="P105" s="604"/>
      <c r="R105" s="624"/>
      <c r="S105" s="624"/>
      <c r="T105" s="624"/>
      <c r="U105" s="624"/>
      <c r="V105" s="624"/>
    </row>
    <row r="106" spans="10:22" x14ac:dyDescent="0.2">
      <c r="J106" s="621"/>
      <c r="K106" s="621"/>
      <c r="L106" s="621"/>
      <c r="M106" s="604"/>
      <c r="N106" s="612"/>
      <c r="O106" s="612"/>
      <c r="P106" s="604"/>
      <c r="R106" s="624"/>
      <c r="S106" s="624"/>
      <c r="T106" s="624"/>
      <c r="U106" s="624"/>
      <c r="V106" s="624"/>
    </row>
    <row r="107" spans="10:22" x14ac:dyDescent="0.2">
      <c r="J107" s="621"/>
      <c r="K107" s="621"/>
      <c r="L107" s="621"/>
      <c r="M107" s="604"/>
      <c r="N107" s="612"/>
      <c r="O107" s="612"/>
      <c r="P107" s="604"/>
      <c r="R107" s="624"/>
      <c r="S107" s="624"/>
      <c r="T107" s="624"/>
      <c r="U107" s="624"/>
      <c r="V107" s="624"/>
    </row>
    <row r="108" spans="10:22" x14ac:dyDescent="0.2">
      <c r="J108" s="621"/>
      <c r="K108" s="621"/>
      <c r="L108" s="621"/>
      <c r="M108" s="604"/>
      <c r="N108" s="612"/>
      <c r="O108" s="612"/>
      <c r="P108" s="604"/>
      <c r="R108" s="624"/>
      <c r="S108" s="624"/>
      <c r="T108" s="624"/>
      <c r="U108" s="624"/>
      <c r="V108" s="624"/>
    </row>
    <row r="109" spans="10:22" x14ac:dyDescent="0.2">
      <c r="J109" s="621"/>
      <c r="K109" s="621"/>
      <c r="L109" s="621"/>
      <c r="M109" s="604"/>
      <c r="N109" s="612"/>
      <c r="O109" s="612"/>
      <c r="P109" s="604"/>
      <c r="R109" s="624"/>
      <c r="S109" s="624"/>
      <c r="T109" s="624"/>
      <c r="U109" s="624"/>
      <c r="V109" s="624"/>
    </row>
    <row r="110" spans="10:22" x14ac:dyDescent="0.2">
      <c r="J110" s="621"/>
      <c r="K110" s="621"/>
      <c r="L110" s="621"/>
      <c r="M110" s="604"/>
      <c r="N110" s="612"/>
      <c r="O110" s="612"/>
      <c r="P110" s="604"/>
      <c r="R110" s="624"/>
      <c r="S110" s="624"/>
      <c r="T110" s="624"/>
      <c r="U110" s="624"/>
      <c r="V110" s="624"/>
    </row>
    <row r="111" spans="10:22" x14ac:dyDescent="0.2">
      <c r="J111" s="621"/>
      <c r="K111" s="621"/>
      <c r="L111" s="621"/>
      <c r="M111" s="625"/>
      <c r="N111" s="626"/>
      <c r="O111" s="626"/>
      <c r="P111" s="625"/>
      <c r="R111" s="628"/>
      <c r="S111" s="628"/>
      <c r="T111" s="628"/>
      <c r="U111" s="628"/>
      <c r="V111" s="628"/>
    </row>
    <row r="112" spans="10:22" x14ac:dyDescent="0.2">
      <c r="J112" s="630"/>
      <c r="K112" s="630"/>
      <c r="L112" s="630"/>
      <c r="M112" s="611"/>
      <c r="N112" s="612"/>
      <c r="O112" s="612"/>
      <c r="P112" s="611"/>
      <c r="R112" s="631"/>
      <c r="S112" s="631"/>
      <c r="T112" s="631"/>
      <c r="U112" s="631"/>
      <c r="V112" s="631"/>
    </row>
    <row r="113" spans="1:20" x14ac:dyDescent="0.2">
      <c r="M113" s="611"/>
      <c r="P113" s="611"/>
      <c r="R113" s="297"/>
      <c r="S113" s="297"/>
      <c r="T113" s="297"/>
    </row>
    <row r="114" spans="1:20" x14ac:dyDescent="0.2">
      <c r="M114" s="611"/>
      <c r="P114" s="611"/>
      <c r="R114" s="297"/>
      <c r="S114" s="297"/>
      <c r="T114" s="297"/>
    </row>
    <row r="115" spans="1:20" x14ac:dyDescent="0.2">
      <c r="M115" s="611"/>
      <c r="P115" s="611"/>
      <c r="R115" s="297"/>
      <c r="S115" s="297"/>
      <c r="T115" s="297"/>
    </row>
    <row r="116" spans="1:20" x14ac:dyDescent="0.2">
      <c r="M116" s="611"/>
      <c r="P116" s="611"/>
      <c r="R116" s="297"/>
      <c r="S116" s="297"/>
      <c r="T116" s="297"/>
    </row>
    <row r="117" spans="1:20" x14ac:dyDescent="0.2">
      <c r="M117" s="611"/>
      <c r="P117" s="611"/>
      <c r="R117" s="297"/>
      <c r="S117" s="297"/>
      <c r="T117" s="297"/>
    </row>
    <row r="118" spans="1:20" x14ac:dyDescent="0.2">
      <c r="M118" s="611"/>
      <c r="P118" s="611"/>
      <c r="R118" s="297"/>
      <c r="S118" s="297"/>
      <c r="T118" s="297"/>
    </row>
    <row r="119" spans="1:20" x14ac:dyDescent="0.2">
      <c r="M119" s="611"/>
      <c r="P119" s="611"/>
      <c r="R119" s="297"/>
      <c r="S119" s="297"/>
      <c r="T119" s="297"/>
    </row>
    <row r="120" spans="1:20" x14ac:dyDescent="0.2">
      <c r="M120" s="611"/>
      <c r="P120" s="611"/>
      <c r="R120" s="297"/>
      <c r="S120" s="297"/>
      <c r="T120" s="297"/>
    </row>
    <row r="121" spans="1:20" x14ac:dyDescent="0.2">
      <c r="M121" s="611"/>
      <c r="P121" s="611"/>
      <c r="R121" s="297"/>
      <c r="S121" s="297"/>
      <c r="T121" s="297"/>
    </row>
    <row r="122" spans="1:20" x14ac:dyDescent="0.2">
      <c r="M122" s="611"/>
      <c r="P122" s="611"/>
      <c r="R122" s="297"/>
      <c r="S122" s="297"/>
      <c r="T122" s="297"/>
    </row>
    <row r="123" spans="1:20" x14ac:dyDescent="0.2">
      <c r="K123" s="440"/>
      <c r="M123" s="611"/>
      <c r="P123" s="611"/>
      <c r="R123" s="297"/>
      <c r="S123" s="297"/>
      <c r="T123" s="297"/>
    </row>
    <row r="124" spans="1:20" x14ac:dyDescent="0.2">
      <c r="K124" s="440"/>
      <c r="M124" s="611"/>
      <c r="P124" s="611"/>
      <c r="R124" s="297"/>
      <c r="S124" s="297"/>
      <c r="T124" s="297"/>
    </row>
    <row r="125" spans="1:20" x14ac:dyDescent="0.2">
      <c r="K125" s="440"/>
      <c r="M125" s="611"/>
      <c r="P125" s="604"/>
      <c r="R125" s="297"/>
      <c r="S125" s="297"/>
      <c r="T125" s="297"/>
    </row>
    <row r="126" spans="1:20" x14ac:dyDescent="0.2">
      <c r="M126" s="611"/>
      <c r="P126" s="611"/>
      <c r="R126" s="297"/>
      <c r="S126" s="297"/>
      <c r="T126" s="297"/>
    </row>
    <row r="127" spans="1:20" x14ac:dyDescent="0.2">
      <c r="J127" s="227"/>
      <c r="K127" s="227"/>
      <c r="L127" s="227"/>
      <c r="M127" s="632"/>
      <c r="N127" s="227"/>
      <c r="O127" s="227"/>
      <c r="P127" s="633"/>
      <c r="R127" s="297"/>
      <c r="S127" s="297"/>
      <c r="T127" s="297"/>
    </row>
    <row r="128" spans="1:20" x14ac:dyDescent="0.2">
      <c r="A128" s="416"/>
      <c r="B128" s="266"/>
      <c r="C128" s="266"/>
      <c r="D128" s="440"/>
      <c r="E128" s="440"/>
      <c r="F128" s="440"/>
      <c r="G128" s="440"/>
      <c r="H128" s="440"/>
      <c r="I128" s="440"/>
      <c r="J128" s="227"/>
      <c r="K128" s="227"/>
      <c r="L128" s="227"/>
      <c r="M128" s="633"/>
      <c r="N128" s="227"/>
      <c r="O128" s="227"/>
      <c r="P128" s="633"/>
      <c r="R128" s="297"/>
      <c r="S128" s="297"/>
      <c r="T128" s="297"/>
    </row>
    <row r="129" spans="1:20" x14ac:dyDescent="0.2">
      <c r="A129" s="285"/>
      <c r="B129" s="285"/>
      <c r="C129" s="285"/>
      <c r="D129" s="262"/>
      <c r="E129" s="262"/>
      <c r="F129" s="262"/>
      <c r="G129" s="262"/>
      <c r="H129" s="262"/>
      <c r="I129" s="262"/>
      <c r="J129" s="262"/>
      <c r="K129" s="262"/>
      <c r="L129" s="262"/>
      <c r="M129" s="634"/>
      <c r="N129" s="262"/>
      <c r="O129" s="262"/>
      <c r="P129" s="634"/>
      <c r="R129" s="297"/>
      <c r="S129" s="297"/>
      <c r="T129" s="297"/>
    </row>
    <row r="130" spans="1:20" x14ac:dyDescent="0.2">
      <c r="A130" s="416"/>
      <c r="B130" s="266"/>
      <c r="C130" s="266"/>
      <c r="D130" s="440"/>
      <c r="E130" s="440"/>
      <c r="F130" s="440"/>
      <c r="G130" s="440"/>
      <c r="H130" s="440"/>
      <c r="I130" s="440"/>
      <c r="J130" s="227"/>
      <c r="K130" s="227"/>
      <c r="L130" s="227"/>
      <c r="M130" s="633"/>
      <c r="N130" s="227"/>
      <c r="O130" s="227"/>
      <c r="P130" s="633"/>
      <c r="R130" s="297"/>
      <c r="S130" s="297"/>
      <c r="T130" s="297"/>
    </row>
    <row r="131" spans="1:20" x14ac:dyDescent="0.2">
      <c r="A131" s="416"/>
      <c r="B131" s="266"/>
      <c r="C131" s="266"/>
      <c r="D131" s="440"/>
      <c r="E131" s="440"/>
      <c r="F131" s="440"/>
      <c r="G131" s="440"/>
      <c r="H131" s="440"/>
      <c r="I131" s="440"/>
      <c r="J131" s="227"/>
      <c r="K131" s="227"/>
      <c r="L131" s="227"/>
      <c r="M131" s="633"/>
      <c r="N131" s="227"/>
      <c r="O131" s="227"/>
      <c r="P131" s="633"/>
      <c r="R131" s="297"/>
      <c r="S131" s="297"/>
      <c r="T131" s="297"/>
    </row>
    <row r="132" spans="1:20" x14ac:dyDescent="0.2">
      <c r="B132" s="266"/>
      <c r="C132" s="266"/>
      <c r="D132" s="440"/>
      <c r="E132" s="440"/>
      <c r="F132" s="440"/>
      <c r="G132" s="440"/>
      <c r="H132" s="440"/>
      <c r="I132" s="440"/>
      <c r="M132" s="611"/>
      <c r="P132" s="611"/>
      <c r="R132" s="297"/>
      <c r="S132" s="297"/>
      <c r="T132" s="297"/>
    </row>
    <row r="133" spans="1:20" x14ac:dyDescent="0.2">
      <c r="M133" s="611"/>
      <c r="P133" s="611"/>
      <c r="R133" s="297"/>
      <c r="S133" s="297"/>
      <c r="T133" s="297"/>
    </row>
    <row r="134" spans="1:20" x14ac:dyDescent="0.2">
      <c r="M134" s="611"/>
      <c r="P134" s="611"/>
      <c r="R134" s="297"/>
      <c r="S134" s="297"/>
      <c r="T134" s="297"/>
    </row>
    <row r="135" spans="1:20" x14ac:dyDescent="0.2">
      <c r="M135" s="611"/>
      <c r="P135" s="611"/>
      <c r="R135" s="297"/>
      <c r="S135" s="297"/>
      <c r="T135" s="297"/>
    </row>
    <row r="136" spans="1:20" x14ac:dyDescent="0.2">
      <c r="M136" s="611"/>
      <c r="P136" s="611"/>
      <c r="R136" s="297"/>
      <c r="S136" s="297"/>
      <c r="T136" s="297"/>
    </row>
    <row r="137" spans="1:20" x14ac:dyDescent="0.2">
      <c r="M137" s="611"/>
      <c r="P137" s="611"/>
      <c r="R137" s="297"/>
      <c r="S137" s="297"/>
      <c r="T137" s="297"/>
    </row>
    <row r="138" spans="1:20" x14ac:dyDescent="0.2">
      <c r="M138" s="611"/>
      <c r="P138" s="611"/>
      <c r="R138" s="297"/>
      <c r="S138" s="297"/>
      <c r="T138" s="297"/>
    </row>
    <row r="139" spans="1:20" x14ac:dyDescent="0.2">
      <c r="J139" s="635"/>
      <c r="K139" s="635"/>
      <c r="L139" s="621"/>
      <c r="M139" s="636"/>
      <c r="N139" s="612"/>
      <c r="O139" s="612"/>
      <c r="P139" s="636"/>
      <c r="R139" s="297"/>
      <c r="S139" s="297"/>
      <c r="T139" s="297"/>
    </row>
    <row r="140" spans="1:20" x14ac:dyDescent="0.2">
      <c r="J140" s="635"/>
      <c r="K140" s="635"/>
      <c r="L140" s="621"/>
      <c r="M140" s="636"/>
      <c r="N140" s="612"/>
      <c r="O140" s="612"/>
      <c r="P140" s="636"/>
      <c r="R140" s="297"/>
      <c r="S140" s="297"/>
      <c r="T140" s="297"/>
    </row>
    <row r="141" spans="1:20" x14ac:dyDescent="0.2">
      <c r="J141" s="635"/>
      <c r="K141" s="635"/>
      <c r="L141" s="621"/>
      <c r="M141" s="636"/>
      <c r="N141" s="612"/>
      <c r="O141" s="612"/>
      <c r="P141" s="636"/>
      <c r="R141" s="297"/>
      <c r="S141" s="297"/>
      <c r="T141" s="297"/>
    </row>
    <row r="142" spans="1:20" x14ac:dyDescent="0.2">
      <c r="J142" s="635"/>
      <c r="K142" s="635"/>
      <c r="L142" s="621"/>
      <c r="M142" s="636"/>
      <c r="N142" s="612"/>
      <c r="O142" s="612"/>
      <c r="P142" s="636"/>
      <c r="R142" s="297"/>
      <c r="S142" s="297"/>
      <c r="T142" s="297"/>
    </row>
    <row r="143" spans="1:20" x14ac:dyDescent="0.2">
      <c r="J143" s="635"/>
      <c r="K143" s="635"/>
      <c r="L143" s="621"/>
      <c r="M143" s="636"/>
      <c r="N143" s="612"/>
      <c r="O143" s="612"/>
      <c r="P143" s="636"/>
      <c r="R143" s="297"/>
      <c r="S143" s="297"/>
      <c r="T143" s="297"/>
    </row>
    <row r="144" spans="1:20" x14ac:dyDescent="0.2">
      <c r="J144" s="635"/>
      <c r="K144" s="635"/>
      <c r="L144" s="621"/>
      <c r="M144" s="636"/>
      <c r="N144" s="612"/>
      <c r="O144" s="612"/>
      <c r="P144" s="636"/>
      <c r="R144" s="297"/>
      <c r="S144" s="297"/>
      <c r="T144" s="297"/>
    </row>
    <row r="145" spans="10:20" x14ac:dyDescent="0.2">
      <c r="J145" s="635"/>
      <c r="K145" s="635"/>
      <c r="L145" s="621"/>
      <c r="M145" s="636"/>
      <c r="N145" s="612"/>
      <c r="O145" s="612"/>
      <c r="P145" s="636"/>
      <c r="R145" s="297"/>
      <c r="S145" s="297"/>
      <c r="T145" s="297"/>
    </row>
    <row r="146" spans="10:20" x14ac:dyDescent="0.2">
      <c r="J146" s="635"/>
      <c r="K146" s="635"/>
      <c r="L146" s="621"/>
      <c r="M146" s="636"/>
      <c r="N146" s="612"/>
      <c r="O146" s="612"/>
      <c r="P146" s="636"/>
      <c r="R146" s="297"/>
      <c r="S146" s="297"/>
      <c r="T146" s="297"/>
    </row>
    <row r="147" spans="10:20" x14ac:dyDescent="0.2">
      <c r="J147" s="635"/>
      <c r="K147" s="635"/>
      <c r="L147" s="621"/>
      <c r="M147" s="636"/>
      <c r="N147" s="612"/>
      <c r="O147" s="612"/>
      <c r="P147" s="636"/>
      <c r="R147" s="297"/>
      <c r="S147" s="297"/>
      <c r="T147" s="297"/>
    </row>
    <row r="148" spans="10:20" x14ac:dyDescent="0.2">
      <c r="J148" s="635"/>
      <c r="K148" s="635"/>
      <c r="L148" s="621"/>
      <c r="M148" s="636"/>
      <c r="N148" s="612"/>
      <c r="O148" s="612"/>
      <c r="P148" s="636"/>
      <c r="R148" s="297"/>
      <c r="S148" s="297"/>
      <c r="T148" s="297"/>
    </row>
    <row r="149" spans="10:20" x14ac:dyDescent="0.2">
      <c r="J149" s="635"/>
      <c r="K149" s="635"/>
      <c r="L149" s="621"/>
      <c r="M149" s="636"/>
      <c r="N149" s="612"/>
      <c r="O149" s="612"/>
      <c r="P149" s="636"/>
      <c r="R149" s="297"/>
      <c r="S149" s="297"/>
      <c r="T149" s="297"/>
    </row>
    <row r="150" spans="10:20" x14ac:dyDescent="0.2">
      <c r="J150" s="635"/>
      <c r="K150" s="635"/>
      <c r="L150" s="621"/>
      <c r="M150" s="637"/>
      <c r="N150" s="626"/>
      <c r="O150" s="626"/>
      <c r="P150" s="637"/>
      <c r="R150" s="297"/>
      <c r="S150" s="297"/>
      <c r="T150" s="297"/>
    </row>
    <row r="151" spans="10:20" x14ac:dyDescent="0.2">
      <c r="J151" s="621"/>
      <c r="K151" s="621"/>
      <c r="L151" s="621"/>
      <c r="M151" s="611"/>
      <c r="N151" s="612"/>
      <c r="O151" s="612"/>
      <c r="P151" s="611"/>
      <c r="R151" s="297"/>
      <c r="S151" s="297"/>
      <c r="T151" s="297"/>
    </row>
    <row r="152" spans="10:20" x14ac:dyDescent="0.2">
      <c r="J152" s="621"/>
      <c r="K152" s="621"/>
      <c r="L152" s="621"/>
      <c r="M152" s="611"/>
      <c r="P152" s="611"/>
      <c r="R152" s="297"/>
      <c r="S152" s="297"/>
      <c r="T152" s="297"/>
    </row>
    <row r="153" spans="10:20" x14ac:dyDescent="0.2">
      <c r="J153" s="621"/>
      <c r="K153" s="621"/>
      <c r="L153" s="621"/>
      <c r="M153" s="611"/>
      <c r="P153" s="611"/>
      <c r="R153" s="297"/>
      <c r="S153" s="297"/>
      <c r="T153" s="297"/>
    </row>
    <row r="154" spans="10:20" x14ac:dyDescent="0.2">
      <c r="J154" s="621"/>
      <c r="K154" s="621"/>
      <c r="L154" s="621"/>
      <c r="M154" s="611"/>
      <c r="P154" s="611"/>
      <c r="R154" s="297"/>
      <c r="S154" s="297"/>
      <c r="T154" s="297"/>
    </row>
    <row r="155" spans="10:20" x14ac:dyDescent="0.2">
      <c r="J155" s="621"/>
      <c r="K155" s="621"/>
      <c r="L155" s="621"/>
      <c r="M155" s="636"/>
      <c r="N155" s="612"/>
      <c r="O155" s="612"/>
      <c r="P155" s="636"/>
      <c r="R155" s="297"/>
      <c r="S155" s="297"/>
      <c r="T155" s="297"/>
    </row>
    <row r="156" spans="10:20" x14ac:dyDescent="0.2">
      <c r="J156" s="621"/>
      <c r="K156" s="621"/>
      <c r="L156" s="621"/>
      <c r="M156" s="636"/>
      <c r="N156" s="612"/>
      <c r="O156" s="612"/>
      <c r="P156" s="636"/>
      <c r="R156" s="297"/>
      <c r="S156" s="297"/>
      <c r="T156" s="297"/>
    </row>
    <row r="157" spans="10:20" x14ac:dyDescent="0.2">
      <c r="J157" s="621"/>
      <c r="K157" s="621"/>
      <c r="L157" s="621"/>
      <c r="M157" s="636"/>
      <c r="N157" s="612"/>
      <c r="O157" s="612"/>
      <c r="P157" s="636"/>
      <c r="R157" s="297"/>
      <c r="S157" s="297"/>
      <c r="T157" s="297"/>
    </row>
    <row r="158" spans="10:20" x14ac:dyDescent="0.2">
      <c r="J158" s="621"/>
      <c r="K158" s="621"/>
      <c r="L158" s="621"/>
      <c r="M158" s="636"/>
      <c r="N158" s="612"/>
      <c r="O158" s="612"/>
      <c r="P158" s="636"/>
      <c r="R158" s="297"/>
      <c r="S158" s="297"/>
      <c r="T158" s="297"/>
    </row>
    <row r="159" spans="10:20" x14ac:dyDescent="0.2">
      <c r="J159" s="621"/>
      <c r="K159" s="621"/>
      <c r="L159" s="621"/>
      <c r="M159" s="636"/>
      <c r="N159" s="612"/>
      <c r="O159" s="612"/>
      <c r="P159" s="636"/>
      <c r="R159" s="297"/>
      <c r="S159" s="297"/>
      <c r="T159" s="297"/>
    </row>
    <row r="160" spans="10:20" x14ac:dyDescent="0.2">
      <c r="J160" s="621"/>
      <c r="K160" s="621"/>
      <c r="L160" s="621"/>
      <c r="M160" s="636"/>
      <c r="N160" s="612"/>
      <c r="O160" s="612"/>
      <c r="P160" s="636"/>
      <c r="R160" s="297"/>
      <c r="S160" s="297"/>
      <c r="T160" s="297"/>
    </row>
    <row r="161" spans="10:20" x14ac:dyDescent="0.2">
      <c r="J161" s="621"/>
      <c r="K161" s="621"/>
      <c r="L161" s="621"/>
      <c r="M161" s="636"/>
      <c r="N161" s="612"/>
      <c r="O161" s="612"/>
      <c r="P161" s="636"/>
      <c r="R161" s="297"/>
      <c r="S161" s="297"/>
      <c r="T161" s="297"/>
    </row>
    <row r="162" spans="10:20" x14ac:dyDescent="0.2">
      <c r="J162" s="621"/>
      <c r="K162" s="621"/>
      <c r="L162" s="621"/>
      <c r="M162" s="636"/>
      <c r="N162" s="612"/>
      <c r="O162" s="612"/>
      <c r="P162" s="636"/>
      <c r="R162" s="297"/>
      <c r="S162" s="297"/>
      <c r="T162" s="297"/>
    </row>
    <row r="163" spans="10:20" x14ac:dyDescent="0.2">
      <c r="J163" s="621"/>
      <c r="K163" s="621"/>
      <c r="L163" s="621"/>
      <c r="M163" s="636"/>
      <c r="N163" s="612"/>
      <c r="O163" s="612"/>
      <c r="P163" s="636"/>
      <c r="R163" s="297"/>
      <c r="S163" s="297"/>
      <c r="T163" s="297"/>
    </row>
    <row r="164" spans="10:20" x14ac:dyDescent="0.2">
      <c r="J164" s="621"/>
      <c r="K164" s="621"/>
      <c r="L164" s="621"/>
      <c r="M164" s="636"/>
      <c r="N164" s="612"/>
      <c r="O164" s="612"/>
      <c r="P164" s="636"/>
      <c r="R164" s="297"/>
      <c r="S164" s="297"/>
      <c r="T164" s="297"/>
    </row>
    <row r="165" spans="10:20" x14ac:dyDescent="0.2">
      <c r="J165" s="621"/>
      <c r="K165" s="621"/>
      <c r="L165" s="621"/>
      <c r="M165" s="636"/>
      <c r="N165" s="612"/>
      <c r="O165" s="612"/>
      <c r="P165" s="636"/>
      <c r="R165" s="297"/>
      <c r="S165" s="297"/>
      <c r="T165" s="297"/>
    </row>
    <row r="166" spans="10:20" x14ac:dyDescent="0.2">
      <c r="J166" s="621"/>
      <c r="K166" s="621"/>
      <c r="L166" s="621"/>
      <c r="M166" s="637"/>
      <c r="N166" s="626"/>
      <c r="O166" s="626"/>
      <c r="P166" s="637"/>
      <c r="R166" s="297"/>
      <c r="S166" s="297"/>
      <c r="T166" s="297"/>
    </row>
    <row r="167" spans="10:20" x14ac:dyDescent="0.2">
      <c r="J167" s="630"/>
      <c r="K167" s="630"/>
      <c r="L167" s="630"/>
      <c r="M167" s="611"/>
      <c r="N167" s="612"/>
      <c r="O167" s="612"/>
      <c r="P167" s="611"/>
      <c r="R167" s="297"/>
      <c r="S167" s="297"/>
      <c r="T167" s="297"/>
    </row>
    <row r="168" spans="10:20" x14ac:dyDescent="0.2">
      <c r="M168" s="611"/>
      <c r="P168" s="611"/>
      <c r="R168" s="297"/>
      <c r="S168" s="297"/>
      <c r="T168" s="297"/>
    </row>
    <row r="169" spans="10:20" x14ac:dyDescent="0.2">
      <c r="M169" s="611"/>
      <c r="P169" s="611"/>
      <c r="R169" s="297"/>
      <c r="S169" s="297"/>
      <c r="T169" s="297"/>
    </row>
    <row r="170" spans="10:20" x14ac:dyDescent="0.2">
      <c r="M170" s="611"/>
      <c r="P170" s="611"/>
      <c r="R170" s="297"/>
      <c r="S170" s="297"/>
      <c r="T170" s="297"/>
    </row>
    <row r="171" spans="10:20" x14ac:dyDescent="0.2">
      <c r="M171" s="611"/>
      <c r="P171" s="611"/>
      <c r="R171" s="297"/>
      <c r="S171" s="297"/>
      <c r="T171" s="297"/>
    </row>
    <row r="172" spans="10:20" x14ac:dyDescent="0.2">
      <c r="M172" s="611"/>
      <c r="P172" s="611"/>
      <c r="R172" s="297"/>
      <c r="S172" s="297"/>
      <c r="T172" s="297"/>
    </row>
    <row r="173" spans="10:20" x14ac:dyDescent="0.2">
      <c r="M173" s="611"/>
      <c r="P173" s="611"/>
      <c r="R173" s="297"/>
      <c r="S173" s="297"/>
      <c r="T173" s="297"/>
    </row>
    <row r="174" spans="10:20" x14ac:dyDescent="0.2">
      <c r="M174" s="611"/>
      <c r="P174" s="611"/>
      <c r="R174" s="297"/>
      <c r="S174" s="297"/>
      <c r="T174" s="297"/>
    </row>
    <row r="175" spans="10:20" x14ac:dyDescent="0.2">
      <c r="M175" s="611"/>
      <c r="P175" s="611"/>
      <c r="R175" s="297"/>
      <c r="S175" s="297"/>
      <c r="T175" s="297"/>
    </row>
    <row r="176" spans="10:20" x14ac:dyDescent="0.2">
      <c r="M176" s="611"/>
      <c r="P176" s="611"/>
      <c r="R176" s="297"/>
      <c r="S176" s="297"/>
      <c r="T176" s="297"/>
    </row>
    <row r="177" spans="1:20" x14ac:dyDescent="0.2">
      <c r="M177" s="611"/>
      <c r="P177" s="611"/>
      <c r="R177" s="297"/>
      <c r="S177" s="297"/>
      <c r="T177" s="297"/>
    </row>
    <row r="178" spans="1:20" x14ac:dyDescent="0.2">
      <c r="K178" s="440"/>
      <c r="M178" s="611"/>
      <c r="P178" s="611"/>
      <c r="R178" s="297"/>
      <c r="S178" s="297"/>
      <c r="T178" s="297"/>
    </row>
    <row r="179" spans="1:20" x14ac:dyDescent="0.2">
      <c r="K179" s="440"/>
      <c r="M179" s="611"/>
      <c r="P179" s="611"/>
      <c r="R179" s="297"/>
      <c r="S179" s="297"/>
      <c r="T179" s="297"/>
    </row>
    <row r="180" spans="1:20" x14ac:dyDescent="0.2">
      <c r="K180" s="440"/>
      <c r="M180" s="611"/>
      <c r="P180" s="604"/>
      <c r="R180" s="297"/>
      <c r="S180" s="297"/>
      <c r="T180" s="297"/>
    </row>
    <row r="181" spans="1:20" x14ac:dyDescent="0.2">
      <c r="M181" s="611"/>
      <c r="P181" s="611"/>
      <c r="R181" s="297"/>
      <c r="S181" s="297"/>
      <c r="T181" s="297"/>
    </row>
    <row r="182" spans="1:20" x14ac:dyDescent="0.2">
      <c r="J182" s="227"/>
      <c r="K182" s="227"/>
      <c r="L182" s="227"/>
      <c r="M182" s="632"/>
      <c r="N182" s="227"/>
      <c r="O182" s="227"/>
      <c r="P182" s="633"/>
      <c r="R182" s="297"/>
      <c r="S182" s="297"/>
      <c r="T182" s="297"/>
    </row>
    <row r="183" spans="1:20" x14ac:dyDescent="0.2">
      <c r="A183" s="416"/>
      <c r="B183" s="266"/>
      <c r="C183" s="266"/>
      <c r="D183" s="440"/>
      <c r="E183" s="440"/>
      <c r="F183" s="440"/>
      <c r="G183" s="440"/>
      <c r="H183" s="440"/>
      <c r="I183" s="440"/>
      <c r="J183" s="227"/>
      <c r="K183" s="227"/>
      <c r="L183" s="227"/>
      <c r="M183" s="633"/>
      <c r="N183" s="227"/>
      <c r="O183" s="227"/>
      <c r="P183" s="633"/>
      <c r="R183" s="297"/>
      <c r="S183" s="297"/>
      <c r="T183" s="297"/>
    </row>
    <row r="184" spans="1:20" x14ac:dyDescent="0.2">
      <c r="A184" s="285"/>
      <c r="B184" s="285"/>
      <c r="C184" s="285"/>
      <c r="D184" s="262"/>
      <c r="E184" s="262"/>
      <c r="F184" s="262"/>
      <c r="G184" s="262"/>
      <c r="H184" s="262"/>
      <c r="I184" s="262"/>
      <c r="J184" s="262"/>
      <c r="K184" s="262"/>
      <c r="L184" s="262"/>
      <c r="M184" s="634"/>
      <c r="N184" s="262"/>
      <c r="O184" s="262"/>
      <c r="P184" s="634"/>
      <c r="R184" s="297"/>
      <c r="S184" s="297"/>
      <c r="T184" s="297"/>
    </row>
    <row r="185" spans="1:20" x14ac:dyDescent="0.2">
      <c r="A185" s="416"/>
      <c r="B185" s="266"/>
      <c r="C185" s="266"/>
      <c r="D185" s="440"/>
      <c r="E185" s="440"/>
      <c r="F185" s="440"/>
      <c r="G185" s="440"/>
      <c r="H185" s="440"/>
      <c r="I185" s="440"/>
      <c r="J185" s="227"/>
      <c r="K185" s="227"/>
      <c r="L185" s="227"/>
      <c r="M185" s="633"/>
      <c r="N185" s="227"/>
      <c r="O185" s="227"/>
      <c r="P185" s="633"/>
      <c r="R185" s="297"/>
      <c r="S185" s="297"/>
      <c r="T185" s="297"/>
    </row>
    <row r="186" spans="1:20" x14ac:dyDescent="0.2">
      <c r="A186" s="416"/>
      <c r="B186" s="266"/>
      <c r="C186" s="266"/>
      <c r="D186" s="440"/>
      <c r="E186" s="440"/>
      <c r="F186" s="440"/>
      <c r="G186" s="440"/>
      <c r="H186" s="440"/>
      <c r="I186" s="440"/>
      <c r="J186" s="227"/>
      <c r="K186" s="227"/>
      <c r="L186" s="227"/>
      <c r="M186" s="633"/>
      <c r="N186" s="227"/>
      <c r="O186" s="227"/>
      <c r="P186" s="633"/>
      <c r="R186" s="297"/>
      <c r="S186" s="297"/>
      <c r="T186" s="297"/>
    </row>
    <row r="187" spans="1:20" x14ac:dyDescent="0.2">
      <c r="B187" s="266"/>
      <c r="C187" s="266"/>
      <c r="D187" s="440"/>
      <c r="E187" s="440"/>
      <c r="F187" s="440"/>
      <c r="G187" s="440"/>
      <c r="H187" s="440"/>
      <c r="I187" s="440"/>
      <c r="M187" s="611"/>
      <c r="P187" s="611"/>
      <c r="R187" s="297"/>
      <c r="S187" s="297"/>
      <c r="T187" s="297"/>
    </row>
    <row r="188" spans="1:20" x14ac:dyDescent="0.2">
      <c r="M188" s="611"/>
      <c r="P188" s="611"/>
      <c r="R188" s="297"/>
      <c r="S188" s="297"/>
      <c r="T188" s="297"/>
    </row>
    <row r="189" spans="1:20" x14ac:dyDescent="0.2">
      <c r="M189" s="611"/>
      <c r="P189" s="611"/>
      <c r="R189" s="297"/>
      <c r="S189" s="297"/>
      <c r="T189" s="297"/>
    </row>
    <row r="190" spans="1:20" x14ac:dyDescent="0.2">
      <c r="M190" s="611"/>
      <c r="P190" s="611"/>
      <c r="R190" s="297"/>
      <c r="S190" s="297"/>
      <c r="T190" s="297"/>
    </row>
    <row r="191" spans="1:20" x14ac:dyDescent="0.2">
      <c r="M191" s="611"/>
      <c r="P191" s="611"/>
      <c r="R191" s="297"/>
      <c r="S191" s="297"/>
      <c r="T191" s="297"/>
    </row>
    <row r="192" spans="1:20" x14ac:dyDescent="0.2">
      <c r="M192" s="611"/>
      <c r="P192" s="611"/>
      <c r="R192" s="297"/>
      <c r="S192" s="297"/>
      <c r="T192" s="297"/>
    </row>
    <row r="193" spans="10:20" x14ac:dyDescent="0.2">
      <c r="M193" s="611"/>
      <c r="P193" s="611"/>
      <c r="R193" s="297"/>
      <c r="S193" s="297"/>
      <c r="T193" s="297"/>
    </row>
    <row r="194" spans="10:20" x14ac:dyDescent="0.2">
      <c r="J194" s="635"/>
      <c r="K194" s="635"/>
      <c r="L194" s="621"/>
      <c r="M194" s="636"/>
      <c r="N194" s="612"/>
      <c r="O194" s="612"/>
      <c r="P194" s="636"/>
      <c r="R194" s="297"/>
      <c r="S194" s="297"/>
      <c r="T194" s="297"/>
    </row>
    <row r="195" spans="10:20" x14ac:dyDescent="0.2">
      <c r="J195" s="635"/>
      <c r="K195" s="635"/>
      <c r="L195" s="621"/>
      <c r="M195" s="636"/>
      <c r="N195" s="612"/>
      <c r="O195" s="612"/>
      <c r="P195" s="636"/>
      <c r="R195" s="297"/>
      <c r="S195" s="297"/>
      <c r="T195" s="297"/>
    </row>
    <row r="196" spans="10:20" x14ac:dyDescent="0.2">
      <c r="J196" s="635"/>
      <c r="K196" s="635"/>
      <c r="L196" s="621"/>
      <c r="M196" s="636"/>
      <c r="N196" s="612"/>
      <c r="O196" s="612"/>
      <c r="P196" s="636"/>
      <c r="R196" s="297"/>
      <c r="S196" s="297"/>
      <c r="T196" s="297"/>
    </row>
    <row r="197" spans="10:20" x14ac:dyDescent="0.2">
      <c r="J197" s="635"/>
      <c r="K197" s="635"/>
      <c r="L197" s="621"/>
      <c r="M197" s="636"/>
      <c r="N197" s="612"/>
      <c r="O197" s="612"/>
      <c r="P197" s="636"/>
      <c r="R197" s="297"/>
      <c r="S197" s="297"/>
      <c r="T197" s="297"/>
    </row>
    <row r="198" spans="10:20" x14ac:dyDescent="0.2">
      <c r="J198" s="635"/>
      <c r="K198" s="635"/>
      <c r="L198" s="621"/>
      <c r="M198" s="636"/>
      <c r="N198" s="612"/>
      <c r="O198" s="612"/>
      <c r="P198" s="636"/>
      <c r="R198" s="297"/>
      <c r="S198" s="297"/>
      <c r="T198" s="297"/>
    </row>
    <row r="199" spans="10:20" x14ac:dyDescent="0.2">
      <c r="J199" s="635"/>
      <c r="K199" s="635"/>
      <c r="L199" s="621"/>
      <c r="M199" s="636"/>
      <c r="N199" s="612"/>
      <c r="O199" s="612"/>
      <c r="P199" s="636"/>
      <c r="R199" s="297"/>
      <c r="S199" s="297"/>
      <c r="T199" s="297"/>
    </row>
    <row r="200" spans="10:20" x14ac:dyDescent="0.2">
      <c r="J200" s="635"/>
      <c r="K200" s="635"/>
      <c r="L200" s="621"/>
      <c r="M200" s="636"/>
      <c r="N200" s="612"/>
      <c r="O200" s="612"/>
      <c r="P200" s="636"/>
      <c r="R200" s="297"/>
      <c r="S200" s="297"/>
      <c r="T200" s="297"/>
    </row>
    <row r="201" spans="10:20" x14ac:dyDescent="0.2">
      <c r="J201" s="635"/>
      <c r="K201" s="635"/>
      <c r="L201" s="621"/>
      <c r="M201" s="636"/>
      <c r="N201" s="612"/>
      <c r="O201" s="612"/>
      <c r="P201" s="636"/>
      <c r="R201" s="297"/>
      <c r="S201" s="297"/>
      <c r="T201" s="297"/>
    </row>
    <row r="202" spans="10:20" x14ac:dyDescent="0.2">
      <c r="J202" s="635"/>
      <c r="K202" s="635"/>
      <c r="L202" s="621"/>
      <c r="M202" s="636"/>
      <c r="N202" s="612"/>
      <c r="O202" s="612"/>
      <c r="P202" s="636"/>
      <c r="R202" s="297"/>
      <c r="S202" s="297"/>
      <c r="T202" s="297"/>
    </row>
    <row r="203" spans="10:20" x14ac:dyDescent="0.2">
      <c r="J203" s="635"/>
      <c r="K203" s="635"/>
      <c r="L203" s="621"/>
      <c r="M203" s="636"/>
      <c r="N203" s="612"/>
      <c r="O203" s="612"/>
      <c r="P203" s="636"/>
      <c r="R203" s="297"/>
      <c r="S203" s="297"/>
      <c r="T203" s="297"/>
    </row>
    <row r="204" spans="10:20" x14ac:dyDescent="0.2">
      <c r="J204" s="635"/>
      <c r="K204" s="635"/>
      <c r="L204" s="621"/>
      <c r="M204" s="636"/>
      <c r="N204" s="612"/>
      <c r="O204" s="612"/>
      <c r="P204" s="636"/>
      <c r="R204" s="297"/>
      <c r="S204" s="297"/>
      <c r="T204" s="297"/>
    </row>
    <row r="205" spans="10:20" x14ac:dyDescent="0.2">
      <c r="J205" s="635"/>
      <c r="K205" s="635"/>
      <c r="L205" s="621"/>
      <c r="M205" s="637"/>
      <c r="N205" s="626"/>
      <c r="O205" s="626"/>
      <c r="P205" s="637"/>
      <c r="R205" s="297"/>
      <c r="S205" s="297"/>
      <c r="T205" s="297"/>
    </row>
    <row r="206" spans="10:20" x14ac:dyDescent="0.2">
      <c r="J206" s="621"/>
      <c r="K206" s="621"/>
      <c r="L206" s="621"/>
      <c r="M206" s="611"/>
      <c r="N206" s="612"/>
      <c r="O206" s="612"/>
      <c r="P206" s="611"/>
      <c r="R206" s="297"/>
      <c r="S206" s="297"/>
      <c r="T206" s="297"/>
    </row>
    <row r="207" spans="10:20" x14ac:dyDescent="0.2">
      <c r="J207" s="621"/>
      <c r="K207" s="621"/>
      <c r="L207" s="621"/>
      <c r="M207" s="611"/>
      <c r="P207" s="611"/>
      <c r="R207" s="297"/>
      <c r="S207" s="297"/>
      <c r="T207" s="297"/>
    </row>
    <row r="208" spans="10:20" x14ac:dyDescent="0.2">
      <c r="J208" s="621"/>
      <c r="K208" s="621"/>
      <c r="L208" s="621"/>
      <c r="M208" s="611"/>
      <c r="P208" s="611"/>
      <c r="R208" s="297"/>
      <c r="S208" s="297"/>
      <c r="T208" s="297"/>
    </row>
    <row r="209" spans="10:20" x14ac:dyDescent="0.2">
      <c r="J209" s="621"/>
      <c r="K209" s="621"/>
      <c r="L209" s="621"/>
      <c r="M209" s="611"/>
      <c r="P209" s="611"/>
      <c r="R209" s="297"/>
      <c r="S209" s="297"/>
      <c r="T209" s="297"/>
    </row>
    <row r="210" spans="10:20" x14ac:dyDescent="0.2">
      <c r="J210" s="621"/>
      <c r="K210" s="621"/>
      <c r="L210" s="621"/>
      <c r="M210" s="604"/>
      <c r="N210" s="612"/>
      <c r="O210" s="612"/>
      <c r="P210" s="636"/>
      <c r="R210" s="624"/>
      <c r="S210" s="624"/>
      <c r="T210" s="297"/>
    </row>
    <row r="211" spans="10:20" x14ac:dyDescent="0.2">
      <c r="J211" s="621"/>
      <c r="K211" s="621"/>
      <c r="L211" s="621"/>
      <c r="M211" s="604"/>
      <c r="N211" s="612"/>
      <c r="O211" s="612"/>
      <c r="P211" s="636"/>
      <c r="R211" s="624"/>
      <c r="S211" s="624"/>
      <c r="T211" s="297"/>
    </row>
    <row r="212" spans="10:20" x14ac:dyDescent="0.2">
      <c r="J212" s="621"/>
      <c r="K212" s="621"/>
      <c r="L212" s="621"/>
      <c r="M212" s="604"/>
      <c r="N212" s="612"/>
      <c r="O212" s="612"/>
      <c r="P212" s="636"/>
      <c r="R212" s="624"/>
      <c r="S212" s="624"/>
      <c r="T212" s="297"/>
    </row>
    <row r="213" spans="10:20" x14ac:dyDescent="0.2">
      <c r="J213" s="621"/>
      <c r="K213" s="621"/>
      <c r="L213" s="621"/>
      <c r="M213" s="604"/>
      <c r="N213" s="612"/>
      <c r="O213" s="612"/>
      <c r="P213" s="636"/>
      <c r="R213" s="624"/>
      <c r="S213" s="624"/>
      <c r="T213" s="297"/>
    </row>
    <row r="214" spans="10:20" x14ac:dyDescent="0.2">
      <c r="J214" s="621"/>
      <c r="K214" s="621"/>
      <c r="L214" s="621"/>
      <c r="M214" s="604"/>
      <c r="N214" s="612"/>
      <c r="O214" s="612"/>
      <c r="P214" s="636"/>
      <c r="R214" s="624"/>
      <c r="S214" s="624"/>
      <c r="T214" s="297"/>
    </row>
    <row r="215" spans="10:20" x14ac:dyDescent="0.2">
      <c r="J215" s="621"/>
      <c r="K215" s="621"/>
      <c r="L215" s="621"/>
      <c r="M215" s="604"/>
      <c r="N215" s="612"/>
      <c r="O215" s="612"/>
      <c r="P215" s="636"/>
      <c r="R215" s="624"/>
      <c r="S215" s="624"/>
      <c r="T215" s="297"/>
    </row>
    <row r="216" spans="10:20" x14ac:dyDescent="0.2">
      <c r="J216" s="621"/>
      <c r="K216" s="621"/>
      <c r="L216" s="621"/>
      <c r="M216" s="604"/>
      <c r="N216" s="612"/>
      <c r="O216" s="612"/>
      <c r="P216" s="636"/>
      <c r="R216" s="624"/>
      <c r="S216" s="624"/>
      <c r="T216" s="297"/>
    </row>
    <row r="217" spans="10:20" x14ac:dyDescent="0.2">
      <c r="J217" s="621"/>
      <c r="K217" s="621"/>
      <c r="L217" s="621"/>
      <c r="M217" s="604"/>
      <c r="N217" s="612"/>
      <c r="O217" s="612"/>
      <c r="P217" s="636"/>
      <c r="R217" s="624"/>
      <c r="S217" s="624"/>
      <c r="T217" s="297"/>
    </row>
    <row r="218" spans="10:20" x14ac:dyDescent="0.2">
      <c r="J218" s="621"/>
      <c r="K218" s="621"/>
      <c r="L218" s="621"/>
      <c r="M218" s="604"/>
      <c r="N218" s="612"/>
      <c r="O218" s="612"/>
      <c r="P218" s="636"/>
      <c r="R218" s="624"/>
      <c r="S218" s="624"/>
      <c r="T218" s="297"/>
    </row>
    <row r="219" spans="10:20" x14ac:dyDescent="0.2">
      <c r="J219" s="621"/>
      <c r="K219" s="621"/>
      <c r="L219" s="621"/>
      <c r="M219" s="604"/>
      <c r="N219" s="612"/>
      <c r="O219" s="612"/>
      <c r="P219" s="636"/>
      <c r="R219" s="624"/>
      <c r="S219" s="624"/>
      <c r="T219" s="297"/>
    </row>
    <row r="220" spans="10:20" x14ac:dyDescent="0.2">
      <c r="J220" s="621"/>
      <c r="K220" s="621"/>
      <c r="L220" s="621"/>
      <c r="M220" s="604"/>
      <c r="N220" s="612"/>
      <c r="O220" s="612"/>
      <c r="P220" s="636"/>
      <c r="R220" s="624"/>
      <c r="S220" s="624"/>
      <c r="T220" s="297"/>
    </row>
    <row r="221" spans="10:20" x14ac:dyDescent="0.2">
      <c r="J221" s="621"/>
      <c r="K221" s="621"/>
      <c r="L221" s="621"/>
      <c r="M221" s="625"/>
      <c r="N221" s="626"/>
      <c r="O221" s="626"/>
      <c r="P221" s="637"/>
      <c r="R221" s="628"/>
      <c r="S221" s="628"/>
      <c r="T221" s="297"/>
    </row>
    <row r="222" spans="10:20" x14ac:dyDescent="0.2">
      <c r="J222" s="630"/>
      <c r="K222" s="630"/>
      <c r="L222" s="630"/>
      <c r="M222" s="611"/>
      <c r="N222" s="612"/>
      <c r="O222" s="612"/>
      <c r="P222" s="611"/>
      <c r="R222" s="631"/>
      <c r="S222" s="631"/>
      <c r="T222" s="297"/>
    </row>
    <row r="223" spans="10:20" x14ac:dyDescent="0.2">
      <c r="M223" s="611"/>
      <c r="P223" s="611"/>
      <c r="R223" s="297"/>
      <c r="S223" s="297"/>
      <c r="T223" s="297"/>
    </row>
    <row r="224" spans="10:20" x14ac:dyDescent="0.2">
      <c r="M224" s="611"/>
      <c r="P224" s="611"/>
      <c r="R224" s="297"/>
      <c r="S224" s="297"/>
      <c r="T224" s="297"/>
    </row>
    <row r="225" spans="1:20" x14ac:dyDescent="0.2">
      <c r="M225" s="611"/>
      <c r="P225" s="611"/>
      <c r="R225" s="297"/>
      <c r="S225" s="297"/>
      <c r="T225" s="297"/>
    </row>
    <row r="226" spans="1:20" x14ac:dyDescent="0.2">
      <c r="M226" s="611"/>
      <c r="P226" s="611"/>
      <c r="R226" s="297"/>
      <c r="S226" s="297"/>
      <c r="T226" s="297"/>
    </row>
    <row r="227" spans="1:20" x14ac:dyDescent="0.2">
      <c r="M227" s="611"/>
      <c r="P227" s="611"/>
      <c r="R227" s="297"/>
      <c r="S227" s="297"/>
      <c r="T227" s="297"/>
    </row>
    <row r="228" spans="1:20" x14ac:dyDescent="0.2">
      <c r="M228" s="611"/>
      <c r="P228" s="611"/>
      <c r="R228" s="297"/>
      <c r="S228" s="297"/>
      <c r="T228" s="297"/>
    </row>
    <row r="229" spans="1:20" x14ac:dyDescent="0.2">
      <c r="M229" s="611"/>
      <c r="P229" s="611"/>
      <c r="R229" s="297"/>
      <c r="S229" s="297"/>
      <c r="T229" s="297"/>
    </row>
    <row r="230" spans="1:20" x14ac:dyDescent="0.2">
      <c r="M230" s="611"/>
      <c r="P230" s="611"/>
      <c r="R230" s="297"/>
      <c r="S230" s="297"/>
      <c r="T230" s="297"/>
    </row>
    <row r="231" spans="1:20" x14ac:dyDescent="0.2">
      <c r="M231" s="611"/>
      <c r="P231" s="611"/>
      <c r="R231" s="297"/>
      <c r="S231" s="297"/>
      <c r="T231" s="297"/>
    </row>
    <row r="232" spans="1:20" x14ac:dyDescent="0.2">
      <c r="M232" s="611"/>
      <c r="P232" s="611"/>
      <c r="R232" s="297"/>
      <c r="S232" s="297"/>
      <c r="T232" s="297"/>
    </row>
    <row r="233" spans="1:20" x14ac:dyDescent="0.2">
      <c r="K233" s="440"/>
      <c r="M233" s="611"/>
      <c r="P233" s="611"/>
      <c r="R233" s="297"/>
      <c r="S233" s="297"/>
      <c r="T233" s="297"/>
    </row>
    <row r="234" spans="1:20" x14ac:dyDescent="0.2">
      <c r="K234" s="440"/>
      <c r="M234" s="611"/>
      <c r="P234" s="611"/>
      <c r="R234" s="297"/>
      <c r="S234" s="297"/>
      <c r="T234" s="297"/>
    </row>
    <row r="235" spans="1:20" x14ac:dyDescent="0.2">
      <c r="K235" s="440"/>
      <c r="M235" s="611"/>
      <c r="P235" s="604"/>
      <c r="R235" s="297"/>
      <c r="S235" s="297"/>
      <c r="T235" s="297"/>
    </row>
    <row r="236" spans="1:20" x14ac:dyDescent="0.2">
      <c r="M236" s="611"/>
      <c r="P236" s="611"/>
      <c r="R236" s="297"/>
      <c r="S236" s="297"/>
      <c r="T236" s="297"/>
    </row>
    <row r="237" spans="1:20" x14ac:dyDescent="0.2">
      <c r="J237" s="227"/>
      <c r="K237" s="227"/>
      <c r="L237" s="227"/>
      <c r="M237" s="632"/>
      <c r="N237" s="227"/>
      <c r="O237" s="227"/>
      <c r="P237" s="633"/>
      <c r="R237" s="297"/>
      <c r="S237" s="297"/>
      <c r="T237" s="297"/>
    </row>
    <row r="238" spans="1:20" x14ac:dyDescent="0.2">
      <c r="A238" s="416"/>
      <c r="B238" s="266"/>
      <c r="C238" s="266"/>
      <c r="D238" s="440"/>
      <c r="E238" s="440"/>
      <c r="F238" s="440"/>
      <c r="G238" s="440"/>
      <c r="H238" s="440"/>
      <c r="I238" s="440"/>
      <c r="J238" s="227"/>
      <c r="K238" s="227"/>
      <c r="L238" s="227"/>
      <c r="M238" s="633"/>
      <c r="N238" s="227"/>
      <c r="O238" s="227"/>
      <c r="P238" s="633"/>
      <c r="R238" s="297"/>
      <c r="S238" s="297"/>
      <c r="T238" s="297"/>
    </row>
    <row r="239" spans="1:20" x14ac:dyDescent="0.2">
      <c r="A239" s="285"/>
      <c r="B239" s="285"/>
      <c r="C239" s="285"/>
      <c r="D239" s="262"/>
      <c r="E239" s="262"/>
      <c r="F239" s="262"/>
      <c r="G239" s="262"/>
      <c r="H239" s="262"/>
      <c r="I239" s="262"/>
      <c r="J239" s="262"/>
      <c r="K239" s="262"/>
      <c r="L239" s="262"/>
      <c r="M239" s="634"/>
      <c r="N239" s="262"/>
      <c r="O239" s="262"/>
      <c r="P239" s="634"/>
      <c r="R239" s="297"/>
      <c r="S239" s="297"/>
      <c r="T239" s="297"/>
    </row>
    <row r="240" spans="1:20" x14ac:dyDescent="0.2">
      <c r="A240" s="416"/>
      <c r="B240" s="266"/>
      <c r="C240" s="266"/>
      <c r="D240" s="440"/>
      <c r="E240" s="440"/>
      <c r="F240" s="440"/>
      <c r="G240" s="440"/>
      <c r="H240" s="440"/>
      <c r="I240" s="440"/>
      <c r="J240" s="227"/>
      <c r="K240" s="227"/>
      <c r="L240" s="227"/>
      <c r="M240" s="633"/>
      <c r="N240" s="227"/>
      <c r="O240" s="227"/>
      <c r="P240" s="633"/>
      <c r="R240" s="297"/>
      <c r="S240" s="297"/>
      <c r="T240" s="297"/>
    </row>
    <row r="241" spans="1:20" x14ac:dyDescent="0.2">
      <c r="A241" s="416"/>
      <c r="B241" s="266"/>
      <c r="C241" s="266"/>
      <c r="D241" s="440"/>
      <c r="E241" s="440"/>
      <c r="F241" s="440"/>
      <c r="G241" s="440"/>
      <c r="H241" s="440"/>
      <c r="I241" s="440"/>
      <c r="J241" s="227"/>
      <c r="K241" s="227"/>
      <c r="L241" s="227"/>
      <c r="M241" s="633"/>
      <c r="N241" s="227"/>
      <c r="O241" s="227"/>
      <c r="P241" s="633"/>
      <c r="R241" s="297"/>
      <c r="S241" s="297"/>
      <c r="T241" s="297"/>
    </row>
    <row r="242" spans="1:20" x14ac:dyDescent="0.2">
      <c r="B242" s="266"/>
      <c r="C242" s="266"/>
      <c r="D242" s="440"/>
      <c r="E242" s="440"/>
      <c r="F242" s="440"/>
      <c r="G242" s="440"/>
      <c r="H242" s="440"/>
      <c r="I242" s="440"/>
      <c r="M242" s="611"/>
      <c r="P242" s="611"/>
      <c r="R242" s="297"/>
      <c r="S242" s="297"/>
      <c r="T242" s="297"/>
    </row>
    <row r="243" spans="1:20" x14ac:dyDescent="0.2">
      <c r="M243" s="611"/>
      <c r="P243" s="611"/>
      <c r="R243" s="297"/>
      <c r="S243" s="297"/>
      <c r="T243" s="297"/>
    </row>
    <row r="244" spans="1:20" x14ac:dyDescent="0.2">
      <c r="M244" s="611"/>
      <c r="P244" s="611"/>
      <c r="R244" s="297"/>
      <c r="S244" s="297"/>
      <c r="T244" s="297"/>
    </row>
    <row r="245" spans="1:20" x14ac:dyDescent="0.2">
      <c r="M245" s="611"/>
      <c r="P245" s="611"/>
      <c r="R245" s="297"/>
      <c r="S245" s="297"/>
      <c r="T245" s="297"/>
    </row>
    <row r="246" spans="1:20" x14ac:dyDescent="0.2">
      <c r="M246" s="611"/>
      <c r="P246" s="611"/>
      <c r="R246" s="297"/>
      <c r="S246" s="297"/>
      <c r="T246" s="297"/>
    </row>
    <row r="247" spans="1:20" x14ac:dyDescent="0.2">
      <c r="M247" s="611"/>
      <c r="P247" s="611"/>
      <c r="R247" s="297"/>
      <c r="S247" s="297"/>
      <c r="T247" s="297"/>
    </row>
    <row r="248" spans="1:20" x14ac:dyDescent="0.2">
      <c r="M248" s="611"/>
      <c r="P248" s="611"/>
      <c r="R248" s="297"/>
      <c r="S248" s="297"/>
      <c r="T248" s="297"/>
    </row>
    <row r="249" spans="1:20" x14ac:dyDescent="0.2">
      <c r="J249" s="621"/>
      <c r="K249" s="621"/>
      <c r="L249" s="621"/>
      <c r="M249" s="636"/>
      <c r="N249" s="612"/>
      <c r="O249" s="612"/>
      <c r="P249" s="636"/>
      <c r="R249" s="297"/>
      <c r="S249" s="297"/>
      <c r="T249" s="297"/>
    </row>
    <row r="250" spans="1:20" x14ac:dyDescent="0.2">
      <c r="J250" s="621"/>
      <c r="K250" s="621"/>
      <c r="L250" s="621"/>
      <c r="M250" s="636"/>
      <c r="N250" s="612"/>
      <c r="O250" s="612"/>
      <c r="P250" s="636"/>
      <c r="R250" s="297"/>
      <c r="S250" s="297"/>
      <c r="T250" s="297"/>
    </row>
    <row r="251" spans="1:20" x14ac:dyDescent="0.2">
      <c r="J251" s="621"/>
      <c r="K251" s="621"/>
      <c r="L251" s="621"/>
      <c r="M251" s="636"/>
      <c r="N251" s="612"/>
      <c r="O251" s="612"/>
      <c r="P251" s="636"/>
      <c r="R251" s="297"/>
      <c r="S251" s="297"/>
      <c r="T251" s="297"/>
    </row>
    <row r="252" spans="1:20" x14ac:dyDescent="0.2">
      <c r="J252" s="621"/>
      <c r="K252" s="621"/>
      <c r="L252" s="621"/>
      <c r="M252" s="636"/>
      <c r="N252" s="612"/>
      <c r="O252" s="612"/>
      <c r="P252" s="636"/>
      <c r="R252" s="297"/>
      <c r="S252" s="297"/>
      <c r="T252" s="297"/>
    </row>
    <row r="253" spans="1:20" x14ac:dyDescent="0.2">
      <c r="J253" s="621"/>
      <c r="K253" s="621"/>
      <c r="L253" s="621"/>
      <c r="M253" s="636"/>
      <c r="N253" s="612"/>
      <c r="O253" s="612"/>
      <c r="P253" s="636"/>
      <c r="R253" s="297"/>
      <c r="S253" s="297"/>
      <c r="T253" s="297"/>
    </row>
    <row r="254" spans="1:20" x14ac:dyDescent="0.2">
      <c r="J254" s="621"/>
      <c r="K254" s="621"/>
      <c r="L254" s="621"/>
      <c r="M254" s="636"/>
      <c r="N254" s="612"/>
      <c r="O254" s="612"/>
      <c r="P254" s="636"/>
      <c r="R254" s="297"/>
      <c r="S254" s="297"/>
      <c r="T254" s="297"/>
    </row>
    <row r="255" spans="1:20" x14ac:dyDescent="0.2">
      <c r="J255" s="621"/>
      <c r="K255" s="621"/>
      <c r="L255" s="621"/>
      <c r="M255" s="636"/>
      <c r="N255" s="612"/>
      <c r="O255" s="612"/>
      <c r="P255" s="636"/>
      <c r="R255" s="297"/>
      <c r="S255" s="297"/>
      <c r="T255" s="297"/>
    </row>
    <row r="256" spans="1:20" x14ac:dyDescent="0.2">
      <c r="J256" s="621"/>
      <c r="K256" s="621"/>
      <c r="L256" s="621"/>
      <c r="M256" s="636"/>
      <c r="N256" s="612"/>
      <c r="O256" s="612"/>
      <c r="P256" s="636"/>
      <c r="R256" s="297"/>
      <c r="S256" s="297"/>
      <c r="T256" s="297"/>
    </row>
    <row r="257" spans="10:20" x14ac:dyDescent="0.2">
      <c r="J257" s="621"/>
      <c r="K257" s="621"/>
      <c r="L257" s="621"/>
      <c r="M257" s="636"/>
      <c r="N257" s="612"/>
      <c r="O257" s="612"/>
      <c r="P257" s="636"/>
      <c r="R257" s="297"/>
      <c r="S257" s="297"/>
      <c r="T257" s="297"/>
    </row>
    <row r="258" spans="10:20" x14ac:dyDescent="0.2">
      <c r="J258" s="621"/>
      <c r="K258" s="621"/>
      <c r="L258" s="621"/>
      <c r="M258" s="636"/>
      <c r="N258" s="612"/>
      <c r="O258" s="612"/>
      <c r="P258" s="636"/>
      <c r="R258" s="297"/>
      <c r="S258" s="297"/>
      <c r="T258" s="297"/>
    </row>
    <row r="259" spans="10:20" x14ac:dyDescent="0.2">
      <c r="J259" s="621"/>
      <c r="K259" s="621"/>
      <c r="L259" s="621"/>
      <c r="M259" s="636"/>
      <c r="N259" s="612"/>
      <c r="O259" s="612"/>
      <c r="P259" s="636"/>
      <c r="R259" s="297"/>
      <c r="S259" s="297"/>
      <c r="T259" s="297"/>
    </row>
    <row r="260" spans="10:20" x14ac:dyDescent="0.2">
      <c r="J260" s="621"/>
      <c r="K260" s="621"/>
      <c r="L260" s="621"/>
      <c r="M260" s="637"/>
      <c r="N260" s="626"/>
      <c r="O260" s="626"/>
      <c r="P260" s="637"/>
      <c r="R260" s="297"/>
      <c r="S260" s="297"/>
      <c r="T260" s="297"/>
    </row>
    <row r="261" spans="10:20" x14ac:dyDescent="0.2">
      <c r="J261" s="621"/>
      <c r="K261" s="621"/>
      <c r="L261" s="621"/>
      <c r="M261" s="611"/>
      <c r="N261" s="612"/>
      <c r="O261" s="612"/>
      <c r="P261" s="611"/>
      <c r="R261" s="297"/>
      <c r="S261" s="297"/>
      <c r="T261" s="297"/>
    </row>
    <row r="262" spans="10:20" x14ac:dyDescent="0.2">
      <c r="J262" s="621"/>
      <c r="K262" s="621"/>
      <c r="L262" s="621"/>
      <c r="M262" s="611"/>
      <c r="P262" s="611"/>
      <c r="R262" s="297"/>
      <c r="S262" s="297"/>
      <c r="T262" s="297"/>
    </row>
    <row r="263" spans="10:20" x14ac:dyDescent="0.2">
      <c r="J263" s="621"/>
      <c r="K263" s="621"/>
      <c r="L263" s="621"/>
      <c r="M263" s="611"/>
      <c r="P263" s="611"/>
      <c r="R263" s="297"/>
      <c r="S263" s="297"/>
      <c r="T263" s="297"/>
    </row>
    <row r="264" spans="10:20" x14ac:dyDescent="0.2">
      <c r="J264" s="621"/>
      <c r="K264" s="621"/>
      <c r="L264" s="621"/>
      <c r="M264" s="611"/>
      <c r="P264" s="611"/>
      <c r="R264" s="297"/>
      <c r="S264" s="297"/>
      <c r="T264" s="297"/>
    </row>
    <row r="265" spans="10:20" x14ac:dyDescent="0.2">
      <c r="J265" s="621"/>
      <c r="K265" s="621"/>
      <c r="L265" s="621"/>
      <c r="M265" s="636"/>
      <c r="N265" s="612"/>
      <c r="O265" s="612"/>
      <c r="P265" s="636"/>
      <c r="R265" s="297"/>
      <c r="S265" s="297"/>
      <c r="T265" s="297"/>
    </row>
    <row r="266" spans="10:20" x14ac:dyDescent="0.2">
      <c r="J266" s="621"/>
      <c r="K266" s="621"/>
      <c r="L266" s="621"/>
      <c r="M266" s="636"/>
      <c r="N266" s="612"/>
      <c r="O266" s="612"/>
      <c r="P266" s="636"/>
      <c r="R266" s="297"/>
      <c r="S266" s="297"/>
      <c r="T266" s="297"/>
    </row>
    <row r="267" spans="10:20" x14ac:dyDescent="0.2">
      <c r="J267" s="621"/>
      <c r="K267" s="621"/>
      <c r="L267" s="621"/>
      <c r="M267" s="636"/>
      <c r="N267" s="612"/>
      <c r="O267" s="612"/>
      <c r="P267" s="636"/>
      <c r="R267" s="297"/>
      <c r="S267" s="297"/>
      <c r="T267" s="297"/>
    </row>
    <row r="268" spans="10:20" x14ac:dyDescent="0.2">
      <c r="J268" s="621"/>
      <c r="K268" s="621"/>
      <c r="L268" s="621"/>
      <c r="M268" s="636"/>
      <c r="N268" s="612"/>
      <c r="O268" s="612"/>
      <c r="P268" s="636"/>
      <c r="R268" s="297"/>
      <c r="S268" s="297"/>
      <c r="T268" s="297"/>
    </row>
    <row r="269" spans="10:20" x14ac:dyDescent="0.2">
      <c r="J269" s="621"/>
      <c r="K269" s="621"/>
      <c r="L269" s="621"/>
      <c r="M269" s="636"/>
      <c r="N269" s="612"/>
      <c r="O269" s="612"/>
      <c r="P269" s="636"/>
      <c r="R269" s="297"/>
      <c r="S269" s="297"/>
      <c r="T269" s="297"/>
    </row>
    <row r="270" spans="10:20" x14ac:dyDescent="0.2">
      <c r="J270" s="621"/>
      <c r="K270" s="621"/>
      <c r="L270" s="621"/>
      <c r="M270" s="636"/>
      <c r="N270" s="612"/>
      <c r="O270" s="612"/>
      <c r="P270" s="636"/>
      <c r="R270" s="297"/>
      <c r="S270" s="297"/>
      <c r="T270" s="297"/>
    </row>
    <row r="271" spans="10:20" x14ac:dyDescent="0.2">
      <c r="J271" s="621"/>
      <c r="K271" s="621"/>
      <c r="L271" s="621"/>
      <c r="M271" s="636"/>
      <c r="N271" s="612"/>
      <c r="O271" s="612"/>
      <c r="P271" s="636"/>
      <c r="R271" s="297"/>
      <c r="S271" s="297"/>
      <c r="T271" s="297"/>
    </row>
    <row r="272" spans="10:20" x14ac:dyDescent="0.2">
      <c r="J272" s="621"/>
      <c r="K272" s="621"/>
      <c r="L272" s="621"/>
      <c r="M272" s="636"/>
      <c r="N272" s="612"/>
      <c r="O272" s="612"/>
      <c r="P272" s="636"/>
      <c r="R272" s="297"/>
      <c r="S272" s="297"/>
      <c r="T272" s="297"/>
    </row>
    <row r="273" spans="10:20" x14ac:dyDescent="0.2">
      <c r="J273" s="621"/>
      <c r="K273" s="621"/>
      <c r="L273" s="621"/>
      <c r="M273" s="636"/>
      <c r="N273" s="612"/>
      <c r="O273" s="612"/>
      <c r="P273" s="636"/>
      <c r="R273" s="297"/>
      <c r="S273" s="297"/>
      <c r="T273" s="297"/>
    </row>
    <row r="274" spans="10:20" x14ac:dyDescent="0.2">
      <c r="J274" s="621"/>
      <c r="K274" s="621"/>
      <c r="L274" s="621"/>
      <c r="M274" s="636"/>
      <c r="N274" s="612"/>
      <c r="O274" s="612"/>
      <c r="P274" s="636"/>
      <c r="R274" s="297"/>
      <c r="S274" s="297"/>
      <c r="T274" s="297"/>
    </row>
    <row r="275" spans="10:20" x14ac:dyDescent="0.2">
      <c r="J275" s="621"/>
      <c r="K275" s="621"/>
      <c r="L275" s="621"/>
      <c r="M275" s="636"/>
      <c r="N275" s="612"/>
      <c r="O275" s="612"/>
      <c r="P275" s="636"/>
      <c r="R275" s="297"/>
      <c r="S275" s="297"/>
      <c r="T275" s="297"/>
    </row>
    <row r="276" spans="10:20" x14ac:dyDescent="0.2">
      <c r="J276" s="621"/>
      <c r="K276" s="621"/>
      <c r="L276" s="621"/>
      <c r="M276" s="637"/>
      <c r="N276" s="626"/>
      <c r="O276" s="626"/>
      <c r="P276" s="637"/>
      <c r="R276" s="297"/>
      <c r="S276" s="297"/>
      <c r="T276" s="297"/>
    </row>
    <row r="277" spans="10:20" x14ac:dyDescent="0.2">
      <c r="J277" s="630"/>
      <c r="K277" s="630"/>
      <c r="L277" s="630"/>
      <c r="M277" s="611"/>
      <c r="N277" s="612"/>
      <c r="O277" s="612"/>
      <c r="P277" s="611"/>
      <c r="R277" s="297"/>
      <c r="S277" s="297"/>
      <c r="T277" s="297"/>
    </row>
    <row r="278" spans="10:20" x14ac:dyDescent="0.2">
      <c r="J278" s="630"/>
      <c r="K278" s="630"/>
      <c r="L278" s="630"/>
      <c r="M278" s="611"/>
      <c r="N278" s="612"/>
      <c r="O278" s="612"/>
      <c r="P278" s="611"/>
      <c r="R278" s="297"/>
      <c r="S278" s="297"/>
      <c r="T278" s="297"/>
    </row>
    <row r="279" spans="10:20" x14ac:dyDescent="0.2">
      <c r="J279" s="630"/>
      <c r="K279" s="630"/>
      <c r="L279" s="630"/>
      <c r="M279" s="611"/>
      <c r="N279" s="612"/>
      <c r="O279" s="612"/>
      <c r="P279" s="611"/>
      <c r="R279" s="297"/>
      <c r="S279" s="297"/>
      <c r="T279" s="297"/>
    </row>
    <row r="280" spans="10:20" x14ac:dyDescent="0.2">
      <c r="J280" s="630"/>
      <c r="K280" s="630"/>
      <c r="L280" s="630"/>
      <c r="M280" s="611"/>
      <c r="N280" s="612"/>
      <c r="O280" s="612"/>
      <c r="P280" s="611"/>
      <c r="R280" s="297"/>
      <c r="S280" s="297"/>
      <c r="T280" s="297"/>
    </row>
    <row r="281" spans="10:20" x14ac:dyDescent="0.2">
      <c r="J281" s="630"/>
      <c r="K281" s="630"/>
      <c r="L281" s="630"/>
      <c r="M281" s="611"/>
      <c r="N281" s="612"/>
      <c r="O281" s="612"/>
      <c r="P281" s="611"/>
      <c r="R281" s="297"/>
      <c r="S281" s="297"/>
      <c r="T281" s="297"/>
    </row>
    <row r="282" spans="10:20" x14ac:dyDescent="0.2">
      <c r="J282" s="630"/>
      <c r="K282" s="630"/>
      <c r="L282" s="630"/>
      <c r="M282" s="611"/>
      <c r="N282" s="612"/>
      <c r="O282" s="612"/>
      <c r="P282" s="611"/>
      <c r="R282" s="297"/>
      <c r="S282" s="297"/>
      <c r="T282" s="297"/>
    </row>
    <row r="283" spans="10:20" x14ac:dyDescent="0.2">
      <c r="J283" s="630"/>
      <c r="K283" s="630"/>
      <c r="L283" s="630"/>
      <c r="M283" s="611"/>
      <c r="N283" s="612"/>
      <c r="O283" s="612"/>
      <c r="P283" s="611"/>
      <c r="R283" s="297"/>
      <c r="S283" s="297"/>
      <c r="T283" s="297"/>
    </row>
    <row r="284" spans="10:20" x14ac:dyDescent="0.2">
      <c r="J284" s="630"/>
      <c r="K284" s="630"/>
      <c r="L284" s="630"/>
      <c r="M284" s="611"/>
      <c r="N284" s="612"/>
      <c r="O284" s="612"/>
      <c r="P284" s="611"/>
      <c r="R284" s="297"/>
      <c r="S284" s="297"/>
      <c r="T284" s="297"/>
    </row>
    <row r="285" spans="10:20" x14ac:dyDescent="0.2">
      <c r="M285" s="611"/>
      <c r="P285" s="611"/>
      <c r="R285" s="297"/>
      <c r="S285" s="297"/>
      <c r="T285" s="297"/>
    </row>
    <row r="286" spans="10:20" x14ac:dyDescent="0.2">
      <c r="M286" s="611"/>
      <c r="P286" s="611"/>
      <c r="R286" s="297"/>
      <c r="S286" s="297"/>
      <c r="T286" s="297"/>
    </row>
    <row r="287" spans="10:20" x14ac:dyDescent="0.2">
      <c r="M287" s="611"/>
      <c r="P287" s="611"/>
      <c r="R287" s="297"/>
      <c r="S287" s="297"/>
      <c r="T287" s="297"/>
    </row>
    <row r="288" spans="10:20" x14ac:dyDescent="0.2">
      <c r="K288" s="440"/>
      <c r="M288" s="611"/>
      <c r="P288" s="611"/>
      <c r="R288" s="297"/>
      <c r="S288" s="297"/>
      <c r="T288" s="297"/>
    </row>
    <row r="289" spans="1:20" x14ac:dyDescent="0.2">
      <c r="K289" s="440"/>
      <c r="M289" s="611"/>
      <c r="P289" s="611"/>
      <c r="R289" s="297"/>
      <c r="S289" s="297"/>
      <c r="T289" s="297"/>
    </row>
    <row r="290" spans="1:20" x14ac:dyDescent="0.2">
      <c r="K290" s="440"/>
      <c r="M290" s="611"/>
      <c r="P290" s="604"/>
      <c r="R290" s="297"/>
      <c r="S290" s="297"/>
      <c r="T290" s="297"/>
    </row>
    <row r="291" spans="1:20" x14ac:dyDescent="0.2">
      <c r="M291" s="611"/>
      <c r="P291" s="611"/>
      <c r="R291" s="297"/>
      <c r="S291" s="297"/>
      <c r="T291" s="297"/>
    </row>
    <row r="292" spans="1:20" x14ac:dyDescent="0.2">
      <c r="J292" s="227"/>
      <c r="K292" s="227"/>
      <c r="L292" s="227"/>
      <c r="M292" s="632"/>
      <c r="N292" s="227"/>
      <c r="O292" s="227"/>
      <c r="P292" s="633"/>
      <c r="R292" s="297"/>
      <c r="S292" s="297"/>
      <c r="T292" s="297"/>
    </row>
    <row r="293" spans="1:20" x14ac:dyDescent="0.2">
      <c r="A293" s="416"/>
      <c r="B293" s="266"/>
      <c r="C293" s="266"/>
      <c r="D293" s="440"/>
      <c r="E293" s="440"/>
      <c r="F293" s="440"/>
      <c r="G293" s="440"/>
      <c r="H293" s="440"/>
      <c r="I293" s="440"/>
      <c r="J293" s="227"/>
      <c r="K293" s="227"/>
      <c r="L293" s="227"/>
      <c r="M293" s="633"/>
      <c r="N293" s="227"/>
      <c r="O293" s="227"/>
      <c r="P293" s="633"/>
      <c r="R293" s="297"/>
      <c r="S293" s="297"/>
      <c r="T293" s="297"/>
    </row>
    <row r="294" spans="1:20" x14ac:dyDescent="0.2">
      <c r="A294" s="285"/>
      <c r="B294" s="285"/>
      <c r="C294" s="285"/>
      <c r="D294" s="262"/>
      <c r="E294" s="262"/>
      <c r="F294" s="262"/>
      <c r="G294" s="262"/>
      <c r="H294" s="262"/>
      <c r="I294" s="262"/>
      <c r="J294" s="262"/>
      <c r="K294" s="262"/>
      <c r="L294" s="262"/>
      <c r="M294" s="634"/>
      <c r="N294" s="262"/>
      <c r="O294" s="262"/>
      <c r="P294" s="634"/>
      <c r="R294" s="297"/>
      <c r="S294" s="297"/>
      <c r="T294" s="297"/>
    </row>
    <row r="295" spans="1:20" x14ac:dyDescent="0.2">
      <c r="A295" s="416"/>
      <c r="B295" s="266"/>
      <c r="C295" s="266"/>
      <c r="D295" s="440"/>
      <c r="E295" s="440"/>
      <c r="F295" s="440"/>
      <c r="G295" s="440"/>
      <c r="H295" s="440"/>
      <c r="I295" s="440"/>
      <c r="J295" s="227"/>
      <c r="K295" s="227"/>
      <c r="L295" s="227"/>
      <c r="M295" s="633"/>
      <c r="N295" s="227"/>
      <c r="O295" s="227"/>
      <c r="P295" s="633"/>
      <c r="R295" s="297"/>
      <c r="S295" s="297"/>
      <c r="T295" s="297"/>
    </row>
    <row r="296" spans="1:20" x14ac:dyDescent="0.2">
      <c r="A296" s="416"/>
      <c r="B296" s="266"/>
      <c r="C296" s="266"/>
      <c r="D296" s="440"/>
      <c r="E296" s="440"/>
      <c r="F296" s="440"/>
      <c r="G296" s="440"/>
      <c r="H296" s="440"/>
      <c r="I296" s="440"/>
      <c r="J296" s="227"/>
      <c r="K296" s="227"/>
      <c r="L296" s="227"/>
      <c r="M296" s="633"/>
      <c r="N296" s="227"/>
      <c r="O296" s="227"/>
      <c r="P296" s="633"/>
      <c r="R296" s="297"/>
      <c r="S296" s="297"/>
      <c r="T296" s="297"/>
    </row>
    <row r="297" spans="1:20" x14ac:dyDescent="0.2">
      <c r="B297" s="266"/>
      <c r="C297" s="266"/>
      <c r="D297" s="440"/>
      <c r="E297" s="440"/>
      <c r="F297" s="440"/>
      <c r="G297" s="440"/>
      <c r="H297" s="440"/>
      <c r="I297" s="440"/>
      <c r="M297" s="611"/>
      <c r="P297" s="611"/>
      <c r="R297" s="297"/>
      <c r="S297" s="297"/>
      <c r="T297" s="297"/>
    </row>
    <row r="298" spans="1:20" x14ac:dyDescent="0.2">
      <c r="M298" s="611"/>
      <c r="P298" s="611"/>
      <c r="R298" s="297"/>
      <c r="S298" s="297"/>
      <c r="T298" s="297"/>
    </row>
    <row r="299" spans="1:20" x14ac:dyDescent="0.2">
      <c r="M299" s="611"/>
      <c r="P299" s="611"/>
      <c r="R299" s="297"/>
      <c r="S299" s="297"/>
      <c r="T299" s="297"/>
    </row>
    <row r="300" spans="1:20" x14ac:dyDescent="0.2">
      <c r="M300" s="611"/>
      <c r="P300" s="611"/>
      <c r="R300" s="297"/>
      <c r="S300" s="297"/>
      <c r="T300" s="297"/>
    </row>
    <row r="301" spans="1:20" x14ac:dyDescent="0.2">
      <c r="M301" s="611"/>
      <c r="P301" s="611"/>
      <c r="R301" s="297"/>
      <c r="S301" s="297"/>
      <c r="T301" s="297"/>
    </row>
    <row r="302" spans="1:20" x14ac:dyDescent="0.2">
      <c r="M302" s="611"/>
      <c r="P302" s="611"/>
      <c r="R302" s="297"/>
      <c r="S302" s="297"/>
      <c r="T302" s="297"/>
    </row>
    <row r="303" spans="1:20" x14ac:dyDescent="0.2">
      <c r="M303" s="611"/>
      <c r="P303" s="611"/>
      <c r="R303" s="297"/>
      <c r="S303" s="297"/>
      <c r="T303" s="297"/>
    </row>
    <row r="304" spans="1:20" x14ac:dyDescent="0.2">
      <c r="J304" s="638"/>
      <c r="K304" s="638"/>
      <c r="L304" s="630"/>
      <c r="M304" s="636"/>
      <c r="N304" s="612"/>
      <c r="O304" s="612"/>
      <c r="P304" s="636"/>
      <c r="R304" s="624"/>
      <c r="S304" s="624"/>
      <c r="T304" s="297"/>
    </row>
    <row r="305" spans="10:20" x14ac:dyDescent="0.2">
      <c r="J305" s="638"/>
      <c r="K305" s="638"/>
      <c r="L305" s="630"/>
      <c r="M305" s="636"/>
      <c r="N305" s="612"/>
      <c r="O305" s="612"/>
      <c r="P305" s="636"/>
      <c r="R305" s="624"/>
      <c r="S305" s="624"/>
      <c r="T305" s="297"/>
    </row>
    <row r="306" spans="10:20" x14ac:dyDescent="0.2">
      <c r="J306" s="638"/>
      <c r="K306" s="638"/>
      <c r="L306" s="630"/>
      <c r="M306" s="636"/>
      <c r="N306" s="612"/>
      <c r="O306" s="612"/>
      <c r="P306" s="636"/>
      <c r="R306" s="624"/>
      <c r="S306" s="624"/>
      <c r="T306" s="297"/>
    </row>
    <row r="307" spans="10:20" x14ac:dyDescent="0.2">
      <c r="J307" s="638"/>
      <c r="K307" s="638"/>
      <c r="L307" s="630"/>
      <c r="M307" s="636"/>
      <c r="N307" s="612"/>
      <c r="O307" s="612"/>
      <c r="P307" s="636"/>
      <c r="R307" s="624"/>
      <c r="S307" s="624"/>
      <c r="T307" s="297"/>
    </row>
    <row r="308" spans="10:20" x14ac:dyDescent="0.2">
      <c r="J308" s="638"/>
      <c r="K308" s="638"/>
      <c r="L308" s="630"/>
      <c r="M308" s="636"/>
      <c r="N308" s="612"/>
      <c r="O308" s="612"/>
      <c r="P308" s="636"/>
      <c r="R308" s="624"/>
      <c r="S308" s="624"/>
      <c r="T308" s="297"/>
    </row>
    <row r="309" spans="10:20" x14ac:dyDescent="0.2">
      <c r="J309" s="638"/>
      <c r="K309" s="638"/>
      <c r="L309" s="630"/>
      <c r="M309" s="636"/>
      <c r="N309" s="612"/>
      <c r="O309" s="612"/>
      <c r="P309" s="636"/>
      <c r="R309" s="624"/>
      <c r="S309" s="624"/>
      <c r="T309" s="297"/>
    </row>
    <row r="310" spans="10:20" x14ac:dyDescent="0.2">
      <c r="J310" s="638"/>
      <c r="K310" s="638"/>
      <c r="L310" s="630"/>
      <c r="M310" s="636"/>
      <c r="N310" s="612"/>
      <c r="O310" s="612"/>
      <c r="P310" s="636"/>
      <c r="R310" s="624"/>
      <c r="S310" s="624"/>
      <c r="T310" s="297"/>
    </row>
    <row r="311" spans="10:20" x14ac:dyDescent="0.2">
      <c r="J311" s="638"/>
      <c r="K311" s="638"/>
      <c r="L311" s="630"/>
      <c r="M311" s="636"/>
      <c r="N311" s="612"/>
      <c r="O311" s="612"/>
      <c r="P311" s="636"/>
      <c r="R311" s="624"/>
      <c r="S311" s="624"/>
      <c r="T311" s="297"/>
    </row>
    <row r="312" spans="10:20" x14ac:dyDescent="0.2">
      <c r="J312" s="638"/>
      <c r="K312" s="638"/>
      <c r="L312" s="630"/>
      <c r="M312" s="636"/>
      <c r="N312" s="612"/>
      <c r="O312" s="612"/>
      <c r="P312" s="636"/>
      <c r="R312" s="624"/>
      <c r="S312" s="624"/>
      <c r="T312" s="297"/>
    </row>
    <row r="313" spans="10:20" x14ac:dyDescent="0.2">
      <c r="J313" s="638"/>
      <c r="K313" s="638"/>
      <c r="L313" s="630"/>
      <c r="M313" s="636"/>
      <c r="N313" s="612"/>
      <c r="O313" s="612"/>
      <c r="P313" s="636"/>
      <c r="R313" s="624"/>
      <c r="S313" s="624"/>
      <c r="T313" s="297"/>
    </row>
    <row r="314" spans="10:20" x14ac:dyDescent="0.2">
      <c r="J314" s="638"/>
      <c r="K314" s="638"/>
      <c r="L314" s="630"/>
      <c r="M314" s="636"/>
      <c r="N314" s="612"/>
      <c r="O314" s="612"/>
      <c r="P314" s="636"/>
      <c r="R314" s="624"/>
      <c r="S314" s="624"/>
      <c r="T314" s="297"/>
    </row>
    <row r="315" spans="10:20" x14ac:dyDescent="0.2">
      <c r="J315" s="638"/>
      <c r="K315" s="638"/>
      <c r="L315" s="630"/>
      <c r="M315" s="639"/>
      <c r="N315" s="626"/>
      <c r="O315" s="626"/>
      <c r="P315" s="639"/>
      <c r="R315" s="628"/>
      <c r="S315" s="628"/>
      <c r="T315" s="297"/>
    </row>
    <row r="316" spans="10:20" x14ac:dyDescent="0.2">
      <c r="J316" s="630"/>
      <c r="K316" s="630"/>
      <c r="L316" s="630"/>
      <c r="M316" s="611"/>
      <c r="N316" s="612"/>
      <c r="O316" s="612"/>
      <c r="P316" s="611"/>
      <c r="R316" s="631"/>
      <c r="S316" s="631"/>
      <c r="T316" s="297"/>
    </row>
    <row r="317" spans="10:20" x14ac:dyDescent="0.2">
      <c r="J317" s="630"/>
      <c r="K317" s="630"/>
      <c r="L317" s="630"/>
      <c r="M317" s="611"/>
      <c r="P317" s="611"/>
      <c r="R317" s="297"/>
      <c r="S317" s="297"/>
      <c r="T317" s="297"/>
    </row>
    <row r="318" spans="10:20" x14ac:dyDescent="0.2">
      <c r="J318" s="630"/>
      <c r="K318" s="630"/>
      <c r="L318" s="630"/>
      <c r="M318" s="611"/>
      <c r="P318" s="611"/>
      <c r="R318" s="297"/>
      <c r="S318" s="297"/>
      <c r="T318" s="297"/>
    </row>
    <row r="319" spans="10:20" x14ac:dyDescent="0.2">
      <c r="J319" s="630"/>
      <c r="K319" s="630"/>
      <c r="L319" s="630"/>
      <c r="M319" s="611"/>
      <c r="P319" s="611"/>
      <c r="R319" s="297"/>
      <c r="S319" s="297"/>
      <c r="T319" s="297"/>
    </row>
    <row r="320" spans="10:20" x14ac:dyDescent="0.2">
      <c r="J320" s="630"/>
      <c r="K320" s="630"/>
      <c r="L320" s="630"/>
      <c r="M320" s="604"/>
      <c r="N320" s="612"/>
      <c r="O320" s="612"/>
      <c r="P320" s="636"/>
      <c r="R320" s="624"/>
      <c r="S320" s="607"/>
      <c r="T320" s="607"/>
    </row>
    <row r="321" spans="10:20" x14ac:dyDescent="0.2">
      <c r="J321" s="630"/>
      <c r="K321" s="630"/>
      <c r="L321" s="630"/>
      <c r="M321" s="604"/>
      <c r="N321" s="612"/>
      <c r="O321" s="612"/>
      <c r="P321" s="636"/>
      <c r="R321" s="624"/>
      <c r="S321" s="607"/>
      <c r="T321" s="607"/>
    </row>
    <row r="322" spans="10:20" x14ac:dyDescent="0.2">
      <c r="J322" s="630"/>
      <c r="K322" s="630"/>
      <c r="L322" s="630"/>
      <c r="M322" s="604"/>
      <c r="N322" s="612"/>
      <c r="O322" s="612"/>
      <c r="P322" s="636"/>
      <c r="R322" s="624"/>
      <c r="S322" s="607"/>
      <c r="T322" s="607"/>
    </row>
    <row r="323" spans="10:20" x14ac:dyDescent="0.2">
      <c r="J323" s="630"/>
      <c r="K323" s="630"/>
      <c r="L323" s="630"/>
      <c r="M323" s="604"/>
      <c r="N323" s="612"/>
      <c r="O323" s="612"/>
      <c r="P323" s="636"/>
      <c r="R323" s="624"/>
      <c r="S323" s="607"/>
      <c r="T323" s="607"/>
    </row>
    <row r="324" spans="10:20" x14ac:dyDescent="0.2">
      <c r="J324" s="630"/>
      <c r="K324" s="630"/>
      <c r="L324" s="630"/>
      <c r="M324" s="604"/>
      <c r="N324" s="612"/>
      <c r="O324" s="612"/>
      <c r="P324" s="636"/>
      <c r="R324" s="624"/>
      <c r="S324" s="607"/>
      <c r="T324" s="607"/>
    </row>
    <row r="325" spans="10:20" x14ac:dyDescent="0.2">
      <c r="J325" s="630"/>
      <c r="K325" s="630"/>
      <c r="L325" s="630"/>
      <c r="M325" s="604"/>
      <c r="N325" s="612"/>
      <c r="O325" s="612"/>
      <c r="P325" s="636"/>
      <c r="R325" s="624"/>
      <c r="S325" s="607"/>
      <c r="T325" s="607"/>
    </row>
    <row r="326" spans="10:20" x14ac:dyDescent="0.2">
      <c r="J326" s="630"/>
      <c r="K326" s="630"/>
      <c r="L326" s="630"/>
      <c r="M326" s="604"/>
      <c r="N326" s="612"/>
      <c r="O326" s="612"/>
      <c r="P326" s="636"/>
      <c r="R326" s="624"/>
      <c r="S326" s="607"/>
      <c r="T326" s="607"/>
    </row>
    <row r="327" spans="10:20" x14ac:dyDescent="0.2">
      <c r="J327" s="630"/>
      <c r="K327" s="630"/>
      <c r="L327" s="630"/>
      <c r="M327" s="604"/>
      <c r="N327" s="612"/>
      <c r="O327" s="612"/>
      <c r="P327" s="636"/>
      <c r="R327" s="624"/>
      <c r="S327" s="607"/>
      <c r="T327" s="607"/>
    </row>
    <row r="328" spans="10:20" x14ac:dyDescent="0.2">
      <c r="J328" s="630"/>
      <c r="K328" s="630"/>
      <c r="L328" s="630"/>
      <c r="M328" s="604"/>
      <c r="N328" s="612"/>
      <c r="O328" s="612"/>
      <c r="P328" s="636"/>
      <c r="R328" s="624"/>
      <c r="S328" s="607"/>
      <c r="T328" s="607"/>
    </row>
    <row r="329" spans="10:20" x14ac:dyDescent="0.2">
      <c r="J329" s="630"/>
      <c r="K329" s="630"/>
      <c r="L329" s="630"/>
      <c r="M329" s="604"/>
      <c r="N329" s="612"/>
      <c r="O329" s="612"/>
      <c r="P329" s="636"/>
      <c r="R329" s="624"/>
      <c r="S329" s="607"/>
      <c r="T329" s="607"/>
    </row>
    <row r="330" spans="10:20" x14ac:dyDescent="0.2">
      <c r="J330" s="630"/>
      <c r="K330" s="630"/>
      <c r="L330" s="630"/>
      <c r="M330" s="604"/>
      <c r="N330" s="612"/>
      <c r="O330" s="612"/>
      <c r="P330" s="636"/>
      <c r="R330" s="624"/>
      <c r="S330" s="607"/>
      <c r="T330" s="607"/>
    </row>
    <row r="331" spans="10:20" x14ac:dyDescent="0.2">
      <c r="J331" s="630"/>
      <c r="K331" s="630"/>
      <c r="L331" s="630"/>
      <c r="M331" s="625"/>
      <c r="N331" s="626"/>
      <c r="O331" s="626"/>
      <c r="P331" s="637"/>
      <c r="R331" s="640"/>
      <c r="S331" s="627"/>
      <c r="T331" s="627"/>
    </row>
    <row r="332" spans="10:20" x14ac:dyDescent="0.2">
      <c r="J332" s="630"/>
      <c r="K332" s="630"/>
      <c r="L332" s="630"/>
      <c r="M332" s="611"/>
      <c r="N332" s="612"/>
      <c r="O332" s="612"/>
      <c r="P332" s="611"/>
      <c r="R332" s="631"/>
      <c r="S332" s="631"/>
      <c r="T332" s="631"/>
    </row>
    <row r="333" spans="10:20" x14ac:dyDescent="0.2">
      <c r="J333" s="630"/>
      <c r="K333" s="630"/>
      <c r="L333" s="630"/>
      <c r="M333" s="611"/>
      <c r="N333" s="612"/>
      <c r="O333" s="612"/>
      <c r="P333" s="611"/>
      <c r="R333" s="631"/>
      <c r="S333" s="631"/>
      <c r="T333" s="297"/>
    </row>
    <row r="334" spans="10:20" x14ac:dyDescent="0.2">
      <c r="J334" s="630"/>
      <c r="K334" s="630"/>
      <c r="L334" s="630"/>
      <c r="M334" s="611"/>
      <c r="N334" s="612"/>
      <c r="O334" s="612"/>
      <c r="P334" s="611"/>
      <c r="R334" s="631"/>
      <c r="S334" s="631"/>
      <c r="T334" s="297"/>
    </row>
    <row r="335" spans="10:20" x14ac:dyDescent="0.2">
      <c r="J335" s="630"/>
      <c r="K335" s="630"/>
      <c r="L335" s="630"/>
      <c r="M335" s="611"/>
      <c r="N335" s="612"/>
      <c r="O335" s="612"/>
      <c r="P335" s="611"/>
      <c r="R335" s="631"/>
      <c r="S335" s="631"/>
      <c r="T335" s="297"/>
    </row>
    <row r="336" spans="10:20" x14ac:dyDescent="0.2">
      <c r="J336" s="630"/>
      <c r="K336" s="630"/>
      <c r="L336" s="630"/>
      <c r="M336" s="611"/>
      <c r="N336" s="612"/>
      <c r="O336" s="612"/>
      <c r="P336" s="611"/>
      <c r="R336" s="631"/>
      <c r="S336" s="631"/>
      <c r="T336" s="297"/>
    </row>
    <row r="337" spans="1:20" x14ac:dyDescent="0.2">
      <c r="J337" s="630"/>
      <c r="K337" s="630"/>
      <c r="L337" s="630"/>
      <c r="M337" s="611"/>
      <c r="N337" s="612"/>
      <c r="O337" s="612"/>
      <c r="P337" s="611"/>
      <c r="R337" s="631"/>
      <c r="S337" s="631"/>
      <c r="T337" s="297"/>
    </row>
    <row r="338" spans="1:20" x14ac:dyDescent="0.2">
      <c r="J338" s="630"/>
      <c r="K338" s="630"/>
      <c r="L338" s="630"/>
      <c r="M338" s="611"/>
      <c r="N338" s="612"/>
      <c r="O338" s="612"/>
      <c r="P338" s="611"/>
      <c r="R338" s="631"/>
      <c r="S338" s="631"/>
      <c r="T338" s="297"/>
    </row>
    <row r="339" spans="1:20" x14ac:dyDescent="0.2">
      <c r="J339" s="630"/>
      <c r="K339" s="630"/>
      <c r="L339" s="630"/>
      <c r="M339" s="611"/>
      <c r="N339" s="612"/>
      <c r="O339" s="612"/>
      <c r="P339" s="611"/>
      <c r="R339" s="631"/>
      <c r="S339" s="631"/>
      <c r="T339" s="297"/>
    </row>
    <row r="340" spans="1:20" x14ac:dyDescent="0.2">
      <c r="M340" s="611"/>
      <c r="P340" s="611"/>
      <c r="R340" s="297"/>
      <c r="S340" s="297"/>
      <c r="T340" s="297"/>
    </row>
    <row r="341" spans="1:20" x14ac:dyDescent="0.2">
      <c r="M341" s="611"/>
      <c r="P341" s="611"/>
      <c r="R341" s="297"/>
      <c r="S341" s="297"/>
      <c r="T341" s="297"/>
    </row>
    <row r="342" spans="1:20" x14ac:dyDescent="0.2">
      <c r="M342" s="611"/>
      <c r="P342" s="611"/>
      <c r="R342" s="297"/>
      <c r="S342" s="297"/>
      <c r="T342" s="297"/>
    </row>
    <row r="343" spans="1:20" x14ac:dyDescent="0.2">
      <c r="K343" s="440"/>
      <c r="M343" s="611"/>
      <c r="P343" s="611"/>
      <c r="R343" s="297"/>
      <c r="S343" s="297"/>
      <c r="T343" s="297"/>
    </row>
    <row r="344" spans="1:20" x14ac:dyDescent="0.2">
      <c r="K344" s="440"/>
      <c r="M344" s="611"/>
      <c r="P344" s="611"/>
      <c r="R344" s="297"/>
      <c r="S344" s="297"/>
      <c r="T344" s="297"/>
    </row>
    <row r="345" spans="1:20" x14ac:dyDescent="0.2">
      <c r="K345" s="440"/>
      <c r="M345" s="611"/>
      <c r="P345" s="604"/>
      <c r="R345" s="297"/>
      <c r="S345" s="297"/>
      <c r="T345" s="297"/>
    </row>
    <row r="346" spans="1:20" x14ac:dyDescent="0.2">
      <c r="M346" s="611"/>
      <c r="P346" s="611"/>
      <c r="R346" s="297"/>
      <c r="S346" s="297"/>
      <c r="T346" s="297"/>
    </row>
    <row r="347" spans="1:20" x14ac:dyDescent="0.2">
      <c r="J347" s="227"/>
      <c r="K347" s="227"/>
      <c r="L347" s="227"/>
      <c r="M347" s="632"/>
      <c r="N347" s="227"/>
      <c r="O347" s="227"/>
      <c r="P347" s="633"/>
      <c r="R347" s="297"/>
      <c r="S347" s="297"/>
      <c r="T347" s="297"/>
    </row>
    <row r="348" spans="1:20" x14ac:dyDescent="0.2">
      <c r="A348" s="416"/>
      <c r="B348" s="266"/>
      <c r="C348" s="266"/>
      <c r="D348" s="440"/>
      <c r="E348" s="440"/>
      <c r="F348" s="440"/>
      <c r="G348" s="440"/>
      <c r="H348" s="440"/>
      <c r="I348" s="440"/>
      <c r="J348" s="227"/>
      <c r="K348" s="227"/>
      <c r="L348" s="227"/>
      <c r="M348" s="633"/>
      <c r="N348" s="227"/>
      <c r="O348" s="227"/>
      <c r="P348" s="633"/>
      <c r="R348" s="297"/>
      <c r="S348" s="297"/>
      <c r="T348" s="297"/>
    </row>
    <row r="349" spans="1:20" x14ac:dyDescent="0.2">
      <c r="A349" s="285"/>
      <c r="B349" s="285"/>
      <c r="C349" s="285"/>
      <c r="D349" s="262"/>
      <c r="E349" s="262"/>
      <c r="F349" s="262"/>
      <c r="G349" s="262"/>
      <c r="H349" s="262"/>
      <c r="I349" s="262"/>
      <c r="J349" s="262"/>
      <c r="K349" s="262"/>
      <c r="L349" s="262"/>
      <c r="M349" s="634"/>
      <c r="N349" s="262"/>
      <c r="O349" s="262"/>
      <c r="P349" s="634"/>
      <c r="R349" s="297"/>
      <c r="S349" s="297"/>
      <c r="T349" s="297"/>
    </row>
    <row r="350" spans="1:20" x14ac:dyDescent="0.2">
      <c r="A350" s="416"/>
      <c r="B350" s="266"/>
      <c r="C350" s="266"/>
      <c r="D350" s="440"/>
      <c r="E350" s="440"/>
      <c r="F350" s="440"/>
      <c r="G350" s="440"/>
      <c r="H350" s="440"/>
      <c r="I350" s="440"/>
      <c r="J350" s="227"/>
      <c r="K350" s="227"/>
      <c r="L350" s="227"/>
      <c r="M350" s="633"/>
      <c r="N350" s="227"/>
      <c r="O350" s="227"/>
      <c r="P350" s="633"/>
      <c r="R350" s="297"/>
      <c r="S350" s="297"/>
      <c r="T350" s="297"/>
    </row>
    <row r="351" spans="1:20" x14ac:dyDescent="0.2">
      <c r="A351" s="416"/>
      <c r="B351" s="266"/>
      <c r="C351" s="266"/>
      <c r="D351" s="440"/>
      <c r="E351" s="440"/>
      <c r="F351" s="440"/>
      <c r="G351" s="440"/>
      <c r="H351" s="440"/>
      <c r="I351" s="440"/>
      <c r="J351" s="227"/>
      <c r="K351" s="227"/>
      <c r="L351" s="227"/>
      <c r="M351" s="633"/>
      <c r="N351" s="227"/>
      <c r="O351" s="227"/>
      <c r="P351" s="633"/>
      <c r="R351" s="297"/>
      <c r="S351" s="297"/>
      <c r="T351" s="297"/>
    </row>
    <row r="352" spans="1:20" x14ac:dyDescent="0.2">
      <c r="B352" s="266"/>
      <c r="C352" s="266"/>
      <c r="D352" s="440"/>
      <c r="E352" s="440"/>
      <c r="F352" s="440"/>
      <c r="G352" s="440"/>
      <c r="H352" s="440"/>
      <c r="I352" s="440"/>
      <c r="M352" s="611"/>
      <c r="P352" s="611"/>
      <c r="R352" s="297"/>
      <c r="S352" s="297"/>
      <c r="T352" s="297"/>
    </row>
    <row r="353" spans="10:20" x14ac:dyDescent="0.2">
      <c r="M353" s="611"/>
      <c r="P353" s="611"/>
      <c r="R353" s="297"/>
      <c r="S353" s="297"/>
      <c r="T353" s="297"/>
    </row>
    <row r="354" spans="10:20" x14ac:dyDescent="0.2">
      <c r="M354" s="611"/>
      <c r="P354" s="611"/>
      <c r="R354" s="297"/>
      <c r="S354" s="297"/>
      <c r="T354" s="297"/>
    </row>
    <row r="355" spans="10:20" x14ac:dyDescent="0.2">
      <c r="M355" s="611"/>
      <c r="P355" s="611"/>
      <c r="R355" s="297"/>
      <c r="S355" s="297"/>
      <c r="T355" s="297"/>
    </row>
    <row r="356" spans="10:20" x14ac:dyDescent="0.2">
      <c r="M356" s="611"/>
      <c r="P356" s="611"/>
      <c r="R356" s="297"/>
      <c r="S356" s="297"/>
      <c r="T356" s="297"/>
    </row>
    <row r="357" spans="10:20" x14ac:dyDescent="0.2">
      <c r="M357" s="611"/>
      <c r="P357" s="611"/>
      <c r="R357" s="297"/>
      <c r="S357" s="297"/>
      <c r="T357" s="297"/>
    </row>
    <row r="358" spans="10:20" x14ac:dyDescent="0.2">
      <c r="M358" s="611"/>
      <c r="P358" s="611"/>
      <c r="R358" s="297"/>
      <c r="S358" s="297"/>
      <c r="T358" s="297"/>
    </row>
    <row r="359" spans="10:20" x14ac:dyDescent="0.2">
      <c r="J359" s="621"/>
      <c r="K359" s="621"/>
      <c r="L359" s="621"/>
      <c r="M359" s="636"/>
      <c r="N359" s="612"/>
      <c r="O359" s="612"/>
      <c r="P359" s="636"/>
      <c r="R359" s="297"/>
      <c r="S359" s="297"/>
      <c r="T359" s="297"/>
    </row>
    <row r="360" spans="10:20" x14ac:dyDescent="0.2">
      <c r="J360" s="621"/>
      <c r="K360" s="621"/>
      <c r="L360" s="621"/>
      <c r="M360" s="636"/>
      <c r="N360" s="612"/>
      <c r="O360" s="612"/>
      <c r="P360" s="636"/>
      <c r="R360" s="297"/>
      <c r="S360" s="297"/>
      <c r="T360" s="297"/>
    </row>
    <row r="361" spans="10:20" x14ac:dyDescent="0.2">
      <c r="J361" s="621"/>
      <c r="K361" s="621"/>
      <c r="L361" s="621"/>
      <c r="M361" s="636"/>
      <c r="N361" s="612"/>
      <c r="O361" s="612"/>
      <c r="P361" s="636"/>
      <c r="R361" s="297"/>
      <c r="S361" s="297"/>
      <c r="T361" s="297"/>
    </row>
    <row r="362" spans="10:20" x14ac:dyDescent="0.2">
      <c r="J362" s="621"/>
      <c r="K362" s="621"/>
      <c r="L362" s="621"/>
      <c r="M362" s="636"/>
      <c r="N362" s="612"/>
      <c r="O362" s="612"/>
      <c r="P362" s="636"/>
      <c r="R362" s="297"/>
      <c r="S362" s="297"/>
      <c r="T362" s="297"/>
    </row>
    <row r="363" spans="10:20" x14ac:dyDescent="0.2">
      <c r="J363" s="621"/>
      <c r="K363" s="621"/>
      <c r="L363" s="621"/>
      <c r="M363" s="636"/>
      <c r="N363" s="612"/>
      <c r="O363" s="612"/>
      <c r="P363" s="636"/>
      <c r="R363" s="297"/>
      <c r="S363" s="297"/>
      <c r="T363" s="297"/>
    </row>
    <row r="364" spans="10:20" x14ac:dyDescent="0.2">
      <c r="J364" s="621"/>
      <c r="K364" s="621"/>
      <c r="L364" s="621"/>
      <c r="M364" s="636"/>
      <c r="N364" s="612"/>
      <c r="O364" s="612"/>
      <c r="P364" s="636"/>
      <c r="R364" s="297"/>
      <c r="S364" s="297"/>
      <c r="T364" s="297"/>
    </row>
    <row r="365" spans="10:20" x14ac:dyDescent="0.2">
      <c r="J365" s="621"/>
      <c r="K365" s="621"/>
      <c r="L365" s="621"/>
      <c r="M365" s="636"/>
      <c r="N365" s="612"/>
      <c r="O365" s="612"/>
      <c r="P365" s="636"/>
      <c r="R365" s="297"/>
      <c r="S365" s="297"/>
      <c r="T365" s="297"/>
    </row>
    <row r="366" spans="10:20" x14ac:dyDescent="0.2">
      <c r="J366" s="621"/>
      <c r="K366" s="621"/>
      <c r="L366" s="621"/>
      <c r="M366" s="636"/>
      <c r="N366" s="612"/>
      <c r="O366" s="612"/>
      <c r="P366" s="636"/>
      <c r="R366" s="297"/>
      <c r="S366" s="297"/>
      <c r="T366" s="297"/>
    </row>
    <row r="367" spans="10:20" x14ac:dyDescent="0.2">
      <c r="J367" s="621"/>
      <c r="K367" s="621"/>
      <c r="L367" s="621"/>
      <c r="M367" s="636"/>
      <c r="N367" s="612"/>
      <c r="O367" s="612"/>
      <c r="P367" s="636"/>
      <c r="R367" s="297"/>
      <c r="S367" s="297"/>
      <c r="T367" s="297"/>
    </row>
    <row r="368" spans="10:20" x14ac:dyDescent="0.2">
      <c r="J368" s="621"/>
      <c r="K368" s="621"/>
      <c r="L368" s="621"/>
      <c r="M368" s="636"/>
      <c r="N368" s="612"/>
      <c r="O368" s="612"/>
      <c r="P368" s="636"/>
      <c r="R368" s="297"/>
      <c r="S368" s="297"/>
      <c r="T368" s="297"/>
    </row>
    <row r="369" spans="10:20" x14ac:dyDescent="0.2">
      <c r="J369" s="621"/>
      <c r="K369" s="621"/>
      <c r="L369" s="621"/>
      <c r="M369" s="636"/>
      <c r="N369" s="612"/>
      <c r="O369" s="612"/>
      <c r="P369" s="636"/>
      <c r="R369" s="297"/>
      <c r="S369" s="297"/>
      <c r="T369" s="297"/>
    </row>
    <row r="370" spans="10:20" x14ac:dyDescent="0.2">
      <c r="J370" s="621"/>
      <c r="K370" s="621"/>
      <c r="L370" s="621"/>
      <c r="M370" s="637"/>
      <c r="N370" s="626"/>
      <c r="O370" s="626"/>
      <c r="P370" s="637"/>
      <c r="R370" s="297"/>
      <c r="S370" s="297"/>
      <c r="T370" s="297"/>
    </row>
    <row r="371" spans="10:20" x14ac:dyDescent="0.2">
      <c r="J371" s="621"/>
      <c r="K371" s="621"/>
      <c r="L371" s="621"/>
      <c r="M371" s="611"/>
      <c r="N371" s="612"/>
      <c r="O371" s="612"/>
      <c r="P371" s="611"/>
      <c r="R371" s="297"/>
      <c r="S371" s="297"/>
      <c r="T371" s="297"/>
    </row>
    <row r="372" spans="10:20" x14ac:dyDescent="0.2">
      <c r="J372" s="621"/>
      <c r="K372" s="621"/>
      <c r="L372" s="621"/>
      <c r="M372" s="611"/>
      <c r="P372" s="611"/>
      <c r="R372" s="297"/>
      <c r="S372" s="297"/>
      <c r="T372" s="297"/>
    </row>
    <row r="373" spans="10:20" x14ac:dyDescent="0.2">
      <c r="J373" s="621"/>
      <c r="K373" s="621"/>
      <c r="L373" s="621"/>
      <c r="M373" s="611"/>
      <c r="P373" s="611"/>
      <c r="R373" s="297"/>
      <c r="S373" s="297"/>
      <c r="T373" s="297"/>
    </row>
    <row r="374" spans="10:20" x14ac:dyDescent="0.2">
      <c r="J374" s="621"/>
      <c r="K374" s="621"/>
      <c r="L374" s="621"/>
      <c r="M374" s="611"/>
      <c r="P374" s="611"/>
      <c r="R374" s="297"/>
      <c r="S374" s="297"/>
      <c r="T374" s="297"/>
    </row>
    <row r="375" spans="10:20" x14ac:dyDescent="0.2">
      <c r="J375" s="621"/>
      <c r="K375" s="621"/>
      <c r="L375" s="621"/>
      <c r="M375" s="604"/>
      <c r="N375" s="612"/>
      <c r="O375" s="612"/>
      <c r="P375" s="636"/>
      <c r="R375" s="624"/>
      <c r="S375" s="624"/>
      <c r="T375" s="624"/>
    </row>
    <row r="376" spans="10:20" x14ac:dyDescent="0.2">
      <c r="J376" s="621"/>
      <c r="K376" s="621"/>
      <c r="L376" s="621"/>
      <c r="M376" s="604"/>
      <c r="N376" s="612"/>
      <c r="O376" s="612"/>
      <c r="P376" s="636"/>
      <c r="R376" s="624"/>
      <c r="S376" s="624"/>
      <c r="T376" s="624"/>
    </row>
    <row r="377" spans="10:20" x14ac:dyDescent="0.2">
      <c r="J377" s="621"/>
      <c r="K377" s="621"/>
      <c r="L377" s="621"/>
      <c r="M377" s="604"/>
      <c r="N377" s="612"/>
      <c r="O377" s="612"/>
      <c r="P377" s="636"/>
      <c r="R377" s="624"/>
      <c r="S377" s="624"/>
      <c r="T377" s="624"/>
    </row>
    <row r="378" spans="10:20" x14ac:dyDescent="0.2">
      <c r="J378" s="621"/>
      <c r="K378" s="621"/>
      <c r="L378" s="621"/>
      <c r="M378" s="604"/>
      <c r="N378" s="612"/>
      <c r="O378" s="612"/>
      <c r="P378" s="636"/>
      <c r="R378" s="624"/>
      <c r="S378" s="624"/>
      <c r="T378" s="624"/>
    </row>
    <row r="379" spans="10:20" x14ac:dyDescent="0.2">
      <c r="J379" s="621"/>
      <c r="K379" s="621"/>
      <c r="L379" s="621"/>
      <c r="M379" s="604"/>
      <c r="N379" s="612"/>
      <c r="O379" s="612"/>
      <c r="P379" s="636"/>
      <c r="R379" s="624"/>
      <c r="S379" s="624"/>
      <c r="T379" s="624"/>
    </row>
    <row r="380" spans="10:20" x14ac:dyDescent="0.2">
      <c r="J380" s="621"/>
      <c r="K380" s="621"/>
      <c r="L380" s="621"/>
      <c r="M380" s="604"/>
      <c r="N380" s="612"/>
      <c r="O380" s="612"/>
      <c r="P380" s="636"/>
      <c r="R380" s="624"/>
      <c r="S380" s="624"/>
      <c r="T380" s="624"/>
    </row>
    <row r="381" spans="10:20" x14ac:dyDescent="0.2">
      <c r="J381" s="621"/>
      <c r="K381" s="621"/>
      <c r="L381" s="621"/>
      <c r="M381" s="604"/>
      <c r="N381" s="612"/>
      <c r="O381" s="612"/>
      <c r="P381" s="636"/>
      <c r="R381" s="624"/>
      <c r="S381" s="624"/>
      <c r="T381" s="624"/>
    </row>
    <row r="382" spans="10:20" x14ac:dyDescent="0.2">
      <c r="J382" s="621"/>
      <c r="K382" s="621"/>
      <c r="L382" s="621"/>
      <c r="M382" s="604"/>
      <c r="N382" s="612"/>
      <c r="O382" s="612"/>
      <c r="P382" s="636"/>
      <c r="R382" s="624"/>
      <c r="S382" s="624"/>
      <c r="T382" s="624"/>
    </row>
    <row r="383" spans="10:20" x14ac:dyDescent="0.2">
      <c r="J383" s="621"/>
      <c r="K383" s="621"/>
      <c r="L383" s="621"/>
      <c r="M383" s="604"/>
      <c r="N383" s="612"/>
      <c r="O383" s="612"/>
      <c r="P383" s="636"/>
      <c r="R383" s="624"/>
      <c r="S383" s="624"/>
      <c r="T383" s="624"/>
    </row>
    <row r="384" spans="10:20" x14ac:dyDescent="0.2">
      <c r="J384" s="621"/>
      <c r="K384" s="621"/>
      <c r="L384" s="621"/>
      <c r="M384" s="604"/>
      <c r="N384" s="612"/>
      <c r="O384" s="612"/>
      <c r="P384" s="636"/>
      <c r="R384" s="624"/>
      <c r="S384" s="624"/>
      <c r="T384" s="624"/>
    </row>
    <row r="385" spans="10:20" x14ac:dyDescent="0.2">
      <c r="J385" s="621"/>
      <c r="K385" s="621"/>
      <c r="L385" s="621"/>
      <c r="M385" s="604"/>
      <c r="N385" s="612"/>
      <c r="O385" s="612"/>
      <c r="P385" s="636"/>
      <c r="R385" s="624"/>
      <c r="S385" s="624"/>
      <c r="T385" s="624"/>
    </row>
    <row r="386" spans="10:20" x14ac:dyDescent="0.2">
      <c r="J386" s="621"/>
      <c r="K386" s="621"/>
      <c r="L386" s="621"/>
      <c r="M386" s="625"/>
      <c r="N386" s="626"/>
      <c r="O386" s="626"/>
      <c r="P386" s="637"/>
      <c r="R386" s="628"/>
      <c r="S386" s="628"/>
      <c r="T386" s="628"/>
    </row>
    <row r="387" spans="10:20" x14ac:dyDescent="0.2">
      <c r="J387" s="630"/>
      <c r="K387" s="630"/>
      <c r="L387" s="630"/>
      <c r="M387" s="611"/>
      <c r="N387" s="612"/>
      <c r="O387" s="612"/>
      <c r="P387" s="611"/>
      <c r="R387" s="631"/>
      <c r="S387" s="631"/>
      <c r="T387" s="631"/>
    </row>
    <row r="388" spans="10:20" x14ac:dyDescent="0.2">
      <c r="M388" s="611"/>
      <c r="P388" s="611"/>
      <c r="R388" s="297"/>
      <c r="S388" s="297"/>
      <c r="T388" s="297"/>
    </row>
    <row r="389" spans="10:20" x14ac:dyDescent="0.2">
      <c r="M389" s="611"/>
      <c r="P389" s="611"/>
      <c r="R389" s="297"/>
      <c r="S389" s="297"/>
      <c r="T389" s="297"/>
    </row>
    <row r="390" spans="10:20" x14ac:dyDescent="0.2">
      <c r="M390" s="611"/>
      <c r="P390" s="611"/>
      <c r="R390" s="297"/>
      <c r="S390" s="297"/>
      <c r="T390" s="297"/>
    </row>
    <row r="391" spans="10:20" x14ac:dyDescent="0.2">
      <c r="M391" s="611"/>
      <c r="P391" s="611"/>
      <c r="R391" s="297"/>
      <c r="S391" s="297"/>
      <c r="T391" s="297"/>
    </row>
    <row r="392" spans="10:20" x14ac:dyDescent="0.2">
      <c r="M392" s="611"/>
      <c r="P392" s="611"/>
      <c r="R392" s="297"/>
      <c r="S392" s="297"/>
      <c r="T392" s="297"/>
    </row>
    <row r="393" spans="10:20" x14ac:dyDescent="0.2">
      <c r="M393" s="611"/>
      <c r="P393" s="611"/>
      <c r="R393" s="297"/>
      <c r="S393" s="297"/>
      <c r="T393" s="297"/>
    </row>
    <row r="394" spans="10:20" x14ac:dyDescent="0.2">
      <c r="M394" s="611"/>
      <c r="P394" s="611"/>
      <c r="R394" s="297"/>
      <c r="S394" s="297"/>
      <c r="T394" s="297"/>
    </row>
    <row r="395" spans="10:20" x14ac:dyDescent="0.2">
      <c r="M395" s="611"/>
      <c r="P395" s="611"/>
      <c r="R395" s="297"/>
      <c r="S395" s="297"/>
      <c r="T395" s="297"/>
    </row>
    <row r="396" spans="10:20" x14ac:dyDescent="0.2">
      <c r="M396" s="611"/>
      <c r="P396" s="611"/>
      <c r="R396" s="297"/>
      <c r="S396" s="297"/>
      <c r="T396" s="297"/>
    </row>
    <row r="397" spans="10:20" x14ac:dyDescent="0.2">
      <c r="M397" s="611"/>
      <c r="P397" s="611"/>
      <c r="R397" s="297"/>
      <c r="S397" s="297"/>
      <c r="T397" s="297"/>
    </row>
    <row r="398" spans="10:20" x14ac:dyDescent="0.2">
      <c r="K398" s="440"/>
      <c r="M398" s="611"/>
      <c r="P398" s="611"/>
      <c r="R398" s="297"/>
      <c r="S398" s="297"/>
      <c r="T398" s="297"/>
    </row>
    <row r="399" spans="10:20" x14ac:dyDescent="0.2">
      <c r="K399" s="440"/>
      <c r="M399" s="611"/>
      <c r="P399" s="611"/>
      <c r="R399" s="297"/>
      <c r="S399" s="297"/>
      <c r="T399" s="297"/>
    </row>
    <row r="400" spans="10:20" x14ac:dyDescent="0.2">
      <c r="K400" s="440"/>
      <c r="M400" s="611"/>
      <c r="P400" s="604"/>
      <c r="R400" s="297"/>
      <c r="S400" s="297"/>
      <c r="T400" s="297"/>
    </row>
    <row r="401" spans="1:20" x14ac:dyDescent="0.2">
      <c r="M401" s="611"/>
      <c r="P401" s="611"/>
      <c r="R401" s="297"/>
      <c r="S401" s="297"/>
      <c r="T401" s="297"/>
    </row>
    <row r="402" spans="1:20" x14ac:dyDescent="0.2">
      <c r="J402" s="227"/>
      <c r="K402" s="227"/>
      <c r="L402" s="227"/>
      <c r="M402" s="632"/>
      <c r="N402" s="227"/>
      <c r="O402" s="227"/>
      <c r="P402" s="633"/>
      <c r="R402" s="297"/>
      <c r="S402" s="297"/>
      <c r="T402" s="297"/>
    </row>
    <row r="403" spans="1:20" x14ac:dyDescent="0.2">
      <c r="A403" s="416"/>
      <c r="B403" s="266"/>
      <c r="C403" s="266"/>
      <c r="D403" s="440"/>
      <c r="E403" s="440"/>
      <c r="F403" s="440"/>
      <c r="G403" s="440"/>
      <c r="H403" s="440"/>
      <c r="I403" s="440"/>
      <c r="J403" s="227"/>
      <c r="K403" s="227"/>
      <c r="L403" s="227"/>
      <c r="M403" s="633"/>
      <c r="N403" s="227"/>
      <c r="O403" s="227"/>
      <c r="P403" s="633"/>
      <c r="R403" s="297"/>
      <c r="S403" s="297"/>
      <c r="T403" s="297"/>
    </row>
    <row r="404" spans="1:20" x14ac:dyDescent="0.2">
      <c r="A404" s="285"/>
      <c r="B404" s="285"/>
      <c r="C404" s="285"/>
      <c r="D404" s="262"/>
      <c r="E404" s="262"/>
      <c r="F404" s="262"/>
      <c r="G404" s="262"/>
      <c r="H404" s="262"/>
      <c r="I404" s="262"/>
      <c r="J404" s="262"/>
      <c r="K404" s="262"/>
      <c r="L404" s="262"/>
      <c r="M404" s="634"/>
      <c r="N404" s="262"/>
      <c r="O404" s="262"/>
      <c r="P404" s="634"/>
      <c r="R404" s="297"/>
      <c r="S404" s="297"/>
      <c r="T404" s="297"/>
    </row>
    <row r="405" spans="1:20" x14ac:dyDescent="0.2">
      <c r="A405" s="416"/>
      <c r="B405" s="266"/>
      <c r="C405" s="266"/>
      <c r="D405" s="440"/>
      <c r="E405" s="440"/>
      <c r="F405" s="440"/>
      <c r="G405" s="440"/>
      <c r="H405" s="440"/>
      <c r="I405" s="440"/>
      <c r="J405" s="227"/>
      <c r="K405" s="227"/>
      <c r="L405" s="227"/>
      <c r="M405" s="633"/>
      <c r="N405" s="227"/>
      <c r="O405" s="227"/>
      <c r="P405" s="633"/>
      <c r="R405" s="297"/>
      <c r="S405" s="297"/>
      <c r="T405" s="297"/>
    </row>
    <row r="406" spans="1:20" x14ac:dyDescent="0.2">
      <c r="A406" s="416"/>
      <c r="B406" s="266"/>
      <c r="C406" s="266"/>
      <c r="D406" s="440"/>
      <c r="E406" s="440"/>
      <c r="F406" s="440"/>
      <c r="G406" s="440"/>
      <c r="H406" s="440"/>
      <c r="I406" s="440"/>
      <c r="J406" s="227"/>
      <c r="K406" s="227"/>
      <c r="L406" s="227"/>
      <c r="M406" s="633"/>
      <c r="N406" s="227"/>
      <c r="O406" s="227"/>
      <c r="P406" s="633"/>
      <c r="R406" s="297"/>
      <c r="S406" s="297"/>
      <c r="T406" s="297"/>
    </row>
    <row r="407" spans="1:20" x14ac:dyDescent="0.2">
      <c r="B407" s="266"/>
      <c r="C407" s="266"/>
      <c r="D407" s="440"/>
      <c r="E407" s="440"/>
      <c r="F407" s="440"/>
      <c r="G407" s="440"/>
      <c r="H407" s="440"/>
      <c r="I407" s="440"/>
      <c r="M407" s="611"/>
      <c r="P407" s="611"/>
      <c r="R407" s="297"/>
      <c r="S407" s="297"/>
      <c r="T407" s="297"/>
    </row>
    <row r="408" spans="1:20" x14ac:dyDescent="0.2">
      <c r="M408" s="611"/>
      <c r="P408" s="611"/>
      <c r="R408" s="297"/>
      <c r="S408" s="297"/>
      <c r="T408" s="297"/>
    </row>
    <row r="409" spans="1:20" x14ac:dyDescent="0.2">
      <c r="M409" s="611"/>
      <c r="P409" s="611"/>
      <c r="R409" s="297"/>
      <c r="S409" s="297"/>
      <c r="T409" s="297"/>
    </row>
    <row r="410" spans="1:20" x14ac:dyDescent="0.2">
      <c r="R410" s="297"/>
      <c r="S410" s="297"/>
      <c r="T410" s="297"/>
    </row>
    <row r="411" spans="1:20" x14ac:dyDescent="0.2">
      <c r="R411" s="297"/>
      <c r="S411" s="297"/>
      <c r="T411" s="297"/>
    </row>
    <row r="412" spans="1:20" x14ac:dyDescent="0.2">
      <c r="M412" s="611"/>
      <c r="P412" s="611"/>
      <c r="R412" s="297"/>
      <c r="S412" s="297"/>
      <c r="T412" s="297"/>
    </row>
    <row r="413" spans="1:20" x14ac:dyDescent="0.2">
      <c r="M413" s="611"/>
      <c r="P413" s="611"/>
      <c r="R413" s="297"/>
      <c r="S413" s="297"/>
      <c r="T413" s="297"/>
    </row>
    <row r="414" spans="1:20" x14ac:dyDescent="0.2">
      <c r="J414" s="621"/>
      <c r="K414" s="621"/>
      <c r="L414" s="621"/>
      <c r="M414" s="636"/>
      <c r="N414" s="612"/>
      <c r="O414" s="612"/>
      <c r="P414" s="636"/>
      <c r="R414" s="297"/>
      <c r="S414" s="297"/>
      <c r="T414" s="297"/>
    </row>
    <row r="415" spans="1:20" x14ac:dyDescent="0.2">
      <c r="J415" s="621"/>
      <c r="K415" s="621"/>
      <c r="L415" s="621"/>
      <c r="M415" s="636"/>
      <c r="N415" s="612"/>
      <c r="O415" s="612"/>
      <c r="P415" s="636"/>
      <c r="R415" s="297"/>
      <c r="S415" s="297"/>
      <c r="T415" s="297"/>
    </row>
    <row r="416" spans="1:20" x14ac:dyDescent="0.2">
      <c r="J416" s="621"/>
      <c r="K416" s="621"/>
      <c r="L416" s="621"/>
      <c r="M416" s="636"/>
      <c r="N416" s="612"/>
      <c r="O416" s="612"/>
      <c r="P416" s="636"/>
      <c r="R416" s="297"/>
      <c r="S416" s="297"/>
      <c r="T416" s="297"/>
    </row>
    <row r="417" spans="10:20" x14ac:dyDescent="0.2">
      <c r="J417" s="621"/>
      <c r="K417" s="621"/>
      <c r="L417" s="621"/>
      <c r="M417" s="636"/>
      <c r="N417" s="612"/>
      <c r="O417" s="612"/>
      <c r="P417" s="636"/>
      <c r="R417" s="297"/>
      <c r="S417" s="297"/>
      <c r="T417" s="297"/>
    </row>
    <row r="418" spans="10:20" x14ac:dyDescent="0.2">
      <c r="J418" s="621"/>
      <c r="K418" s="621"/>
      <c r="L418" s="621"/>
      <c r="M418" s="636"/>
      <c r="N418" s="612"/>
      <c r="O418" s="612"/>
      <c r="P418" s="636"/>
      <c r="R418" s="297"/>
      <c r="S418" s="297"/>
      <c r="T418" s="297"/>
    </row>
    <row r="419" spans="10:20" x14ac:dyDescent="0.2">
      <c r="J419" s="621"/>
      <c r="K419" s="621"/>
      <c r="L419" s="621"/>
      <c r="M419" s="636"/>
      <c r="N419" s="612"/>
      <c r="O419" s="612"/>
      <c r="P419" s="636"/>
      <c r="R419" s="297"/>
      <c r="S419" s="297"/>
      <c r="T419" s="297"/>
    </row>
    <row r="420" spans="10:20" x14ac:dyDescent="0.2">
      <c r="J420" s="621"/>
      <c r="K420" s="621"/>
      <c r="L420" s="621"/>
      <c r="M420" s="636"/>
      <c r="N420" s="612"/>
      <c r="O420" s="612"/>
      <c r="P420" s="636"/>
      <c r="R420" s="297"/>
      <c r="S420" s="297"/>
      <c r="T420" s="297"/>
    </row>
    <row r="421" spans="10:20" x14ac:dyDescent="0.2">
      <c r="J421" s="621"/>
      <c r="K421" s="621"/>
      <c r="L421" s="621"/>
      <c r="M421" s="636"/>
      <c r="N421" s="612"/>
      <c r="O421" s="612"/>
      <c r="P421" s="636"/>
      <c r="R421" s="297"/>
      <c r="S421" s="297"/>
      <c r="T421" s="297"/>
    </row>
    <row r="422" spans="10:20" x14ac:dyDescent="0.2">
      <c r="J422" s="621"/>
      <c r="K422" s="621"/>
      <c r="L422" s="621"/>
      <c r="M422" s="636"/>
      <c r="N422" s="612"/>
      <c r="O422" s="612"/>
      <c r="P422" s="636"/>
      <c r="R422" s="297"/>
      <c r="S422" s="297"/>
      <c r="T422" s="297"/>
    </row>
    <row r="423" spans="10:20" x14ac:dyDescent="0.2">
      <c r="J423" s="621"/>
      <c r="K423" s="621"/>
      <c r="L423" s="621"/>
      <c r="M423" s="636"/>
      <c r="N423" s="612"/>
      <c r="O423" s="612"/>
      <c r="P423" s="636"/>
      <c r="R423" s="297"/>
      <c r="S423" s="297"/>
      <c r="T423" s="297"/>
    </row>
    <row r="424" spans="10:20" x14ac:dyDescent="0.2">
      <c r="J424" s="621"/>
      <c r="K424" s="621"/>
      <c r="L424" s="621"/>
      <c r="M424" s="636"/>
      <c r="N424" s="612"/>
      <c r="O424" s="612"/>
      <c r="P424" s="636"/>
      <c r="R424" s="297"/>
      <c r="S424" s="297"/>
      <c r="T424" s="297"/>
    </row>
    <row r="425" spans="10:20" x14ac:dyDescent="0.2">
      <c r="J425" s="621"/>
      <c r="K425" s="621"/>
      <c r="L425" s="621"/>
      <c r="M425" s="637"/>
      <c r="N425" s="626"/>
      <c r="O425" s="626"/>
      <c r="P425" s="637"/>
      <c r="R425" s="297"/>
      <c r="S425" s="297"/>
      <c r="T425" s="297"/>
    </row>
    <row r="426" spans="10:20" x14ac:dyDescent="0.2">
      <c r="J426" s="621"/>
      <c r="K426" s="621"/>
      <c r="L426" s="621"/>
      <c r="M426" s="611"/>
      <c r="N426" s="612"/>
      <c r="O426" s="612"/>
      <c r="P426" s="611"/>
      <c r="R426" s="297"/>
      <c r="S426" s="297"/>
      <c r="T426" s="297"/>
    </row>
    <row r="427" spans="10:20" x14ac:dyDescent="0.2">
      <c r="J427" s="621"/>
      <c r="K427" s="621"/>
      <c r="L427" s="621"/>
      <c r="M427" s="611"/>
      <c r="P427" s="611"/>
      <c r="R427" s="297"/>
      <c r="S427" s="297"/>
      <c r="T427" s="297"/>
    </row>
    <row r="428" spans="10:20" x14ac:dyDescent="0.2">
      <c r="J428" s="621"/>
      <c r="K428" s="621"/>
      <c r="L428" s="621"/>
      <c r="M428" s="611"/>
      <c r="P428" s="611"/>
      <c r="R428" s="297"/>
      <c r="S428" s="297"/>
      <c r="T428" s="297"/>
    </row>
    <row r="429" spans="10:20" x14ac:dyDescent="0.2">
      <c r="J429" s="621"/>
      <c r="K429" s="621"/>
      <c r="L429" s="621"/>
      <c r="M429" s="611"/>
      <c r="P429" s="611"/>
      <c r="R429" s="297"/>
      <c r="S429" s="297"/>
      <c r="T429" s="297"/>
    </row>
    <row r="430" spans="10:20" x14ac:dyDescent="0.2">
      <c r="J430" s="621"/>
      <c r="K430" s="621"/>
      <c r="L430" s="621"/>
      <c r="M430" s="636"/>
      <c r="N430" s="612"/>
      <c r="O430" s="612"/>
      <c r="P430" s="636"/>
      <c r="R430" s="297"/>
      <c r="S430" s="297"/>
      <c r="T430" s="297"/>
    </row>
    <row r="431" spans="10:20" x14ac:dyDescent="0.2">
      <c r="J431" s="621"/>
      <c r="K431" s="621"/>
      <c r="L431" s="621"/>
      <c r="M431" s="636"/>
      <c r="N431" s="612"/>
      <c r="O431" s="612"/>
      <c r="P431" s="636"/>
      <c r="R431" s="297"/>
      <c r="S431" s="297"/>
      <c r="T431" s="297"/>
    </row>
    <row r="432" spans="10:20" x14ac:dyDescent="0.2">
      <c r="J432" s="621"/>
      <c r="K432" s="621"/>
      <c r="L432" s="621"/>
      <c r="M432" s="636"/>
      <c r="N432" s="612"/>
      <c r="O432" s="612"/>
      <c r="P432" s="636"/>
      <c r="R432" s="297"/>
      <c r="S432" s="297"/>
      <c r="T432" s="297"/>
    </row>
    <row r="433" spans="10:20" x14ac:dyDescent="0.2">
      <c r="J433" s="621"/>
      <c r="K433" s="621"/>
      <c r="L433" s="621"/>
      <c r="M433" s="636"/>
      <c r="N433" s="612"/>
      <c r="O433" s="612"/>
      <c r="P433" s="636"/>
      <c r="R433" s="297"/>
      <c r="S433" s="297"/>
      <c r="T433" s="297"/>
    </row>
    <row r="434" spans="10:20" x14ac:dyDescent="0.2">
      <c r="J434" s="621"/>
      <c r="K434" s="621"/>
      <c r="L434" s="621"/>
      <c r="M434" s="636"/>
      <c r="N434" s="612"/>
      <c r="O434" s="612"/>
      <c r="P434" s="636"/>
      <c r="R434" s="297"/>
      <c r="S434" s="297"/>
      <c r="T434" s="297"/>
    </row>
    <row r="435" spans="10:20" x14ac:dyDescent="0.2">
      <c r="J435" s="621"/>
      <c r="K435" s="621"/>
      <c r="L435" s="621"/>
      <c r="M435" s="636"/>
      <c r="N435" s="612"/>
      <c r="O435" s="612"/>
      <c r="P435" s="636"/>
      <c r="R435" s="297"/>
      <c r="S435" s="297"/>
      <c r="T435" s="297"/>
    </row>
    <row r="436" spans="10:20" x14ac:dyDescent="0.2">
      <c r="J436" s="621"/>
      <c r="K436" s="621"/>
      <c r="L436" s="621"/>
      <c r="M436" s="636"/>
      <c r="N436" s="612"/>
      <c r="O436" s="612"/>
      <c r="P436" s="636"/>
      <c r="R436" s="297"/>
      <c r="S436" s="297"/>
      <c r="T436" s="297"/>
    </row>
    <row r="437" spans="10:20" x14ac:dyDescent="0.2">
      <c r="J437" s="621"/>
      <c r="K437" s="621"/>
      <c r="L437" s="621"/>
      <c r="M437" s="636"/>
      <c r="N437" s="612"/>
      <c r="O437" s="612"/>
      <c r="P437" s="636"/>
      <c r="R437" s="297"/>
      <c r="S437" s="297"/>
      <c r="T437" s="297"/>
    </row>
    <row r="438" spans="10:20" x14ac:dyDescent="0.2">
      <c r="J438" s="621"/>
      <c r="K438" s="621"/>
      <c r="L438" s="621"/>
      <c r="M438" s="636"/>
      <c r="N438" s="612"/>
      <c r="O438" s="612"/>
      <c r="P438" s="636"/>
      <c r="R438" s="297"/>
      <c r="S438" s="297"/>
      <c r="T438" s="297"/>
    </row>
    <row r="439" spans="10:20" x14ac:dyDescent="0.2">
      <c r="J439" s="621"/>
      <c r="K439" s="621"/>
      <c r="L439" s="621"/>
      <c r="M439" s="636"/>
      <c r="N439" s="612"/>
      <c r="O439" s="612"/>
      <c r="P439" s="636"/>
      <c r="R439" s="297"/>
      <c r="S439" s="297"/>
      <c r="T439" s="297"/>
    </row>
    <row r="440" spans="10:20" x14ac:dyDescent="0.2">
      <c r="J440" s="621"/>
      <c r="K440" s="621"/>
      <c r="L440" s="621"/>
      <c r="M440" s="636"/>
      <c r="N440" s="612"/>
      <c r="O440" s="612"/>
      <c r="P440" s="636"/>
      <c r="R440" s="297"/>
      <c r="S440" s="297"/>
      <c r="T440" s="297"/>
    </row>
    <row r="441" spans="10:20" x14ac:dyDescent="0.2">
      <c r="J441" s="621"/>
      <c r="K441" s="621"/>
      <c r="L441" s="621"/>
      <c r="M441" s="637"/>
      <c r="N441" s="626"/>
      <c r="O441" s="626"/>
      <c r="P441" s="637"/>
      <c r="R441" s="297"/>
      <c r="S441" s="297"/>
      <c r="T441" s="297"/>
    </row>
    <row r="442" spans="10:20" x14ac:dyDescent="0.2">
      <c r="J442" s="630"/>
      <c r="K442" s="630"/>
      <c r="L442" s="630"/>
      <c r="M442" s="611"/>
      <c r="N442" s="612"/>
      <c r="O442" s="612"/>
      <c r="P442" s="611"/>
      <c r="R442" s="297"/>
      <c r="S442" s="297"/>
      <c r="T442" s="297"/>
    </row>
    <row r="443" spans="10:20" x14ac:dyDescent="0.2">
      <c r="M443" s="611"/>
      <c r="P443" s="611"/>
      <c r="R443" s="297"/>
      <c r="S443" s="297"/>
      <c r="T443" s="297"/>
    </row>
    <row r="444" spans="10:20" x14ac:dyDescent="0.2">
      <c r="M444" s="611"/>
      <c r="P444" s="611"/>
      <c r="R444" s="297"/>
      <c r="S444" s="297"/>
      <c r="T444" s="297"/>
    </row>
    <row r="445" spans="10:20" x14ac:dyDescent="0.2">
      <c r="M445" s="611"/>
      <c r="P445" s="611"/>
      <c r="R445" s="297"/>
      <c r="S445" s="297"/>
      <c r="T445" s="297"/>
    </row>
    <row r="446" spans="10:20" x14ac:dyDescent="0.2">
      <c r="M446" s="611"/>
      <c r="P446" s="611"/>
      <c r="R446" s="297"/>
      <c r="S446" s="297"/>
      <c r="T446" s="297"/>
    </row>
    <row r="447" spans="10:20" x14ac:dyDescent="0.2">
      <c r="M447" s="611"/>
      <c r="P447" s="611"/>
      <c r="R447" s="297"/>
      <c r="S447" s="297"/>
      <c r="T447" s="297"/>
    </row>
    <row r="448" spans="10:20" x14ac:dyDescent="0.2">
      <c r="M448" s="611"/>
      <c r="P448" s="611"/>
      <c r="R448" s="297"/>
      <c r="S448" s="297"/>
      <c r="T448" s="297"/>
    </row>
    <row r="449" spans="1:20" x14ac:dyDescent="0.2">
      <c r="M449" s="611"/>
      <c r="P449" s="611"/>
      <c r="R449" s="297"/>
      <c r="S449" s="297"/>
      <c r="T449" s="297"/>
    </row>
    <row r="450" spans="1:20" x14ac:dyDescent="0.2">
      <c r="M450" s="611"/>
      <c r="P450" s="611"/>
      <c r="R450" s="297"/>
      <c r="S450" s="297"/>
      <c r="T450" s="297"/>
    </row>
    <row r="451" spans="1:20" x14ac:dyDescent="0.2">
      <c r="M451" s="611"/>
      <c r="P451" s="611"/>
      <c r="R451" s="297"/>
      <c r="S451" s="297"/>
      <c r="T451" s="297"/>
    </row>
    <row r="452" spans="1:20" x14ac:dyDescent="0.2">
      <c r="M452" s="611"/>
      <c r="P452" s="611"/>
      <c r="R452" s="297"/>
      <c r="S452" s="297"/>
      <c r="T452" s="297"/>
    </row>
    <row r="453" spans="1:20" x14ac:dyDescent="0.2">
      <c r="K453" s="440"/>
      <c r="M453" s="611"/>
      <c r="P453" s="611"/>
      <c r="R453" s="297"/>
      <c r="S453" s="297"/>
      <c r="T453" s="297"/>
    </row>
    <row r="454" spans="1:20" x14ac:dyDescent="0.2">
      <c r="K454" s="440"/>
      <c r="M454" s="611"/>
      <c r="P454" s="611"/>
      <c r="R454" s="297"/>
      <c r="S454" s="297"/>
      <c r="T454" s="297"/>
    </row>
    <row r="455" spans="1:20" x14ac:dyDescent="0.2">
      <c r="K455" s="440"/>
      <c r="M455" s="611"/>
      <c r="P455" s="604"/>
      <c r="R455" s="297"/>
      <c r="S455" s="297"/>
      <c r="T455" s="297"/>
    </row>
    <row r="456" spans="1:20" x14ac:dyDescent="0.2">
      <c r="M456" s="611"/>
      <c r="P456" s="611"/>
      <c r="R456" s="297"/>
      <c r="S456" s="297"/>
      <c r="T456" s="297"/>
    </row>
    <row r="457" spans="1:20" x14ac:dyDescent="0.2">
      <c r="J457" s="227"/>
      <c r="K457" s="227"/>
      <c r="L457" s="227"/>
      <c r="M457" s="632"/>
      <c r="N457" s="227"/>
      <c r="O457" s="227"/>
      <c r="P457" s="633"/>
      <c r="R457" s="297"/>
      <c r="S457" s="297"/>
      <c r="T457" s="297"/>
    </row>
    <row r="458" spans="1:20" x14ac:dyDescent="0.2">
      <c r="A458" s="416"/>
      <c r="B458" s="266"/>
      <c r="C458" s="266"/>
      <c r="D458" s="440"/>
      <c r="E458" s="440"/>
      <c r="F458" s="440"/>
      <c r="G458" s="440"/>
      <c r="H458" s="440"/>
      <c r="I458" s="440"/>
      <c r="J458" s="227"/>
      <c r="K458" s="227"/>
      <c r="L458" s="227"/>
      <c r="M458" s="633"/>
      <c r="N458" s="227"/>
      <c r="O458" s="227"/>
      <c r="P458" s="633"/>
      <c r="R458" s="297"/>
      <c r="S458" s="297"/>
      <c r="T458" s="297"/>
    </row>
    <row r="459" spans="1:20" x14ac:dyDescent="0.2">
      <c r="A459" s="285"/>
      <c r="B459" s="285"/>
      <c r="C459" s="285"/>
      <c r="D459" s="262"/>
      <c r="E459" s="262"/>
      <c r="F459" s="262"/>
      <c r="G459" s="262"/>
      <c r="H459" s="262"/>
      <c r="I459" s="262"/>
      <c r="J459" s="262"/>
      <c r="K459" s="262"/>
      <c r="L459" s="262"/>
      <c r="M459" s="634"/>
      <c r="N459" s="262"/>
      <c r="O459" s="262"/>
      <c r="P459" s="634"/>
      <c r="R459" s="297"/>
      <c r="S459" s="297"/>
      <c r="T459" s="297"/>
    </row>
    <row r="460" spans="1:20" x14ac:dyDescent="0.2">
      <c r="A460" s="416"/>
      <c r="B460" s="266"/>
      <c r="C460" s="266"/>
      <c r="D460" s="440"/>
      <c r="E460" s="440"/>
      <c r="F460" s="440"/>
      <c r="G460" s="440"/>
      <c r="H460" s="440"/>
      <c r="I460" s="440"/>
      <c r="J460" s="227"/>
      <c r="K460" s="227"/>
      <c r="L460" s="227"/>
      <c r="M460" s="633"/>
      <c r="N460" s="227"/>
      <c r="O460" s="227"/>
      <c r="P460" s="633"/>
      <c r="R460" s="297"/>
      <c r="S460" s="297"/>
      <c r="T460" s="297"/>
    </row>
    <row r="461" spans="1:20" x14ac:dyDescent="0.2">
      <c r="A461" s="416"/>
      <c r="B461" s="266"/>
      <c r="C461" s="266"/>
      <c r="D461" s="440"/>
      <c r="E461" s="440"/>
      <c r="F461" s="440"/>
      <c r="G461" s="440"/>
      <c r="H461" s="440"/>
      <c r="I461" s="440"/>
      <c r="J461" s="227"/>
      <c r="K461" s="227"/>
      <c r="L461" s="227"/>
      <c r="M461" s="633"/>
      <c r="N461" s="227"/>
      <c r="O461" s="227"/>
      <c r="P461" s="633"/>
      <c r="R461" s="297"/>
      <c r="S461" s="297"/>
      <c r="T461" s="297"/>
    </row>
    <row r="462" spans="1:20" x14ac:dyDescent="0.2">
      <c r="B462" s="266"/>
      <c r="C462" s="266"/>
      <c r="D462" s="440"/>
      <c r="E462" s="440"/>
      <c r="F462" s="440"/>
      <c r="G462" s="440"/>
      <c r="H462" s="440"/>
      <c r="I462" s="440"/>
      <c r="M462" s="611"/>
      <c r="P462" s="611"/>
      <c r="R462" s="297"/>
      <c r="S462" s="297"/>
      <c r="T462" s="297"/>
    </row>
    <row r="463" spans="1:20" x14ac:dyDescent="0.2">
      <c r="R463" s="297"/>
      <c r="S463" s="297"/>
      <c r="T463" s="297"/>
    </row>
    <row r="464" spans="1:20" x14ac:dyDescent="0.2">
      <c r="R464" s="297"/>
      <c r="S464" s="297"/>
      <c r="T464" s="297"/>
    </row>
    <row r="465" spans="10:20" x14ac:dyDescent="0.2">
      <c r="M465" s="611"/>
      <c r="P465" s="611"/>
      <c r="R465" s="297"/>
      <c r="S465" s="297"/>
      <c r="T465" s="297"/>
    </row>
    <row r="466" spans="10:20" x14ac:dyDescent="0.2">
      <c r="M466" s="611"/>
      <c r="P466" s="611"/>
      <c r="R466" s="297"/>
      <c r="S466" s="297"/>
      <c r="T466" s="297"/>
    </row>
    <row r="467" spans="10:20" x14ac:dyDescent="0.2">
      <c r="M467" s="611"/>
      <c r="P467" s="611"/>
      <c r="R467" s="297"/>
      <c r="S467" s="297"/>
      <c r="T467" s="297"/>
    </row>
    <row r="468" spans="10:20" x14ac:dyDescent="0.2">
      <c r="M468" s="611"/>
      <c r="P468" s="611"/>
      <c r="R468" s="297"/>
      <c r="S468" s="297"/>
      <c r="T468" s="297"/>
    </row>
    <row r="469" spans="10:20" x14ac:dyDescent="0.2">
      <c r="J469" s="621"/>
      <c r="K469" s="621"/>
      <c r="L469" s="621"/>
      <c r="M469" s="636"/>
      <c r="N469" s="612"/>
      <c r="O469" s="612"/>
      <c r="P469" s="636"/>
      <c r="R469" s="297"/>
      <c r="S469" s="297"/>
      <c r="T469" s="297"/>
    </row>
    <row r="470" spans="10:20" x14ac:dyDescent="0.2">
      <c r="J470" s="621"/>
      <c r="K470" s="621"/>
      <c r="L470" s="621"/>
      <c r="M470" s="636"/>
      <c r="N470" s="612"/>
      <c r="O470" s="612"/>
      <c r="P470" s="636"/>
      <c r="R470" s="297"/>
      <c r="S470" s="297"/>
      <c r="T470" s="297"/>
    </row>
    <row r="471" spans="10:20" x14ac:dyDescent="0.2">
      <c r="J471" s="621"/>
      <c r="K471" s="621"/>
      <c r="L471" s="621"/>
      <c r="M471" s="636"/>
      <c r="N471" s="612"/>
      <c r="O471" s="612"/>
      <c r="P471" s="636"/>
      <c r="R471" s="297"/>
      <c r="S471" s="297"/>
      <c r="T471" s="297"/>
    </row>
    <row r="472" spans="10:20" x14ac:dyDescent="0.2">
      <c r="J472" s="621"/>
      <c r="K472" s="621"/>
      <c r="L472" s="621"/>
      <c r="M472" s="636"/>
      <c r="N472" s="612"/>
      <c r="O472" s="612"/>
      <c r="P472" s="636"/>
      <c r="R472" s="297"/>
      <c r="S472" s="297"/>
      <c r="T472" s="297"/>
    </row>
    <row r="473" spans="10:20" x14ac:dyDescent="0.2">
      <c r="J473" s="621"/>
      <c r="K473" s="621"/>
      <c r="L473" s="621"/>
      <c r="M473" s="636"/>
      <c r="N473" s="612"/>
      <c r="O473" s="612"/>
      <c r="P473" s="636"/>
      <c r="R473" s="297"/>
      <c r="S473" s="297"/>
      <c r="T473" s="297"/>
    </row>
    <row r="474" spans="10:20" x14ac:dyDescent="0.2">
      <c r="J474" s="621"/>
      <c r="K474" s="621"/>
      <c r="L474" s="621"/>
      <c r="M474" s="636"/>
      <c r="N474" s="612"/>
      <c r="O474" s="612"/>
      <c r="P474" s="636"/>
      <c r="R474" s="297"/>
      <c r="S474" s="297"/>
      <c r="T474" s="297"/>
    </row>
    <row r="475" spans="10:20" x14ac:dyDescent="0.2">
      <c r="J475" s="621"/>
      <c r="K475" s="621"/>
      <c r="L475" s="621"/>
      <c r="M475" s="636"/>
      <c r="N475" s="612"/>
      <c r="O475" s="612"/>
      <c r="P475" s="636"/>
      <c r="R475" s="297"/>
      <c r="S475" s="297"/>
      <c r="T475" s="297"/>
    </row>
    <row r="476" spans="10:20" x14ac:dyDescent="0.2">
      <c r="J476" s="621"/>
      <c r="K476" s="621"/>
      <c r="L476" s="621"/>
      <c r="M476" s="636"/>
      <c r="N476" s="612"/>
      <c r="O476" s="612"/>
      <c r="P476" s="636"/>
      <c r="R476" s="297"/>
      <c r="S476" s="297"/>
      <c r="T476" s="297"/>
    </row>
    <row r="477" spans="10:20" x14ac:dyDescent="0.2">
      <c r="J477" s="621"/>
      <c r="K477" s="621"/>
      <c r="L477" s="621"/>
      <c r="M477" s="636"/>
      <c r="N477" s="612"/>
      <c r="O477" s="612"/>
      <c r="P477" s="636"/>
      <c r="R477" s="297"/>
      <c r="S477" s="297"/>
      <c r="T477" s="297"/>
    </row>
    <row r="478" spans="10:20" x14ac:dyDescent="0.2">
      <c r="J478" s="621"/>
      <c r="K478" s="621"/>
      <c r="L478" s="621"/>
      <c r="M478" s="636"/>
      <c r="N478" s="612"/>
      <c r="O478" s="612"/>
      <c r="P478" s="636"/>
      <c r="R478" s="297"/>
      <c r="S478" s="297"/>
      <c r="T478" s="297"/>
    </row>
    <row r="479" spans="10:20" x14ac:dyDescent="0.2">
      <c r="J479" s="621"/>
      <c r="K479" s="621"/>
      <c r="L479" s="621"/>
      <c r="M479" s="636"/>
      <c r="N479" s="612"/>
      <c r="O479" s="612"/>
      <c r="P479" s="636"/>
      <c r="R479" s="297"/>
      <c r="S479" s="297"/>
      <c r="T479" s="297"/>
    </row>
    <row r="480" spans="10:20" x14ac:dyDescent="0.2">
      <c r="J480" s="621"/>
      <c r="K480" s="621"/>
      <c r="L480" s="621"/>
      <c r="M480" s="637"/>
      <c r="N480" s="626"/>
      <c r="O480" s="626"/>
      <c r="P480" s="637"/>
      <c r="R480" s="297"/>
      <c r="S480" s="297"/>
      <c r="T480" s="297"/>
    </row>
    <row r="481" spans="10:20" x14ac:dyDescent="0.2">
      <c r="J481" s="621"/>
      <c r="K481" s="621"/>
      <c r="L481" s="621"/>
      <c r="M481" s="611"/>
      <c r="N481" s="612"/>
      <c r="O481" s="612"/>
      <c r="P481" s="611"/>
      <c r="R481" s="297"/>
      <c r="S481" s="297"/>
      <c r="T481" s="297"/>
    </row>
    <row r="482" spans="10:20" x14ac:dyDescent="0.2">
      <c r="J482" s="621"/>
      <c r="K482" s="621"/>
      <c r="L482" s="621"/>
      <c r="M482" s="611"/>
      <c r="P482" s="611"/>
      <c r="R482" s="297"/>
      <c r="S482" s="297"/>
      <c r="T482" s="297"/>
    </row>
    <row r="483" spans="10:20" x14ac:dyDescent="0.2">
      <c r="J483" s="621"/>
      <c r="K483" s="621"/>
      <c r="L483" s="621"/>
      <c r="M483" s="611"/>
      <c r="P483" s="611"/>
      <c r="R483" s="297"/>
      <c r="S483" s="297"/>
      <c r="T483" s="297"/>
    </row>
    <row r="484" spans="10:20" x14ac:dyDescent="0.2">
      <c r="J484" s="621"/>
      <c r="K484" s="621"/>
      <c r="L484" s="621"/>
      <c r="M484" s="611"/>
      <c r="P484" s="611"/>
      <c r="R484" s="297"/>
      <c r="S484" s="297"/>
      <c r="T484" s="297"/>
    </row>
    <row r="485" spans="10:20" x14ac:dyDescent="0.2">
      <c r="J485" s="621"/>
      <c r="K485" s="621"/>
      <c r="L485" s="621"/>
      <c r="M485" s="636"/>
      <c r="N485" s="612"/>
      <c r="O485" s="612"/>
      <c r="P485" s="636"/>
      <c r="R485" s="297"/>
      <c r="S485" s="297"/>
      <c r="T485" s="297"/>
    </row>
    <row r="486" spans="10:20" x14ac:dyDescent="0.2">
      <c r="J486" s="621"/>
      <c r="K486" s="621"/>
      <c r="L486" s="621"/>
      <c r="M486" s="636"/>
      <c r="N486" s="612"/>
      <c r="O486" s="612"/>
      <c r="P486" s="636"/>
      <c r="R486" s="297"/>
      <c r="S486" s="297"/>
      <c r="T486" s="297"/>
    </row>
    <row r="487" spans="10:20" x14ac:dyDescent="0.2">
      <c r="J487" s="621"/>
      <c r="K487" s="621"/>
      <c r="L487" s="621"/>
      <c r="M487" s="636"/>
      <c r="N487" s="612"/>
      <c r="O487" s="612"/>
      <c r="P487" s="636"/>
      <c r="R487" s="297"/>
      <c r="S487" s="297"/>
      <c r="T487" s="297"/>
    </row>
    <row r="488" spans="10:20" x14ac:dyDescent="0.2">
      <c r="J488" s="621"/>
      <c r="K488" s="621"/>
      <c r="L488" s="621"/>
      <c r="M488" s="636"/>
      <c r="N488" s="612"/>
      <c r="O488" s="612"/>
      <c r="P488" s="636"/>
      <c r="R488" s="297"/>
      <c r="S488" s="297"/>
      <c r="T488" s="297"/>
    </row>
    <row r="489" spans="10:20" x14ac:dyDescent="0.2">
      <c r="J489" s="621"/>
      <c r="K489" s="621"/>
      <c r="L489" s="621"/>
      <c r="M489" s="636"/>
      <c r="N489" s="612"/>
      <c r="O489" s="612"/>
      <c r="P489" s="636"/>
      <c r="R489" s="297"/>
      <c r="S489" s="297"/>
      <c r="T489" s="297"/>
    </row>
    <row r="490" spans="10:20" x14ac:dyDescent="0.2">
      <c r="J490" s="621"/>
      <c r="K490" s="621"/>
      <c r="L490" s="621"/>
      <c r="M490" s="636"/>
      <c r="N490" s="612"/>
      <c r="O490" s="612"/>
      <c r="P490" s="636"/>
      <c r="R490" s="297"/>
      <c r="S490" s="297"/>
      <c r="T490" s="297"/>
    </row>
    <row r="491" spans="10:20" x14ac:dyDescent="0.2">
      <c r="J491" s="621"/>
      <c r="K491" s="621"/>
      <c r="L491" s="621"/>
      <c r="M491" s="636"/>
      <c r="N491" s="612"/>
      <c r="O491" s="612"/>
      <c r="P491" s="636"/>
      <c r="R491" s="297"/>
      <c r="S491" s="297"/>
      <c r="T491" s="297"/>
    </row>
    <row r="492" spans="10:20" x14ac:dyDescent="0.2">
      <c r="J492" s="621"/>
      <c r="K492" s="621"/>
      <c r="L492" s="621"/>
      <c r="M492" s="636"/>
      <c r="N492" s="612"/>
      <c r="O492" s="612"/>
      <c r="P492" s="636"/>
      <c r="R492" s="297"/>
      <c r="S492" s="297"/>
      <c r="T492" s="297"/>
    </row>
    <row r="493" spans="10:20" x14ac:dyDescent="0.2">
      <c r="J493" s="621"/>
      <c r="K493" s="621"/>
      <c r="L493" s="621"/>
      <c r="M493" s="636"/>
      <c r="N493" s="612"/>
      <c r="O493" s="612"/>
      <c r="P493" s="636"/>
      <c r="R493" s="297"/>
      <c r="S493" s="297"/>
      <c r="T493" s="297"/>
    </row>
    <row r="494" spans="10:20" x14ac:dyDescent="0.2">
      <c r="J494" s="621"/>
      <c r="K494" s="621"/>
      <c r="L494" s="621"/>
      <c r="M494" s="636"/>
      <c r="N494" s="612"/>
      <c r="O494" s="612"/>
      <c r="P494" s="636"/>
      <c r="R494" s="297"/>
      <c r="S494" s="297"/>
      <c r="T494" s="297"/>
    </row>
    <row r="495" spans="10:20" x14ac:dyDescent="0.2">
      <c r="J495" s="621"/>
      <c r="K495" s="621"/>
      <c r="L495" s="621"/>
      <c r="M495" s="636"/>
      <c r="N495" s="612"/>
      <c r="O495" s="612"/>
      <c r="P495" s="636"/>
      <c r="R495" s="297"/>
      <c r="S495" s="297"/>
      <c r="T495" s="297"/>
    </row>
    <row r="496" spans="10:20" x14ac:dyDescent="0.2">
      <c r="J496" s="621"/>
      <c r="K496" s="621"/>
      <c r="L496" s="621"/>
      <c r="M496" s="637"/>
      <c r="N496" s="626"/>
      <c r="O496" s="626"/>
      <c r="P496" s="637"/>
      <c r="R496" s="297"/>
      <c r="S496" s="297"/>
      <c r="T496" s="297"/>
    </row>
    <row r="497" spans="10:20" x14ac:dyDescent="0.2">
      <c r="J497" s="630"/>
      <c r="K497" s="630"/>
      <c r="L497" s="630"/>
      <c r="M497" s="611"/>
      <c r="N497" s="612"/>
      <c r="O497" s="612"/>
      <c r="P497" s="611"/>
      <c r="R497" s="297"/>
      <c r="S497" s="297"/>
      <c r="T497" s="297"/>
    </row>
    <row r="498" spans="10:20" x14ac:dyDescent="0.2">
      <c r="M498" s="611"/>
      <c r="P498" s="611"/>
      <c r="R498" s="297"/>
      <c r="S498" s="297"/>
      <c r="T498" s="297"/>
    </row>
    <row r="499" spans="10:20" x14ac:dyDescent="0.2">
      <c r="M499" s="611"/>
      <c r="P499" s="611"/>
      <c r="R499" s="297"/>
      <c r="S499" s="297"/>
      <c r="T499" s="297"/>
    </row>
    <row r="500" spans="10:20" x14ac:dyDescent="0.2">
      <c r="M500" s="611"/>
      <c r="P500" s="611"/>
      <c r="R500" s="297"/>
      <c r="S500" s="297"/>
      <c r="T500" s="297"/>
    </row>
    <row r="501" spans="10:20" x14ac:dyDescent="0.2">
      <c r="M501" s="611"/>
      <c r="P501" s="611"/>
      <c r="R501" s="297"/>
      <c r="S501" s="297"/>
      <c r="T501" s="297"/>
    </row>
    <row r="502" spans="10:20" x14ac:dyDescent="0.2">
      <c r="M502" s="611"/>
      <c r="P502" s="611"/>
      <c r="R502" s="297"/>
      <c r="S502" s="297"/>
      <c r="T502" s="297"/>
    </row>
    <row r="503" spans="10:20" x14ac:dyDescent="0.2">
      <c r="M503" s="611"/>
      <c r="P503" s="611"/>
      <c r="R503" s="297"/>
      <c r="S503" s="297"/>
      <c r="T503" s="297"/>
    </row>
    <row r="504" spans="10:20" x14ac:dyDescent="0.2">
      <c r="M504" s="611"/>
      <c r="P504" s="611"/>
      <c r="R504" s="297"/>
      <c r="S504" s="297"/>
      <c r="T504" s="297"/>
    </row>
    <row r="505" spans="10:20" x14ac:dyDescent="0.2">
      <c r="M505" s="611"/>
      <c r="P505" s="611"/>
      <c r="R505" s="297"/>
      <c r="S505" s="297"/>
      <c r="T505" s="297"/>
    </row>
    <row r="506" spans="10:20" x14ac:dyDescent="0.2">
      <c r="M506" s="611"/>
      <c r="P506" s="611"/>
      <c r="R506" s="297"/>
      <c r="S506" s="297"/>
      <c r="T506" s="297"/>
    </row>
    <row r="507" spans="10:20" x14ac:dyDescent="0.2">
      <c r="M507" s="611"/>
      <c r="P507" s="611"/>
      <c r="R507" s="297"/>
      <c r="S507" s="297"/>
      <c r="T507" s="297"/>
    </row>
    <row r="508" spans="10:20" x14ac:dyDescent="0.2">
      <c r="K508" s="440"/>
      <c r="M508" s="611"/>
      <c r="P508" s="611"/>
      <c r="R508" s="297"/>
      <c r="S508" s="297"/>
      <c r="T508" s="297"/>
    </row>
    <row r="509" spans="10:20" x14ac:dyDescent="0.2">
      <c r="K509" s="440"/>
      <c r="M509" s="611"/>
      <c r="P509" s="611"/>
      <c r="R509" s="297"/>
      <c r="S509" s="297"/>
      <c r="T509" s="297"/>
    </row>
    <row r="510" spans="10:20" x14ac:dyDescent="0.2">
      <c r="K510" s="440"/>
      <c r="M510" s="611"/>
      <c r="P510" s="604"/>
      <c r="R510" s="297"/>
      <c r="S510" s="297"/>
      <c r="T510" s="297"/>
    </row>
    <row r="511" spans="10:20" x14ac:dyDescent="0.2">
      <c r="M511" s="611"/>
      <c r="P511" s="611"/>
      <c r="R511" s="297"/>
      <c r="S511" s="297"/>
      <c r="T511" s="297"/>
    </row>
    <row r="512" spans="10:20" x14ac:dyDescent="0.2">
      <c r="J512" s="227"/>
      <c r="K512" s="227"/>
      <c r="L512" s="227"/>
      <c r="M512" s="632"/>
      <c r="N512" s="227"/>
      <c r="O512" s="227"/>
      <c r="P512" s="633"/>
      <c r="R512" s="297"/>
      <c r="S512" s="297"/>
      <c r="T512" s="297"/>
    </row>
    <row r="513" spans="1:21" x14ac:dyDescent="0.2">
      <c r="A513" s="416"/>
      <c r="B513" s="266"/>
      <c r="C513" s="266"/>
      <c r="D513" s="440"/>
      <c r="E513" s="440"/>
      <c r="F513" s="440"/>
      <c r="G513" s="440"/>
      <c r="H513" s="440"/>
      <c r="I513" s="440"/>
      <c r="J513" s="227"/>
      <c r="K513" s="227"/>
      <c r="L513" s="227"/>
      <c r="M513" s="633"/>
      <c r="N513" s="227"/>
      <c r="O513" s="227"/>
      <c r="P513" s="633"/>
      <c r="R513" s="297"/>
      <c r="S513" s="297"/>
      <c r="T513" s="297"/>
    </row>
    <row r="514" spans="1:21" x14ac:dyDescent="0.2">
      <c r="A514" s="285"/>
      <c r="B514" s="285"/>
      <c r="C514" s="285"/>
      <c r="D514" s="262"/>
      <c r="E514" s="262"/>
      <c r="F514" s="262"/>
      <c r="G514" s="262"/>
      <c r="H514" s="262"/>
      <c r="I514" s="262"/>
      <c r="J514" s="262"/>
      <c r="K514" s="262"/>
      <c r="L514" s="262"/>
      <c r="M514" s="634"/>
      <c r="N514" s="262"/>
      <c r="O514" s="262"/>
      <c r="P514" s="634"/>
      <c r="R514" s="297"/>
      <c r="S514" s="297"/>
      <c r="T514" s="297"/>
    </row>
    <row r="515" spans="1:21" x14ac:dyDescent="0.2">
      <c r="A515" s="416"/>
      <c r="B515" s="266"/>
      <c r="C515" s="266"/>
      <c r="D515" s="440"/>
      <c r="E515" s="440"/>
      <c r="F515" s="440"/>
      <c r="G515" s="440"/>
      <c r="H515" s="440"/>
      <c r="I515" s="440"/>
      <c r="J515" s="227"/>
      <c r="K515" s="227"/>
      <c r="L515" s="227"/>
      <c r="M515" s="633"/>
      <c r="N515" s="227"/>
      <c r="O515" s="227"/>
      <c r="P515" s="633"/>
      <c r="R515" s="297"/>
      <c r="S515" s="297"/>
      <c r="T515" s="297"/>
    </row>
    <row r="516" spans="1:21" x14ac:dyDescent="0.2">
      <c r="A516" s="416"/>
      <c r="B516" s="266"/>
      <c r="C516" s="266"/>
      <c r="D516" s="440"/>
      <c r="E516" s="440"/>
      <c r="F516" s="440"/>
      <c r="G516" s="440"/>
      <c r="H516" s="440"/>
      <c r="I516" s="440"/>
      <c r="J516" s="227"/>
      <c r="K516" s="227"/>
      <c r="L516" s="227"/>
      <c r="M516" s="633"/>
      <c r="N516" s="227"/>
      <c r="O516" s="227"/>
      <c r="P516" s="633"/>
      <c r="R516" s="297"/>
      <c r="S516" s="297"/>
      <c r="T516" s="297"/>
    </row>
    <row r="517" spans="1:21" x14ac:dyDescent="0.2">
      <c r="B517" s="266"/>
      <c r="C517" s="266"/>
      <c r="D517" s="440"/>
      <c r="E517" s="440"/>
      <c r="F517" s="440"/>
      <c r="G517" s="440"/>
      <c r="H517" s="440"/>
      <c r="I517" s="440"/>
      <c r="M517" s="611"/>
      <c r="P517" s="611"/>
      <c r="R517" s="297"/>
      <c r="S517" s="297"/>
      <c r="T517" s="297"/>
    </row>
    <row r="518" spans="1:21" x14ac:dyDescent="0.2">
      <c r="M518" s="611"/>
      <c r="P518" s="611"/>
      <c r="R518" s="297"/>
      <c r="S518" s="297"/>
      <c r="T518" s="297"/>
    </row>
    <row r="519" spans="1:21" x14ac:dyDescent="0.2">
      <c r="M519" s="611"/>
      <c r="P519" s="611"/>
      <c r="R519" s="297"/>
      <c r="S519" s="297"/>
      <c r="T519" s="297"/>
    </row>
    <row r="520" spans="1:21" x14ac:dyDescent="0.2">
      <c r="M520" s="611"/>
      <c r="P520" s="611"/>
      <c r="R520" s="297"/>
      <c r="S520" s="297"/>
      <c r="T520" s="297"/>
    </row>
    <row r="521" spans="1:21" x14ac:dyDescent="0.2">
      <c r="M521" s="611"/>
      <c r="P521" s="611"/>
      <c r="R521" s="297"/>
      <c r="S521" s="297"/>
      <c r="T521" s="297"/>
    </row>
    <row r="522" spans="1:21" x14ac:dyDescent="0.2">
      <c r="J522" s="641"/>
      <c r="K522" s="641"/>
      <c r="L522" s="642"/>
      <c r="M522" s="504"/>
      <c r="N522" s="612"/>
      <c r="O522" s="612"/>
      <c r="P522" s="604"/>
      <c r="R522" s="607"/>
      <c r="S522" s="607"/>
      <c r="T522" s="624"/>
      <c r="U522" s="624"/>
    </row>
    <row r="523" spans="1:21" x14ac:dyDescent="0.2">
      <c r="J523" s="641"/>
      <c r="K523" s="641"/>
      <c r="L523" s="642"/>
      <c r="M523" s="504"/>
      <c r="N523" s="612"/>
      <c r="O523" s="612"/>
      <c r="P523" s="604"/>
      <c r="R523" s="607"/>
      <c r="S523" s="607"/>
      <c r="T523" s="624"/>
      <c r="U523" s="624"/>
    </row>
    <row r="524" spans="1:21" x14ac:dyDescent="0.2">
      <c r="J524" s="641"/>
      <c r="K524" s="641"/>
      <c r="L524" s="642"/>
      <c r="M524" s="504"/>
      <c r="N524" s="612"/>
      <c r="O524" s="612"/>
      <c r="P524" s="604"/>
      <c r="R524" s="607"/>
      <c r="S524" s="607"/>
      <c r="T524" s="624"/>
      <c r="U524" s="624"/>
    </row>
    <row r="525" spans="1:21" x14ac:dyDescent="0.2">
      <c r="J525" s="641"/>
      <c r="K525" s="641"/>
      <c r="L525" s="642"/>
      <c r="M525" s="504"/>
      <c r="N525" s="612"/>
      <c r="O525" s="612"/>
      <c r="P525" s="604"/>
      <c r="R525" s="607"/>
      <c r="S525" s="607"/>
      <c r="T525" s="624"/>
      <c r="U525" s="624"/>
    </row>
    <row r="526" spans="1:21" x14ac:dyDescent="0.2">
      <c r="J526" s="641"/>
      <c r="K526" s="641"/>
      <c r="L526" s="642"/>
      <c r="M526" s="504"/>
      <c r="N526" s="612"/>
      <c r="O526" s="612"/>
      <c r="P526" s="604"/>
      <c r="R526" s="607"/>
      <c r="S526" s="607"/>
      <c r="T526" s="624"/>
      <c r="U526" s="624"/>
    </row>
    <row r="527" spans="1:21" x14ac:dyDescent="0.2">
      <c r="J527" s="641"/>
      <c r="K527" s="641"/>
      <c r="L527" s="642"/>
      <c r="M527" s="504"/>
      <c r="N527" s="612"/>
      <c r="O527" s="612"/>
      <c r="P527" s="604"/>
      <c r="R527" s="607"/>
      <c r="S527" s="607"/>
      <c r="T527" s="624"/>
      <c r="U527" s="624"/>
    </row>
    <row r="528" spans="1:21" x14ac:dyDescent="0.2">
      <c r="J528" s="641"/>
      <c r="K528" s="641"/>
      <c r="L528" s="642"/>
      <c r="M528" s="504"/>
      <c r="N528" s="612"/>
      <c r="O528" s="612"/>
      <c r="P528" s="604"/>
      <c r="R528" s="607"/>
      <c r="S528" s="607"/>
      <c r="T528" s="624"/>
      <c r="U528" s="624"/>
    </row>
    <row r="529" spans="10:21" x14ac:dyDescent="0.2">
      <c r="J529" s="641"/>
      <c r="K529" s="641"/>
      <c r="L529" s="642"/>
      <c r="M529" s="504"/>
      <c r="N529" s="612"/>
      <c r="O529" s="612"/>
      <c r="P529" s="604"/>
      <c r="R529" s="607"/>
      <c r="S529" s="607"/>
      <c r="T529" s="624"/>
      <c r="U529" s="624"/>
    </row>
    <row r="530" spans="10:21" x14ac:dyDescent="0.2">
      <c r="J530" s="641"/>
      <c r="K530" s="641"/>
      <c r="L530" s="642"/>
      <c r="M530" s="504"/>
      <c r="N530" s="612"/>
      <c r="O530" s="612"/>
      <c r="P530" s="604"/>
      <c r="R530" s="607"/>
      <c r="S530" s="607"/>
      <c r="T530" s="624"/>
      <c r="U530" s="624"/>
    </row>
    <row r="531" spans="10:21" x14ac:dyDescent="0.2">
      <c r="J531" s="641"/>
      <c r="K531" s="641"/>
      <c r="L531" s="642"/>
      <c r="M531" s="504"/>
      <c r="N531" s="612"/>
      <c r="O531" s="612"/>
      <c r="P531" s="604"/>
      <c r="R531" s="607"/>
      <c r="S531" s="607"/>
      <c r="T531" s="624"/>
      <c r="U531" s="624"/>
    </row>
    <row r="532" spans="10:21" x14ac:dyDescent="0.2">
      <c r="J532" s="641"/>
      <c r="K532" s="641"/>
      <c r="L532" s="642"/>
      <c r="M532" s="504"/>
      <c r="N532" s="612"/>
      <c r="O532" s="612"/>
      <c r="P532" s="604"/>
      <c r="R532" s="607"/>
      <c r="S532" s="607"/>
      <c r="T532" s="624"/>
      <c r="U532" s="624"/>
    </row>
    <row r="533" spans="10:21" x14ac:dyDescent="0.2">
      <c r="J533" s="641"/>
      <c r="K533" s="641"/>
      <c r="L533" s="642"/>
      <c r="M533" s="643"/>
      <c r="N533" s="626"/>
      <c r="O533" s="626"/>
      <c r="P533" s="625"/>
      <c r="R533" s="627"/>
      <c r="S533" s="627"/>
      <c r="T533" s="628"/>
      <c r="U533" s="628"/>
    </row>
    <row r="534" spans="10:21" x14ac:dyDescent="0.2">
      <c r="M534" s="504"/>
      <c r="N534" s="612"/>
      <c r="O534" s="612"/>
      <c r="P534" s="611"/>
      <c r="R534" s="297"/>
      <c r="S534" s="297"/>
      <c r="T534" s="631"/>
      <c r="U534" s="631"/>
    </row>
    <row r="535" spans="10:21" x14ac:dyDescent="0.2">
      <c r="R535" s="297"/>
      <c r="S535" s="297"/>
      <c r="T535" s="297"/>
    </row>
    <row r="536" spans="10:21" x14ac:dyDescent="0.2">
      <c r="J536" s="621"/>
      <c r="K536" s="621"/>
      <c r="L536" s="621"/>
      <c r="M536" s="611"/>
      <c r="P536" s="611"/>
      <c r="R536" s="297"/>
      <c r="S536" s="297"/>
      <c r="T536" s="297"/>
    </row>
    <row r="537" spans="10:21" x14ac:dyDescent="0.2">
      <c r="J537" s="621"/>
      <c r="K537" s="621"/>
      <c r="L537" s="621"/>
      <c r="M537" s="611"/>
      <c r="P537" s="611"/>
      <c r="R537" s="297"/>
      <c r="S537" s="297"/>
      <c r="T537" s="297"/>
    </row>
    <row r="538" spans="10:21" x14ac:dyDescent="0.2">
      <c r="J538" s="621"/>
      <c r="K538" s="621"/>
      <c r="L538" s="621"/>
      <c r="M538" s="504"/>
      <c r="N538" s="612"/>
      <c r="O538" s="612"/>
      <c r="P538" s="636"/>
      <c r="R538" s="607"/>
      <c r="S538" s="607"/>
      <c r="T538" s="607"/>
      <c r="U538" s="607"/>
    </row>
    <row r="539" spans="10:21" x14ac:dyDescent="0.2">
      <c r="J539" s="621"/>
      <c r="K539" s="621"/>
      <c r="L539" s="621"/>
      <c r="M539" s="504"/>
      <c r="N539" s="612"/>
      <c r="O539" s="612"/>
      <c r="P539" s="636"/>
      <c r="R539" s="607"/>
      <c r="S539" s="607"/>
      <c r="T539" s="607"/>
      <c r="U539" s="607"/>
    </row>
    <row r="540" spans="10:21" x14ac:dyDescent="0.2">
      <c r="J540" s="621"/>
      <c r="K540" s="621"/>
      <c r="L540" s="621"/>
      <c r="M540" s="504"/>
      <c r="N540" s="612"/>
      <c r="O540" s="612"/>
      <c r="P540" s="636"/>
      <c r="R540" s="607"/>
      <c r="S540" s="607"/>
      <c r="T540" s="607"/>
      <c r="U540" s="607"/>
    </row>
    <row r="541" spans="10:21" x14ac:dyDescent="0.2">
      <c r="J541" s="621"/>
      <c r="K541" s="621"/>
      <c r="L541" s="621"/>
      <c r="M541" s="504"/>
      <c r="N541" s="612"/>
      <c r="O541" s="612"/>
      <c r="P541" s="636"/>
      <c r="R541" s="607"/>
      <c r="S541" s="607"/>
      <c r="T541" s="607"/>
      <c r="U541" s="607"/>
    </row>
    <row r="542" spans="10:21" x14ac:dyDescent="0.2">
      <c r="J542" s="621"/>
      <c r="K542" s="621"/>
      <c r="L542" s="621"/>
      <c r="M542" s="504"/>
      <c r="N542" s="612"/>
      <c r="O542" s="612"/>
      <c r="P542" s="636"/>
      <c r="R542" s="607"/>
      <c r="S542" s="607"/>
      <c r="T542" s="607"/>
      <c r="U542" s="607"/>
    </row>
    <row r="543" spans="10:21" x14ac:dyDescent="0.2">
      <c r="J543" s="621"/>
      <c r="K543" s="621"/>
      <c r="L543" s="621"/>
      <c r="M543" s="504"/>
      <c r="N543" s="612"/>
      <c r="O543" s="612"/>
      <c r="P543" s="636"/>
      <c r="R543" s="607"/>
      <c r="S543" s="607"/>
      <c r="T543" s="607"/>
      <c r="U543" s="607"/>
    </row>
    <row r="544" spans="10:21" x14ac:dyDescent="0.2">
      <c r="J544" s="621"/>
      <c r="K544" s="621"/>
      <c r="L544" s="621"/>
      <c r="M544" s="504"/>
      <c r="N544" s="612"/>
      <c r="O544" s="612"/>
      <c r="P544" s="636"/>
      <c r="R544" s="607"/>
      <c r="S544" s="607"/>
      <c r="T544" s="607"/>
      <c r="U544" s="607"/>
    </row>
    <row r="545" spans="10:21" x14ac:dyDescent="0.2">
      <c r="J545" s="621"/>
      <c r="K545" s="621"/>
      <c r="L545" s="621"/>
      <c r="M545" s="504"/>
      <c r="N545" s="612"/>
      <c r="O545" s="612"/>
      <c r="P545" s="636"/>
      <c r="R545" s="607"/>
      <c r="S545" s="607"/>
      <c r="T545" s="607"/>
      <c r="U545" s="607"/>
    </row>
    <row r="546" spans="10:21" x14ac:dyDescent="0.2">
      <c r="J546" s="621"/>
      <c r="K546" s="621"/>
      <c r="L546" s="621"/>
      <c r="M546" s="504"/>
      <c r="N546" s="612"/>
      <c r="O546" s="612"/>
      <c r="P546" s="636"/>
      <c r="R546" s="607"/>
      <c r="S546" s="607"/>
      <c r="T546" s="607"/>
      <c r="U546" s="607"/>
    </row>
    <row r="547" spans="10:21" x14ac:dyDescent="0.2">
      <c r="J547" s="621"/>
      <c r="K547" s="621"/>
      <c r="L547" s="621"/>
      <c r="M547" s="504"/>
      <c r="N547" s="612"/>
      <c r="O547" s="612"/>
      <c r="P547" s="636"/>
      <c r="R547" s="607"/>
      <c r="S547" s="607"/>
      <c r="T547" s="607"/>
      <c r="U547" s="607"/>
    </row>
    <row r="548" spans="10:21" x14ac:dyDescent="0.2">
      <c r="J548" s="621"/>
      <c r="K548" s="621"/>
      <c r="L548" s="621"/>
      <c r="M548" s="504"/>
      <c r="N548" s="612"/>
      <c r="O548" s="612"/>
      <c r="P548" s="636"/>
      <c r="R548" s="607"/>
      <c r="S548" s="607"/>
      <c r="T548" s="607"/>
      <c r="U548" s="607"/>
    </row>
    <row r="549" spans="10:21" x14ac:dyDescent="0.2">
      <c r="J549" s="621"/>
      <c r="K549" s="621"/>
      <c r="L549" s="621"/>
      <c r="M549" s="643"/>
      <c r="N549" s="626"/>
      <c r="O549" s="626"/>
      <c r="P549" s="637"/>
      <c r="R549" s="627"/>
      <c r="S549" s="627"/>
      <c r="T549" s="627"/>
      <c r="U549" s="627"/>
    </row>
    <row r="550" spans="10:21" x14ac:dyDescent="0.2">
      <c r="J550" s="630"/>
      <c r="K550" s="630"/>
      <c r="L550" s="630"/>
      <c r="M550" s="504"/>
      <c r="N550" s="612"/>
      <c r="O550" s="612"/>
      <c r="P550" s="611"/>
      <c r="R550" s="297"/>
      <c r="S550" s="297"/>
      <c r="T550" s="297"/>
      <c r="U550" s="297"/>
    </row>
    <row r="551" spans="10:21" x14ac:dyDescent="0.2">
      <c r="R551" s="297"/>
      <c r="S551" s="297"/>
      <c r="T551" s="297"/>
    </row>
    <row r="552" spans="10:21" x14ac:dyDescent="0.2">
      <c r="R552" s="297"/>
      <c r="S552" s="297"/>
      <c r="T552" s="297"/>
    </row>
    <row r="553" spans="10:21" x14ac:dyDescent="0.2">
      <c r="R553" s="297"/>
      <c r="S553" s="297"/>
      <c r="T553" s="297"/>
    </row>
    <row r="554" spans="10:21" x14ac:dyDescent="0.2">
      <c r="R554" s="297"/>
      <c r="S554" s="297"/>
      <c r="T554" s="297"/>
    </row>
    <row r="555" spans="10:21" x14ac:dyDescent="0.2">
      <c r="R555" s="297"/>
      <c r="S555" s="297"/>
      <c r="T555" s="297"/>
    </row>
    <row r="556" spans="10:21" x14ac:dyDescent="0.2">
      <c r="R556" s="297"/>
      <c r="S556" s="297"/>
      <c r="T556" s="297"/>
    </row>
    <row r="557" spans="10:21" x14ac:dyDescent="0.2">
      <c r="R557" s="297"/>
      <c r="S557" s="297"/>
      <c r="T557" s="297"/>
    </row>
    <row r="558" spans="10:21" x14ac:dyDescent="0.2">
      <c r="R558" s="297"/>
      <c r="S558" s="297"/>
      <c r="T558" s="297"/>
    </row>
    <row r="559" spans="10:21" x14ac:dyDescent="0.2">
      <c r="R559" s="297"/>
      <c r="S559" s="297"/>
      <c r="T559" s="297"/>
    </row>
    <row r="560" spans="10:21" x14ac:dyDescent="0.2">
      <c r="R560" s="297"/>
      <c r="S560" s="297"/>
      <c r="T560" s="297"/>
    </row>
    <row r="561" spans="1:20" x14ac:dyDescent="0.2">
      <c r="R561" s="297"/>
      <c r="S561" s="297"/>
      <c r="T561" s="297"/>
    </row>
    <row r="562" spans="1:20" x14ac:dyDescent="0.2">
      <c r="R562" s="297"/>
      <c r="S562" s="297"/>
      <c r="T562" s="297"/>
    </row>
    <row r="563" spans="1:20" x14ac:dyDescent="0.2">
      <c r="J563" s="440"/>
      <c r="M563" s="611"/>
      <c r="P563" s="611"/>
      <c r="R563" s="297"/>
      <c r="S563" s="297"/>
      <c r="T563" s="297"/>
    </row>
    <row r="564" spans="1:20" x14ac:dyDescent="0.2">
      <c r="J564" s="440"/>
      <c r="M564" s="611"/>
      <c r="P564" s="611"/>
      <c r="R564" s="297"/>
      <c r="S564" s="297"/>
      <c r="T564" s="297"/>
    </row>
    <row r="565" spans="1:20" x14ac:dyDescent="0.2">
      <c r="J565" s="440"/>
      <c r="M565" s="611"/>
      <c r="P565" s="604"/>
      <c r="R565" s="297"/>
      <c r="S565" s="297"/>
      <c r="T565" s="297"/>
    </row>
    <row r="566" spans="1:20" ht="6.9" customHeight="1" x14ac:dyDescent="0.2">
      <c r="M566" s="611"/>
      <c r="P566" s="611"/>
      <c r="R566" s="297"/>
      <c r="S566" s="297"/>
      <c r="T566" s="297"/>
    </row>
    <row r="567" spans="1:20" x14ac:dyDescent="0.2">
      <c r="L567" s="227"/>
      <c r="M567" s="227"/>
      <c r="P567" s="611"/>
      <c r="R567" s="297"/>
      <c r="S567" s="297"/>
      <c r="T567" s="297"/>
    </row>
    <row r="568" spans="1:20" x14ac:dyDescent="0.2">
      <c r="J568" s="440"/>
      <c r="L568" s="227"/>
      <c r="M568" s="227"/>
      <c r="N568" s="227"/>
      <c r="O568" s="227"/>
      <c r="P568" s="611"/>
      <c r="R568" s="297"/>
      <c r="S568" s="297"/>
      <c r="T568" s="297"/>
    </row>
    <row r="569" spans="1:20" x14ac:dyDescent="0.2">
      <c r="A569" s="416"/>
      <c r="B569" s="266"/>
      <c r="C569" s="266"/>
      <c r="D569" s="440"/>
      <c r="E569" s="440"/>
      <c r="F569" s="440"/>
      <c r="G569" s="440"/>
      <c r="H569" s="440"/>
      <c r="I569" s="440"/>
      <c r="J569" s="440"/>
      <c r="L569" s="227"/>
      <c r="M569" s="227"/>
      <c r="N569" s="227"/>
      <c r="O569" s="227"/>
      <c r="P569" s="611"/>
      <c r="R569" s="297"/>
      <c r="S569" s="297"/>
      <c r="T569" s="297"/>
    </row>
    <row r="570" spans="1:20" x14ac:dyDescent="0.2">
      <c r="A570" s="285"/>
      <c r="B570" s="285"/>
      <c r="C570" s="285"/>
      <c r="D570" s="262"/>
      <c r="E570" s="262"/>
      <c r="F570" s="262"/>
      <c r="G570" s="262"/>
      <c r="H570" s="262"/>
      <c r="I570" s="262"/>
      <c r="J570" s="644"/>
      <c r="L570" s="262"/>
      <c r="M570" s="262"/>
      <c r="N570" s="262"/>
      <c r="O570" s="262"/>
      <c r="P570" s="611"/>
      <c r="R570" s="297"/>
      <c r="S570" s="297"/>
      <c r="T570" s="297"/>
    </row>
    <row r="571" spans="1:20" ht="9" customHeight="1" x14ac:dyDescent="0.2">
      <c r="A571" s="416"/>
      <c r="B571" s="266"/>
      <c r="C571" s="266"/>
      <c r="D571" s="440"/>
      <c r="E571" s="440"/>
      <c r="F571" s="440"/>
      <c r="G571" s="440"/>
      <c r="H571" s="440"/>
      <c r="I571" s="440"/>
      <c r="J571" s="440"/>
      <c r="L571" s="227"/>
      <c r="M571" s="227"/>
      <c r="N571" s="227"/>
      <c r="O571" s="227"/>
      <c r="P571" s="611"/>
      <c r="R571" s="297"/>
      <c r="S571" s="297"/>
      <c r="T571" s="297"/>
    </row>
    <row r="572" spans="1:20" x14ac:dyDescent="0.2">
      <c r="J572" s="440"/>
      <c r="L572" s="227"/>
      <c r="M572" s="227"/>
      <c r="N572" s="227"/>
      <c r="O572" s="227"/>
      <c r="P572" s="611"/>
      <c r="R572" s="297"/>
      <c r="S572" s="297"/>
      <c r="T572" s="297"/>
    </row>
    <row r="573" spans="1:20" ht="6.9" customHeight="1" x14ac:dyDescent="0.2">
      <c r="P573" s="611"/>
      <c r="R573" s="297"/>
      <c r="S573" s="297"/>
      <c r="T573" s="297"/>
    </row>
    <row r="574" spans="1:20" x14ac:dyDescent="0.2">
      <c r="L574" s="612"/>
      <c r="M574" s="612"/>
      <c r="N574" s="612"/>
      <c r="O574" s="612"/>
      <c r="P574" s="611"/>
      <c r="R574" s="297"/>
      <c r="S574" s="297"/>
      <c r="T574" s="297"/>
    </row>
    <row r="575" spans="1:20" x14ac:dyDescent="0.2">
      <c r="L575" s="626"/>
      <c r="M575" s="626"/>
      <c r="N575" s="626"/>
      <c r="O575" s="626"/>
      <c r="P575" s="611"/>
      <c r="R575" s="297"/>
      <c r="S575" s="297"/>
      <c r="T575" s="297"/>
    </row>
    <row r="576" spans="1:20" x14ac:dyDescent="0.2">
      <c r="L576" s="612"/>
      <c r="M576" s="612"/>
      <c r="N576" s="612"/>
      <c r="O576" s="612"/>
      <c r="P576" s="611"/>
      <c r="R576" s="297"/>
      <c r="S576" s="297"/>
      <c r="T576" s="297"/>
    </row>
    <row r="577" spans="2:20" ht="4.5" customHeight="1" x14ac:dyDescent="0.2">
      <c r="L577" s="612"/>
      <c r="M577" s="612"/>
      <c r="N577" s="612"/>
      <c r="O577" s="612"/>
      <c r="P577" s="611"/>
      <c r="R577" s="297"/>
      <c r="S577" s="297"/>
      <c r="T577" s="297"/>
    </row>
    <row r="578" spans="2:20" x14ac:dyDescent="0.2">
      <c r="B578" s="266"/>
      <c r="C578" s="266"/>
      <c r="D578" s="440"/>
      <c r="E578" s="440"/>
      <c r="F578" s="440"/>
      <c r="G578" s="440"/>
      <c r="H578" s="440"/>
      <c r="I578" s="440"/>
      <c r="L578" s="612"/>
      <c r="M578" s="612"/>
      <c r="N578" s="612"/>
      <c r="O578" s="612"/>
      <c r="P578" s="611"/>
      <c r="R578" s="297"/>
      <c r="S578" s="297"/>
      <c r="T578" s="297"/>
    </row>
    <row r="579" spans="2:20" ht="4.5" customHeight="1" x14ac:dyDescent="0.2">
      <c r="L579" s="612"/>
      <c r="M579" s="612"/>
      <c r="N579" s="612"/>
      <c r="O579" s="612"/>
      <c r="P579" s="611"/>
      <c r="R579" s="297"/>
      <c r="S579" s="297"/>
      <c r="T579" s="297"/>
    </row>
    <row r="580" spans="2:20" x14ac:dyDescent="0.2">
      <c r="B580" s="266"/>
      <c r="C580" s="266"/>
      <c r="D580" s="440"/>
      <c r="E580" s="440"/>
      <c r="F580" s="440"/>
      <c r="G580" s="440"/>
      <c r="H580" s="440"/>
      <c r="I580" s="440"/>
      <c r="L580" s="612"/>
      <c r="M580" s="612"/>
      <c r="N580" s="612"/>
      <c r="O580" s="612"/>
      <c r="P580" s="611"/>
      <c r="R580" s="297"/>
      <c r="S580" s="297"/>
      <c r="T580" s="297"/>
    </row>
    <row r="581" spans="2:20" x14ac:dyDescent="0.2">
      <c r="B581" s="266"/>
      <c r="C581" s="266"/>
      <c r="D581" s="440"/>
      <c r="E581" s="440"/>
      <c r="F581" s="440"/>
      <c r="G581" s="440"/>
      <c r="H581" s="440"/>
      <c r="I581" s="440"/>
      <c r="L581" s="612"/>
      <c r="M581" s="612"/>
      <c r="N581" s="612"/>
      <c r="O581" s="612"/>
      <c r="P581" s="611"/>
      <c r="R581" s="297"/>
      <c r="S581" s="297"/>
      <c r="T581" s="297"/>
    </row>
    <row r="582" spans="2:20" x14ac:dyDescent="0.2">
      <c r="B582" s="266"/>
      <c r="C582" s="266"/>
      <c r="D582" s="440"/>
      <c r="E582" s="440"/>
      <c r="F582" s="440"/>
      <c r="G582" s="440"/>
      <c r="H582" s="440"/>
      <c r="I582" s="440"/>
      <c r="L582" s="612"/>
      <c r="M582" s="612"/>
      <c r="N582" s="612"/>
      <c r="O582" s="612"/>
      <c r="P582" s="611"/>
      <c r="R582" s="297"/>
      <c r="S582" s="297"/>
      <c r="T582" s="297"/>
    </row>
    <row r="583" spans="2:20" x14ac:dyDescent="0.2">
      <c r="B583" s="266"/>
      <c r="C583" s="266"/>
      <c r="D583" s="440"/>
      <c r="E583" s="440"/>
      <c r="F583" s="440"/>
      <c r="G583" s="440"/>
      <c r="H583" s="440"/>
      <c r="I583" s="440"/>
      <c r="L583" s="612"/>
      <c r="M583" s="612"/>
      <c r="N583" s="612"/>
      <c r="O583" s="612"/>
      <c r="P583" s="612"/>
      <c r="R583" s="297"/>
      <c r="S583" s="297"/>
      <c r="T583" s="297"/>
    </row>
    <row r="584" spans="2:20" x14ac:dyDescent="0.2">
      <c r="B584" s="266"/>
      <c r="C584" s="266"/>
      <c r="D584" s="440"/>
      <c r="E584" s="440"/>
      <c r="F584" s="440"/>
      <c r="G584" s="440"/>
      <c r="H584" s="440"/>
      <c r="I584" s="440"/>
      <c r="L584" s="612"/>
      <c r="M584" s="612"/>
      <c r="N584" s="612"/>
      <c r="O584" s="612"/>
      <c r="P584" s="612"/>
      <c r="R584" s="297"/>
      <c r="S584" s="297"/>
      <c r="T584" s="297"/>
    </row>
    <row r="585" spans="2:20" x14ac:dyDescent="0.2">
      <c r="B585" s="266"/>
      <c r="C585" s="266"/>
      <c r="D585" s="440"/>
      <c r="E585" s="440"/>
      <c r="F585" s="440"/>
      <c r="G585" s="440"/>
      <c r="H585" s="440"/>
      <c r="I585" s="440"/>
      <c r="L585" s="612"/>
      <c r="M585" s="612"/>
      <c r="N585" s="612"/>
      <c r="O585" s="612"/>
      <c r="P585" s="612"/>
      <c r="R585" s="297"/>
      <c r="S585" s="297"/>
      <c r="T585" s="297"/>
    </row>
    <row r="586" spans="2:20" x14ac:dyDescent="0.2">
      <c r="B586" s="266"/>
      <c r="C586" s="266"/>
      <c r="D586" s="440"/>
      <c r="E586" s="440"/>
      <c r="F586" s="440"/>
      <c r="G586" s="440"/>
      <c r="H586" s="440"/>
      <c r="I586" s="440"/>
      <c r="L586" s="612"/>
      <c r="M586" s="612"/>
      <c r="N586" s="612"/>
      <c r="O586" s="612"/>
      <c r="P586" s="612"/>
      <c r="R586" s="297"/>
      <c r="S586" s="297"/>
      <c r="T586" s="297"/>
    </row>
    <row r="587" spans="2:20" x14ac:dyDescent="0.2">
      <c r="B587" s="266"/>
      <c r="C587" s="266"/>
      <c r="D587" s="440"/>
      <c r="E587" s="440"/>
      <c r="F587" s="440"/>
      <c r="G587" s="440"/>
      <c r="H587" s="440"/>
      <c r="I587" s="440"/>
      <c r="L587" s="612"/>
      <c r="M587" s="612"/>
      <c r="N587" s="612"/>
      <c r="O587" s="612"/>
      <c r="P587" s="612"/>
      <c r="R587" s="297"/>
      <c r="S587" s="297"/>
      <c r="T587" s="297"/>
    </row>
    <row r="588" spans="2:20" x14ac:dyDescent="0.2">
      <c r="B588" s="266"/>
      <c r="C588" s="266"/>
      <c r="D588" s="440"/>
      <c r="E588" s="440"/>
      <c r="F588" s="440"/>
      <c r="G588" s="440"/>
      <c r="H588" s="440"/>
      <c r="I588" s="440"/>
      <c r="L588" s="612"/>
      <c r="M588" s="612"/>
      <c r="N588" s="612"/>
      <c r="O588" s="612"/>
      <c r="P588" s="612"/>
      <c r="R588" s="297"/>
      <c r="S588" s="297"/>
      <c r="T588" s="297"/>
    </row>
    <row r="589" spans="2:20" x14ac:dyDescent="0.2">
      <c r="B589" s="266"/>
      <c r="C589" s="266"/>
      <c r="D589" s="440"/>
      <c r="E589" s="440"/>
      <c r="F589" s="440"/>
      <c r="G589" s="440"/>
      <c r="H589" s="440"/>
      <c r="I589" s="440"/>
      <c r="R589" s="297"/>
      <c r="S589" s="297"/>
      <c r="T589" s="297"/>
    </row>
    <row r="590" spans="2:20" x14ac:dyDescent="0.2">
      <c r="B590" s="266"/>
      <c r="C590" s="266"/>
      <c r="D590" s="440"/>
      <c r="E590" s="440"/>
      <c r="F590" s="440"/>
      <c r="G590" s="440"/>
      <c r="H590" s="440"/>
      <c r="I590" s="440"/>
      <c r="L590" s="612"/>
      <c r="M590" s="308"/>
      <c r="N590" s="612"/>
      <c r="O590" s="612"/>
      <c r="R590" s="297"/>
      <c r="S590" s="297"/>
      <c r="T590" s="297"/>
    </row>
    <row r="591" spans="2:20" x14ac:dyDescent="0.2">
      <c r="B591" s="266"/>
      <c r="C591" s="266"/>
      <c r="D591" s="440"/>
      <c r="E591" s="440"/>
      <c r="F591" s="440"/>
      <c r="G591" s="440"/>
      <c r="H591" s="440"/>
      <c r="I591" s="440"/>
      <c r="L591" s="612"/>
      <c r="N591" s="612"/>
      <c r="O591" s="612"/>
      <c r="R591" s="297"/>
      <c r="S591" s="297"/>
      <c r="T591" s="297"/>
    </row>
    <row r="592" spans="2:20" x14ac:dyDescent="0.2">
      <c r="B592" s="266"/>
      <c r="C592" s="266"/>
      <c r="D592" s="440"/>
      <c r="E592" s="440"/>
      <c r="F592" s="440"/>
      <c r="G592" s="440"/>
      <c r="H592" s="440"/>
      <c r="I592" s="440"/>
      <c r="L592" s="612"/>
      <c r="N592" s="612"/>
      <c r="O592" s="612"/>
      <c r="R592" s="297"/>
      <c r="S592" s="297"/>
      <c r="T592" s="297"/>
    </row>
    <row r="593" spans="2:20" x14ac:dyDescent="0.2">
      <c r="B593" s="266"/>
      <c r="C593" s="266"/>
      <c r="D593" s="440"/>
      <c r="E593" s="440"/>
      <c r="F593" s="440"/>
      <c r="G593" s="440"/>
      <c r="H593" s="440"/>
      <c r="I593" s="440"/>
      <c r="L593" s="626"/>
      <c r="M593" s="307"/>
      <c r="N593" s="626"/>
      <c r="O593" s="626"/>
      <c r="R593" s="297"/>
      <c r="S593" s="297"/>
      <c r="T593" s="297"/>
    </row>
    <row r="594" spans="2:20" ht="9.6" customHeight="1" x14ac:dyDescent="0.2">
      <c r="R594" s="297"/>
      <c r="S594" s="297"/>
      <c r="T594" s="297"/>
    </row>
    <row r="595" spans="2:20" x14ac:dyDescent="0.2">
      <c r="L595" s="612"/>
      <c r="M595" s="612"/>
      <c r="N595" s="612"/>
      <c r="O595" s="612"/>
      <c r="P595" s="612"/>
      <c r="R595" s="297"/>
      <c r="S595" s="297"/>
      <c r="T595" s="297"/>
    </row>
    <row r="596" spans="2:20" ht="5.25" customHeight="1" x14ac:dyDescent="0.2">
      <c r="L596" s="612"/>
      <c r="M596" s="612"/>
      <c r="N596" s="612"/>
      <c r="O596" s="612"/>
      <c r="P596" s="612"/>
      <c r="R596" s="297"/>
      <c r="S596" s="297"/>
      <c r="T596" s="297"/>
    </row>
    <row r="597" spans="2:20" x14ac:dyDescent="0.2">
      <c r="B597" s="266"/>
      <c r="C597" s="266"/>
      <c r="D597" s="440"/>
      <c r="E597" s="440"/>
      <c r="F597" s="440"/>
      <c r="G597" s="440"/>
      <c r="H597" s="440"/>
      <c r="I597" s="440"/>
      <c r="L597" s="612"/>
      <c r="M597" s="612"/>
      <c r="N597" s="612"/>
      <c r="O597" s="612"/>
      <c r="P597" s="612"/>
      <c r="R597" s="297"/>
      <c r="S597" s="297"/>
      <c r="T597" s="297"/>
    </row>
    <row r="598" spans="2:20" ht="3.75" customHeight="1" x14ac:dyDescent="0.2">
      <c r="B598" s="266"/>
      <c r="C598" s="266"/>
      <c r="D598" s="440"/>
      <c r="E598" s="440"/>
      <c r="F598" s="440"/>
      <c r="G598" s="440"/>
      <c r="H598" s="440"/>
      <c r="I598" s="440"/>
      <c r="L598" s="612"/>
      <c r="M598" s="612"/>
      <c r="N598" s="612"/>
      <c r="O598" s="612"/>
      <c r="P598" s="612"/>
      <c r="R598" s="297"/>
      <c r="S598" s="297"/>
      <c r="T598" s="297"/>
    </row>
    <row r="599" spans="2:20" x14ac:dyDescent="0.2">
      <c r="B599" s="266"/>
      <c r="C599" s="266"/>
      <c r="D599" s="440"/>
      <c r="E599" s="440"/>
      <c r="F599" s="440"/>
      <c r="G599" s="440"/>
      <c r="H599" s="440"/>
      <c r="I599" s="440"/>
      <c r="L599" s="612"/>
      <c r="M599" s="645"/>
      <c r="N599" s="645"/>
      <c r="O599" s="645"/>
      <c r="P599" s="612"/>
      <c r="R599" s="297"/>
      <c r="S599" s="297"/>
      <c r="T599" s="297"/>
    </row>
    <row r="600" spans="2:20" x14ac:dyDescent="0.2">
      <c r="B600" s="266"/>
      <c r="C600" s="266"/>
      <c r="D600" s="440"/>
      <c r="E600" s="440"/>
      <c r="F600" s="440"/>
      <c r="G600" s="440"/>
      <c r="H600" s="440"/>
      <c r="I600" s="440"/>
      <c r="L600" s="612"/>
      <c r="M600" s="645"/>
      <c r="N600" s="645"/>
      <c r="O600" s="645"/>
      <c r="P600" s="612"/>
      <c r="R600" s="297"/>
      <c r="S600" s="297"/>
      <c r="T600" s="297"/>
    </row>
    <row r="601" spans="2:20" x14ac:dyDescent="0.2">
      <c r="B601" s="266"/>
      <c r="C601" s="266"/>
      <c r="D601" s="440"/>
      <c r="E601" s="440"/>
      <c r="F601" s="440"/>
      <c r="G601" s="440"/>
      <c r="H601" s="440"/>
      <c r="I601" s="440"/>
      <c r="L601" s="612"/>
      <c r="M601" s="645"/>
      <c r="N601" s="645"/>
      <c r="O601" s="645"/>
      <c r="P601" s="612"/>
      <c r="R601" s="297"/>
      <c r="S601" s="297"/>
      <c r="T601" s="297"/>
    </row>
    <row r="602" spans="2:20" x14ac:dyDescent="0.2">
      <c r="B602" s="266"/>
      <c r="C602" s="266"/>
      <c r="D602" s="440"/>
      <c r="E602" s="440"/>
      <c r="F602" s="440"/>
      <c r="G602" s="440"/>
      <c r="H602" s="440"/>
      <c r="I602" s="440"/>
      <c r="L602" s="612"/>
      <c r="M602" s="645"/>
      <c r="N602" s="645"/>
      <c r="O602" s="645"/>
      <c r="P602" s="612"/>
      <c r="R602" s="297"/>
      <c r="S602" s="297"/>
      <c r="T602" s="297"/>
    </row>
    <row r="603" spans="2:20" x14ac:dyDescent="0.2">
      <c r="B603" s="266"/>
      <c r="C603" s="266"/>
      <c r="D603" s="440"/>
      <c r="E603" s="440"/>
      <c r="F603" s="440"/>
      <c r="G603" s="440"/>
      <c r="H603" s="440"/>
      <c r="I603" s="440"/>
      <c r="L603" s="612"/>
      <c r="M603" s="645"/>
      <c r="N603" s="645"/>
      <c r="O603" s="645"/>
      <c r="P603" s="612"/>
      <c r="R603" s="297"/>
      <c r="S603" s="297"/>
      <c r="T603" s="297"/>
    </row>
    <row r="604" spans="2:20" x14ac:dyDescent="0.2">
      <c r="B604" s="266"/>
      <c r="C604" s="266"/>
      <c r="D604" s="440"/>
      <c r="E604" s="440"/>
      <c r="F604" s="440"/>
      <c r="G604" s="440"/>
      <c r="H604" s="440"/>
      <c r="I604" s="440"/>
      <c r="L604" s="612"/>
      <c r="M604" s="645"/>
      <c r="N604" s="645"/>
      <c r="O604" s="645"/>
      <c r="P604" s="612"/>
      <c r="R604" s="297"/>
      <c r="S604" s="297"/>
      <c r="T604" s="297"/>
    </row>
    <row r="605" spans="2:20" x14ac:dyDescent="0.2">
      <c r="B605" s="266"/>
      <c r="C605" s="266"/>
      <c r="D605" s="440"/>
      <c r="E605" s="440"/>
      <c r="F605" s="440"/>
      <c r="G605" s="440"/>
      <c r="H605" s="440"/>
      <c r="I605" s="440"/>
      <c r="L605" s="612"/>
      <c r="M605" s="645"/>
      <c r="N605" s="645"/>
      <c r="O605" s="645"/>
      <c r="P605" s="612"/>
      <c r="R605" s="297"/>
      <c r="S605" s="297"/>
      <c r="T605" s="297"/>
    </row>
    <row r="606" spans="2:20" x14ac:dyDescent="0.2">
      <c r="B606" s="266"/>
      <c r="C606" s="266"/>
      <c r="D606" s="440"/>
      <c r="E606" s="440"/>
      <c r="F606" s="440"/>
      <c r="G606" s="440"/>
      <c r="H606" s="440"/>
      <c r="I606" s="440"/>
      <c r="L606" s="612"/>
      <c r="M606" s="645"/>
      <c r="N606" s="645"/>
      <c r="O606" s="645"/>
      <c r="P606" s="612"/>
      <c r="R606" s="297"/>
      <c r="S606" s="297"/>
      <c r="T606" s="297"/>
    </row>
    <row r="607" spans="2:20" x14ac:dyDescent="0.2">
      <c r="B607" s="266"/>
      <c r="C607" s="266"/>
      <c r="D607" s="440"/>
      <c r="E607" s="440"/>
      <c r="F607" s="440"/>
      <c r="G607" s="440"/>
      <c r="H607" s="440"/>
      <c r="I607" s="440"/>
      <c r="L607" s="612"/>
      <c r="M607" s="645"/>
      <c r="N607" s="645"/>
      <c r="O607" s="645"/>
      <c r="P607" s="612"/>
      <c r="R607" s="297"/>
      <c r="S607" s="297"/>
      <c r="T607" s="297"/>
    </row>
    <row r="608" spans="2:20" x14ac:dyDescent="0.2">
      <c r="B608" s="266"/>
      <c r="C608" s="266"/>
      <c r="D608" s="440"/>
      <c r="E608" s="440"/>
      <c r="F608" s="440"/>
      <c r="G608" s="440"/>
      <c r="H608" s="440"/>
      <c r="I608" s="440"/>
      <c r="L608" s="646"/>
      <c r="M608" s="647"/>
      <c r="N608" s="647"/>
      <c r="O608" s="647"/>
      <c r="R608" s="297"/>
      <c r="S608" s="297"/>
      <c r="T608" s="297"/>
    </row>
    <row r="609" spans="1:20" x14ac:dyDescent="0.2">
      <c r="B609" s="266"/>
      <c r="C609" s="266"/>
      <c r="D609" s="440"/>
      <c r="E609" s="440"/>
      <c r="F609" s="440"/>
      <c r="G609" s="440"/>
      <c r="H609" s="440"/>
      <c r="I609" s="440"/>
      <c r="L609" s="612"/>
      <c r="M609" s="647"/>
      <c r="N609" s="645"/>
      <c r="O609" s="645"/>
      <c r="R609" s="297"/>
      <c r="S609" s="297"/>
      <c r="T609" s="297"/>
    </row>
    <row r="610" spans="1:20" x14ac:dyDescent="0.2">
      <c r="B610" s="266"/>
      <c r="C610" s="266"/>
      <c r="D610" s="440"/>
      <c r="E610" s="440"/>
      <c r="F610" s="440"/>
      <c r="G610" s="440"/>
      <c r="H610" s="440"/>
      <c r="I610" s="440"/>
      <c r="L610" s="612"/>
      <c r="M610" s="647"/>
      <c r="N610" s="645"/>
      <c r="O610" s="645"/>
      <c r="R610" s="297"/>
      <c r="S610" s="297"/>
      <c r="T610" s="297"/>
    </row>
    <row r="611" spans="1:20" x14ac:dyDescent="0.2">
      <c r="B611" s="266"/>
      <c r="C611" s="266"/>
      <c r="D611" s="440"/>
      <c r="E611" s="440"/>
      <c r="F611" s="440"/>
      <c r="G611" s="440"/>
      <c r="H611" s="440"/>
      <c r="I611" s="440"/>
      <c r="J611" s="440"/>
      <c r="L611" s="612"/>
      <c r="M611" s="647"/>
      <c r="N611" s="645"/>
      <c r="O611" s="645"/>
      <c r="R611" s="297"/>
      <c r="S611" s="297"/>
      <c r="T611" s="297"/>
    </row>
    <row r="612" spans="1:20" x14ac:dyDescent="0.2">
      <c r="B612" s="266"/>
      <c r="C612" s="266"/>
      <c r="D612" s="440"/>
      <c r="E612" s="440"/>
      <c r="F612" s="440"/>
      <c r="G612" s="440"/>
      <c r="H612" s="440"/>
      <c r="I612" s="440"/>
      <c r="L612" s="612"/>
      <c r="M612" s="647"/>
      <c r="N612" s="645"/>
      <c r="O612" s="645"/>
      <c r="R612" s="297"/>
      <c r="S612" s="297"/>
      <c r="T612" s="297"/>
    </row>
    <row r="613" spans="1:20" x14ac:dyDescent="0.2">
      <c r="B613" s="266"/>
      <c r="C613" s="266"/>
      <c r="D613" s="440"/>
      <c r="E613" s="440"/>
      <c r="F613" s="440"/>
      <c r="G613" s="440"/>
      <c r="H613" s="440"/>
      <c r="I613" s="440"/>
      <c r="L613" s="626"/>
      <c r="M613" s="648"/>
      <c r="N613" s="648"/>
      <c r="O613" s="648"/>
      <c r="R613" s="297"/>
      <c r="S613" s="297"/>
      <c r="T613" s="297"/>
    </row>
    <row r="614" spans="1:20" x14ac:dyDescent="0.2">
      <c r="L614" s="626"/>
      <c r="M614" s="648"/>
      <c r="N614" s="648"/>
      <c r="O614" s="648"/>
      <c r="P614" s="612"/>
      <c r="R614" s="297"/>
      <c r="S614" s="297"/>
      <c r="T614" s="297"/>
    </row>
    <row r="615" spans="1:20" x14ac:dyDescent="0.2">
      <c r="L615" s="612"/>
      <c r="M615" s="645"/>
      <c r="N615" s="645"/>
      <c r="O615" s="645"/>
      <c r="P615" s="612"/>
      <c r="R615" s="297"/>
      <c r="S615" s="297"/>
      <c r="T615" s="297"/>
    </row>
    <row r="616" spans="1:20" x14ac:dyDescent="0.2">
      <c r="L616" s="626"/>
      <c r="M616" s="648"/>
      <c r="N616" s="648"/>
      <c r="O616" s="648"/>
      <c r="P616" s="612"/>
      <c r="R616" s="297"/>
      <c r="S616" s="297"/>
      <c r="T616" s="297"/>
    </row>
    <row r="617" spans="1:20" x14ac:dyDescent="0.2">
      <c r="L617" s="649"/>
      <c r="M617" s="645"/>
      <c r="N617" s="645"/>
      <c r="O617" s="645"/>
      <c r="R617" s="297"/>
      <c r="S617" s="297"/>
      <c r="T617" s="297"/>
    </row>
    <row r="618" spans="1:20" x14ac:dyDescent="0.2">
      <c r="B618" s="463"/>
      <c r="C618" s="463"/>
      <c r="D618" s="616"/>
      <c r="E618" s="616"/>
      <c r="F618" s="616"/>
      <c r="G618" s="616"/>
      <c r="H618" s="616"/>
      <c r="I618" s="616"/>
      <c r="L618" s="626"/>
      <c r="R618" s="297"/>
      <c r="S618" s="297"/>
      <c r="T618" s="297"/>
    </row>
    <row r="619" spans="1:20" x14ac:dyDescent="0.2">
      <c r="L619" s="650"/>
      <c r="R619" s="297"/>
      <c r="S619" s="297"/>
      <c r="T619" s="297"/>
    </row>
    <row r="620" spans="1:20" x14ac:dyDescent="0.2">
      <c r="R620" s="297"/>
      <c r="S620" s="297"/>
      <c r="T620" s="297"/>
    </row>
    <row r="621" spans="1:20" x14ac:dyDescent="0.2">
      <c r="R621" s="297"/>
      <c r="S621" s="297"/>
      <c r="T621" s="297"/>
    </row>
    <row r="622" spans="1:20" x14ac:dyDescent="0.2">
      <c r="A622" s="601"/>
      <c r="R622" s="297"/>
      <c r="S622" s="297"/>
      <c r="T622" s="297"/>
    </row>
    <row r="623" spans="1:20" x14ac:dyDescent="0.2">
      <c r="K623" s="651"/>
      <c r="L623" s="651"/>
      <c r="M623" s="651"/>
      <c r="R623" s="297"/>
      <c r="S623" s="297"/>
      <c r="T623" s="297"/>
    </row>
    <row r="624" spans="1:20" x14ac:dyDescent="0.2">
      <c r="K624" s="503"/>
      <c r="L624" s="652"/>
      <c r="M624" s="503"/>
      <c r="N624" s="611"/>
      <c r="O624" s="611"/>
      <c r="R624" s="297"/>
      <c r="S624" s="297"/>
      <c r="T624" s="297"/>
    </row>
    <row r="625" spans="11:20" x14ac:dyDescent="0.2">
      <c r="K625" s="503"/>
      <c r="L625" s="652"/>
      <c r="M625" s="503"/>
      <c r="R625" s="297"/>
      <c r="S625" s="297"/>
      <c r="T625" s="297"/>
    </row>
    <row r="626" spans="11:20" x14ac:dyDescent="0.2">
      <c r="K626" s="503"/>
      <c r="L626" s="652"/>
      <c r="M626" s="503"/>
      <c r="R626" s="297"/>
      <c r="S626" s="297"/>
      <c r="T626" s="297"/>
    </row>
    <row r="628" spans="11:20" x14ac:dyDescent="0.2">
      <c r="K628" s="504"/>
    </row>
    <row r="629" spans="11:20" x14ac:dyDescent="0.2">
      <c r="K629" s="504"/>
    </row>
    <row r="633" spans="11:20" x14ac:dyDescent="0.2">
      <c r="K633" s="504"/>
    </row>
    <row r="638" spans="11:20" x14ac:dyDescent="0.2">
      <c r="K638" s="504"/>
    </row>
  </sheetData>
  <mergeCells count="4">
    <mergeCell ref="A3:P3"/>
    <mergeCell ref="A2:P2"/>
    <mergeCell ref="A1:P1"/>
    <mergeCell ref="A9:P9"/>
  </mergeCells>
  <printOptions horizontalCentered="1"/>
  <pageMargins left="0.5" right="0.25" top="0.5" bottom="0.25" header="0.25" footer="0.5"/>
  <pageSetup scale="68" orientation="landscape" r:id="rId1"/>
  <headerFooter alignWithMargins="0">
    <oddHeader>&amp;RKY PSC Case No. 2016-00162
Attachment B to PSC 2-65</oddHeader>
  </headerFooter>
  <ignoredErrors>
    <ignoredError sqref="D15:Q15 D17:Q34 P16:Q16 D36:Q56 P35:Q3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 codeName="Sheet2"/>
  <dimension ref="A1:S362"/>
  <sheetViews>
    <sheetView topLeftCell="A193" zoomScaleNormal="100" zoomScaleSheetLayoutView="70" workbookViewId="0">
      <selection activeCell="C18" sqref="C18"/>
    </sheetView>
  </sheetViews>
  <sheetFormatPr defaultColWidth="7" defaultRowHeight="10.199999999999999" x14ac:dyDescent="0.2"/>
  <cols>
    <col min="1" max="1" width="6.1640625" style="221" customWidth="1"/>
    <col min="2" max="2" width="25" style="221" customWidth="1"/>
    <col min="3" max="3" width="11.83203125" style="224" customWidth="1"/>
    <col min="4" max="4" width="12.83203125" style="221" bestFit="1" customWidth="1"/>
    <col min="5" max="7" width="10.83203125" style="224" bestFit="1" customWidth="1"/>
    <col min="8" max="15" width="10.83203125" style="221" bestFit="1" customWidth="1"/>
    <col min="16" max="16" width="12.33203125" style="221" customWidth="1"/>
    <col min="17" max="17" width="12.6640625" style="221" bestFit="1" customWidth="1"/>
    <col min="18" max="16384" width="7" style="221"/>
  </cols>
  <sheetData>
    <row r="1" spans="1:19" x14ac:dyDescent="0.2">
      <c r="A1" s="875" t="s">
        <v>36</v>
      </c>
      <c r="B1" s="875"/>
      <c r="C1" s="875"/>
      <c r="D1" s="875"/>
      <c r="E1" s="875"/>
      <c r="F1" s="875"/>
      <c r="G1" s="875"/>
      <c r="H1" s="875"/>
      <c r="I1" s="875"/>
      <c r="J1" s="875"/>
      <c r="K1" s="875"/>
      <c r="L1" s="875"/>
      <c r="M1" s="875"/>
      <c r="N1" s="875"/>
      <c r="O1" s="875"/>
      <c r="P1" s="875"/>
    </row>
    <row r="2" spans="1:19" x14ac:dyDescent="0.2">
      <c r="A2" s="875" t="s">
        <v>195</v>
      </c>
      <c r="B2" s="875"/>
      <c r="C2" s="875"/>
      <c r="D2" s="875"/>
      <c r="E2" s="875"/>
      <c r="F2" s="875"/>
      <c r="G2" s="875"/>
      <c r="H2" s="875"/>
      <c r="I2" s="875"/>
      <c r="J2" s="875"/>
      <c r="K2" s="875"/>
      <c r="L2" s="875"/>
      <c r="M2" s="875"/>
      <c r="N2" s="875"/>
      <c r="O2" s="875"/>
      <c r="P2" s="875"/>
    </row>
    <row r="3" spans="1:19" x14ac:dyDescent="0.2">
      <c r="A3" s="876" t="s">
        <v>416</v>
      </c>
      <c r="B3" s="876"/>
      <c r="C3" s="876"/>
      <c r="D3" s="876"/>
      <c r="E3" s="876"/>
      <c r="F3" s="876"/>
      <c r="G3" s="876"/>
      <c r="H3" s="876"/>
      <c r="I3" s="876"/>
      <c r="J3" s="876"/>
      <c r="K3" s="876"/>
      <c r="L3" s="876"/>
      <c r="M3" s="876"/>
      <c r="N3" s="876"/>
      <c r="O3" s="876"/>
      <c r="P3" s="876"/>
    </row>
    <row r="5" spans="1:19" x14ac:dyDescent="0.2">
      <c r="A5" s="587" t="s">
        <v>538</v>
      </c>
      <c r="C5" s="416"/>
      <c r="D5" s="416"/>
      <c r="E5" s="416"/>
      <c r="F5" s="416"/>
    </row>
    <row r="6" spans="1:19" x14ac:dyDescent="0.2">
      <c r="A6" s="587" t="s">
        <v>537</v>
      </c>
      <c r="C6" s="416"/>
      <c r="D6" s="416"/>
      <c r="E6" s="416"/>
      <c r="F6" s="416"/>
    </row>
    <row r="7" spans="1:19" x14ac:dyDescent="0.2">
      <c r="A7" s="588" t="s">
        <v>63</v>
      </c>
      <c r="C7" s="416"/>
      <c r="D7" s="416"/>
      <c r="E7" s="416"/>
      <c r="F7" s="416"/>
      <c r="P7" s="653" t="s">
        <v>336</v>
      </c>
    </row>
    <row r="8" spans="1:19" x14ac:dyDescent="0.2">
      <c r="A8" s="590" t="s">
        <v>303</v>
      </c>
      <c r="B8" s="226"/>
      <c r="C8" s="416"/>
      <c r="D8" s="423"/>
      <c r="E8" s="226"/>
      <c r="F8" s="424"/>
      <c r="G8" s="425"/>
      <c r="H8" s="424"/>
      <c r="I8" s="426"/>
      <c r="J8" s="424"/>
      <c r="K8" s="424"/>
      <c r="L8" s="424"/>
      <c r="M8" s="424"/>
      <c r="N8" s="424"/>
      <c r="O8" s="424"/>
      <c r="P8" s="654" t="s">
        <v>465</v>
      </c>
      <c r="Q8" s="226"/>
      <c r="R8" s="226"/>
    </row>
    <row r="9" spans="1:19" x14ac:dyDescent="0.2">
      <c r="A9" s="655"/>
      <c r="B9" s="226"/>
      <c r="C9" s="416"/>
      <c r="D9" s="423"/>
      <c r="E9" s="226"/>
      <c r="F9" s="424"/>
      <c r="G9" s="425"/>
      <c r="H9" s="424"/>
      <c r="I9" s="426"/>
      <c r="J9" s="424"/>
      <c r="K9" s="424"/>
      <c r="L9" s="424"/>
      <c r="M9" s="424"/>
      <c r="N9" s="424"/>
      <c r="O9" s="424"/>
      <c r="P9" s="424"/>
      <c r="Q9" s="226"/>
      <c r="R9" s="226"/>
    </row>
    <row r="10" spans="1:19" x14ac:dyDescent="0.2">
      <c r="A10" s="226" t="s">
        <v>1</v>
      </c>
      <c r="B10" s="226"/>
      <c r="C10" s="416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4"/>
      <c r="Q10" s="231"/>
      <c r="R10" s="231"/>
    </row>
    <row r="11" spans="1:19" x14ac:dyDescent="0.2">
      <c r="A11" s="228" t="s">
        <v>3</v>
      </c>
      <c r="B11" s="228" t="s">
        <v>4</v>
      </c>
      <c r="C11" s="285" t="s">
        <v>186</v>
      </c>
      <c r="D11" s="428" t="s">
        <v>417</v>
      </c>
      <c r="E11" s="428" t="s">
        <v>418</v>
      </c>
      <c r="F11" s="428" t="s">
        <v>419</v>
      </c>
      <c r="G11" s="428" t="s">
        <v>420</v>
      </c>
      <c r="H11" s="428" t="s">
        <v>421</v>
      </c>
      <c r="I11" s="428" t="s">
        <v>422</v>
      </c>
      <c r="J11" s="428" t="s">
        <v>423</v>
      </c>
      <c r="K11" s="428" t="s">
        <v>424</v>
      </c>
      <c r="L11" s="428" t="s">
        <v>425</v>
      </c>
      <c r="M11" s="428" t="s">
        <v>426</v>
      </c>
      <c r="N11" s="428" t="s">
        <v>427</v>
      </c>
      <c r="O11" s="428" t="s">
        <v>428</v>
      </c>
      <c r="P11" s="429" t="s">
        <v>9</v>
      </c>
      <c r="S11" s="286"/>
    </row>
    <row r="12" spans="1:19" x14ac:dyDescent="0.2">
      <c r="A12" s="226"/>
      <c r="B12" s="231" t="s">
        <v>42</v>
      </c>
      <c r="C12" s="232" t="s">
        <v>43</v>
      </c>
      <c r="D12" s="431" t="s">
        <v>45</v>
      </c>
      <c r="E12" s="431" t="s">
        <v>46</v>
      </c>
      <c r="F12" s="431" t="s">
        <v>49</v>
      </c>
      <c r="G12" s="431" t="s">
        <v>50</v>
      </c>
      <c r="H12" s="431" t="s">
        <v>51</v>
      </c>
      <c r="I12" s="431" t="s">
        <v>52</v>
      </c>
      <c r="J12" s="431" t="s">
        <v>53</v>
      </c>
      <c r="K12" s="432" t="s">
        <v>54</v>
      </c>
      <c r="L12" s="432" t="s">
        <v>55</v>
      </c>
      <c r="M12" s="432" t="s">
        <v>56</v>
      </c>
      <c r="N12" s="432" t="s">
        <v>57</v>
      </c>
      <c r="O12" s="432" t="s">
        <v>58</v>
      </c>
      <c r="P12" s="432" t="s">
        <v>59</v>
      </c>
      <c r="S12" s="231"/>
    </row>
    <row r="13" spans="1:19" x14ac:dyDescent="0.2">
      <c r="A13" s="226"/>
      <c r="B13" s="231"/>
      <c r="C13" s="232"/>
      <c r="D13" s="431"/>
      <c r="E13" s="431"/>
      <c r="F13" s="431"/>
      <c r="G13" s="431"/>
      <c r="H13" s="431"/>
      <c r="I13" s="431"/>
      <c r="J13" s="432"/>
      <c r="K13" s="432"/>
      <c r="L13" s="432"/>
      <c r="M13" s="432"/>
      <c r="N13" s="432"/>
      <c r="O13" s="432"/>
      <c r="P13" s="432"/>
      <c r="S13" s="231"/>
    </row>
    <row r="14" spans="1:19" x14ac:dyDescent="0.2">
      <c r="A14" s="233">
        <v>1</v>
      </c>
      <c r="B14" s="225" t="s">
        <v>241</v>
      </c>
      <c r="C14" s="232"/>
      <c r="D14" s="431"/>
      <c r="E14" s="431"/>
      <c r="F14" s="431"/>
      <c r="G14" s="431"/>
      <c r="H14" s="431"/>
      <c r="I14" s="431"/>
      <c r="J14" s="432"/>
      <c r="K14" s="432"/>
      <c r="L14" s="432"/>
      <c r="M14" s="432"/>
      <c r="N14" s="432"/>
      <c r="O14" s="432"/>
      <c r="P14" s="432"/>
      <c r="S14" s="231"/>
    </row>
    <row r="15" spans="1:19" x14ac:dyDescent="0.2">
      <c r="A15" s="656">
        <f>A14+1</f>
        <v>2</v>
      </c>
      <c r="B15" s="485" t="s">
        <v>289</v>
      </c>
      <c r="C15" s="657"/>
      <c r="D15" s="658">
        <v>97701</v>
      </c>
      <c r="E15" s="658">
        <v>97841</v>
      </c>
      <c r="F15" s="658">
        <f>97768+1</f>
        <v>97769</v>
      </c>
      <c r="G15" s="658">
        <f>97199+1</f>
        <v>97200</v>
      </c>
      <c r="H15" s="658">
        <f>96613+1</f>
        <v>96614</v>
      </c>
      <c r="I15" s="658">
        <f>95826+1</f>
        <v>95827</v>
      </c>
      <c r="J15" s="658">
        <f>95230+1</f>
        <v>95231</v>
      </c>
      <c r="K15" s="658">
        <v>94972</v>
      </c>
      <c r="L15" s="658">
        <v>94911</v>
      </c>
      <c r="M15" s="658">
        <v>95260</v>
      </c>
      <c r="N15" s="658">
        <v>96401</v>
      </c>
      <c r="O15" s="658">
        <v>97331</v>
      </c>
      <c r="P15" s="659">
        <f>SUM(D15:O15)</f>
        <v>1157058</v>
      </c>
      <c r="S15" s="231"/>
    </row>
    <row r="16" spans="1:19" x14ac:dyDescent="0.2">
      <c r="A16" s="656">
        <f t="shared" ref="A16:A17" si="0">A15+1</f>
        <v>3</v>
      </c>
      <c r="B16" s="485" t="s">
        <v>290</v>
      </c>
      <c r="C16" s="657"/>
      <c r="D16" s="661">
        <v>1588</v>
      </c>
      <c r="E16" s="661">
        <v>1632</v>
      </c>
      <c r="F16" s="661">
        <v>1773</v>
      </c>
      <c r="G16" s="661">
        <v>2322</v>
      </c>
      <c r="H16" s="661">
        <v>2426</v>
      </c>
      <c r="I16" s="661">
        <v>2267</v>
      </c>
      <c r="J16" s="661">
        <v>2008</v>
      </c>
      <c r="K16" s="661">
        <v>2645</v>
      </c>
      <c r="L16" s="661">
        <v>2068</v>
      </c>
      <c r="M16" s="661">
        <v>1695</v>
      </c>
      <c r="N16" s="661">
        <v>1590</v>
      </c>
      <c r="O16" s="661">
        <v>1594</v>
      </c>
      <c r="P16" s="307">
        <f>SUM(D16:O16)</f>
        <v>23608</v>
      </c>
      <c r="S16" s="231"/>
    </row>
    <row r="17" spans="1:19" x14ac:dyDescent="0.2">
      <c r="A17" s="656">
        <f t="shared" si="0"/>
        <v>4</v>
      </c>
      <c r="B17" s="485" t="s">
        <v>259</v>
      </c>
      <c r="C17" s="657"/>
      <c r="D17" s="505">
        <f t="shared" ref="D17:O17" si="1">SUM(D15:D16)</f>
        <v>99289</v>
      </c>
      <c r="E17" s="505">
        <f t="shared" si="1"/>
        <v>99473</v>
      </c>
      <c r="F17" s="505">
        <f t="shared" si="1"/>
        <v>99542</v>
      </c>
      <c r="G17" s="505">
        <f t="shared" si="1"/>
        <v>99522</v>
      </c>
      <c r="H17" s="505">
        <f t="shared" si="1"/>
        <v>99040</v>
      </c>
      <c r="I17" s="505">
        <f t="shared" si="1"/>
        <v>98094</v>
      </c>
      <c r="J17" s="505">
        <f t="shared" si="1"/>
        <v>97239</v>
      </c>
      <c r="K17" s="505">
        <f t="shared" si="1"/>
        <v>97617</v>
      </c>
      <c r="L17" s="505">
        <f t="shared" si="1"/>
        <v>96979</v>
      </c>
      <c r="M17" s="505">
        <f t="shared" si="1"/>
        <v>96955</v>
      </c>
      <c r="N17" s="505">
        <f t="shared" si="1"/>
        <v>97991</v>
      </c>
      <c r="O17" s="505">
        <f t="shared" si="1"/>
        <v>98925</v>
      </c>
      <c r="P17" s="659">
        <f>SUM(D17:O17)</f>
        <v>1180666</v>
      </c>
      <c r="Q17" s="512"/>
      <c r="S17" s="231"/>
    </row>
    <row r="18" spans="1:19" x14ac:dyDescent="0.2">
      <c r="A18" s="305"/>
      <c r="B18" s="462"/>
      <c r="C18" s="306"/>
      <c r="D18" s="662"/>
      <c r="E18" s="662"/>
      <c r="F18" s="662"/>
      <c r="G18" s="662"/>
      <c r="H18" s="663"/>
      <c r="I18" s="663"/>
      <c r="J18" s="663"/>
      <c r="K18" s="663"/>
      <c r="L18" s="663"/>
      <c r="M18" s="663"/>
      <c r="N18" s="663"/>
      <c r="O18" s="663"/>
      <c r="P18" s="664"/>
    </row>
    <row r="19" spans="1:19" x14ac:dyDescent="0.2">
      <c r="A19" s="656">
        <f>A17+1</f>
        <v>5</v>
      </c>
      <c r="B19" s="501" t="s">
        <v>242</v>
      </c>
      <c r="C19" s="665"/>
      <c r="D19" s="598"/>
      <c r="E19" s="598"/>
      <c r="F19" s="598"/>
      <c r="G19" s="598"/>
      <c r="H19" s="598"/>
      <c r="I19" s="598"/>
      <c r="J19" s="599"/>
      <c r="K19" s="599"/>
      <c r="L19" s="599"/>
      <c r="M19" s="599"/>
      <c r="N19" s="599"/>
      <c r="O19" s="599"/>
      <c r="P19" s="599"/>
      <c r="S19" s="231"/>
    </row>
    <row r="20" spans="1:19" x14ac:dyDescent="0.2">
      <c r="A20" s="656">
        <f>A19+1</f>
        <v>6</v>
      </c>
      <c r="B20" s="485" t="s">
        <v>289</v>
      </c>
      <c r="C20" s="657"/>
      <c r="D20" s="658">
        <v>3</v>
      </c>
      <c r="E20" s="658">
        <v>3</v>
      </c>
      <c r="F20" s="658">
        <v>4</v>
      </c>
      <c r="G20" s="658">
        <v>4</v>
      </c>
      <c r="H20" s="658">
        <v>4</v>
      </c>
      <c r="I20" s="658">
        <v>4</v>
      </c>
      <c r="J20" s="658">
        <v>3</v>
      </c>
      <c r="K20" s="658">
        <v>3</v>
      </c>
      <c r="L20" s="658">
        <v>3</v>
      </c>
      <c r="M20" s="658">
        <v>3</v>
      </c>
      <c r="N20" s="658">
        <v>3</v>
      </c>
      <c r="O20" s="658">
        <v>3</v>
      </c>
      <c r="P20" s="659">
        <f>SUM(D20:O20)</f>
        <v>40</v>
      </c>
      <c r="S20" s="231"/>
    </row>
    <row r="21" spans="1:19" x14ac:dyDescent="0.2">
      <c r="A21" s="656">
        <f>A20+1</f>
        <v>7</v>
      </c>
      <c r="B21" s="485" t="s">
        <v>290</v>
      </c>
      <c r="C21" s="657"/>
      <c r="D21" s="661">
        <v>0</v>
      </c>
      <c r="E21" s="661">
        <v>0</v>
      </c>
      <c r="F21" s="661">
        <v>0</v>
      </c>
      <c r="G21" s="661">
        <v>0</v>
      </c>
      <c r="H21" s="661">
        <v>0</v>
      </c>
      <c r="I21" s="661">
        <v>0</v>
      </c>
      <c r="J21" s="661">
        <v>1</v>
      </c>
      <c r="K21" s="661">
        <v>0</v>
      </c>
      <c r="L21" s="661">
        <v>0</v>
      </c>
      <c r="M21" s="661">
        <v>0</v>
      </c>
      <c r="N21" s="661">
        <v>0</v>
      </c>
      <c r="O21" s="661">
        <v>0</v>
      </c>
      <c r="P21" s="307">
        <f>SUM(D21:O21)</f>
        <v>1</v>
      </c>
      <c r="S21" s="231"/>
    </row>
    <row r="22" spans="1:19" x14ac:dyDescent="0.2">
      <c r="A22" s="656">
        <f>A21+1</f>
        <v>8</v>
      </c>
      <c r="B22" s="485" t="s">
        <v>259</v>
      </c>
      <c r="C22" s="657"/>
      <c r="D22" s="505">
        <f t="shared" ref="D22:O22" si="2">SUM(D20:D21)</f>
        <v>3</v>
      </c>
      <c r="E22" s="505">
        <f t="shared" si="2"/>
        <v>3</v>
      </c>
      <c r="F22" s="505">
        <f t="shared" si="2"/>
        <v>4</v>
      </c>
      <c r="G22" s="505">
        <f t="shared" si="2"/>
        <v>4</v>
      </c>
      <c r="H22" s="505">
        <f t="shared" si="2"/>
        <v>4</v>
      </c>
      <c r="I22" s="505">
        <f t="shared" si="2"/>
        <v>4</v>
      </c>
      <c r="J22" s="505">
        <f t="shared" si="2"/>
        <v>4</v>
      </c>
      <c r="K22" s="505">
        <f t="shared" si="2"/>
        <v>3</v>
      </c>
      <c r="L22" s="505">
        <f t="shared" si="2"/>
        <v>3</v>
      </c>
      <c r="M22" s="505">
        <f t="shared" si="2"/>
        <v>3</v>
      </c>
      <c r="N22" s="505">
        <f t="shared" si="2"/>
        <v>3</v>
      </c>
      <c r="O22" s="505">
        <f t="shared" si="2"/>
        <v>3</v>
      </c>
      <c r="P22" s="659">
        <f>SUM(D22:O22)</f>
        <v>41</v>
      </c>
      <c r="S22" s="231"/>
    </row>
    <row r="23" spans="1:19" x14ac:dyDescent="0.2">
      <c r="A23" s="656"/>
      <c r="B23" s="485"/>
      <c r="C23" s="657"/>
      <c r="D23" s="505"/>
      <c r="E23" s="505"/>
      <c r="F23" s="505"/>
      <c r="G23" s="505"/>
      <c r="H23" s="505"/>
      <c r="I23" s="505"/>
      <c r="J23" s="505"/>
      <c r="K23" s="505"/>
      <c r="L23" s="505"/>
      <c r="M23" s="505"/>
      <c r="N23" s="505"/>
      <c r="O23" s="505"/>
      <c r="P23" s="659"/>
      <c r="S23" s="231"/>
    </row>
    <row r="24" spans="1:19" x14ac:dyDescent="0.2">
      <c r="A24" s="656">
        <f>A22+1</f>
        <v>9</v>
      </c>
      <c r="B24" s="501" t="s">
        <v>243</v>
      </c>
      <c r="C24" s="665"/>
      <c r="D24" s="598"/>
      <c r="E24" s="598"/>
      <c r="F24" s="598"/>
      <c r="G24" s="598"/>
      <c r="H24" s="598"/>
      <c r="I24" s="598"/>
      <c r="J24" s="599"/>
      <c r="K24" s="599"/>
      <c r="L24" s="599"/>
      <c r="M24" s="599"/>
      <c r="N24" s="599"/>
      <c r="O24" s="599"/>
      <c r="P24" s="599"/>
      <c r="S24" s="231"/>
    </row>
    <row r="25" spans="1:19" x14ac:dyDescent="0.2">
      <c r="A25" s="656">
        <f>A24+1</f>
        <v>10</v>
      </c>
      <c r="B25" s="485" t="s">
        <v>289</v>
      </c>
      <c r="C25" s="657"/>
      <c r="D25" s="658">
        <v>16</v>
      </c>
      <c r="E25" s="658">
        <v>16</v>
      </c>
      <c r="F25" s="658">
        <v>16</v>
      </c>
      <c r="G25" s="658">
        <v>16</v>
      </c>
      <c r="H25" s="658">
        <v>16</v>
      </c>
      <c r="I25" s="658">
        <v>16</v>
      </c>
      <c r="J25" s="658">
        <v>16</v>
      </c>
      <c r="K25" s="658">
        <v>16</v>
      </c>
      <c r="L25" s="658">
        <v>16</v>
      </c>
      <c r="M25" s="658">
        <v>16</v>
      </c>
      <c r="N25" s="658">
        <v>16</v>
      </c>
      <c r="O25" s="658">
        <v>16</v>
      </c>
      <c r="P25" s="659">
        <f>SUM(D25:O25)</f>
        <v>192</v>
      </c>
      <c r="S25" s="231"/>
    </row>
    <row r="26" spans="1:19" x14ac:dyDescent="0.2">
      <c r="A26" s="656">
        <f t="shared" ref="A26:A27" si="3">A25+1</f>
        <v>11</v>
      </c>
      <c r="B26" s="485" t="s">
        <v>290</v>
      </c>
      <c r="C26" s="657"/>
      <c r="D26" s="661">
        <v>0</v>
      </c>
      <c r="E26" s="661">
        <v>0</v>
      </c>
      <c r="F26" s="661">
        <v>0</v>
      </c>
      <c r="G26" s="661">
        <v>0</v>
      </c>
      <c r="H26" s="661">
        <v>0</v>
      </c>
      <c r="I26" s="661">
        <v>0</v>
      </c>
      <c r="J26" s="661">
        <v>0</v>
      </c>
      <c r="K26" s="661">
        <v>0</v>
      </c>
      <c r="L26" s="661">
        <v>0</v>
      </c>
      <c r="M26" s="661">
        <v>0</v>
      </c>
      <c r="N26" s="661">
        <v>0</v>
      </c>
      <c r="O26" s="661">
        <v>0</v>
      </c>
      <c r="P26" s="307">
        <f>SUM(D26:O26)</f>
        <v>0</v>
      </c>
      <c r="S26" s="231"/>
    </row>
    <row r="27" spans="1:19" x14ac:dyDescent="0.2">
      <c r="A27" s="656">
        <f t="shared" si="3"/>
        <v>12</v>
      </c>
      <c r="B27" s="485" t="s">
        <v>259</v>
      </c>
      <c r="C27" s="657"/>
      <c r="D27" s="505">
        <f t="shared" ref="D27:O27" si="4">SUM(D25:D26)</f>
        <v>16</v>
      </c>
      <c r="E27" s="505">
        <f t="shared" si="4"/>
        <v>16</v>
      </c>
      <c r="F27" s="505">
        <f t="shared" si="4"/>
        <v>16</v>
      </c>
      <c r="G27" s="505">
        <f t="shared" si="4"/>
        <v>16</v>
      </c>
      <c r="H27" s="505">
        <f t="shared" si="4"/>
        <v>16</v>
      </c>
      <c r="I27" s="505">
        <f t="shared" si="4"/>
        <v>16</v>
      </c>
      <c r="J27" s="505">
        <f t="shared" si="4"/>
        <v>16</v>
      </c>
      <c r="K27" s="505">
        <f t="shared" si="4"/>
        <v>16</v>
      </c>
      <c r="L27" s="505">
        <f t="shared" si="4"/>
        <v>16</v>
      </c>
      <c r="M27" s="505">
        <f t="shared" si="4"/>
        <v>16</v>
      </c>
      <c r="N27" s="505">
        <f t="shared" si="4"/>
        <v>16</v>
      </c>
      <c r="O27" s="505">
        <f t="shared" si="4"/>
        <v>16</v>
      </c>
      <c r="P27" s="659">
        <f>SUM(D27:O27)</f>
        <v>192</v>
      </c>
      <c r="S27" s="231"/>
    </row>
    <row r="28" spans="1:19" x14ac:dyDescent="0.2">
      <c r="A28" s="656"/>
      <c r="B28" s="485"/>
      <c r="C28" s="657"/>
      <c r="D28" s="666"/>
      <c r="E28" s="666"/>
      <c r="F28" s="666"/>
      <c r="G28" s="666"/>
      <c r="H28" s="666"/>
      <c r="I28" s="666"/>
      <c r="J28" s="667"/>
      <c r="K28" s="667"/>
      <c r="L28" s="667"/>
      <c r="M28" s="667"/>
      <c r="N28" s="667"/>
      <c r="O28" s="667"/>
      <c r="P28" s="667"/>
      <c r="S28" s="231"/>
    </row>
    <row r="29" spans="1:19" x14ac:dyDescent="0.2">
      <c r="A29" s="656">
        <f>A27+1</f>
        <v>13</v>
      </c>
      <c r="B29" s="501" t="s">
        <v>245</v>
      </c>
      <c r="C29" s="665"/>
      <c r="D29" s="598"/>
      <c r="E29" s="598"/>
      <c r="F29" s="598"/>
      <c r="G29" s="598"/>
      <c r="H29" s="598"/>
      <c r="I29" s="598"/>
      <c r="J29" s="599"/>
      <c r="K29" s="599"/>
      <c r="L29" s="599"/>
      <c r="M29" s="599"/>
      <c r="N29" s="599"/>
      <c r="O29" s="599"/>
      <c r="P29" s="599"/>
      <c r="S29" s="231"/>
    </row>
    <row r="30" spans="1:19" x14ac:dyDescent="0.2">
      <c r="A30" s="656">
        <f>A29+1</f>
        <v>14</v>
      </c>
      <c r="B30" s="485" t="s">
        <v>289</v>
      </c>
      <c r="C30" s="657"/>
      <c r="D30" s="658">
        <v>9</v>
      </c>
      <c r="E30" s="658">
        <v>9</v>
      </c>
      <c r="F30" s="658">
        <v>9</v>
      </c>
      <c r="G30" s="658">
        <v>9</v>
      </c>
      <c r="H30" s="658">
        <v>8</v>
      </c>
      <c r="I30" s="658">
        <v>9</v>
      </c>
      <c r="J30" s="658">
        <v>9</v>
      </c>
      <c r="K30" s="658">
        <v>9</v>
      </c>
      <c r="L30" s="658">
        <v>9</v>
      </c>
      <c r="M30" s="658">
        <v>9</v>
      </c>
      <c r="N30" s="658">
        <v>9</v>
      </c>
      <c r="O30" s="658">
        <v>9</v>
      </c>
      <c r="P30" s="659">
        <f>SUM(D30:O30)</f>
        <v>107</v>
      </c>
      <c r="S30" s="231"/>
    </row>
    <row r="31" spans="1:19" x14ac:dyDescent="0.2">
      <c r="A31" s="656">
        <f t="shared" ref="A31:A32" si="5">A30+1</f>
        <v>15</v>
      </c>
      <c r="B31" s="485" t="s">
        <v>290</v>
      </c>
      <c r="C31" s="657"/>
      <c r="D31" s="661">
        <v>0</v>
      </c>
      <c r="E31" s="661">
        <v>0</v>
      </c>
      <c r="F31" s="661">
        <v>0</v>
      </c>
      <c r="G31" s="661">
        <v>1</v>
      </c>
      <c r="H31" s="661">
        <v>0</v>
      </c>
      <c r="I31" s="661">
        <v>0</v>
      </c>
      <c r="J31" s="661">
        <v>0</v>
      </c>
      <c r="K31" s="661">
        <v>0</v>
      </c>
      <c r="L31" s="661">
        <v>0</v>
      </c>
      <c r="M31" s="661">
        <v>0</v>
      </c>
      <c r="N31" s="661">
        <v>0</v>
      </c>
      <c r="O31" s="661">
        <v>0</v>
      </c>
      <c r="P31" s="307">
        <f>SUM(D31:O31)</f>
        <v>1</v>
      </c>
      <c r="S31" s="231"/>
    </row>
    <row r="32" spans="1:19" x14ac:dyDescent="0.2">
      <c r="A32" s="656">
        <f t="shared" si="5"/>
        <v>16</v>
      </c>
      <c r="B32" s="485" t="s">
        <v>259</v>
      </c>
      <c r="C32" s="657"/>
      <c r="D32" s="505">
        <f t="shared" ref="D32:O32" si="6">SUM(D30:D31)</f>
        <v>9</v>
      </c>
      <c r="E32" s="505">
        <f t="shared" si="6"/>
        <v>9</v>
      </c>
      <c r="F32" s="505">
        <f t="shared" si="6"/>
        <v>9</v>
      </c>
      <c r="G32" s="505">
        <f t="shared" si="6"/>
        <v>10</v>
      </c>
      <c r="H32" s="505">
        <f t="shared" si="6"/>
        <v>8</v>
      </c>
      <c r="I32" s="505">
        <f t="shared" si="6"/>
        <v>9</v>
      </c>
      <c r="J32" s="505">
        <f t="shared" si="6"/>
        <v>9</v>
      </c>
      <c r="K32" s="505">
        <f t="shared" si="6"/>
        <v>9</v>
      </c>
      <c r="L32" s="505">
        <f t="shared" si="6"/>
        <v>9</v>
      </c>
      <c r="M32" s="505">
        <f t="shared" si="6"/>
        <v>9</v>
      </c>
      <c r="N32" s="505">
        <f t="shared" si="6"/>
        <v>9</v>
      </c>
      <c r="O32" s="505">
        <f t="shared" si="6"/>
        <v>9</v>
      </c>
      <c r="P32" s="659">
        <f>SUM(D32:O32)</f>
        <v>108</v>
      </c>
      <c r="S32" s="231"/>
    </row>
    <row r="33" spans="1:19" x14ac:dyDescent="0.2">
      <c r="A33" s="656"/>
      <c r="B33" s="485"/>
      <c r="C33" s="657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505"/>
      <c r="O33" s="505"/>
      <c r="P33" s="505"/>
      <c r="S33" s="231"/>
    </row>
    <row r="34" spans="1:19" x14ac:dyDescent="0.2">
      <c r="A34" s="656">
        <f>A32+1</f>
        <v>17</v>
      </c>
      <c r="B34" s="670" t="s">
        <v>246</v>
      </c>
      <c r="C34" s="665"/>
      <c r="D34" s="598"/>
      <c r="E34" s="598"/>
      <c r="F34" s="598"/>
      <c r="G34" s="598"/>
      <c r="H34" s="598"/>
      <c r="I34" s="598"/>
      <c r="J34" s="598"/>
      <c r="K34" s="599"/>
      <c r="L34" s="599"/>
      <c r="M34" s="599"/>
      <c r="N34" s="599"/>
      <c r="O34" s="599"/>
      <c r="P34" s="599"/>
      <c r="S34" s="231"/>
    </row>
    <row r="35" spans="1:19" x14ac:dyDescent="0.2">
      <c r="A35" s="656">
        <f>A34+1</f>
        <v>18</v>
      </c>
      <c r="B35" s="485" t="s">
        <v>289</v>
      </c>
      <c r="C35" s="657"/>
      <c r="D35" s="660">
        <v>0</v>
      </c>
      <c r="E35" s="660">
        <v>0</v>
      </c>
      <c r="F35" s="660">
        <v>0</v>
      </c>
      <c r="G35" s="660">
        <v>0</v>
      </c>
      <c r="H35" s="660">
        <v>0</v>
      </c>
      <c r="I35" s="660">
        <v>0</v>
      </c>
      <c r="J35" s="660">
        <v>0</v>
      </c>
      <c r="K35" s="660">
        <v>0</v>
      </c>
      <c r="L35" s="660">
        <v>0</v>
      </c>
      <c r="M35" s="660">
        <v>0</v>
      </c>
      <c r="N35" s="660">
        <v>0</v>
      </c>
      <c r="O35" s="660">
        <v>0</v>
      </c>
      <c r="P35" s="308">
        <f>SUM(D35:O35)</f>
        <v>0</v>
      </c>
      <c r="S35" s="231"/>
    </row>
    <row r="36" spans="1:19" x14ac:dyDescent="0.2">
      <c r="A36" s="656">
        <f t="shared" ref="A36:A37" si="7">A35+1</f>
        <v>19</v>
      </c>
      <c r="B36" s="485" t="s">
        <v>290</v>
      </c>
      <c r="C36" s="657"/>
      <c r="D36" s="661">
        <v>0</v>
      </c>
      <c r="E36" s="661">
        <v>0</v>
      </c>
      <c r="F36" s="661">
        <v>0</v>
      </c>
      <c r="G36" s="661">
        <v>0</v>
      </c>
      <c r="H36" s="661">
        <v>0</v>
      </c>
      <c r="I36" s="661">
        <v>0</v>
      </c>
      <c r="J36" s="661">
        <v>0</v>
      </c>
      <c r="K36" s="661">
        <v>0</v>
      </c>
      <c r="L36" s="661">
        <v>0</v>
      </c>
      <c r="M36" s="661">
        <v>0</v>
      </c>
      <c r="N36" s="661">
        <v>0</v>
      </c>
      <c r="O36" s="661">
        <v>0</v>
      </c>
      <c r="P36" s="307">
        <f>SUM(D36:O36)</f>
        <v>0</v>
      </c>
      <c r="Q36" s="224"/>
      <c r="S36" s="231"/>
    </row>
    <row r="37" spans="1:19" x14ac:dyDescent="0.2">
      <c r="A37" s="656">
        <f t="shared" si="7"/>
        <v>20</v>
      </c>
      <c r="B37" s="485" t="s">
        <v>259</v>
      </c>
      <c r="C37" s="657"/>
      <c r="D37" s="308">
        <f t="shared" ref="D37:O37" si="8">SUM(D35:D36)</f>
        <v>0</v>
      </c>
      <c r="E37" s="308">
        <f t="shared" si="8"/>
        <v>0</v>
      </c>
      <c r="F37" s="308">
        <f t="shared" si="8"/>
        <v>0</v>
      </c>
      <c r="G37" s="308">
        <f t="shared" si="8"/>
        <v>0</v>
      </c>
      <c r="H37" s="308">
        <f t="shared" si="8"/>
        <v>0</v>
      </c>
      <c r="I37" s="308">
        <f t="shared" si="8"/>
        <v>0</v>
      </c>
      <c r="J37" s="308">
        <f t="shared" si="8"/>
        <v>0</v>
      </c>
      <c r="K37" s="308">
        <f t="shared" si="8"/>
        <v>0</v>
      </c>
      <c r="L37" s="308">
        <f t="shared" si="8"/>
        <v>0</v>
      </c>
      <c r="M37" s="308">
        <f t="shared" si="8"/>
        <v>0</v>
      </c>
      <c r="N37" s="308">
        <f t="shared" si="8"/>
        <v>0</v>
      </c>
      <c r="O37" s="308">
        <f t="shared" si="8"/>
        <v>0</v>
      </c>
      <c r="P37" s="308">
        <f>SUM(D37:O37)</f>
        <v>0</v>
      </c>
      <c r="S37" s="231"/>
    </row>
    <row r="38" spans="1:19" x14ac:dyDescent="0.2">
      <c r="A38" s="656"/>
      <c r="B38" s="485"/>
      <c r="C38" s="657"/>
      <c r="D38" s="505"/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659"/>
      <c r="S38" s="231"/>
    </row>
    <row r="39" spans="1:19" x14ac:dyDescent="0.2">
      <c r="A39" s="656">
        <f>A37+1</f>
        <v>21</v>
      </c>
      <c r="B39" s="501" t="s">
        <v>247</v>
      </c>
      <c r="C39" s="665"/>
      <c r="D39" s="668"/>
      <c r="E39" s="668"/>
      <c r="F39" s="668"/>
      <c r="G39" s="668"/>
      <c r="H39" s="668"/>
      <c r="I39" s="668"/>
      <c r="J39" s="669"/>
      <c r="K39" s="669"/>
      <c r="L39" s="669"/>
      <c r="M39" s="669"/>
      <c r="N39" s="669"/>
      <c r="O39" s="669"/>
      <c r="P39" s="599"/>
      <c r="S39" s="231"/>
    </row>
    <row r="40" spans="1:19" x14ac:dyDescent="0.2">
      <c r="A40" s="656">
        <f>A39+1</f>
        <v>22</v>
      </c>
      <c r="B40" s="485" t="s">
        <v>289</v>
      </c>
      <c r="C40" s="657"/>
      <c r="D40" s="658">
        <v>3</v>
      </c>
      <c r="E40" s="658">
        <v>3</v>
      </c>
      <c r="F40" s="658">
        <v>3</v>
      </c>
      <c r="G40" s="658">
        <v>3</v>
      </c>
      <c r="H40" s="658">
        <v>3</v>
      </c>
      <c r="I40" s="658">
        <v>3</v>
      </c>
      <c r="J40" s="658">
        <v>3</v>
      </c>
      <c r="K40" s="658">
        <v>3</v>
      </c>
      <c r="L40" s="658">
        <v>3</v>
      </c>
      <c r="M40" s="658">
        <v>3</v>
      </c>
      <c r="N40" s="658">
        <v>3</v>
      </c>
      <c r="O40" s="658">
        <v>3</v>
      </c>
      <c r="P40" s="659">
        <f>SUM(D40:O40)</f>
        <v>36</v>
      </c>
      <c r="S40" s="231"/>
    </row>
    <row r="41" spans="1:19" x14ac:dyDescent="0.2">
      <c r="A41" s="656">
        <f t="shared" ref="A41:A42" si="9">A40+1</f>
        <v>23</v>
      </c>
      <c r="B41" s="485" t="s">
        <v>290</v>
      </c>
      <c r="C41" s="657"/>
      <c r="D41" s="661">
        <v>0</v>
      </c>
      <c r="E41" s="661">
        <v>0</v>
      </c>
      <c r="F41" s="661">
        <v>0</v>
      </c>
      <c r="G41" s="661">
        <v>0</v>
      </c>
      <c r="H41" s="661">
        <v>0</v>
      </c>
      <c r="I41" s="661">
        <v>0</v>
      </c>
      <c r="J41" s="661">
        <v>0</v>
      </c>
      <c r="K41" s="661">
        <v>0</v>
      </c>
      <c r="L41" s="661">
        <v>0</v>
      </c>
      <c r="M41" s="661">
        <v>0</v>
      </c>
      <c r="N41" s="661">
        <v>0</v>
      </c>
      <c r="O41" s="661">
        <v>0</v>
      </c>
      <c r="P41" s="307">
        <f>SUM(D41:O41)</f>
        <v>0</v>
      </c>
      <c r="S41" s="231"/>
    </row>
    <row r="42" spans="1:19" x14ac:dyDescent="0.2">
      <c r="A42" s="656">
        <f t="shared" si="9"/>
        <v>24</v>
      </c>
      <c r="B42" s="485" t="s">
        <v>259</v>
      </c>
      <c r="C42" s="657"/>
      <c r="D42" s="505">
        <f t="shared" ref="D42:O42" si="10">SUM(D40:D41)</f>
        <v>3</v>
      </c>
      <c r="E42" s="505">
        <f t="shared" si="10"/>
        <v>3</v>
      </c>
      <c r="F42" s="505">
        <f t="shared" si="10"/>
        <v>3</v>
      </c>
      <c r="G42" s="505">
        <f t="shared" si="10"/>
        <v>3</v>
      </c>
      <c r="H42" s="505">
        <f t="shared" si="10"/>
        <v>3</v>
      </c>
      <c r="I42" s="505">
        <f t="shared" si="10"/>
        <v>3</v>
      </c>
      <c r="J42" s="505">
        <f t="shared" si="10"/>
        <v>3</v>
      </c>
      <c r="K42" s="505">
        <f t="shared" si="10"/>
        <v>3</v>
      </c>
      <c r="L42" s="505">
        <f t="shared" si="10"/>
        <v>3</v>
      </c>
      <c r="M42" s="505">
        <f t="shared" si="10"/>
        <v>3</v>
      </c>
      <c r="N42" s="505">
        <f t="shared" si="10"/>
        <v>3</v>
      </c>
      <c r="O42" s="505">
        <f t="shared" si="10"/>
        <v>3</v>
      </c>
      <c r="P42" s="659">
        <f>SUM(D42:O42)</f>
        <v>36</v>
      </c>
      <c r="S42" s="231"/>
    </row>
    <row r="43" spans="1:19" x14ac:dyDescent="0.2">
      <c r="A43" s="656"/>
      <c r="B43" s="485"/>
      <c r="C43" s="657"/>
      <c r="D43" s="505"/>
      <c r="E43" s="505"/>
      <c r="F43" s="505"/>
      <c r="G43" s="505"/>
      <c r="H43" s="505"/>
      <c r="I43" s="505"/>
      <c r="J43" s="505"/>
      <c r="K43" s="505"/>
      <c r="L43" s="505"/>
      <c r="M43" s="505"/>
      <c r="N43" s="505"/>
      <c r="O43" s="505"/>
      <c r="P43" s="659"/>
      <c r="S43" s="801"/>
    </row>
    <row r="44" spans="1:19" x14ac:dyDescent="0.2">
      <c r="A44" s="656">
        <f>A42+1</f>
        <v>25</v>
      </c>
      <c r="B44" s="501" t="s">
        <v>248</v>
      </c>
      <c r="C44" s="665"/>
      <c r="D44" s="668"/>
      <c r="E44" s="668"/>
      <c r="F44" s="668"/>
      <c r="G44" s="668"/>
      <c r="H44" s="668"/>
      <c r="I44" s="668"/>
      <c r="J44" s="669"/>
      <c r="K44" s="669"/>
      <c r="L44" s="669"/>
      <c r="M44" s="669"/>
      <c r="N44" s="669"/>
      <c r="O44" s="669"/>
      <c r="P44" s="599"/>
      <c r="S44" s="801"/>
    </row>
    <row r="45" spans="1:19" x14ac:dyDescent="0.2">
      <c r="A45" s="656">
        <f>A44+1</f>
        <v>26</v>
      </c>
      <c r="B45" s="485" t="s">
        <v>289</v>
      </c>
      <c r="C45" s="657"/>
      <c r="D45" s="658">
        <v>1</v>
      </c>
      <c r="E45" s="658">
        <v>1</v>
      </c>
      <c r="F45" s="658">
        <v>1</v>
      </c>
      <c r="G45" s="658">
        <v>1</v>
      </c>
      <c r="H45" s="658">
        <v>1</v>
      </c>
      <c r="I45" s="658">
        <v>1</v>
      </c>
      <c r="J45" s="658">
        <v>1</v>
      </c>
      <c r="K45" s="658">
        <v>1</v>
      </c>
      <c r="L45" s="658">
        <v>1</v>
      </c>
      <c r="M45" s="658">
        <v>1</v>
      </c>
      <c r="N45" s="658">
        <v>1</v>
      </c>
      <c r="O45" s="658">
        <v>1</v>
      </c>
      <c r="P45" s="659">
        <f>SUM(D45:O45)</f>
        <v>12</v>
      </c>
      <c r="S45" s="801"/>
    </row>
    <row r="46" spans="1:19" x14ac:dyDescent="0.2">
      <c r="A46" s="656">
        <f t="shared" ref="A46:A47" si="11">A45+1</f>
        <v>27</v>
      </c>
      <c r="B46" s="485" t="s">
        <v>290</v>
      </c>
      <c r="C46" s="657"/>
      <c r="D46" s="661">
        <v>0</v>
      </c>
      <c r="E46" s="661">
        <v>0</v>
      </c>
      <c r="F46" s="661">
        <v>0</v>
      </c>
      <c r="G46" s="661">
        <v>0</v>
      </c>
      <c r="H46" s="661">
        <v>0</v>
      </c>
      <c r="I46" s="661">
        <v>0</v>
      </c>
      <c r="J46" s="661">
        <v>0</v>
      </c>
      <c r="K46" s="661">
        <v>0</v>
      </c>
      <c r="L46" s="661">
        <v>0</v>
      </c>
      <c r="M46" s="661">
        <v>0</v>
      </c>
      <c r="N46" s="661">
        <v>0</v>
      </c>
      <c r="O46" s="661">
        <v>0</v>
      </c>
      <c r="P46" s="307">
        <f>SUM(D46:O46)</f>
        <v>0</v>
      </c>
      <c r="S46" s="801"/>
    </row>
    <row r="47" spans="1:19" x14ac:dyDescent="0.2">
      <c r="A47" s="656">
        <f t="shared" si="11"/>
        <v>28</v>
      </c>
      <c r="B47" s="485" t="s">
        <v>259</v>
      </c>
      <c r="C47" s="657"/>
      <c r="D47" s="505">
        <f t="shared" ref="D47:O47" si="12">SUM(D45:D46)</f>
        <v>1</v>
      </c>
      <c r="E47" s="505">
        <f t="shared" si="12"/>
        <v>1</v>
      </c>
      <c r="F47" s="505">
        <f t="shared" si="12"/>
        <v>1</v>
      </c>
      <c r="G47" s="505">
        <f t="shared" si="12"/>
        <v>1</v>
      </c>
      <c r="H47" s="505">
        <f t="shared" si="12"/>
        <v>1</v>
      </c>
      <c r="I47" s="505">
        <f t="shared" si="12"/>
        <v>1</v>
      </c>
      <c r="J47" s="505">
        <f t="shared" si="12"/>
        <v>1</v>
      </c>
      <c r="K47" s="505">
        <f t="shared" si="12"/>
        <v>1</v>
      </c>
      <c r="L47" s="505">
        <f t="shared" si="12"/>
        <v>1</v>
      </c>
      <c r="M47" s="505">
        <f t="shared" si="12"/>
        <v>1</v>
      </c>
      <c r="N47" s="505">
        <f t="shared" si="12"/>
        <v>1</v>
      </c>
      <c r="O47" s="505">
        <f t="shared" si="12"/>
        <v>1</v>
      </c>
      <c r="P47" s="659">
        <f>SUM(D47:O47)</f>
        <v>12</v>
      </c>
      <c r="S47" s="801"/>
    </row>
    <row r="48" spans="1:19" x14ac:dyDescent="0.2">
      <c r="A48" s="656"/>
      <c r="B48" s="485"/>
      <c r="C48" s="657"/>
      <c r="D48" s="505"/>
      <c r="E48" s="505"/>
      <c r="F48" s="505"/>
      <c r="G48" s="505"/>
      <c r="H48" s="505"/>
      <c r="I48" s="505"/>
      <c r="J48" s="505"/>
      <c r="K48" s="505"/>
      <c r="L48" s="505"/>
      <c r="M48" s="505"/>
      <c r="N48" s="505"/>
      <c r="O48" s="505"/>
      <c r="P48" s="659"/>
      <c r="S48" s="801"/>
    </row>
    <row r="49" spans="1:19" x14ac:dyDescent="0.2">
      <c r="A49" s="656">
        <f>A47+1</f>
        <v>29</v>
      </c>
      <c r="B49" s="501" t="s">
        <v>249</v>
      </c>
      <c r="C49" s="665"/>
      <c r="D49" s="668"/>
      <c r="E49" s="668"/>
      <c r="F49" s="668"/>
      <c r="G49" s="668"/>
      <c r="H49" s="668"/>
      <c r="I49" s="668"/>
      <c r="J49" s="669"/>
      <c r="K49" s="669"/>
      <c r="L49" s="669"/>
      <c r="M49" s="669"/>
      <c r="N49" s="669"/>
      <c r="O49" s="669"/>
      <c r="P49" s="599"/>
      <c r="S49" s="801"/>
    </row>
    <row r="50" spans="1:19" x14ac:dyDescent="0.2">
      <c r="A50" s="656">
        <f>A49+1</f>
        <v>30</v>
      </c>
      <c r="B50" s="485" t="s">
        <v>289</v>
      </c>
      <c r="C50" s="657"/>
      <c r="D50" s="658">
        <v>1</v>
      </c>
      <c r="E50" s="658">
        <v>1</v>
      </c>
      <c r="F50" s="658">
        <v>1</v>
      </c>
      <c r="G50" s="658">
        <v>1</v>
      </c>
      <c r="H50" s="658">
        <v>1</v>
      </c>
      <c r="I50" s="658">
        <v>1</v>
      </c>
      <c r="J50" s="658">
        <v>1</v>
      </c>
      <c r="K50" s="658">
        <v>1</v>
      </c>
      <c r="L50" s="658">
        <v>1</v>
      </c>
      <c r="M50" s="658">
        <v>1</v>
      </c>
      <c r="N50" s="658">
        <v>1</v>
      </c>
      <c r="O50" s="658">
        <v>1</v>
      </c>
      <c r="P50" s="659">
        <f>SUM(D50:O50)</f>
        <v>12</v>
      </c>
      <c r="S50" s="801"/>
    </row>
    <row r="51" spans="1:19" x14ac:dyDescent="0.2">
      <c r="A51" s="656">
        <f t="shared" ref="A51:A52" si="13">A50+1</f>
        <v>31</v>
      </c>
      <c r="B51" s="485" t="s">
        <v>290</v>
      </c>
      <c r="C51" s="657"/>
      <c r="D51" s="661">
        <v>0</v>
      </c>
      <c r="E51" s="661">
        <v>0</v>
      </c>
      <c r="F51" s="661">
        <v>0</v>
      </c>
      <c r="G51" s="661">
        <v>0</v>
      </c>
      <c r="H51" s="661">
        <v>0</v>
      </c>
      <c r="I51" s="661">
        <v>0</v>
      </c>
      <c r="J51" s="661">
        <v>0</v>
      </c>
      <c r="K51" s="661">
        <v>0</v>
      </c>
      <c r="L51" s="661">
        <v>0</v>
      </c>
      <c r="M51" s="661">
        <v>0</v>
      </c>
      <c r="N51" s="661">
        <v>0</v>
      </c>
      <c r="O51" s="661">
        <v>0</v>
      </c>
      <c r="P51" s="307">
        <f>SUM(D51:O51)</f>
        <v>0</v>
      </c>
      <c r="S51" s="801"/>
    </row>
    <row r="52" spans="1:19" x14ac:dyDescent="0.2">
      <c r="A52" s="656">
        <f t="shared" si="13"/>
        <v>32</v>
      </c>
      <c r="B52" s="485" t="s">
        <v>259</v>
      </c>
      <c r="C52" s="657"/>
      <c r="D52" s="505">
        <f t="shared" ref="D52:O52" si="14">SUM(D50:D51)</f>
        <v>1</v>
      </c>
      <c r="E52" s="505">
        <f t="shared" si="14"/>
        <v>1</v>
      </c>
      <c r="F52" s="505">
        <f t="shared" si="14"/>
        <v>1</v>
      </c>
      <c r="G52" s="505">
        <f t="shared" si="14"/>
        <v>1</v>
      </c>
      <c r="H52" s="505">
        <f t="shared" si="14"/>
        <v>1</v>
      </c>
      <c r="I52" s="505">
        <f t="shared" si="14"/>
        <v>1</v>
      </c>
      <c r="J52" s="505">
        <f t="shared" si="14"/>
        <v>1</v>
      </c>
      <c r="K52" s="505">
        <f t="shared" si="14"/>
        <v>1</v>
      </c>
      <c r="L52" s="505">
        <f t="shared" si="14"/>
        <v>1</v>
      </c>
      <c r="M52" s="505">
        <f t="shared" si="14"/>
        <v>1</v>
      </c>
      <c r="N52" s="505">
        <f t="shared" si="14"/>
        <v>1</v>
      </c>
      <c r="O52" s="505">
        <f t="shared" si="14"/>
        <v>1</v>
      </c>
      <c r="P52" s="659">
        <f>SUM(D52:O52)</f>
        <v>12</v>
      </c>
      <c r="S52" s="801"/>
    </row>
    <row r="53" spans="1:19" x14ac:dyDescent="0.2">
      <c r="A53" s="656"/>
      <c r="B53" s="485"/>
      <c r="C53" s="657"/>
      <c r="D53" s="505"/>
      <c r="E53" s="505"/>
      <c r="F53" s="505"/>
      <c r="G53" s="505"/>
      <c r="H53" s="505"/>
      <c r="I53" s="505"/>
      <c r="J53" s="505"/>
      <c r="K53" s="505"/>
      <c r="L53" s="505"/>
      <c r="M53" s="505"/>
      <c r="N53" s="505"/>
      <c r="O53" s="505"/>
      <c r="P53" s="659"/>
      <c r="S53" s="231"/>
    </row>
    <row r="54" spans="1:19" x14ac:dyDescent="0.2">
      <c r="A54" s="874" t="s">
        <v>36</v>
      </c>
      <c r="B54" s="874"/>
      <c r="C54" s="874"/>
      <c r="D54" s="874"/>
      <c r="E54" s="874"/>
      <c r="F54" s="874"/>
      <c r="G54" s="874"/>
      <c r="H54" s="874"/>
      <c r="I54" s="874"/>
      <c r="J54" s="874"/>
      <c r="K54" s="874"/>
      <c r="L54" s="874"/>
      <c r="M54" s="874"/>
      <c r="N54" s="874"/>
      <c r="O54" s="874"/>
      <c r="P54" s="874"/>
    </row>
    <row r="55" spans="1:19" x14ac:dyDescent="0.2">
      <c r="A55" s="874" t="s">
        <v>195</v>
      </c>
      <c r="B55" s="874"/>
      <c r="C55" s="874"/>
      <c r="D55" s="874"/>
      <c r="E55" s="874"/>
      <c r="F55" s="874"/>
      <c r="G55" s="874"/>
      <c r="H55" s="874"/>
      <c r="I55" s="874"/>
      <c r="J55" s="874"/>
      <c r="K55" s="874"/>
      <c r="L55" s="874"/>
      <c r="M55" s="874"/>
      <c r="N55" s="874"/>
      <c r="O55" s="874"/>
      <c r="P55" s="874"/>
    </row>
    <row r="56" spans="1:19" x14ac:dyDescent="0.2">
      <c r="A56" s="874" t="str">
        <f>A3</f>
        <v>For the 12 Months Ended December 31, 2017</v>
      </c>
      <c r="B56" s="874"/>
      <c r="C56" s="874"/>
      <c r="D56" s="874"/>
      <c r="E56" s="874"/>
      <c r="F56" s="874"/>
      <c r="G56" s="874"/>
      <c r="H56" s="874"/>
      <c r="I56" s="874"/>
      <c r="J56" s="874"/>
      <c r="K56" s="874"/>
      <c r="L56" s="874"/>
      <c r="M56" s="874"/>
      <c r="N56" s="874"/>
      <c r="O56" s="874"/>
      <c r="P56" s="874"/>
    </row>
    <row r="57" spans="1:19" x14ac:dyDescent="0.2">
      <c r="A57" s="305"/>
      <c r="B57" s="305"/>
      <c r="C57" s="306"/>
      <c r="D57" s="305"/>
      <c r="E57" s="306"/>
      <c r="F57" s="306"/>
      <c r="G57" s="306"/>
      <c r="H57" s="305"/>
      <c r="I57" s="305"/>
      <c r="J57" s="305"/>
      <c r="K57" s="305"/>
      <c r="L57" s="305"/>
      <c r="M57" s="305"/>
      <c r="N57" s="305"/>
      <c r="O57" s="305"/>
      <c r="P57" s="305"/>
    </row>
    <row r="58" spans="1:19" x14ac:dyDescent="0.2">
      <c r="A58" s="588" t="str">
        <f>$A$5</f>
        <v>Data: __ Base Period_X_Forecasted Period</v>
      </c>
      <c r="B58" s="305"/>
      <c r="C58" s="227"/>
      <c r="D58" s="227"/>
      <c r="E58" s="227"/>
      <c r="F58" s="227"/>
      <c r="G58" s="306"/>
      <c r="H58" s="305"/>
      <c r="I58" s="305"/>
      <c r="J58" s="305"/>
      <c r="K58" s="305"/>
      <c r="L58" s="305"/>
      <c r="M58" s="305"/>
      <c r="N58" s="305"/>
      <c r="O58" s="305"/>
      <c r="P58" s="305"/>
    </row>
    <row r="59" spans="1:19" x14ac:dyDescent="0.2">
      <c r="A59" s="588" t="str">
        <f>$A$6</f>
        <v>Type of Filing: X Original _ Update _ Revised</v>
      </c>
      <c r="B59" s="305"/>
      <c r="C59" s="227"/>
      <c r="D59" s="227"/>
      <c r="E59" s="227"/>
      <c r="F59" s="227"/>
      <c r="G59" s="306"/>
      <c r="H59" s="305"/>
      <c r="I59" s="305"/>
      <c r="J59" s="305"/>
      <c r="K59" s="305"/>
      <c r="L59" s="305"/>
      <c r="M59" s="305"/>
      <c r="N59" s="305"/>
      <c r="O59" s="305"/>
      <c r="P59" s="305"/>
    </row>
    <row r="60" spans="1:19" x14ac:dyDescent="0.2">
      <c r="A60" s="588" t="str">
        <f>$A$7</f>
        <v>Work Paper Reference No(s):</v>
      </c>
      <c r="B60" s="305"/>
      <c r="C60" s="227"/>
      <c r="D60" s="227"/>
      <c r="E60" s="227"/>
      <c r="F60" s="227"/>
      <c r="G60" s="306"/>
      <c r="H60" s="305"/>
      <c r="I60" s="305"/>
      <c r="J60" s="305"/>
      <c r="K60" s="305"/>
      <c r="L60" s="305"/>
      <c r="M60" s="305"/>
      <c r="N60" s="305"/>
      <c r="O60" s="305"/>
      <c r="P60" s="589" t="str">
        <f>$P$7</f>
        <v>Workpaper WPM-B.2</v>
      </c>
    </row>
    <row r="61" spans="1:19" x14ac:dyDescent="0.2">
      <c r="A61" s="671" t="str">
        <f>$A$8</f>
        <v>12 Months Forecasted</v>
      </c>
      <c r="B61" s="591"/>
      <c r="C61" s="227"/>
      <c r="D61" s="672"/>
      <c r="E61" s="591"/>
      <c r="F61" s="592"/>
      <c r="G61" s="593"/>
      <c r="H61" s="592"/>
      <c r="I61" s="594"/>
      <c r="J61" s="592"/>
      <c r="K61" s="592"/>
      <c r="L61" s="592"/>
      <c r="M61" s="592"/>
      <c r="N61" s="592"/>
      <c r="O61" s="592"/>
      <c r="P61" s="595" t="s">
        <v>466</v>
      </c>
      <c r="Q61" s="226"/>
      <c r="R61" s="226"/>
    </row>
    <row r="62" spans="1:19" x14ac:dyDescent="0.2">
      <c r="A62" s="656"/>
      <c r="B62" s="485"/>
      <c r="C62" s="657"/>
      <c r="D62" s="505"/>
      <c r="E62" s="505"/>
      <c r="F62" s="505"/>
      <c r="G62" s="505"/>
      <c r="H62" s="505"/>
      <c r="I62" s="505"/>
      <c r="J62" s="505"/>
      <c r="K62" s="505"/>
      <c r="L62" s="505"/>
      <c r="M62" s="505"/>
      <c r="N62" s="505"/>
      <c r="O62" s="505"/>
      <c r="P62" s="659"/>
      <c r="S62" s="231"/>
    </row>
    <row r="63" spans="1:19" x14ac:dyDescent="0.2">
      <c r="A63" s="591" t="s">
        <v>1</v>
      </c>
      <c r="B63" s="591"/>
      <c r="C63" s="227"/>
      <c r="D63" s="672"/>
      <c r="E63" s="591"/>
      <c r="F63" s="592"/>
      <c r="G63" s="593"/>
      <c r="H63" s="592"/>
      <c r="I63" s="594"/>
      <c r="J63" s="592"/>
      <c r="K63" s="592"/>
      <c r="L63" s="592"/>
      <c r="M63" s="592"/>
      <c r="N63" s="592"/>
      <c r="O63" s="592"/>
      <c r="P63" s="592"/>
      <c r="Q63" s="231"/>
      <c r="R63" s="231"/>
    </row>
    <row r="64" spans="1:19" x14ac:dyDescent="0.2">
      <c r="A64" s="229" t="s">
        <v>3</v>
      </c>
      <c r="B64" s="229" t="s">
        <v>4</v>
      </c>
      <c r="C64" s="262" t="s">
        <v>186</v>
      </c>
      <c r="D64" s="673" t="str">
        <f>$D$11</f>
        <v>Jan-17</v>
      </c>
      <c r="E64" s="673" t="str">
        <f>$E$11</f>
        <v>Feb-17</v>
      </c>
      <c r="F64" s="673" t="str">
        <f>$F$11</f>
        <v>Mar-17</v>
      </c>
      <c r="G64" s="673" t="str">
        <f>$G$11</f>
        <v>Apr-17</v>
      </c>
      <c r="H64" s="673" t="str">
        <f>$H$11</f>
        <v>May-17</v>
      </c>
      <c r="I64" s="673" t="str">
        <f>$I$11</f>
        <v>Jun-17</v>
      </c>
      <c r="J64" s="673" t="str">
        <f>$J$11</f>
        <v>Jul-17</v>
      </c>
      <c r="K64" s="673" t="str">
        <f>$K$11</f>
        <v>Aug-17</v>
      </c>
      <c r="L64" s="673" t="str">
        <f>$L$11</f>
        <v>Sep-17</v>
      </c>
      <c r="M64" s="673" t="str">
        <f>$M$11</f>
        <v>Oct-17</v>
      </c>
      <c r="N64" s="673" t="str">
        <f>$N$11</f>
        <v>Nov-17</v>
      </c>
      <c r="O64" s="673" t="str">
        <f>$O$11</f>
        <v>Dec-17</v>
      </c>
      <c r="P64" s="673" t="s">
        <v>9</v>
      </c>
      <c r="S64" s="286"/>
    </row>
    <row r="65" spans="1:19" x14ac:dyDescent="0.2">
      <c r="A65" s="591"/>
      <c r="B65" s="674" t="s">
        <v>42</v>
      </c>
      <c r="C65" s="665" t="s">
        <v>43</v>
      </c>
      <c r="D65" s="598" t="s">
        <v>45</v>
      </c>
      <c r="E65" s="598" t="s">
        <v>46</v>
      </c>
      <c r="F65" s="598" t="s">
        <v>49</v>
      </c>
      <c r="G65" s="598" t="s">
        <v>50</v>
      </c>
      <c r="H65" s="598" t="s">
        <v>51</v>
      </c>
      <c r="I65" s="598" t="s">
        <v>52</v>
      </c>
      <c r="J65" s="598" t="s">
        <v>53</v>
      </c>
      <c r="K65" s="599" t="s">
        <v>54</v>
      </c>
      <c r="L65" s="599" t="s">
        <v>55</v>
      </c>
      <c r="M65" s="599" t="s">
        <v>56</v>
      </c>
      <c r="N65" s="599" t="s">
        <v>57</v>
      </c>
      <c r="O65" s="599" t="s">
        <v>58</v>
      </c>
      <c r="P65" s="599" t="s">
        <v>59</v>
      </c>
      <c r="S65" s="231"/>
    </row>
    <row r="66" spans="1:19" x14ac:dyDescent="0.2">
      <c r="C66" s="221"/>
      <c r="E66" s="221"/>
      <c r="F66" s="221"/>
      <c r="G66" s="221"/>
      <c r="S66" s="231"/>
    </row>
    <row r="67" spans="1:19" x14ac:dyDescent="0.2">
      <c r="A67" s="656">
        <v>1</v>
      </c>
      <c r="B67" s="501" t="s">
        <v>250</v>
      </c>
      <c r="C67" s="665"/>
      <c r="D67" s="668"/>
      <c r="E67" s="668"/>
      <c r="F67" s="668"/>
      <c r="G67" s="668"/>
      <c r="H67" s="668"/>
      <c r="I67" s="668"/>
      <c r="J67" s="669"/>
      <c r="K67" s="669"/>
      <c r="L67" s="669"/>
      <c r="M67" s="669"/>
      <c r="N67" s="669"/>
      <c r="O67" s="669"/>
      <c r="P67" s="599"/>
      <c r="S67" s="231"/>
    </row>
    <row r="68" spans="1:19" x14ac:dyDescent="0.2">
      <c r="A68" s="656">
        <f>A67+1</f>
        <v>2</v>
      </c>
      <c r="B68" s="485" t="s">
        <v>289</v>
      </c>
      <c r="C68" s="657"/>
      <c r="D68" s="658">
        <v>1</v>
      </c>
      <c r="E68" s="658">
        <v>1</v>
      </c>
      <c r="F68" s="658">
        <v>1</v>
      </c>
      <c r="G68" s="658">
        <v>1</v>
      </c>
      <c r="H68" s="658">
        <v>1</v>
      </c>
      <c r="I68" s="658">
        <v>1</v>
      </c>
      <c r="J68" s="658">
        <v>1</v>
      </c>
      <c r="K68" s="658">
        <v>1</v>
      </c>
      <c r="L68" s="658">
        <v>1</v>
      </c>
      <c r="M68" s="658">
        <v>1</v>
      </c>
      <c r="N68" s="658">
        <v>1</v>
      </c>
      <c r="O68" s="658">
        <v>1</v>
      </c>
      <c r="P68" s="659">
        <f>SUM(D68:O68)</f>
        <v>12</v>
      </c>
      <c r="S68" s="231"/>
    </row>
    <row r="69" spans="1:19" x14ac:dyDescent="0.2">
      <c r="A69" s="656">
        <f t="shared" ref="A69:A70" si="15">A68+1</f>
        <v>3</v>
      </c>
      <c r="B69" s="485" t="s">
        <v>290</v>
      </c>
      <c r="C69" s="657"/>
      <c r="D69" s="661">
        <v>0</v>
      </c>
      <c r="E69" s="661">
        <v>0</v>
      </c>
      <c r="F69" s="661">
        <v>0</v>
      </c>
      <c r="G69" s="661">
        <v>0</v>
      </c>
      <c r="H69" s="661">
        <v>0</v>
      </c>
      <c r="I69" s="661">
        <v>0</v>
      </c>
      <c r="J69" s="661">
        <v>0</v>
      </c>
      <c r="K69" s="661">
        <v>0</v>
      </c>
      <c r="L69" s="661">
        <v>0</v>
      </c>
      <c r="M69" s="661">
        <v>0</v>
      </c>
      <c r="N69" s="661">
        <v>0</v>
      </c>
      <c r="O69" s="661">
        <v>0</v>
      </c>
      <c r="P69" s="307">
        <f>SUM(D69:O69)</f>
        <v>0</v>
      </c>
      <c r="S69" s="231"/>
    </row>
    <row r="70" spans="1:19" x14ac:dyDescent="0.2">
      <c r="A70" s="656">
        <f t="shared" si="15"/>
        <v>4</v>
      </c>
      <c r="B70" s="485" t="s">
        <v>259</v>
      </c>
      <c r="C70" s="657"/>
      <c r="D70" s="505">
        <f t="shared" ref="D70:O70" si="16">SUM(D68:D69)</f>
        <v>1</v>
      </c>
      <c r="E70" s="505">
        <f t="shared" si="16"/>
        <v>1</v>
      </c>
      <c r="F70" s="505">
        <f t="shared" si="16"/>
        <v>1</v>
      </c>
      <c r="G70" s="505">
        <f t="shared" si="16"/>
        <v>1</v>
      </c>
      <c r="H70" s="505">
        <f t="shared" si="16"/>
        <v>1</v>
      </c>
      <c r="I70" s="505">
        <f t="shared" si="16"/>
        <v>1</v>
      </c>
      <c r="J70" s="505">
        <f t="shared" si="16"/>
        <v>1</v>
      </c>
      <c r="K70" s="505">
        <f t="shared" si="16"/>
        <v>1</v>
      </c>
      <c r="L70" s="505">
        <f t="shared" si="16"/>
        <v>1</v>
      </c>
      <c r="M70" s="505">
        <f t="shared" si="16"/>
        <v>1</v>
      </c>
      <c r="N70" s="505">
        <f t="shared" si="16"/>
        <v>1</v>
      </c>
      <c r="O70" s="505">
        <f t="shared" si="16"/>
        <v>1</v>
      </c>
      <c r="P70" s="659">
        <f>SUM(D70:O70)</f>
        <v>12</v>
      </c>
      <c r="S70" s="231"/>
    </row>
    <row r="71" spans="1:19" x14ac:dyDescent="0.2">
      <c r="A71" s="656"/>
      <c r="B71" s="485"/>
      <c r="C71" s="657"/>
      <c r="D71" s="505"/>
      <c r="E71" s="505"/>
      <c r="F71" s="505"/>
      <c r="G71" s="505"/>
      <c r="H71" s="505"/>
      <c r="I71" s="505"/>
      <c r="J71" s="505"/>
      <c r="K71" s="505"/>
      <c r="L71" s="505"/>
      <c r="M71" s="505"/>
      <c r="N71" s="505"/>
      <c r="O71" s="505"/>
      <c r="P71" s="659"/>
      <c r="S71" s="231"/>
    </row>
    <row r="72" spans="1:19" x14ac:dyDescent="0.2">
      <c r="A72" s="656">
        <f>A70+1</f>
        <v>5</v>
      </c>
      <c r="B72" s="501" t="s">
        <v>253</v>
      </c>
      <c r="C72" s="665"/>
      <c r="D72" s="598"/>
      <c r="E72" s="598"/>
      <c r="F72" s="598"/>
      <c r="G72" s="598"/>
      <c r="H72" s="598"/>
      <c r="I72" s="598"/>
      <c r="J72" s="599"/>
      <c r="K72" s="599"/>
      <c r="L72" s="599"/>
      <c r="M72" s="599"/>
      <c r="N72" s="599"/>
      <c r="O72" s="599"/>
      <c r="P72" s="599"/>
      <c r="S72" s="231"/>
    </row>
    <row r="73" spans="1:19" x14ac:dyDescent="0.2">
      <c r="A73" s="656">
        <f>A72+1</f>
        <v>6</v>
      </c>
      <c r="B73" s="485" t="s">
        <v>289</v>
      </c>
      <c r="C73" s="657"/>
      <c r="D73" s="658">
        <v>1</v>
      </c>
      <c r="E73" s="658">
        <v>1</v>
      </c>
      <c r="F73" s="658">
        <v>1</v>
      </c>
      <c r="G73" s="658">
        <v>1</v>
      </c>
      <c r="H73" s="658">
        <v>1</v>
      </c>
      <c r="I73" s="658">
        <v>1</v>
      </c>
      <c r="J73" s="658">
        <v>1</v>
      </c>
      <c r="K73" s="658">
        <v>1</v>
      </c>
      <c r="L73" s="658">
        <v>1</v>
      </c>
      <c r="M73" s="658">
        <v>1</v>
      </c>
      <c r="N73" s="658">
        <v>1</v>
      </c>
      <c r="O73" s="658">
        <v>1</v>
      </c>
      <c r="P73" s="659">
        <f>SUM(D73:O73)</f>
        <v>12</v>
      </c>
      <c r="S73" s="231"/>
    </row>
    <row r="74" spans="1:19" x14ac:dyDescent="0.2">
      <c r="A74" s="656">
        <f t="shared" ref="A74:A75" si="17">A73+1</f>
        <v>7</v>
      </c>
      <c r="B74" s="485" t="s">
        <v>290</v>
      </c>
      <c r="C74" s="657"/>
      <c r="D74" s="661">
        <v>0</v>
      </c>
      <c r="E74" s="661">
        <v>0</v>
      </c>
      <c r="F74" s="661">
        <v>0</v>
      </c>
      <c r="G74" s="661">
        <v>0</v>
      </c>
      <c r="H74" s="661">
        <v>0</v>
      </c>
      <c r="I74" s="661">
        <v>0</v>
      </c>
      <c r="J74" s="661">
        <v>0</v>
      </c>
      <c r="K74" s="661">
        <v>0</v>
      </c>
      <c r="L74" s="661">
        <v>0</v>
      </c>
      <c r="M74" s="661">
        <v>0</v>
      </c>
      <c r="N74" s="661">
        <v>0</v>
      </c>
      <c r="O74" s="661">
        <v>0</v>
      </c>
      <c r="P74" s="307">
        <f>SUM(D74:O74)</f>
        <v>0</v>
      </c>
      <c r="S74" s="231"/>
    </row>
    <row r="75" spans="1:19" x14ac:dyDescent="0.2">
      <c r="A75" s="656">
        <f t="shared" si="17"/>
        <v>8</v>
      </c>
      <c r="B75" s="485" t="s">
        <v>259</v>
      </c>
      <c r="C75" s="657"/>
      <c r="D75" s="505">
        <f t="shared" ref="D75:O75" si="18">SUM(D73:D74)</f>
        <v>1</v>
      </c>
      <c r="E75" s="505">
        <f t="shared" si="18"/>
        <v>1</v>
      </c>
      <c r="F75" s="505">
        <f t="shared" si="18"/>
        <v>1</v>
      </c>
      <c r="G75" s="505">
        <f t="shared" si="18"/>
        <v>1</v>
      </c>
      <c r="H75" s="505">
        <f t="shared" si="18"/>
        <v>1</v>
      </c>
      <c r="I75" s="505">
        <f t="shared" si="18"/>
        <v>1</v>
      </c>
      <c r="J75" s="505">
        <f t="shared" si="18"/>
        <v>1</v>
      </c>
      <c r="K75" s="505">
        <f t="shared" si="18"/>
        <v>1</v>
      </c>
      <c r="L75" s="505">
        <f t="shared" si="18"/>
        <v>1</v>
      </c>
      <c r="M75" s="505">
        <f t="shared" si="18"/>
        <v>1</v>
      </c>
      <c r="N75" s="505">
        <f t="shared" si="18"/>
        <v>1</v>
      </c>
      <c r="O75" s="505">
        <f t="shared" si="18"/>
        <v>1</v>
      </c>
      <c r="P75" s="659">
        <f>SUM(D75:O75)</f>
        <v>12</v>
      </c>
      <c r="S75" s="231"/>
    </row>
    <row r="76" spans="1:19" x14ac:dyDescent="0.2">
      <c r="A76" s="656"/>
      <c r="B76" s="485"/>
      <c r="C76" s="657"/>
      <c r="D76" s="505"/>
      <c r="E76" s="505"/>
      <c r="F76" s="505"/>
      <c r="G76" s="505"/>
      <c r="H76" s="505"/>
      <c r="I76" s="505"/>
      <c r="J76" s="505"/>
      <c r="K76" s="505"/>
      <c r="L76" s="505"/>
      <c r="M76" s="505"/>
      <c r="N76" s="505"/>
      <c r="O76" s="505"/>
      <c r="P76" s="659"/>
      <c r="S76" s="231"/>
    </row>
    <row r="77" spans="1:19" x14ac:dyDescent="0.2">
      <c r="A77" s="656">
        <f>A75+1</f>
        <v>9</v>
      </c>
      <c r="B77" s="501" t="s">
        <v>254</v>
      </c>
      <c r="C77" s="665"/>
      <c r="D77" s="668"/>
      <c r="E77" s="668"/>
      <c r="F77" s="668"/>
      <c r="G77" s="668"/>
      <c r="H77" s="668"/>
      <c r="I77" s="668"/>
      <c r="J77" s="669"/>
      <c r="K77" s="669"/>
      <c r="L77" s="669"/>
      <c r="M77" s="669"/>
      <c r="N77" s="669"/>
      <c r="O77" s="669"/>
      <c r="P77" s="599"/>
      <c r="S77" s="231"/>
    </row>
    <row r="78" spans="1:19" x14ac:dyDescent="0.2">
      <c r="A78" s="656">
        <f>A77+1</f>
        <v>10</v>
      </c>
      <c r="B78" s="485" t="s">
        <v>289</v>
      </c>
      <c r="C78" s="657"/>
      <c r="D78" s="658">
        <v>10117</v>
      </c>
      <c r="E78" s="658">
        <v>10204</v>
      </c>
      <c r="F78" s="658">
        <v>9951</v>
      </c>
      <c r="G78" s="658">
        <v>9865</v>
      </c>
      <c r="H78" s="658">
        <v>9776</v>
      </c>
      <c r="I78" s="658">
        <v>9693</v>
      </c>
      <c r="J78" s="658">
        <v>9709</v>
      </c>
      <c r="K78" s="658">
        <v>9679</v>
      </c>
      <c r="L78" s="658">
        <v>9669</v>
      </c>
      <c r="M78" s="658">
        <v>9703</v>
      </c>
      <c r="N78" s="658">
        <v>9851</v>
      </c>
      <c r="O78" s="658">
        <v>10019</v>
      </c>
      <c r="P78" s="659">
        <f>SUM(D78:O78)</f>
        <v>118236</v>
      </c>
      <c r="S78" s="231"/>
    </row>
    <row r="79" spans="1:19" x14ac:dyDescent="0.2">
      <c r="A79" s="656">
        <f t="shared" ref="A79:A80" si="19">A78+1</f>
        <v>11</v>
      </c>
      <c r="B79" s="485" t="s">
        <v>244</v>
      </c>
      <c r="C79" s="657" t="s">
        <v>371</v>
      </c>
      <c r="D79" s="505">
        <f>'D pg 1'!D16</f>
        <v>-1</v>
      </c>
      <c r="E79" s="505">
        <f>'D pg 1'!E16</f>
        <v>-1</v>
      </c>
      <c r="F79" s="505">
        <f>'D pg 1'!F16</f>
        <v>-1</v>
      </c>
      <c r="G79" s="505">
        <f>'D pg 1'!G16</f>
        <v>-1</v>
      </c>
      <c r="H79" s="505">
        <f>'D pg 1'!H16</f>
        <v>-1</v>
      </c>
      <c r="I79" s="505">
        <f>'D pg 1'!I16</f>
        <v>-1</v>
      </c>
      <c r="J79" s="505">
        <f>'D pg 1'!J16</f>
        <v>-1</v>
      </c>
      <c r="K79" s="505">
        <f>'D pg 1'!K16</f>
        <v>-1</v>
      </c>
      <c r="L79" s="505">
        <f>'D pg 1'!L16</f>
        <v>-1</v>
      </c>
      <c r="M79" s="505">
        <f>'D pg 1'!M16</f>
        <v>-1</v>
      </c>
      <c r="N79" s="505">
        <f>'D pg 1'!N16</f>
        <v>-1</v>
      </c>
      <c r="O79" s="505">
        <f>'D pg 1'!O16</f>
        <v>-1</v>
      </c>
      <c r="P79" s="659">
        <f>SUM(D79:O79)</f>
        <v>-12</v>
      </c>
      <c r="S79" s="801"/>
    </row>
    <row r="80" spans="1:19" x14ac:dyDescent="0.2">
      <c r="A80" s="656">
        <f t="shared" si="19"/>
        <v>12</v>
      </c>
      <c r="B80" s="485" t="s">
        <v>290</v>
      </c>
      <c r="C80" s="657"/>
      <c r="D80" s="661">
        <v>91</v>
      </c>
      <c r="E80" s="661">
        <v>68</v>
      </c>
      <c r="F80" s="661">
        <v>85</v>
      </c>
      <c r="G80" s="661">
        <v>139</v>
      </c>
      <c r="H80" s="661">
        <v>107</v>
      </c>
      <c r="I80" s="661">
        <v>88</v>
      </c>
      <c r="J80" s="661">
        <v>75</v>
      </c>
      <c r="K80" s="661">
        <v>92</v>
      </c>
      <c r="L80" s="661">
        <v>71</v>
      </c>
      <c r="M80" s="661">
        <v>70</v>
      </c>
      <c r="N80" s="661">
        <v>65</v>
      </c>
      <c r="O80" s="661">
        <v>58</v>
      </c>
      <c r="P80" s="307">
        <f>SUM(D80:O80)</f>
        <v>1009</v>
      </c>
      <c r="S80" s="231"/>
    </row>
    <row r="81" spans="1:19" x14ac:dyDescent="0.2">
      <c r="A81" s="656">
        <f t="shared" ref="A81" si="20">A80+1</f>
        <v>13</v>
      </c>
      <c r="B81" s="485" t="s">
        <v>259</v>
      </c>
      <c r="C81" s="657"/>
      <c r="D81" s="505">
        <f t="shared" ref="D81:O81" si="21">SUM(D78:D80)</f>
        <v>10207</v>
      </c>
      <c r="E81" s="505">
        <f t="shared" si="21"/>
        <v>10271</v>
      </c>
      <c r="F81" s="505">
        <f t="shared" si="21"/>
        <v>10035</v>
      </c>
      <c r="G81" s="505">
        <f t="shared" si="21"/>
        <v>10003</v>
      </c>
      <c r="H81" s="505">
        <f t="shared" si="21"/>
        <v>9882</v>
      </c>
      <c r="I81" s="505">
        <f t="shared" si="21"/>
        <v>9780</v>
      </c>
      <c r="J81" s="505">
        <f t="shared" si="21"/>
        <v>9783</v>
      </c>
      <c r="K81" s="505">
        <f t="shared" si="21"/>
        <v>9770</v>
      </c>
      <c r="L81" s="505">
        <f t="shared" si="21"/>
        <v>9739</v>
      </c>
      <c r="M81" s="505">
        <f t="shared" si="21"/>
        <v>9772</v>
      </c>
      <c r="N81" s="505">
        <f t="shared" si="21"/>
        <v>9915</v>
      </c>
      <c r="O81" s="505">
        <f t="shared" si="21"/>
        <v>10076</v>
      </c>
      <c r="P81" s="659">
        <f>SUM(D81:O81)</f>
        <v>119233</v>
      </c>
      <c r="Q81" s="512"/>
      <c r="S81" s="231"/>
    </row>
    <row r="82" spans="1:19" x14ac:dyDescent="0.2">
      <c r="A82" s="656"/>
      <c r="B82" s="485"/>
      <c r="C82" s="657"/>
      <c r="D82" s="505"/>
      <c r="E82" s="505"/>
      <c r="F82" s="505"/>
      <c r="G82" s="505"/>
      <c r="H82" s="505"/>
      <c r="I82" s="505"/>
      <c r="J82" s="505"/>
      <c r="K82" s="505"/>
      <c r="L82" s="505"/>
      <c r="M82" s="505"/>
      <c r="N82" s="505"/>
      <c r="O82" s="505"/>
      <c r="P82" s="659"/>
      <c r="S82" s="231"/>
    </row>
    <row r="83" spans="1:19" x14ac:dyDescent="0.2">
      <c r="A83" s="656">
        <f>A81+1</f>
        <v>14</v>
      </c>
      <c r="B83" s="501" t="s">
        <v>264</v>
      </c>
      <c r="C83" s="665"/>
      <c r="D83" s="668"/>
      <c r="E83" s="668"/>
      <c r="F83" s="668"/>
      <c r="G83" s="668"/>
      <c r="H83" s="668"/>
      <c r="I83" s="668"/>
      <c r="J83" s="669"/>
      <c r="K83" s="669"/>
      <c r="L83" s="669"/>
      <c r="M83" s="669"/>
      <c r="N83" s="669"/>
      <c r="O83" s="669"/>
      <c r="P83" s="599"/>
      <c r="S83" s="231"/>
    </row>
    <row r="84" spans="1:19" x14ac:dyDescent="0.2">
      <c r="A84" s="656">
        <f>A83+1</f>
        <v>15</v>
      </c>
      <c r="B84" s="485" t="s">
        <v>289</v>
      </c>
      <c r="C84" s="657"/>
      <c r="D84" s="658">
        <v>41</v>
      </c>
      <c r="E84" s="658">
        <v>41</v>
      </c>
      <c r="F84" s="658">
        <v>41</v>
      </c>
      <c r="G84" s="658">
        <v>41</v>
      </c>
      <c r="H84" s="658">
        <v>41</v>
      </c>
      <c r="I84" s="658">
        <v>41</v>
      </c>
      <c r="J84" s="658">
        <v>41</v>
      </c>
      <c r="K84" s="658">
        <v>41</v>
      </c>
      <c r="L84" s="658">
        <v>41</v>
      </c>
      <c r="M84" s="658">
        <v>41</v>
      </c>
      <c r="N84" s="658">
        <v>41</v>
      </c>
      <c r="O84" s="658">
        <v>41</v>
      </c>
      <c r="P84" s="659">
        <f>SUM(D84:O84)</f>
        <v>492</v>
      </c>
      <c r="S84" s="231"/>
    </row>
    <row r="85" spans="1:19" x14ac:dyDescent="0.2">
      <c r="A85" s="656">
        <f>A84+1</f>
        <v>16</v>
      </c>
      <c r="B85" s="485" t="s">
        <v>244</v>
      </c>
      <c r="C85" s="657" t="s">
        <v>371</v>
      </c>
      <c r="D85" s="308">
        <f>'D pg 1'!D17</f>
        <v>2</v>
      </c>
      <c r="E85" s="308">
        <f>'D pg 1'!E17</f>
        <v>2</v>
      </c>
      <c r="F85" s="308">
        <f>'D pg 1'!F17</f>
        <v>2</v>
      </c>
      <c r="G85" s="308">
        <f>'D pg 1'!G17</f>
        <v>2</v>
      </c>
      <c r="H85" s="308">
        <f>'D pg 1'!H17</f>
        <v>2</v>
      </c>
      <c r="I85" s="308">
        <f>'D pg 1'!I17</f>
        <v>2</v>
      </c>
      <c r="J85" s="308">
        <f>'D pg 1'!J17</f>
        <v>3</v>
      </c>
      <c r="K85" s="308">
        <f>'D pg 1'!K17</f>
        <v>3</v>
      </c>
      <c r="L85" s="308">
        <f>'D pg 1'!L17</f>
        <v>3</v>
      </c>
      <c r="M85" s="308">
        <f>'D pg 1'!M17</f>
        <v>3</v>
      </c>
      <c r="N85" s="308">
        <f>'D pg 1'!N17</f>
        <v>3</v>
      </c>
      <c r="O85" s="308">
        <f>'D pg 1'!O17</f>
        <v>3</v>
      </c>
      <c r="P85" s="308">
        <f>SUM(D85:O85)</f>
        <v>30</v>
      </c>
      <c r="S85" s="231"/>
    </row>
    <row r="86" spans="1:19" x14ac:dyDescent="0.2">
      <c r="A86" s="656">
        <f>A85+1</f>
        <v>17</v>
      </c>
      <c r="B86" s="485" t="s">
        <v>290</v>
      </c>
      <c r="C86" s="657"/>
      <c r="D86" s="661">
        <v>0</v>
      </c>
      <c r="E86" s="661">
        <v>0</v>
      </c>
      <c r="F86" s="661">
        <v>0</v>
      </c>
      <c r="G86" s="661">
        <v>0</v>
      </c>
      <c r="H86" s="661">
        <v>0</v>
      </c>
      <c r="I86" s="661">
        <v>1</v>
      </c>
      <c r="J86" s="661">
        <v>0</v>
      </c>
      <c r="K86" s="661">
        <v>1</v>
      </c>
      <c r="L86" s="661">
        <v>0</v>
      </c>
      <c r="M86" s="661">
        <v>0</v>
      </c>
      <c r="N86" s="661">
        <v>0</v>
      </c>
      <c r="O86" s="661">
        <v>0</v>
      </c>
      <c r="P86" s="307">
        <f>SUM(D86:O86)</f>
        <v>2</v>
      </c>
      <c r="S86" s="231"/>
    </row>
    <row r="87" spans="1:19" x14ac:dyDescent="0.2">
      <c r="A87" s="656">
        <f>A86+1</f>
        <v>18</v>
      </c>
      <c r="B87" s="485" t="s">
        <v>259</v>
      </c>
      <c r="C87" s="657"/>
      <c r="D87" s="505">
        <f t="shared" ref="D87:O87" si="22">SUM(D84:D86)</f>
        <v>43</v>
      </c>
      <c r="E87" s="505">
        <f t="shared" si="22"/>
        <v>43</v>
      </c>
      <c r="F87" s="505">
        <f t="shared" si="22"/>
        <v>43</v>
      </c>
      <c r="G87" s="505">
        <f t="shared" si="22"/>
        <v>43</v>
      </c>
      <c r="H87" s="505">
        <f t="shared" si="22"/>
        <v>43</v>
      </c>
      <c r="I87" s="505">
        <f t="shared" si="22"/>
        <v>44</v>
      </c>
      <c r="J87" s="505">
        <f t="shared" si="22"/>
        <v>44</v>
      </c>
      <c r="K87" s="505">
        <f t="shared" si="22"/>
        <v>45</v>
      </c>
      <c r="L87" s="505">
        <f t="shared" si="22"/>
        <v>44</v>
      </c>
      <c r="M87" s="505">
        <f t="shared" si="22"/>
        <v>44</v>
      </c>
      <c r="N87" s="505">
        <f t="shared" si="22"/>
        <v>44</v>
      </c>
      <c r="O87" s="505">
        <f t="shared" si="22"/>
        <v>44</v>
      </c>
      <c r="P87" s="659">
        <f>SUM(D87:O87)</f>
        <v>524</v>
      </c>
      <c r="S87" s="231"/>
    </row>
    <row r="88" spans="1:19" x14ac:dyDescent="0.2">
      <c r="A88" s="656"/>
      <c r="B88" s="485"/>
      <c r="C88" s="657"/>
      <c r="D88" s="505"/>
      <c r="E88" s="505"/>
      <c r="F88" s="505"/>
      <c r="G88" s="505"/>
      <c r="H88" s="505"/>
      <c r="I88" s="505"/>
      <c r="J88" s="505"/>
      <c r="K88" s="505"/>
      <c r="L88" s="505"/>
      <c r="M88" s="505"/>
      <c r="N88" s="505"/>
      <c r="O88" s="505"/>
      <c r="P88" s="659"/>
      <c r="S88" s="801"/>
    </row>
    <row r="89" spans="1:19" x14ac:dyDescent="0.2">
      <c r="A89" s="656">
        <f>A87+1</f>
        <v>19</v>
      </c>
      <c r="B89" s="501" t="s">
        <v>284</v>
      </c>
      <c r="C89" s="665"/>
      <c r="D89" s="598"/>
      <c r="E89" s="598"/>
      <c r="F89" s="598"/>
      <c r="G89" s="598"/>
      <c r="H89" s="598"/>
      <c r="I89" s="598"/>
      <c r="J89" s="599"/>
      <c r="K89" s="599"/>
      <c r="L89" s="599"/>
      <c r="M89" s="599"/>
      <c r="N89" s="599"/>
      <c r="O89" s="599"/>
      <c r="P89" s="599"/>
      <c r="S89" s="801"/>
    </row>
    <row r="90" spans="1:19" x14ac:dyDescent="0.2">
      <c r="A90" s="656">
        <f>A89+1</f>
        <v>20</v>
      </c>
      <c r="B90" s="485" t="s">
        <v>289</v>
      </c>
      <c r="C90" s="657"/>
      <c r="D90" s="660">
        <v>0</v>
      </c>
      <c r="E90" s="660">
        <v>0</v>
      </c>
      <c r="F90" s="660">
        <v>0</v>
      </c>
      <c r="G90" s="660">
        <v>0</v>
      </c>
      <c r="H90" s="660">
        <v>0</v>
      </c>
      <c r="I90" s="660">
        <v>0</v>
      </c>
      <c r="J90" s="660">
        <v>0</v>
      </c>
      <c r="K90" s="660">
        <v>0</v>
      </c>
      <c r="L90" s="660">
        <v>0</v>
      </c>
      <c r="M90" s="660">
        <v>0</v>
      </c>
      <c r="N90" s="660">
        <v>0</v>
      </c>
      <c r="O90" s="660">
        <v>0</v>
      </c>
      <c r="P90" s="308">
        <f>SUM(D90:O90)</f>
        <v>0</v>
      </c>
      <c r="S90" s="801"/>
    </row>
    <row r="91" spans="1:19" x14ac:dyDescent="0.2">
      <c r="A91" s="656">
        <f>A90+1</f>
        <v>21</v>
      </c>
      <c r="B91" s="485" t="s">
        <v>244</v>
      </c>
      <c r="C91" s="657" t="s">
        <v>371</v>
      </c>
      <c r="D91" s="660">
        <v>0</v>
      </c>
      <c r="E91" s="660">
        <v>0</v>
      </c>
      <c r="F91" s="660">
        <v>0</v>
      </c>
      <c r="G91" s="660">
        <v>0</v>
      </c>
      <c r="H91" s="660">
        <v>0</v>
      </c>
      <c r="I91" s="660">
        <v>0</v>
      </c>
      <c r="J91" s="660">
        <v>0</v>
      </c>
      <c r="K91" s="660">
        <v>0</v>
      </c>
      <c r="L91" s="660">
        <v>0</v>
      </c>
      <c r="M91" s="660">
        <v>0</v>
      </c>
      <c r="N91" s="660">
        <v>0</v>
      </c>
      <c r="O91" s="660">
        <v>0</v>
      </c>
      <c r="P91" s="308">
        <f>SUM(D91:O91)</f>
        <v>0</v>
      </c>
      <c r="S91" s="801"/>
    </row>
    <row r="92" spans="1:19" x14ac:dyDescent="0.2">
      <c r="A92" s="656">
        <f>A91+1</f>
        <v>22</v>
      </c>
      <c r="B92" s="485" t="s">
        <v>290</v>
      </c>
      <c r="C92" s="657"/>
      <c r="D92" s="661">
        <v>0</v>
      </c>
      <c r="E92" s="661">
        <v>0</v>
      </c>
      <c r="F92" s="661">
        <v>0</v>
      </c>
      <c r="G92" s="661">
        <v>0</v>
      </c>
      <c r="H92" s="661">
        <v>0</v>
      </c>
      <c r="I92" s="661">
        <v>0</v>
      </c>
      <c r="J92" s="661">
        <v>0</v>
      </c>
      <c r="K92" s="661">
        <v>0</v>
      </c>
      <c r="L92" s="661">
        <v>0</v>
      </c>
      <c r="M92" s="661">
        <v>0</v>
      </c>
      <c r="N92" s="661">
        <v>0</v>
      </c>
      <c r="O92" s="661">
        <v>0</v>
      </c>
      <c r="P92" s="307">
        <f>SUM(D92:O92)</f>
        <v>0</v>
      </c>
      <c r="S92" s="801"/>
    </row>
    <row r="93" spans="1:19" x14ac:dyDescent="0.2">
      <c r="A93" s="656">
        <f>A92+1</f>
        <v>23</v>
      </c>
      <c r="B93" s="485" t="s">
        <v>259</v>
      </c>
      <c r="C93" s="657"/>
      <c r="D93" s="308">
        <f t="shared" ref="D93:O93" si="23">SUM(D90:D92)</f>
        <v>0</v>
      </c>
      <c r="E93" s="308">
        <f t="shared" si="23"/>
        <v>0</v>
      </c>
      <c r="F93" s="308">
        <f t="shared" si="23"/>
        <v>0</v>
      </c>
      <c r="G93" s="308">
        <f t="shared" si="23"/>
        <v>0</v>
      </c>
      <c r="H93" s="308">
        <f t="shared" si="23"/>
        <v>0</v>
      </c>
      <c r="I93" s="308">
        <f t="shared" si="23"/>
        <v>0</v>
      </c>
      <c r="J93" s="308">
        <f t="shared" si="23"/>
        <v>0</v>
      </c>
      <c r="K93" s="308">
        <f t="shared" si="23"/>
        <v>0</v>
      </c>
      <c r="L93" s="308">
        <f t="shared" si="23"/>
        <v>0</v>
      </c>
      <c r="M93" s="308">
        <f t="shared" si="23"/>
        <v>0</v>
      </c>
      <c r="N93" s="308">
        <f t="shared" si="23"/>
        <v>0</v>
      </c>
      <c r="O93" s="308">
        <f t="shared" si="23"/>
        <v>0</v>
      </c>
      <c r="P93" s="308">
        <f>SUM(D93:O93)</f>
        <v>0</v>
      </c>
      <c r="S93" s="801"/>
    </row>
    <row r="94" spans="1:19" x14ac:dyDescent="0.2">
      <c r="A94" s="656"/>
      <c r="B94" s="485"/>
      <c r="C94" s="657"/>
      <c r="D94" s="505"/>
      <c r="E94" s="505"/>
      <c r="F94" s="505"/>
      <c r="G94" s="505"/>
      <c r="H94" s="505"/>
      <c r="I94" s="505"/>
      <c r="J94" s="505"/>
      <c r="K94" s="505"/>
      <c r="L94" s="505"/>
      <c r="M94" s="505"/>
      <c r="N94" s="505"/>
      <c r="O94" s="505"/>
      <c r="P94" s="659"/>
      <c r="S94" s="231"/>
    </row>
    <row r="95" spans="1:19" x14ac:dyDescent="0.2">
      <c r="A95" s="656">
        <f>A93+1</f>
        <v>24</v>
      </c>
      <c r="B95" s="501" t="s">
        <v>265</v>
      </c>
      <c r="C95" s="665"/>
      <c r="D95" s="668"/>
      <c r="E95" s="668"/>
      <c r="F95" s="668"/>
      <c r="G95" s="668"/>
      <c r="H95" s="668"/>
      <c r="I95" s="668"/>
      <c r="J95" s="669"/>
      <c r="K95" s="669"/>
      <c r="L95" s="669"/>
      <c r="M95" s="669"/>
      <c r="N95" s="669"/>
      <c r="O95" s="669"/>
      <c r="P95" s="599"/>
      <c r="S95" s="801"/>
    </row>
    <row r="96" spans="1:19" x14ac:dyDescent="0.2">
      <c r="A96" s="656">
        <f>A95+1</f>
        <v>25</v>
      </c>
      <c r="B96" s="485" t="s">
        <v>289</v>
      </c>
      <c r="C96" s="657"/>
      <c r="D96" s="658">
        <v>2</v>
      </c>
      <c r="E96" s="658">
        <v>2</v>
      </c>
      <c r="F96" s="658">
        <v>2</v>
      </c>
      <c r="G96" s="658">
        <v>2</v>
      </c>
      <c r="H96" s="658">
        <v>2</v>
      </c>
      <c r="I96" s="658">
        <v>2</v>
      </c>
      <c r="J96" s="658">
        <v>2</v>
      </c>
      <c r="K96" s="658">
        <v>2</v>
      </c>
      <c r="L96" s="658">
        <v>2</v>
      </c>
      <c r="M96" s="658">
        <v>2</v>
      </c>
      <c r="N96" s="658">
        <v>2</v>
      </c>
      <c r="O96" s="658">
        <v>2</v>
      </c>
      <c r="P96" s="308">
        <f>SUM(D96:O96)</f>
        <v>24</v>
      </c>
      <c r="S96" s="801"/>
    </row>
    <row r="97" spans="1:19" x14ac:dyDescent="0.2">
      <c r="A97" s="656">
        <f>A96+1</f>
        <v>26</v>
      </c>
      <c r="B97" s="485" t="s">
        <v>244</v>
      </c>
      <c r="C97" s="657" t="s">
        <v>371</v>
      </c>
      <c r="D97" s="660">
        <v>0</v>
      </c>
      <c r="E97" s="660">
        <v>0</v>
      </c>
      <c r="F97" s="660">
        <v>0</v>
      </c>
      <c r="G97" s="660">
        <v>0</v>
      </c>
      <c r="H97" s="660">
        <v>0</v>
      </c>
      <c r="I97" s="660">
        <v>0</v>
      </c>
      <c r="J97" s="660">
        <v>0</v>
      </c>
      <c r="K97" s="660">
        <v>0</v>
      </c>
      <c r="L97" s="660">
        <v>0</v>
      </c>
      <c r="M97" s="660">
        <v>0</v>
      </c>
      <c r="N97" s="660">
        <v>0</v>
      </c>
      <c r="O97" s="660">
        <v>0</v>
      </c>
      <c r="P97" s="308">
        <f>SUM(D97:O97)</f>
        <v>0</v>
      </c>
      <c r="S97" s="801"/>
    </row>
    <row r="98" spans="1:19" x14ac:dyDescent="0.2">
      <c r="A98" s="656">
        <f>A97+1</f>
        <v>27</v>
      </c>
      <c r="B98" s="485" t="s">
        <v>290</v>
      </c>
      <c r="C98" s="657"/>
      <c r="D98" s="661">
        <v>0</v>
      </c>
      <c r="E98" s="661">
        <v>0</v>
      </c>
      <c r="F98" s="661">
        <v>0</v>
      </c>
      <c r="G98" s="661">
        <v>0</v>
      </c>
      <c r="H98" s="661">
        <v>0</v>
      </c>
      <c r="I98" s="661">
        <v>0</v>
      </c>
      <c r="J98" s="661">
        <v>0</v>
      </c>
      <c r="K98" s="661">
        <v>0</v>
      </c>
      <c r="L98" s="661">
        <v>0</v>
      </c>
      <c r="M98" s="661">
        <v>0</v>
      </c>
      <c r="N98" s="661">
        <v>0</v>
      </c>
      <c r="O98" s="661">
        <v>0</v>
      </c>
      <c r="P98" s="307">
        <f>SUM(D98:O98)</f>
        <v>0</v>
      </c>
      <c r="S98" s="231"/>
    </row>
    <row r="99" spans="1:19" x14ac:dyDescent="0.2">
      <c r="A99" s="656">
        <f>A98+1</f>
        <v>28</v>
      </c>
      <c r="B99" s="485" t="s">
        <v>259</v>
      </c>
      <c r="C99" s="657"/>
      <c r="D99" s="505">
        <f t="shared" ref="D99:O99" si="24">SUM(D96:D98)</f>
        <v>2</v>
      </c>
      <c r="E99" s="505">
        <f t="shared" si="24"/>
        <v>2</v>
      </c>
      <c r="F99" s="505">
        <f t="shared" si="24"/>
        <v>2</v>
      </c>
      <c r="G99" s="505">
        <f t="shared" si="24"/>
        <v>2</v>
      </c>
      <c r="H99" s="505">
        <f t="shared" si="24"/>
        <v>2</v>
      </c>
      <c r="I99" s="505">
        <f t="shared" si="24"/>
        <v>2</v>
      </c>
      <c r="J99" s="505">
        <f t="shared" si="24"/>
        <v>2</v>
      </c>
      <c r="K99" s="505">
        <f t="shared" si="24"/>
        <v>2</v>
      </c>
      <c r="L99" s="505">
        <f t="shared" si="24"/>
        <v>2</v>
      </c>
      <c r="M99" s="505">
        <f t="shared" si="24"/>
        <v>2</v>
      </c>
      <c r="N99" s="505">
        <f t="shared" si="24"/>
        <v>2</v>
      </c>
      <c r="O99" s="505">
        <f t="shared" si="24"/>
        <v>2</v>
      </c>
      <c r="P99" s="308">
        <f>SUM(D99:O99)</f>
        <v>24</v>
      </c>
      <c r="S99" s="231"/>
    </row>
    <row r="100" spans="1:19" x14ac:dyDescent="0.2">
      <c r="C100" s="221"/>
      <c r="E100" s="221"/>
      <c r="F100" s="221"/>
      <c r="G100" s="221"/>
      <c r="S100" s="231"/>
    </row>
    <row r="101" spans="1:19" x14ac:dyDescent="0.2">
      <c r="C101" s="221"/>
      <c r="E101" s="221"/>
      <c r="F101" s="221"/>
      <c r="G101" s="221"/>
      <c r="S101" s="231"/>
    </row>
    <row r="102" spans="1:19" x14ac:dyDescent="0.2">
      <c r="C102" s="221"/>
      <c r="E102" s="221"/>
      <c r="F102" s="221"/>
      <c r="G102" s="221"/>
      <c r="S102" s="231"/>
    </row>
    <row r="103" spans="1:19" ht="13.95" customHeight="1" x14ac:dyDescent="0.2">
      <c r="A103" s="656"/>
      <c r="B103" s="485"/>
      <c r="C103" s="657"/>
      <c r="D103" s="505"/>
      <c r="E103" s="505"/>
      <c r="F103" s="505"/>
      <c r="G103" s="505"/>
      <c r="H103" s="505"/>
      <c r="I103" s="505"/>
      <c r="J103" s="505"/>
      <c r="K103" s="505"/>
      <c r="L103" s="505"/>
      <c r="M103" s="505"/>
      <c r="N103" s="505"/>
      <c r="O103" s="505"/>
      <c r="P103" s="659"/>
      <c r="S103" s="231"/>
    </row>
    <row r="104" spans="1:19" x14ac:dyDescent="0.2">
      <c r="A104" s="874" t="s">
        <v>36</v>
      </c>
      <c r="B104" s="874"/>
      <c r="C104" s="874"/>
      <c r="D104" s="874"/>
      <c r="E104" s="874"/>
      <c r="F104" s="874"/>
      <c r="G104" s="874"/>
      <c r="H104" s="874"/>
      <c r="I104" s="874"/>
      <c r="J104" s="874"/>
      <c r="K104" s="874"/>
      <c r="L104" s="874"/>
      <c r="M104" s="874"/>
      <c r="N104" s="874"/>
      <c r="O104" s="874"/>
      <c r="P104" s="874"/>
    </row>
    <row r="105" spans="1:19" x14ac:dyDescent="0.2">
      <c r="A105" s="874" t="s">
        <v>195</v>
      </c>
      <c r="B105" s="874"/>
      <c r="C105" s="874"/>
      <c r="D105" s="874"/>
      <c r="E105" s="874"/>
      <c r="F105" s="874"/>
      <c r="G105" s="874"/>
      <c r="H105" s="874"/>
      <c r="I105" s="874"/>
      <c r="J105" s="874"/>
      <c r="K105" s="874"/>
      <c r="L105" s="874"/>
      <c r="M105" s="874"/>
      <c r="N105" s="874"/>
      <c r="O105" s="874"/>
      <c r="P105" s="874"/>
    </row>
    <row r="106" spans="1:19" x14ac:dyDescent="0.2">
      <c r="A106" s="874" t="str">
        <f>A3</f>
        <v>For the 12 Months Ended December 31, 2017</v>
      </c>
      <c r="B106" s="874"/>
      <c r="C106" s="874"/>
      <c r="D106" s="874"/>
      <c r="E106" s="874"/>
      <c r="F106" s="874"/>
      <c r="G106" s="874"/>
      <c r="H106" s="874"/>
      <c r="I106" s="874"/>
      <c r="J106" s="874"/>
      <c r="K106" s="874"/>
      <c r="L106" s="874"/>
      <c r="M106" s="874"/>
      <c r="N106" s="874"/>
      <c r="O106" s="874"/>
      <c r="P106" s="874"/>
    </row>
    <row r="107" spans="1:19" x14ac:dyDescent="0.2">
      <c r="A107" s="305"/>
      <c r="B107" s="305"/>
      <c r="C107" s="306"/>
      <c r="D107" s="305"/>
      <c r="E107" s="306"/>
      <c r="F107" s="306"/>
      <c r="G107" s="306"/>
      <c r="H107" s="305"/>
      <c r="I107" s="305"/>
      <c r="J107" s="305"/>
      <c r="K107" s="305"/>
      <c r="L107" s="305"/>
      <c r="M107" s="305"/>
      <c r="N107" s="305"/>
      <c r="O107" s="305"/>
      <c r="P107" s="305"/>
    </row>
    <row r="108" spans="1:19" x14ac:dyDescent="0.2">
      <c r="A108" s="588" t="str">
        <f>$A$5</f>
        <v>Data: __ Base Period_X_Forecasted Period</v>
      </c>
      <c r="B108" s="305"/>
      <c r="C108" s="227"/>
      <c r="D108" s="227"/>
      <c r="E108" s="227"/>
      <c r="F108" s="227"/>
      <c r="G108" s="306"/>
      <c r="H108" s="305"/>
      <c r="I108" s="305"/>
      <c r="J108" s="305"/>
      <c r="K108" s="305"/>
      <c r="L108" s="305"/>
      <c r="M108" s="305"/>
      <c r="N108" s="305"/>
      <c r="O108" s="305"/>
      <c r="P108" s="305"/>
    </row>
    <row r="109" spans="1:19" x14ac:dyDescent="0.2">
      <c r="A109" s="588" t="str">
        <f>$A$6</f>
        <v>Type of Filing: X Original _ Update _ Revised</v>
      </c>
      <c r="B109" s="305"/>
      <c r="C109" s="227"/>
      <c r="D109" s="227"/>
      <c r="E109" s="227"/>
      <c r="F109" s="227"/>
      <c r="G109" s="306"/>
      <c r="H109" s="305"/>
      <c r="I109" s="305"/>
      <c r="J109" s="305"/>
      <c r="K109" s="305"/>
      <c r="L109" s="305"/>
      <c r="M109" s="305"/>
      <c r="N109" s="305"/>
      <c r="O109" s="305"/>
      <c r="P109" s="305"/>
    </row>
    <row r="110" spans="1:19" x14ac:dyDescent="0.2">
      <c r="A110" s="588" t="str">
        <f>$A$7</f>
        <v>Work Paper Reference No(s):</v>
      </c>
      <c r="B110" s="305"/>
      <c r="C110" s="227"/>
      <c r="D110" s="227"/>
      <c r="E110" s="227"/>
      <c r="F110" s="227"/>
      <c r="G110" s="306"/>
      <c r="H110" s="305"/>
      <c r="I110" s="305"/>
      <c r="J110" s="305"/>
      <c r="K110" s="305"/>
      <c r="L110" s="305"/>
      <c r="M110" s="305"/>
      <c r="N110" s="305"/>
      <c r="O110" s="305"/>
      <c r="P110" s="589" t="str">
        <f>$P$7</f>
        <v>Workpaper WPM-B.2</v>
      </c>
    </row>
    <row r="111" spans="1:19" x14ac:dyDescent="0.2">
      <c r="A111" s="671" t="str">
        <f>$A$8</f>
        <v>12 Months Forecasted</v>
      </c>
      <c r="B111" s="591"/>
      <c r="C111" s="227"/>
      <c r="D111" s="672"/>
      <c r="E111" s="591"/>
      <c r="F111" s="592"/>
      <c r="G111" s="593"/>
      <c r="H111" s="592"/>
      <c r="I111" s="594"/>
      <c r="J111" s="592"/>
      <c r="K111" s="592"/>
      <c r="L111" s="592"/>
      <c r="M111" s="592"/>
      <c r="N111" s="592"/>
      <c r="O111" s="592"/>
      <c r="P111" s="595" t="s">
        <v>467</v>
      </c>
      <c r="Q111" s="226"/>
      <c r="R111" s="226"/>
    </row>
    <row r="112" spans="1:19" x14ac:dyDescent="0.2">
      <c r="A112" s="656"/>
      <c r="B112" s="485"/>
      <c r="C112" s="657"/>
      <c r="D112" s="505"/>
      <c r="E112" s="505"/>
      <c r="F112" s="505"/>
      <c r="G112" s="505"/>
      <c r="H112" s="505"/>
      <c r="I112" s="505"/>
      <c r="J112" s="505"/>
      <c r="K112" s="505"/>
      <c r="L112" s="505"/>
      <c r="M112" s="505"/>
      <c r="N112" s="505"/>
      <c r="O112" s="505"/>
      <c r="P112" s="659"/>
      <c r="S112" s="231"/>
    </row>
    <row r="113" spans="1:19" x14ac:dyDescent="0.2">
      <c r="A113" s="591" t="s">
        <v>1</v>
      </c>
      <c r="B113" s="591"/>
      <c r="C113" s="227"/>
      <c r="D113" s="672"/>
      <c r="E113" s="591"/>
      <c r="F113" s="592"/>
      <c r="G113" s="593"/>
      <c r="H113" s="592"/>
      <c r="I113" s="594"/>
      <c r="J113" s="592"/>
      <c r="K113" s="592"/>
      <c r="L113" s="592"/>
      <c r="M113" s="592"/>
      <c r="N113" s="592"/>
      <c r="O113" s="592"/>
      <c r="P113" s="592"/>
      <c r="Q113" s="231"/>
      <c r="R113" s="231"/>
    </row>
    <row r="114" spans="1:19" x14ac:dyDescent="0.2">
      <c r="A114" s="229" t="s">
        <v>3</v>
      </c>
      <c r="B114" s="229" t="s">
        <v>4</v>
      </c>
      <c r="C114" s="262" t="s">
        <v>186</v>
      </c>
      <c r="D114" s="673" t="str">
        <f>$D$11</f>
        <v>Jan-17</v>
      </c>
      <c r="E114" s="673" t="str">
        <f>$E$11</f>
        <v>Feb-17</v>
      </c>
      <c r="F114" s="673" t="str">
        <f>$F$11</f>
        <v>Mar-17</v>
      </c>
      <c r="G114" s="673" t="str">
        <f>$G$11</f>
        <v>Apr-17</v>
      </c>
      <c r="H114" s="673" t="str">
        <f>$H$11</f>
        <v>May-17</v>
      </c>
      <c r="I114" s="673" t="str">
        <f>$I$11</f>
        <v>Jun-17</v>
      </c>
      <c r="J114" s="673" t="str">
        <f>$J$11</f>
        <v>Jul-17</v>
      </c>
      <c r="K114" s="673" t="str">
        <f>$K$11</f>
        <v>Aug-17</v>
      </c>
      <c r="L114" s="673" t="str">
        <f>$L$11</f>
        <v>Sep-17</v>
      </c>
      <c r="M114" s="673" t="str">
        <f>$M$11</f>
        <v>Oct-17</v>
      </c>
      <c r="N114" s="673" t="str">
        <f>$N$11</f>
        <v>Nov-17</v>
      </c>
      <c r="O114" s="673" t="str">
        <f>$O$11</f>
        <v>Dec-17</v>
      </c>
      <c r="P114" s="673" t="s">
        <v>9</v>
      </c>
      <c r="S114" s="286"/>
    </row>
    <row r="115" spans="1:19" x14ac:dyDescent="0.2">
      <c r="A115" s="591"/>
      <c r="B115" s="674" t="s">
        <v>42</v>
      </c>
      <c r="C115" s="665" t="s">
        <v>43</v>
      </c>
      <c r="D115" s="598" t="s">
        <v>45</v>
      </c>
      <c r="E115" s="598" t="s">
        <v>46</v>
      </c>
      <c r="F115" s="598" t="s">
        <v>49</v>
      </c>
      <c r="G115" s="598" t="s">
        <v>50</v>
      </c>
      <c r="H115" s="598" t="s">
        <v>51</v>
      </c>
      <c r="I115" s="598" t="s">
        <v>52</v>
      </c>
      <c r="J115" s="598" t="s">
        <v>53</v>
      </c>
      <c r="K115" s="599" t="s">
        <v>54</v>
      </c>
      <c r="L115" s="599" t="s">
        <v>55</v>
      </c>
      <c r="M115" s="599" t="s">
        <v>56</v>
      </c>
      <c r="N115" s="599" t="s">
        <v>57</v>
      </c>
      <c r="O115" s="599" t="s">
        <v>58</v>
      </c>
      <c r="P115" s="599" t="s">
        <v>59</v>
      </c>
      <c r="S115" s="231"/>
    </row>
    <row r="116" spans="1:19" ht="10.8" thickBot="1" x14ac:dyDescent="0.25">
      <c r="A116" s="591"/>
      <c r="B116" s="674"/>
      <c r="C116" s="665"/>
      <c r="D116" s="598"/>
      <c r="E116" s="598"/>
      <c r="F116" s="598"/>
      <c r="G116" s="598"/>
      <c r="H116" s="598"/>
      <c r="I116" s="598"/>
      <c r="J116" s="599"/>
      <c r="K116" s="599"/>
      <c r="L116" s="599"/>
      <c r="M116" s="599"/>
      <c r="N116" s="599"/>
      <c r="O116" s="599"/>
      <c r="P116" s="599"/>
      <c r="S116" s="231"/>
    </row>
    <row r="117" spans="1:19" x14ac:dyDescent="0.2">
      <c r="A117" s="675">
        <v>1</v>
      </c>
      <c r="B117" s="676" t="s">
        <v>10</v>
      </c>
      <c r="C117" s="677"/>
      <c r="D117" s="546"/>
      <c r="E117" s="678"/>
      <c r="F117" s="678"/>
      <c r="G117" s="678"/>
      <c r="H117" s="546"/>
      <c r="I117" s="546"/>
      <c r="J117" s="546"/>
      <c r="K117" s="447"/>
      <c r="L117" s="447"/>
      <c r="M117" s="447"/>
      <c r="N117" s="447"/>
      <c r="O117" s="447"/>
      <c r="P117" s="448"/>
      <c r="S117" s="801"/>
    </row>
    <row r="118" spans="1:19" x14ac:dyDescent="0.2">
      <c r="A118" s="679"/>
      <c r="B118" s="305"/>
      <c r="C118" s="680"/>
      <c r="D118" s="304"/>
      <c r="E118" s="308"/>
      <c r="F118" s="308"/>
      <c r="G118" s="308"/>
      <c r="H118" s="304"/>
      <c r="I118" s="304"/>
      <c r="J118" s="304"/>
      <c r="K118" s="305"/>
      <c r="L118" s="305"/>
      <c r="M118" s="305"/>
      <c r="N118" s="305"/>
      <c r="O118" s="305"/>
      <c r="P118" s="450"/>
      <c r="S118" s="801"/>
    </row>
    <row r="119" spans="1:19" x14ac:dyDescent="0.2">
      <c r="A119" s="679">
        <f>A117+1</f>
        <v>2</v>
      </c>
      <c r="B119" s="501" t="s">
        <v>11</v>
      </c>
      <c r="C119" s="612"/>
      <c r="D119" s="612"/>
      <c r="E119" s="612"/>
      <c r="F119" s="612"/>
      <c r="G119" s="612"/>
      <c r="H119" s="612"/>
      <c r="I119" s="612"/>
      <c r="J119" s="260"/>
      <c r="K119" s="305"/>
      <c r="L119" s="305"/>
      <c r="M119" s="305"/>
      <c r="N119" s="305"/>
      <c r="O119" s="305"/>
      <c r="P119" s="450"/>
      <c r="S119" s="801"/>
    </row>
    <row r="120" spans="1:19" x14ac:dyDescent="0.2">
      <c r="A120" s="679">
        <f>A119+1</f>
        <v>3</v>
      </c>
      <c r="B120" s="485" t="s">
        <v>289</v>
      </c>
      <c r="C120" s="657"/>
      <c r="D120" s="505">
        <f t="shared" ref="D120:O120" si="25">D15+D25+D30+D35+D40+D45+D68+D73</f>
        <v>97732</v>
      </c>
      <c r="E120" s="505">
        <f t="shared" si="25"/>
        <v>97872</v>
      </c>
      <c r="F120" s="505">
        <f t="shared" si="25"/>
        <v>97800</v>
      </c>
      <c r="G120" s="505">
        <f t="shared" si="25"/>
        <v>97231</v>
      </c>
      <c r="H120" s="505">
        <f t="shared" si="25"/>
        <v>96644</v>
      </c>
      <c r="I120" s="505">
        <f t="shared" si="25"/>
        <v>95858</v>
      </c>
      <c r="J120" s="505">
        <f t="shared" si="25"/>
        <v>95262</v>
      </c>
      <c r="K120" s="505">
        <f t="shared" si="25"/>
        <v>95003</v>
      </c>
      <c r="L120" s="505">
        <f t="shared" si="25"/>
        <v>94942</v>
      </c>
      <c r="M120" s="505">
        <f t="shared" si="25"/>
        <v>95291</v>
      </c>
      <c r="N120" s="505">
        <f t="shared" si="25"/>
        <v>96432</v>
      </c>
      <c r="O120" s="505">
        <f t="shared" si="25"/>
        <v>97362</v>
      </c>
      <c r="P120" s="681">
        <f>SUM(D120:O120)</f>
        <v>1157429</v>
      </c>
      <c r="S120" s="801"/>
    </row>
    <row r="121" spans="1:19" ht="12" x14ac:dyDescent="0.35">
      <c r="A121" s="679">
        <f>A120+1</f>
        <v>4</v>
      </c>
      <c r="B121" s="485" t="s">
        <v>290</v>
      </c>
      <c r="C121" s="657"/>
      <c r="D121" s="683">
        <f t="shared" ref="D121:O121" si="26">D16+D26+D31+D36+D41+D46+D69+D74</f>
        <v>1588</v>
      </c>
      <c r="E121" s="683">
        <f t="shared" si="26"/>
        <v>1632</v>
      </c>
      <c r="F121" s="683">
        <f t="shared" si="26"/>
        <v>1773</v>
      </c>
      <c r="G121" s="683">
        <f t="shared" si="26"/>
        <v>2323</v>
      </c>
      <c r="H121" s="683">
        <f t="shared" si="26"/>
        <v>2426</v>
      </c>
      <c r="I121" s="683">
        <f t="shared" si="26"/>
        <v>2267</v>
      </c>
      <c r="J121" s="683">
        <f t="shared" si="26"/>
        <v>2008</v>
      </c>
      <c r="K121" s="683">
        <f t="shared" si="26"/>
        <v>2645</v>
      </c>
      <c r="L121" s="683">
        <f t="shared" si="26"/>
        <v>2068</v>
      </c>
      <c r="M121" s="683">
        <f t="shared" si="26"/>
        <v>1695</v>
      </c>
      <c r="N121" s="683">
        <f t="shared" si="26"/>
        <v>1590</v>
      </c>
      <c r="O121" s="683">
        <f t="shared" si="26"/>
        <v>1594</v>
      </c>
      <c r="P121" s="684">
        <f>SUM(D121:O121)</f>
        <v>23609</v>
      </c>
      <c r="S121" s="801"/>
    </row>
    <row r="122" spans="1:19" x14ac:dyDescent="0.2">
      <c r="A122" s="679">
        <f>A121+1</f>
        <v>5</v>
      </c>
      <c r="B122" s="485" t="s">
        <v>259</v>
      </c>
      <c r="C122" s="657"/>
      <c r="D122" s="505">
        <f t="shared" ref="D122:O122" si="27">SUM(D120:D121)</f>
        <v>99320</v>
      </c>
      <c r="E122" s="505">
        <f t="shared" si="27"/>
        <v>99504</v>
      </c>
      <c r="F122" s="505">
        <f t="shared" si="27"/>
        <v>99573</v>
      </c>
      <c r="G122" s="505">
        <f t="shared" si="27"/>
        <v>99554</v>
      </c>
      <c r="H122" s="505">
        <f t="shared" si="27"/>
        <v>99070</v>
      </c>
      <c r="I122" s="505">
        <f t="shared" si="27"/>
        <v>98125</v>
      </c>
      <c r="J122" s="505">
        <f t="shared" si="27"/>
        <v>97270</v>
      </c>
      <c r="K122" s="505">
        <f t="shared" si="27"/>
        <v>97648</v>
      </c>
      <c r="L122" s="505">
        <f t="shared" si="27"/>
        <v>97010</v>
      </c>
      <c r="M122" s="505">
        <f t="shared" si="27"/>
        <v>96986</v>
      </c>
      <c r="N122" s="505">
        <f t="shared" si="27"/>
        <v>98022</v>
      </c>
      <c r="O122" s="505">
        <f t="shared" si="27"/>
        <v>98956</v>
      </c>
      <c r="P122" s="681">
        <f>SUM(D122:O122)</f>
        <v>1181038</v>
      </c>
      <c r="S122" s="801"/>
    </row>
    <row r="123" spans="1:19" x14ac:dyDescent="0.2">
      <c r="A123" s="679"/>
      <c r="B123" s="305"/>
      <c r="C123" s="308"/>
      <c r="D123" s="308"/>
      <c r="E123" s="308"/>
      <c r="F123" s="308"/>
      <c r="G123" s="308"/>
      <c r="H123" s="308"/>
      <c r="I123" s="308"/>
      <c r="J123" s="260"/>
      <c r="K123" s="305"/>
      <c r="L123" s="305"/>
      <c r="M123" s="305"/>
      <c r="N123" s="305"/>
      <c r="O123" s="305"/>
      <c r="P123" s="450"/>
      <c r="S123" s="801"/>
    </row>
    <row r="124" spans="1:19" x14ac:dyDescent="0.2">
      <c r="A124" s="679">
        <f>A122+1</f>
        <v>6</v>
      </c>
      <c r="B124" s="501" t="s">
        <v>12</v>
      </c>
      <c r="C124" s="612"/>
      <c r="D124" s="612"/>
      <c r="E124" s="612"/>
      <c r="F124" s="612"/>
      <c r="G124" s="612"/>
      <c r="H124" s="612"/>
      <c r="I124" s="612"/>
      <c r="J124" s="260"/>
      <c r="K124" s="305"/>
      <c r="L124" s="305"/>
      <c r="M124" s="305"/>
      <c r="N124" s="305"/>
      <c r="O124" s="305"/>
      <c r="P124" s="450"/>
      <c r="S124" s="801"/>
    </row>
    <row r="125" spans="1:19" x14ac:dyDescent="0.2">
      <c r="A125" s="679">
        <f>A124+1</f>
        <v>7</v>
      </c>
      <c r="B125" s="485" t="s">
        <v>289</v>
      </c>
      <c r="C125" s="657"/>
      <c r="D125" s="308">
        <f t="shared" ref="D125:P125" si="28">D20+D50+D78</f>
        <v>10121</v>
      </c>
      <c r="E125" s="308">
        <f t="shared" si="28"/>
        <v>10208</v>
      </c>
      <c r="F125" s="308">
        <f t="shared" si="28"/>
        <v>9956</v>
      </c>
      <c r="G125" s="308">
        <f t="shared" si="28"/>
        <v>9870</v>
      </c>
      <c r="H125" s="308">
        <f t="shared" si="28"/>
        <v>9781</v>
      </c>
      <c r="I125" s="308">
        <f t="shared" si="28"/>
        <v>9698</v>
      </c>
      <c r="J125" s="308">
        <f t="shared" si="28"/>
        <v>9713</v>
      </c>
      <c r="K125" s="308">
        <f t="shared" si="28"/>
        <v>9683</v>
      </c>
      <c r="L125" s="308">
        <f t="shared" si="28"/>
        <v>9673</v>
      </c>
      <c r="M125" s="308">
        <f t="shared" si="28"/>
        <v>9707</v>
      </c>
      <c r="N125" s="308">
        <f t="shared" si="28"/>
        <v>9855</v>
      </c>
      <c r="O125" s="308">
        <f t="shared" si="28"/>
        <v>10023</v>
      </c>
      <c r="P125" s="681">
        <f t="shared" si="28"/>
        <v>118288</v>
      </c>
      <c r="S125" s="801"/>
    </row>
    <row r="126" spans="1:19" x14ac:dyDescent="0.2">
      <c r="A126" s="679">
        <f>A125+1</f>
        <v>8</v>
      </c>
      <c r="B126" s="485" t="s">
        <v>244</v>
      </c>
      <c r="C126" s="657"/>
      <c r="D126" s="308">
        <f>D79</f>
        <v>-1</v>
      </c>
      <c r="E126" s="308">
        <f t="shared" ref="E126:P126" si="29">E79</f>
        <v>-1</v>
      </c>
      <c r="F126" s="308">
        <f t="shared" si="29"/>
        <v>-1</v>
      </c>
      <c r="G126" s="308">
        <f t="shared" si="29"/>
        <v>-1</v>
      </c>
      <c r="H126" s="308">
        <f t="shared" si="29"/>
        <v>-1</v>
      </c>
      <c r="I126" s="308">
        <f t="shared" si="29"/>
        <v>-1</v>
      </c>
      <c r="J126" s="308">
        <f t="shared" si="29"/>
        <v>-1</v>
      </c>
      <c r="K126" s="308">
        <f t="shared" si="29"/>
        <v>-1</v>
      </c>
      <c r="L126" s="308">
        <f t="shared" si="29"/>
        <v>-1</v>
      </c>
      <c r="M126" s="308">
        <f t="shared" si="29"/>
        <v>-1</v>
      </c>
      <c r="N126" s="308">
        <f t="shared" si="29"/>
        <v>-1</v>
      </c>
      <c r="O126" s="308">
        <f t="shared" si="29"/>
        <v>-1</v>
      </c>
      <c r="P126" s="681">
        <f t="shared" si="29"/>
        <v>-12</v>
      </c>
      <c r="S126" s="801"/>
    </row>
    <row r="127" spans="1:19" ht="12" x14ac:dyDescent="0.35">
      <c r="A127" s="679">
        <f>A126+1</f>
        <v>9</v>
      </c>
      <c r="B127" s="485" t="s">
        <v>290</v>
      </c>
      <c r="C127" s="657"/>
      <c r="D127" s="307">
        <f t="shared" ref="D127:P127" si="30">D21+D51+D80</f>
        <v>91</v>
      </c>
      <c r="E127" s="307">
        <f t="shared" si="30"/>
        <v>68</v>
      </c>
      <c r="F127" s="307">
        <f t="shared" si="30"/>
        <v>85</v>
      </c>
      <c r="G127" s="307">
        <f t="shared" si="30"/>
        <v>139</v>
      </c>
      <c r="H127" s="307">
        <f t="shared" si="30"/>
        <v>107</v>
      </c>
      <c r="I127" s="307">
        <f t="shared" si="30"/>
        <v>88</v>
      </c>
      <c r="J127" s="307">
        <f t="shared" si="30"/>
        <v>76</v>
      </c>
      <c r="K127" s="307">
        <f t="shared" si="30"/>
        <v>92</v>
      </c>
      <c r="L127" s="307">
        <f t="shared" si="30"/>
        <v>71</v>
      </c>
      <c r="M127" s="307">
        <f t="shared" si="30"/>
        <v>70</v>
      </c>
      <c r="N127" s="307">
        <f t="shared" si="30"/>
        <v>65</v>
      </c>
      <c r="O127" s="307">
        <f t="shared" si="30"/>
        <v>58</v>
      </c>
      <c r="P127" s="684">
        <f t="shared" si="30"/>
        <v>1010</v>
      </c>
      <c r="S127" s="801"/>
    </row>
    <row r="128" spans="1:19" x14ac:dyDescent="0.2">
      <c r="A128" s="679">
        <f>A127+1</f>
        <v>10</v>
      </c>
      <c r="B128" s="485" t="s">
        <v>259</v>
      </c>
      <c r="C128" s="657"/>
      <c r="D128" s="505">
        <f t="shared" ref="D128:O128" si="31">SUM(D125:D127)</f>
        <v>10211</v>
      </c>
      <c r="E128" s="505">
        <f t="shared" si="31"/>
        <v>10275</v>
      </c>
      <c r="F128" s="505">
        <f t="shared" si="31"/>
        <v>10040</v>
      </c>
      <c r="G128" s="505">
        <f t="shared" si="31"/>
        <v>10008</v>
      </c>
      <c r="H128" s="505">
        <f t="shared" si="31"/>
        <v>9887</v>
      </c>
      <c r="I128" s="505">
        <f t="shared" si="31"/>
        <v>9785</v>
      </c>
      <c r="J128" s="505">
        <f t="shared" si="31"/>
        <v>9788</v>
      </c>
      <c r="K128" s="505">
        <f t="shared" si="31"/>
        <v>9774</v>
      </c>
      <c r="L128" s="505">
        <f t="shared" si="31"/>
        <v>9743</v>
      </c>
      <c r="M128" s="505">
        <f t="shared" si="31"/>
        <v>9776</v>
      </c>
      <c r="N128" s="505">
        <f t="shared" si="31"/>
        <v>9919</v>
      </c>
      <c r="O128" s="505">
        <f t="shared" si="31"/>
        <v>10080</v>
      </c>
      <c r="P128" s="681">
        <f>SUM(D128:O128)</f>
        <v>119286</v>
      </c>
      <c r="S128" s="801"/>
    </row>
    <row r="129" spans="1:19" x14ac:dyDescent="0.2">
      <c r="A129" s="679"/>
      <c r="B129" s="305"/>
      <c r="C129" s="612"/>
      <c r="D129" s="612"/>
      <c r="E129" s="612"/>
      <c r="F129" s="612"/>
      <c r="G129" s="612"/>
      <c r="H129" s="612"/>
      <c r="I129" s="612"/>
      <c r="J129" s="260"/>
      <c r="K129" s="305"/>
      <c r="L129" s="305"/>
      <c r="M129" s="305"/>
      <c r="N129" s="305"/>
      <c r="O129" s="305"/>
      <c r="P129" s="450"/>
      <c r="S129" s="801"/>
    </row>
    <row r="130" spans="1:19" x14ac:dyDescent="0.2">
      <c r="A130" s="679">
        <f>A128+1</f>
        <v>11</v>
      </c>
      <c r="B130" s="501" t="s">
        <v>13</v>
      </c>
      <c r="C130" s="612"/>
      <c r="D130" s="612"/>
      <c r="E130" s="612"/>
      <c r="F130" s="612"/>
      <c r="G130" s="612"/>
      <c r="H130" s="612"/>
      <c r="I130" s="612"/>
      <c r="J130" s="686"/>
      <c r="K130" s="305"/>
      <c r="L130" s="305"/>
      <c r="M130" s="305"/>
      <c r="N130" s="305"/>
      <c r="O130" s="305"/>
      <c r="P130" s="450"/>
      <c r="S130" s="801"/>
    </row>
    <row r="131" spans="1:19" x14ac:dyDescent="0.2">
      <c r="A131" s="679">
        <f>A130+1</f>
        <v>12</v>
      </c>
      <c r="B131" s="485" t="s">
        <v>289</v>
      </c>
      <c r="C131" s="657"/>
      <c r="D131" s="505">
        <f t="shared" ref="D131:O131" si="32">D84+D90</f>
        <v>41</v>
      </c>
      <c r="E131" s="505">
        <f t="shared" si="32"/>
        <v>41</v>
      </c>
      <c r="F131" s="505">
        <f t="shared" si="32"/>
        <v>41</v>
      </c>
      <c r="G131" s="505">
        <f t="shared" si="32"/>
        <v>41</v>
      </c>
      <c r="H131" s="505">
        <f t="shared" si="32"/>
        <v>41</v>
      </c>
      <c r="I131" s="505">
        <f t="shared" si="32"/>
        <v>41</v>
      </c>
      <c r="J131" s="505">
        <f t="shared" si="32"/>
        <v>41</v>
      </c>
      <c r="K131" s="505">
        <f t="shared" si="32"/>
        <v>41</v>
      </c>
      <c r="L131" s="505">
        <f t="shared" si="32"/>
        <v>41</v>
      </c>
      <c r="M131" s="505">
        <f t="shared" si="32"/>
        <v>41</v>
      </c>
      <c r="N131" s="505">
        <f t="shared" si="32"/>
        <v>41</v>
      </c>
      <c r="O131" s="505">
        <f t="shared" si="32"/>
        <v>41</v>
      </c>
      <c r="P131" s="681">
        <f>SUM(D131:O131)</f>
        <v>492</v>
      </c>
      <c r="S131" s="801"/>
    </row>
    <row r="132" spans="1:19" x14ac:dyDescent="0.2">
      <c r="A132" s="679">
        <f>A131+1</f>
        <v>13</v>
      </c>
      <c r="B132" s="485" t="s">
        <v>244</v>
      </c>
      <c r="C132" s="657"/>
      <c r="D132" s="308">
        <f t="shared" ref="D132:O132" si="33">D85+D91</f>
        <v>2</v>
      </c>
      <c r="E132" s="308">
        <f t="shared" si="33"/>
        <v>2</v>
      </c>
      <c r="F132" s="308">
        <f t="shared" si="33"/>
        <v>2</v>
      </c>
      <c r="G132" s="308">
        <f t="shared" si="33"/>
        <v>2</v>
      </c>
      <c r="H132" s="308">
        <f t="shared" si="33"/>
        <v>2</v>
      </c>
      <c r="I132" s="308">
        <f t="shared" si="33"/>
        <v>2</v>
      </c>
      <c r="J132" s="308">
        <f t="shared" si="33"/>
        <v>3</v>
      </c>
      <c r="K132" s="308">
        <f t="shared" si="33"/>
        <v>3</v>
      </c>
      <c r="L132" s="308">
        <f t="shared" si="33"/>
        <v>3</v>
      </c>
      <c r="M132" s="308">
        <f t="shared" si="33"/>
        <v>3</v>
      </c>
      <c r="N132" s="308">
        <f t="shared" si="33"/>
        <v>3</v>
      </c>
      <c r="O132" s="308">
        <f t="shared" si="33"/>
        <v>3</v>
      </c>
      <c r="P132" s="682">
        <f>SUM(D132:O132)</f>
        <v>30</v>
      </c>
      <c r="S132" s="801"/>
    </row>
    <row r="133" spans="1:19" x14ac:dyDescent="0.2">
      <c r="A133" s="679">
        <f>A132+1</f>
        <v>14</v>
      </c>
      <c r="B133" s="485" t="s">
        <v>290</v>
      </c>
      <c r="C133" s="657"/>
      <c r="D133" s="307">
        <f t="shared" ref="D133:O133" si="34">D86+D92</f>
        <v>0</v>
      </c>
      <c r="E133" s="307">
        <f t="shared" si="34"/>
        <v>0</v>
      </c>
      <c r="F133" s="307">
        <f t="shared" si="34"/>
        <v>0</v>
      </c>
      <c r="G133" s="307">
        <f t="shared" si="34"/>
        <v>0</v>
      </c>
      <c r="H133" s="307">
        <f t="shared" si="34"/>
        <v>0</v>
      </c>
      <c r="I133" s="307">
        <f t="shared" si="34"/>
        <v>1</v>
      </c>
      <c r="J133" s="307">
        <f t="shared" si="34"/>
        <v>0</v>
      </c>
      <c r="K133" s="307">
        <f t="shared" si="34"/>
        <v>1</v>
      </c>
      <c r="L133" s="307">
        <f t="shared" si="34"/>
        <v>0</v>
      </c>
      <c r="M133" s="307">
        <f t="shared" si="34"/>
        <v>0</v>
      </c>
      <c r="N133" s="307">
        <f t="shared" si="34"/>
        <v>0</v>
      </c>
      <c r="O133" s="307">
        <f t="shared" si="34"/>
        <v>0</v>
      </c>
      <c r="P133" s="682">
        <f>SUM(D133:O133)</f>
        <v>2</v>
      </c>
      <c r="S133" s="801"/>
    </row>
    <row r="134" spans="1:19" x14ac:dyDescent="0.2">
      <c r="A134" s="679">
        <f>A133+1</f>
        <v>15</v>
      </c>
      <c r="B134" s="485" t="s">
        <v>259</v>
      </c>
      <c r="C134" s="657"/>
      <c r="D134" s="505">
        <f t="shared" ref="D134:O134" si="35">SUM(D131:D133)</f>
        <v>43</v>
      </c>
      <c r="E134" s="505">
        <f t="shared" si="35"/>
        <v>43</v>
      </c>
      <c r="F134" s="505">
        <f t="shared" si="35"/>
        <v>43</v>
      </c>
      <c r="G134" s="505">
        <f t="shared" si="35"/>
        <v>43</v>
      </c>
      <c r="H134" s="505">
        <f t="shared" si="35"/>
        <v>43</v>
      </c>
      <c r="I134" s="505">
        <f t="shared" si="35"/>
        <v>44</v>
      </c>
      <c r="J134" s="505">
        <f t="shared" si="35"/>
        <v>44</v>
      </c>
      <c r="K134" s="505">
        <f t="shared" si="35"/>
        <v>45</v>
      </c>
      <c r="L134" s="505">
        <f t="shared" si="35"/>
        <v>44</v>
      </c>
      <c r="M134" s="505">
        <f t="shared" si="35"/>
        <v>44</v>
      </c>
      <c r="N134" s="505">
        <f t="shared" si="35"/>
        <v>44</v>
      </c>
      <c r="O134" s="505">
        <f t="shared" si="35"/>
        <v>44</v>
      </c>
      <c r="P134" s="681">
        <f>SUM(D134:O134)</f>
        <v>524</v>
      </c>
      <c r="S134" s="801"/>
    </row>
    <row r="135" spans="1:19" x14ac:dyDescent="0.2">
      <c r="A135" s="679"/>
      <c r="B135" s="305"/>
      <c r="C135" s="612"/>
      <c r="D135" s="612"/>
      <c r="E135" s="612"/>
      <c r="F135" s="612"/>
      <c r="G135" s="612"/>
      <c r="H135" s="612"/>
      <c r="I135" s="612"/>
      <c r="J135" s="686"/>
      <c r="K135" s="305"/>
      <c r="L135" s="305"/>
      <c r="M135" s="305"/>
      <c r="N135" s="305"/>
      <c r="O135" s="305"/>
      <c r="P135" s="450"/>
      <c r="S135" s="801"/>
    </row>
    <row r="136" spans="1:19" x14ac:dyDescent="0.2">
      <c r="A136" s="679">
        <f>A134+1</f>
        <v>16</v>
      </c>
      <c r="B136" s="501" t="s">
        <v>71</v>
      </c>
      <c r="C136" s="626"/>
      <c r="D136" s="686"/>
      <c r="E136" s="686"/>
      <c r="F136" s="686"/>
      <c r="G136" s="686"/>
      <c r="H136" s="686"/>
      <c r="I136" s="686"/>
      <c r="J136" s="686"/>
      <c r="K136" s="305"/>
      <c r="L136" s="305"/>
      <c r="M136" s="305"/>
      <c r="N136" s="305"/>
      <c r="O136" s="305"/>
      <c r="P136" s="450"/>
      <c r="S136" s="801"/>
    </row>
    <row r="137" spans="1:19" x14ac:dyDescent="0.2">
      <c r="A137" s="679">
        <f>A136+1</f>
        <v>17</v>
      </c>
      <c r="B137" s="485" t="s">
        <v>289</v>
      </c>
      <c r="C137" s="657"/>
      <c r="D137" s="505">
        <f t="shared" ref="D137:O137" si="36">D96</f>
        <v>2</v>
      </c>
      <c r="E137" s="505">
        <f t="shared" si="36"/>
        <v>2</v>
      </c>
      <c r="F137" s="505">
        <f t="shared" si="36"/>
        <v>2</v>
      </c>
      <c r="G137" s="505">
        <f t="shared" si="36"/>
        <v>2</v>
      </c>
      <c r="H137" s="505">
        <f t="shared" si="36"/>
        <v>2</v>
      </c>
      <c r="I137" s="505">
        <f t="shared" si="36"/>
        <v>2</v>
      </c>
      <c r="J137" s="505">
        <f t="shared" si="36"/>
        <v>2</v>
      </c>
      <c r="K137" s="505">
        <f t="shared" si="36"/>
        <v>2</v>
      </c>
      <c r="L137" s="505">
        <f t="shared" si="36"/>
        <v>2</v>
      </c>
      <c r="M137" s="505">
        <f t="shared" si="36"/>
        <v>2</v>
      </c>
      <c r="N137" s="505">
        <f t="shared" si="36"/>
        <v>2</v>
      </c>
      <c r="O137" s="505">
        <f t="shared" si="36"/>
        <v>2</v>
      </c>
      <c r="P137" s="681">
        <f>SUM(D137:O137)</f>
        <v>24</v>
      </c>
      <c r="S137" s="801"/>
    </row>
    <row r="138" spans="1:19" x14ac:dyDescent="0.2">
      <c r="A138" s="679">
        <f>A137+1</f>
        <v>18</v>
      </c>
      <c r="B138" s="485" t="s">
        <v>244</v>
      </c>
      <c r="C138" s="657"/>
      <c r="D138" s="308">
        <f t="shared" ref="D138:O138" si="37">D97</f>
        <v>0</v>
      </c>
      <c r="E138" s="308">
        <f t="shared" si="37"/>
        <v>0</v>
      </c>
      <c r="F138" s="308">
        <f t="shared" si="37"/>
        <v>0</v>
      </c>
      <c r="G138" s="308">
        <f t="shared" si="37"/>
        <v>0</v>
      </c>
      <c r="H138" s="308">
        <f t="shared" si="37"/>
        <v>0</v>
      </c>
      <c r="I138" s="308">
        <f t="shared" si="37"/>
        <v>0</v>
      </c>
      <c r="J138" s="308">
        <f t="shared" si="37"/>
        <v>0</v>
      </c>
      <c r="K138" s="308">
        <f t="shared" si="37"/>
        <v>0</v>
      </c>
      <c r="L138" s="308">
        <f t="shared" si="37"/>
        <v>0</v>
      </c>
      <c r="M138" s="308">
        <f t="shared" si="37"/>
        <v>0</v>
      </c>
      <c r="N138" s="308">
        <f t="shared" si="37"/>
        <v>0</v>
      </c>
      <c r="O138" s="308">
        <f t="shared" si="37"/>
        <v>0</v>
      </c>
      <c r="P138" s="682">
        <f>SUM(D138:O138)</f>
        <v>0</v>
      </c>
      <c r="S138" s="801"/>
    </row>
    <row r="139" spans="1:19" x14ac:dyDescent="0.2">
      <c r="A139" s="679">
        <f>A138+1</f>
        <v>19</v>
      </c>
      <c r="B139" s="485" t="s">
        <v>290</v>
      </c>
      <c r="C139" s="657"/>
      <c r="D139" s="307">
        <f t="shared" ref="D139:O139" si="38">D98</f>
        <v>0</v>
      </c>
      <c r="E139" s="307">
        <f t="shared" si="38"/>
        <v>0</v>
      </c>
      <c r="F139" s="307">
        <f t="shared" si="38"/>
        <v>0</v>
      </c>
      <c r="G139" s="307">
        <f t="shared" si="38"/>
        <v>0</v>
      </c>
      <c r="H139" s="307">
        <f t="shared" si="38"/>
        <v>0</v>
      </c>
      <c r="I139" s="307">
        <f t="shared" si="38"/>
        <v>0</v>
      </c>
      <c r="J139" s="307">
        <f t="shared" si="38"/>
        <v>0</v>
      </c>
      <c r="K139" s="307">
        <f t="shared" si="38"/>
        <v>0</v>
      </c>
      <c r="L139" s="307">
        <f t="shared" si="38"/>
        <v>0</v>
      </c>
      <c r="M139" s="307">
        <f t="shared" si="38"/>
        <v>0</v>
      </c>
      <c r="N139" s="307">
        <f t="shared" si="38"/>
        <v>0</v>
      </c>
      <c r="O139" s="307">
        <f t="shared" si="38"/>
        <v>0</v>
      </c>
      <c r="P139" s="685">
        <f>SUM(D139:O139)</f>
        <v>0</v>
      </c>
      <c r="S139" s="801"/>
    </row>
    <row r="140" spans="1:19" x14ac:dyDescent="0.2">
      <c r="A140" s="679">
        <f>A139+1</f>
        <v>20</v>
      </c>
      <c r="B140" s="485" t="s">
        <v>259</v>
      </c>
      <c r="C140" s="657"/>
      <c r="D140" s="505">
        <f t="shared" ref="D140:O140" si="39">SUM(D137:D139)</f>
        <v>2</v>
      </c>
      <c r="E140" s="505">
        <f t="shared" si="39"/>
        <v>2</v>
      </c>
      <c r="F140" s="505">
        <f t="shared" si="39"/>
        <v>2</v>
      </c>
      <c r="G140" s="505">
        <f t="shared" si="39"/>
        <v>2</v>
      </c>
      <c r="H140" s="505">
        <f t="shared" si="39"/>
        <v>2</v>
      </c>
      <c r="I140" s="505">
        <f t="shared" si="39"/>
        <v>2</v>
      </c>
      <c r="J140" s="505">
        <f t="shared" si="39"/>
        <v>2</v>
      </c>
      <c r="K140" s="505">
        <f t="shared" si="39"/>
        <v>2</v>
      </c>
      <c r="L140" s="505">
        <f t="shared" si="39"/>
        <v>2</v>
      </c>
      <c r="M140" s="505">
        <f t="shared" si="39"/>
        <v>2</v>
      </c>
      <c r="N140" s="505">
        <f t="shared" si="39"/>
        <v>2</v>
      </c>
      <c r="O140" s="505">
        <f t="shared" si="39"/>
        <v>2</v>
      </c>
      <c r="P140" s="681">
        <f>SUM(D140:O140)</f>
        <v>24</v>
      </c>
      <c r="S140" s="801"/>
    </row>
    <row r="141" spans="1:19" x14ac:dyDescent="0.2">
      <c r="A141" s="679"/>
      <c r="B141" s="305"/>
      <c r="C141" s="308"/>
      <c r="D141" s="304"/>
      <c r="E141" s="304"/>
      <c r="F141" s="304"/>
      <c r="G141" s="304"/>
      <c r="H141" s="304"/>
      <c r="I141" s="304"/>
      <c r="J141" s="260"/>
      <c r="K141" s="305"/>
      <c r="L141" s="305"/>
      <c r="M141" s="305"/>
      <c r="N141" s="305"/>
      <c r="O141" s="305"/>
      <c r="P141" s="450"/>
      <c r="S141" s="801"/>
    </row>
    <row r="142" spans="1:19" x14ac:dyDescent="0.2">
      <c r="A142" s="679">
        <f>A140+1</f>
        <v>21</v>
      </c>
      <c r="B142" s="501" t="s">
        <v>14</v>
      </c>
      <c r="C142" s="612"/>
      <c r="D142" s="260"/>
      <c r="E142" s="260"/>
      <c r="F142" s="260"/>
      <c r="G142" s="260"/>
      <c r="H142" s="260"/>
      <c r="I142" s="260"/>
      <c r="J142" s="260"/>
      <c r="K142" s="305"/>
      <c r="L142" s="305"/>
      <c r="M142" s="305"/>
      <c r="N142" s="305"/>
      <c r="O142" s="305"/>
      <c r="P142" s="450"/>
      <c r="S142" s="801"/>
    </row>
    <row r="143" spans="1:19" x14ac:dyDescent="0.2">
      <c r="A143" s="679">
        <f>A142+1</f>
        <v>22</v>
      </c>
      <c r="B143" s="485" t="s">
        <v>289</v>
      </c>
      <c r="C143" s="657"/>
      <c r="D143" s="505">
        <f t="shared" ref="D143:O143" si="40">D120+D125+D131+D137</f>
        <v>107896</v>
      </c>
      <c r="E143" s="505">
        <f t="shared" si="40"/>
        <v>108123</v>
      </c>
      <c r="F143" s="505">
        <f t="shared" si="40"/>
        <v>107799</v>
      </c>
      <c r="G143" s="505">
        <f t="shared" si="40"/>
        <v>107144</v>
      </c>
      <c r="H143" s="505">
        <f t="shared" si="40"/>
        <v>106468</v>
      </c>
      <c r="I143" s="505">
        <f t="shared" si="40"/>
        <v>105599</v>
      </c>
      <c r="J143" s="505">
        <f t="shared" si="40"/>
        <v>105018</v>
      </c>
      <c r="K143" s="505">
        <f t="shared" si="40"/>
        <v>104729</v>
      </c>
      <c r="L143" s="505">
        <f t="shared" si="40"/>
        <v>104658</v>
      </c>
      <c r="M143" s="505">
        <f t="shared" si="40"/>
        <v>105041</v>
      </c>
      <c r="N143" s="505">
        <f t="shared" si="40"/>
        <v>106330</v>
      </c>
      <c r="O143" s="505">
        <f t="shared" si="40"/>
        <v>107428</v>
      </c>
      <c r="P143" s="681">
        <f>SUM(D143:O143)</f>
        <v>1276233</v>
      </c>
      <c r="S143" s="801"/>
    </row>
    <row r="144" spans="1:19" x14ac:dyDescent="0.2">
      <c r="A144" s="679">
        <f>A143+1</f>
        <v>23</v>
      </c>
      <c r="B144" s="485" t="s">
        <v>244</v>
      </c>
      <c r="C144" s="657"/>
      <c r="D144" s="308">
        <f>D126+D132+D138</f>
        <v>1</v>
      </c>
      <c r="E144" s="308">
        <f t="shared" ref="E144:P144" si="41">E126+E132+E138</f>
        <v>1</v>
      </c>
      <c r="F144" s="308">
        <f t="shared" si="41"/>
        <v>1</v>
      </c>
      <c r="G144" s="308">
        <f t="shared" si="41"/>
        <v>1</v>
      </c>
      <c r="H144" s="308">
        <f t="shared" si="41"/>
        <v>1</v>
      </c>
      <c r="I144" s="308">
        <f t="shared" si="41"/>
        <v>1</v>
      </c>
      <c r="J144" s="308">
        <f t="shared" si="41"/>
        <v>2</v>
      </c>
      <c r="K144" s="308">
        <f t="shared" si="41"/>
        <v>2</v>
      </c>
      <c r="L144" s="308">
        <f t="shared" si="41"/>
        <v>2</v>
      </c>
      <c r="M144" s="308">
        <f t="shared" si="41"/>
        <v>2</v>
      </c>
      <c r="N144" s="308">
        <f t="shared" si="41"/>
        <v>2</v>
      </c>
      <c r="O144" s="308">
        <f t="shared" si="41"/>
        <v>2</v>
      </c>
      <c r="P144" s="681">
        <f t="shared" si="41"/>
        <v>18</v>
      </c>
      <c r="S144" s="801"/>
    </row>
    <row r="145" spans="1:19" ht="12" x14ac:dyDescent="0.35">
      <c r="A145" s="679">
        <f>A144+1</f>
        <v>24</v>
      </c>
      <c r="B145" s="485" t="s">
        <v>290</v>
      </c>
      <c r="C145" s="657"/>
      <c r="D145" s="683">
        <f t="shared" ref="D145:O145" si="42">D121+D127+D133+D139</f>
        <v>1679</v>
      </c>
      <c r="E145" s="683">
        <f t="shared" si="42"/>
        <v>1700</v>
      </c>
      <c r="F145" s="683">
        <f t="shared" si="42"/>
        <v>1858</v>
      </c>
      <c r="G145" s="683">
        <f t="shared" si="42"/>
        <v>2462</v>
      </c>
      <c r="H145" s="683">
        <f t="shared" si="42"/>
        <v>2533</v>
      </c>
      <c r="I145" s="683">
        <f t="shared" si="42"/>
        <v>2356</v>
      </c>
      <c r="J145" s="683">
        <f t="shared" si="42"/>
        <v>2084</v>
      </c>
      <c r="K145" s="683">
        <f t="shared" si="42"/>
        <v>2738</v>
      </c>
      <c r="L145" s="683">
        <f t="shared" si="42"/>
        <v>2139</v>
      </c>
      <c r="M145" s="683">
        <f t="shared" si="42"/>
        <v>1765</v>
      </c>
      <c r="N145" s="683">
        <f t="shared" si="42"/>
        <v>1655</v>
      </c>
      <c r="O145" s="683">
        <f t="shared" si="42"/>
        <v>1652</v>
      </c>
      <c r="P145" s="684">
        <f>SUM(D145:O145)</f>
        <v>24621</v>
      </c>
      <c r="S145" s="801"/>
    </row>
    <row r="146" spans="1:19" ht="10.8" thickBot="1" x14ac:dyDescent="0.25">
      <c r="A146" s="687">
        <f>A145+1</f>
        <v>25</v>
      </c>
      <c r="B146" s="688" t="s">
        <v>259</v>
      </c>
      <c r="C146" s="689"/>
      <c r="D146" s="690">
        <f t="shared" ref="D146:O146" si="43">SUM(D143:D145)</f>
        <v>109576</v>
      </c>
      <c r="E146" s="690">
        <f t="shared" si="43"/>
        <v>109824</v>
      </c>
      <c r="F146" s="690">
        <f t="shared" si="43"/>
        <v>109658</v>
      </c>
      <c r="G146" s="690">
        <f t="shared" si="43"/>
        <v>109607</v>
      </c>
      <c r="H146" s="690">
        <f t="shared" si="43"/>
        <v>109002</v>
      </c>
      <c r="I146" s="690">
        <f t="shared" si="43"/>
        <v>107956</v>
      </c>
      <c r="J146" s="690">
        <f t="shared" si="43"/>
        <v>107104</v>
      </c>
      <c r="K146" s="690">
        <f t="shared" si="43"/>
        <v>107469</v>
      </c>
      <c r="L146" s="690">
        <f t="shared" si="43"/>
        <v>106799</v>
      </c>
      <c r="M146" s="690">
        <f t="shared" si="43"/>
        <v>106808</v>
      </c>
      <c r="N146" s="690">
        <f t="shared" si="43"/>
        <v>107987</v>
      </c>
      <c r="O146" s="690">
        <f t="shared" si="43"/>
        <v>109082</v>
      </c>
      <c r="P146" s="691">
        <f>SUM(D146:O146)</f>
        <v>1300872</v>
      </c>
      <c r="S146" s="801"/>
    </row>
    <row r="147" spans="1:19" x14ac:dyDescent="0.2">
      <c r="A147" s="799"/>
      <c r="B147" s="674"/>
      <c r="C147" s="665"/>
      <c r="D147" s="598"/>
      <c r="E147" s="598"/>
      <c r="F147" s="598"/>
      <c r="G147" s="598"/>
      <c r="H147" s="598"/>
      <c r="I147" s="598"/>
      <c r="J147" s="599"/>
      <c r="K147" s="599"/>
      <c r="L147" s="599"/>
      <c r="M147" s="599"/>
      <c r="N147" s="599"/>
      <c r="O147" s="599"/>
      <c r="P147" s="599"/>
      <c r="S147" s="801"/>
    </row>
    <row r="148" spans="1:19" x14ac:dyDescent="0.2">
      <c r="A148" s="874" t="s">
        <v>36</v>
      </c>
      <c r="B148" s="874"/>
      <c r="C148" s="874"/>
      <c r="D148" s="874"/>
      <c r="E148" s="874"/>
      <c r="F148" s="874"/>
      <c r="G148" s="874"/>
      <c r="H148" s="874"/>
      <c r="I148" s="874"/>
      <c r="J148" s="874"/>
      <c r="K148" s="874"/>
      <c r="L148" s="874"/>
      <c r="M148" s="874"/>
      <c r="N148" s="874"/>
      <c r="O148" s="874"/>
      <c r="P148" s="874"/>
      <c r="S148" s="801"/>
    </row>
    <row r="149" spans="1:19" x14ac:dyDescent="0.2">
      <c r="A149" s="874" t="s">
        <v>195</v>
      </c>
      <c r="B149" s="874"/>
      <c r="C149" s="874"/>
      <c r="D149" s="874"/>
      <c r="E149" s="874"/>
      <c r="F149" s="874"/>
      <c r="G149" s="874"/>
      <c r="H149" s="874"/>
      <c r="I149" s="874"/>
      <c r="J149" s="874"/>
      <c r="K149" s="874"/>
      <c r="L149" s="874"/>
      <c r="M149" s="874"/>
      <c r="N149" s="874"/>
      <c r="O149" s="874"/>
      <c r="P149" s="874"/>
      <c r="S149" s="801"/>
    </row>
    <row r="150" spans="1:19" x14ac:dyDescent="0.2">
      <c r="A150" s="874" t="str">
        <f>A3</f>
        <v>For the 12 Months Ended December 31, 2017</v>
      </c>
      <c r="B150" s="874"/>
      <c r="C150" s="874"/>
      <c r="D150" s="874"/>
      <c r="E150" s="874"/>
      <c r="F150" s="874"/>
      <c r="G150" s="874"/>
      <c r="H150" s="874"/>
      <c r="I150" s="874"/>
      <c r="J150" s="874"/>
      <c r="K150" s="874"/>
      <c r="L150" s="874"/>
      <c r="M150" s="874"/>
      <c r="N150" s="874"/>
      <c r="O150" s="874"/>
      <c r="P150" s="874"/>
      <c r="S150" s="801"/>
    </row>
    <row r="151" spans="1:19" x14ac:dyDescent="0.2">
      <c r="A151" s="305"/>
      <c r="B151" s="305"/>
      <c r="C151" s="306"/>
      <c r="D151" s="305"/>
      <c r="E151" s="306"/>
      <c r="F151" s="306"/>
      <c r="G151" s="306"/>
      <c r="H151" s="305"/>
      <c r="I151" s="305"/>
      <c r="J151" s="305"/>
      <c r="K151" s="305"/>
      <c r="L151" s="305"/>
      <c r="M151" s="305"/>
      <c r="N151" s="305"/>
      <c r="O151" s="305"/>
      <c r="P151" s="305"/>
      <c r="S151" s="801"/>
    </row>
    <row r="152" spans="1:19" x14ac:dyDescent="0.2">
      <c r="A152" s="588" t="str">
        <f>$A$5</f>
        <v>Data: __ Base Period_X_Forecasted Period</v>
      </c>
      <c r="B152" s="305"/>
      <c r="C152" s="227"/>
      <c r="D152" s="227"/>
      <c r="E152" s="227"/>
      <c r="F152" s="227"/>
      <c r="G152" s="306"/>
      <c r="H152" s="305"/>
      <c r="I152" s="305"/>
      <c r="J152" s="305"/>
      <c r="K152" s="305"/>
      <c r="L152" s="305"/>
      <c r="M152" s="305"/>
      <c r="N152" s="305"/>
      <c r="O152" s="305"/>
      <c r="P152" s="305"/>
      <c r="S152" s="801"/>
    </row>
    <row r="153" spans="1:19" x14ac:dyDescent="0.2">
      <c r="A153" s="588" t="str">
        <f>$A$6</f>
        <v>Type of Filing: X Original _ Update _ Revised</v>
      </c>
      <c r="B153" s="305"/>
      <c r="C153" s="227"/>
      <c r="D153" s="227"/>
      <c r="E153" s="227"/>
      <c r="F153" s="227"/>
      <c r="G153" s="306"/>
      <c r="H153" s="305"/>
      <c r="I153" s="305"/>
      <c r="J153" s="305"/>
      <c r="K153" s="305"/>
      <c r="L153" s="305"/>
      <c r="M153" s="305"/>
      <c r="N153" s="305"/>
      <c r="O153" s="305"/>
      <c r="P153" s="305"/>
      <c r="S153" s="801"/>
    </row>
    <row r="154" spans="1:19" x14ac:dyDescent="0.2">
      <c r="A154" s="588" t="str">
        <f>$A$7</f>
        <v>Work Paper Reference No(s):</v>
      </c>
      <c r="B154" s="305"/>
      <c r="C154" s="227"/>
      <c r="D154" s="227"/>
      <c r="E154" s="227"/>
      <c r="F154" s="227"/>
      <c r="G154" s="306"/>
      <c r="H154" s="305"/>
      <c r="I154" s="305"/>
      <c r="J154" s="305"/>
      <c r="K154" s="305"/>
      <c r="L154" s="305"/>
      <c r="M154" s="305"/>
      <c r="N154" s="305"/>
      <c r="O154" s="305"/>
      <c r="P154" s="589" t="str">
        <f>$P$7</f>
        <v>Workpaper WPM-B.2</v>
      </c>
      <c r="S154" s="801"/>
    </row>
    <row r="155" spans="1:19" x14ac:dyDescent="0.2">
      <c r="A155" s="671" t="str">
        <f>$A$8</f>
        <v>12 Months Forecasted</v>
      </c>
      <c r="B155" s="799"/>
      <c r="C155" s="227"/>
      <c r="D155" s="672"/>
      <c r="E155" s="799"/>
      <c r="F155" s="592"/>
      <c r="G155" s="593"/>
      <c r="H155" s="592"/>
      <c r="I155" s="594"/>
      <c r="J155" s="592"/>
      <c r="K155" s="592"/>
      <c r="L155" s="592"/>
      <c r="M155" s="592"/>
      <c r="N155" s="592"/>
      <c r="O155" s="592"/>
      <c r="P155" s="595" t="s">
        <v>470</v>
      </c>
      <c r="S155" s="801"/>
    </row>
    <row r="156" spans="1:19" x14ac:dyDescent="0.2">
      <c r="A156" s="656"/>
      <c r="B156" s="485"/>
      <c r="C156" s="657"/>
      <c r="D156" s="505"/>
      <c r="E156" s="505"/>
      <c r="F156" s="505"/>
      <c r="G156" s="505"/>
      <c r="H156" s="505"/>
      <c r="I156" s="505"/>
      <c r="J156" s="505"/>
      <c r="K156" s="505"/>
      <c r="L156" s="505"/>
      <c r="M156" s="505"/>
      <c r="N156" s="505"/>
      <c r="O156" s="505"/>
      <c r="P156" s="659"/>
      <c r="S156" s="801"/>
    </row>
    <row r="157" spans="1:19" x14ac:dyDescent="0.2">
      <c r="A157" s="799" t="s">
        <v>1</v>
      </c>
      <c r="B157" s="799"/>
      <c r="C157" s="227"/>
      <c r="D157" s="672"/>
      <c r="E157" s="799"/>
      <c r="F157" s="592"/>
      <c r="G157" s="593"/>
      <c r="H157" s="592"/>
      <c r="I157" s="594"/>
      <c r="J157" s="592"/>
      <c r="K157" s="592"/>
      <c r="L157" s="592"/>
      <c r="M157" s="592"/>
      <c r="N157" s="592"/>
      <c r="O157" s="592"/>
      <c r="P157" s="592"/>
      <c r="S157" s="801"/>
    </row>
    <row r="158" spans="1:19" x14ac:dyDescent="0.2">
      <c r="A158" s="229" t="s">
        <v>3</v>
      </c>
      <c r="B158" s="229" t="s">
        <v>4</v>
      </c>
      <c r="C158" s="262" t="s">
        <v>186</v>
      </c>
      <c r="D158" s="673" t="str">
        <f>$D$11</f>
        <v>Jan-17</v>
      </c>
      <c r="E158" s="673" t="str">
        <f>$E$11</f>
        <v>Feb-17</v>
      </c>
      <c r="F158" s="673" t="str">
        <f>$F$11</f>
        <v>Mar-17</v>
      </c>
      <c r="G158" s="673" t="str">
        <f>$G$11</f>
        <v>Apr-17</v>
      </c>
      <c r="H158" s="673" t="str">
        <f>$H$11</f>
        <v>May-17</v>
      </c>
      <c r="I158" s="673" t="str">
        <f>$I$11</f>
        <v>Jun-17</v>
      </c>
      <c r="J158" s="673" t="str">
        <f>$J$11</f>
        <v>Jul-17</v>
      </c>
      <c r="K158" s="673" t="str">
        <f>$K$11</f>
        <v>Aug-17</v>
      </c>
      <c r="L158" s="673" t="str">
        <f>$L$11</f>
        <v>Sep-17</v>
      </c>
      <c r="M158" s="673" t="str">
        <f>$M$11</f>
        <v>Oct-17</v>
      </c>
      <c r="N158" s="673" t="str">
        <f>$N$11</f>
        <v>Nov-17</v>
      </c>
      <c r="O158" s="673" t="str">
        <f>$O$11</f>
        <v>Dec-17</v>
      </c>
      <c r="P158" s="673" t="s">
        <v>9</v>
      </c>
      <c r="S158" s="801"/>
    </row>
    <row r="159" spans="1:19" x14ac:dyDescent="0.2">
      <c r="A159" s="799"/>
      <c r="B159" s="674" t="s">
        <v>42</v>
      </c>
      <c r="C159" s="665" t="s">
        <v>43</v>
      </c>
      <c r="D159" s="598" t="s">
        <v>45</v>
      </c>
      <c r="E159" s="598" t="s">
        <v>46</v>
      </c>
      <c r="F159" s="598" t="s">
        <v>49</v>
      </c>
      <c r="G159" s="598" t="s">
        <v>50</v>
      </c>
      <c r="H159" s="598" t="s">
        <v>51</v>
      </c>
      <c r="I159" s="598" t="s">
        <v>52</v>
      </c>
      <c r="J159" s="598" t="s">
        <v>53</v>
      </c>
      <c r="K159" s="599" t="s">
        <v>54</v>
      </c>
      <c r="L159" s="599" t="s">
        <v>55</v>
      </c>
      <c r="M159" s="599" t="s">
        <v>56</v>
      </c>
      <c r="N159" s="599" t="s">
        <v>57</v>
      </c>
      <c r="O159" s="599" t="s">
        <v>58</v>
      </c>
      <c r="P159" s="599" t="s">
        <v>59</v>
      </c>
      <c r="S159" s="801"/>
    </row>
    <row r="160" spans="1:19" x14ac:dyDescent="0.2">
      <c r="A160" s="799"/>
      <c r="B160" s="674"/>
      <c r="C160" s="665"/>
      <c r="D160" s="598"/>
      <c r="E160" s="598"/>
      <c r="F160" s="598"/>
      <c r="G160" s="598"/>
      <c r="H160" s="598"/>
      <c r="I160" s="598"/>
      <c r="J160" s="599"/>
      <c r="K160" s="599"/>
      <c r="L160" s="599"/>
      <c r="M160" s="599"/>
      <c r="N160" s="599"/>
      <c r="O160" s="599"/>
      <c r="P160" s="599"/>
      <c r="S160" s="801"/>
    </row>
    <row r="161" spans="1:19" x14ac:dyDescent="0.2">
      <c r="A161" s="656">
        <v>1</v>
      </c>
      <c r="B161" s="501" t="s">
        <v>266</v>
      </c>
      <c r="C161" s="665"/>
      <c r="D161" s="598"/>
      <c r="E161" s="598"/>
      <c r="F161" s="598"/>
      <c r="G161" s="598"/>
      <c r="H161" s="598"/>
      <c r="I161" s="598"/>
      <c r="J161" s="599"/>
      <c r="K161" s="599"/>
      <c r="L161" s="599"/>
      <c r="M161" s="599"/>
      <c r="N161" s="599"/>
      <c r="O161" s="599"/>
      <c r="P161" s="599"/>
      <c r="S161" s="231"/>
    </row>
    <row r="162" spans="1:19" x14ac:dyDescent="0.2">
      <c r="A162" s="656">
        <f>A161+1</f>
        <v>2</v>
      </c>
      <c r="B162" s="485" t="s">
        <v>289</v>
      </c>
      <c r="C162" s="657"/>
      <c r="D162" s="658">
        <v>23633</v>
      </c>
      <c r="E162" s="658">
        <v>23667</v>
      </c>
      <c r="F162" s="658">
        <v>23649</v>
      </c>
      <c r="G162" s="658">
        <v>23511</v>
      </c>
      <c r="H162" s="658">
        <v>23370</v>
      </c>
      <c r="I162" s="658">
        <v>23180</v>
      </c>
      <c r="J162" s="658">
        <v>23035</v>
      </c>
      <c r="K162" s="658">
        <v>22973</v>
      </c>
      <c r="L162" s="658">
        <v>22958</v>
      </c>
      <c r="M162" s="658">
        <v>23042</v>
      </c>
      <c r="N162" s="658">
        <v>23318</v>
      </c>
      <c r="O162" s="658">
        <v>23543</v>
      </c>
      <c r="P162" s="659">
        <f>SUM(D162:O162)</f>
        <v>279879</v>
      </c>
      <c r="S162" s="231"/>
    </row>
    <row r="163" spans="1:19" x14ac:dyDescent="0.2">
      <c r="A163" s="656">
        <f>A162+1</f>
        <v>3</v>
      </c>
      <c r="B163" s="692" t="s">
        <v>290</v>
      </c>
      <c r="C163" s="657"/>
      <c r="D163" s="661">
        <v>87</v>
      </c>
      <c r="E163" s="661">
        <v>118</v>
      </c>
      <c r="F163" s="661">
        <v>137</v>
      </c>
      <c r="G163" s="661">
        <v>183</v>
      </c>
      <c r="H163" s="661">
        <v>242</v>
      </c>
      <c r="I163" s="661">
        <v>206</v>
      </c>
      <c r="J163" s="661">
        <v>203</v>
      </c>
      <c r="K163" s="661">
        <v>250</v>
      </c>
      <c r="L163" s="661">
        <v>221</v>
      </c>
      <c r="M163" s="661">
        <v>146</v>
      </c>
      <c r="N163" s="661">
        <v>140</v>
      </c>
      <c r="O163" s="661">
        <v>134</v>
      </c>
      <c r="P163" s="307">
        <f>SUM(D163:O163)</f>
        <v>2067</v>
      </c>
      <c r="S163" s="231"/>
    </row>
    <row r="164" spans="1:19" x14ac:dyDescent="0.2">
      <c r="A164" s="656">
        <f>A163+1</f>
        <v>4</v>
      </c>
      <c r="B164" s="485" t="s">
        <v>259</v>
      </c>
      <c r="C164" s="657"/>
      <c r="D164" s="505">
        <f t="shared" ref="D164:O164" si="44">SUM(D162:D163)</f>
        <v>23720</v>
      </c>
      <c r="E164" s="505">
        <f t="shared" si="44"/>
        <v>23785</v>
      </c>
      <c r="F164" s="505">
        <f t="shared" si="44"/>
        <v>23786</v>
      </c>
      <c r="G164" s="505">
        <f t="shared" si="44"/>
        <v>23694</v>
      </c>
      <c r="H164" s="505">
        <f t="shared" si="44"/>
        <v>23612</v>
      </c>
      <c r="I164" s="505">
        <f t="shared" si="44"/>
        <v>23386</v>
      </c>
      <c r="J164" s="505">
        <f t="shared" si="44"/>
        <v>23238</v>
      </c>
      <c r="K164" s="505">
        <f t="shared" si="44"/>
        <v>23223</v>
      </c>
      <c r="L164" s="505">
        <f t="shared" si="44"/>
        <v>23179</v>
      </c>
      <c r="M164" s="505">
        <f t="shared" si="44"/>
        <v>23188</v>
      </c>
      <c r="N164" s="505">
        <f t="shared" si="44"/>
        <v>23458</v>
      </c>
      <c r="O164" s="505">
        <f t="shared" si="44"/>
        <v>23677</v>
      </c>
      <c r="P164" s="659">
        <f>SUM(D164:O164)</f>
        <v>281946</v>
      </c>
      <c r="S164" s="231"/>
    </row>
    <row r="165" spans="1:19" s="305" customFormat="1" x14ac:dyDescent="0.2">
      <c r="A165" s="656"/>
      <c r="B165" s="501"/>
      <c r="C165" s="693"/>
      <c r="D165" s="308"/>
      <c r="E165" s="308"/>
      <c r="F165" s="308"/>
      <c r="G165" s="308"/>
      <c r="H165" s="308"/>
      <c r="I165" s="308"/>
      <c r="J165" s="308"/>
      <c r="K165" s="306"/>
      <c r="L165" s="306"/>
      <c r="M165" s="306"/>
      <c r="N165" s="306"/>
      <c r="O165" s="306"/>
    </row>
    <row r="166" spans="1:19" x14ac:dyDescent="0.2">
      <c r="A166" s="656">
        <f>A164+1</f>
        <v>5</v>
      </c>
      <c r="B166" s="501" t="s">
        <v>267</v>
      </c>
      <c r="C166" s="665"/>
      <c r="D166" s="668"/>
      <c r="E166" s="668"/>
      <c r="F166" s="668"/>
      <c r="G166" s="668"/>
      <c r="H166" s="668"/>
      <c r="I166" s="668"/>
      <c r="J166" s="669"/>
      <c r="K166" s="669"/>
      <c r="L166" s="669"/>
      <c r="M166" s="669"/>
      <c r="N166" s="669"/>
      <c r="O166" s="669"/>
      <c r="P166" s="599"/>
      <c r="S166" s="231"/>
    </row>
    <row r="167" spans="1:19" x14ac:dyDescent="0.2">
      <c r="A167" s="656">
        <f>A166+1</f>
        <v>6</v>
      </c>
      <c r="B167" s="485" t="s">
        <v>289</v>
      </c>
      <c r="C167" s="657"/>
      <c r="D167" s="658">
        <v>3823</v>
      </c>
      <c r="E167" s="658">
        <v>3791</v>
      </c>
      <c r="F167" s="658">
        <v>4083</v>
      </c>
      <c r="G167" s="658">
        <v>4063</v>
      </c>
      <c r="H167" s="658">
        <v>4048</v>
      </c>
      <c r="I167" s="658">
        <v>4022</v>
      </c>
      <c r="J167" s="658">
        <v>3959</v>
      </c>
      <c r="K167" s="658">
        <v>3943</v>
      </c>
      <c r="L167" s="658">
        <v>3914</v>
      </c>
      <c r="M167" s="658">
        <v>3887</v>
      </c>
      <c r="N167" s="658">
        <v>3865</v>
      </c>
      <c r="O167" s="658">
        <v>3845</v>
      </c>
      <c r="P167" s="659">
        <f>SUM(D167:O167)</f>
        <v>47243</v>
      </c>
      <c r="S167" s="231"/>
    </row>
    <row r="168" spans="1:19" x14ac:dyDescent="0.2">
      <c r="A168" s="656">
        <f>A167+1</f>
        <v>7</v>
      </c>
      <c r="B168" s="485" t="s">
        <v>244</v>
      </c>
      <c r="C168" s="657" t="s">
        <v>371</v>
      </c>
      <c r="D168" s="660">
        <v>0</v>
      </c>
      <c r="E168" s="660">
        <v>0</v>
      </c>
      <c r="F168" s="660">
        <v>0</v>
      </c>
      <c r="G168" s="660">
        <v>0</v>
      </c>
      <c r="H168" s="660">
        <v>0</v>
      </c>
      <c r="I168" s="660">
        <v>0</v>
      </c>
      <c r="J168" s="660">
        <v>0</v>
      </c>
      <c r="K168" s="660">
        <v>0</v>
      </c>
      <c r="L168" s="660">
        <v>0</v>
      </c>
      <c r="M168" s="660">
        <v>0</v>
      </c>
      <c r="N168" s="660">
        <v>0</v>
      </c>
      <c r="O168" s="660">
        <v>0</v>
      </c>
      <c r="P168" s="308">
        <f>SUM(D168:O168)</f>
        <v>0</v>
      </c>
      <c r="S168" s="231"/>
    </row>
    <row r="169" spans="1:19" x14ac:dyDescent="0.2">
      <c r="A169" s="656">
        <f>A168+1</f>
        <v>8</v>
      </c>
      <c r="B169" s="485" t="s">
        <v>290</v>
      </c>
      <c r="C169" s="657"/>
      <c r="D169" s="661">
        <v>14</v>
      </c>
      <c r="E169" s="661">
        <v>18</v>
      </c>
      <c r="F169" s="661">
        <v>10</v>
      </c>
      <c r="G169" s="661">
        <v>18</v>
      </c>
      <c r="H169" s="661">
        <v>10</v>
      </c>
      <c r="I169" s="661">
        <v>20</v>
      </c>
      <c r="J169" s="661">
        <v>57</v>
      </c>
      <c r="K169" s="661">
        <v>13</v>
      </c>
      <c r="L169" s="661">
        <v>10</v>
      </c>
      <c r="M169" s="661">
        <v>12</v>
      </c>
      <c r="N169" s="661">
        <v>12</v>
      </c>
      <c r="O169" s="661">
        <v>8</v>
      </c>
      <c r="P169" s="307">
        <f>SUM(D169:O169)</f>
        <v>202</v>
      </c>
      <c r="S169" s="231"/>
    </row>
    <row r="170" spans="1:19" x14ac:dyDescent="0.2">
      <c r="A170" s="656">
        <f>A169+1</f>
        <v>9</v>
      </c>
      <c r="B170" s="485" t="s">
        <v>259</v>
      </c>
      <c r="C170" s="657"/>
      <c r="D170" s="505">
        <f t="shared" ref="D170:O170" si="45">SUM(D167:D169)</f>
        <v>3837</v>
      </c>
      <c r="E170" s="505">
        <f t="shared" si="45"/>
        <v>3809</v>
      </c>
      <c r="F170" s="505">
        <f t="shared" si="45"/>
        <v>4093</v>
      </c>
      <c r="G170" s="505">
        <f t="shared" si="45"/>
        <v>4081</v>
      </c>
      <c r="H170" s="505">
        <f t="shared" si="45"/>
        <v>4058</v>
      </c>
      <c r="I170" s="505">
        <f t="shared" si="45"/>
        <v>4042</v>
      </c>
      <c r="J170" s="505">
        <f t="shared" si="45"/>
        <v>4016</v>
      </c>
      <c r="K170" s="505">
        <f t="shared" si="45"/>
        <v>3956</v>
      </c>
      <c r="L170" s="505">
        <f t="shared" si="45"/>
        <v>3924</v>
      </c>
      <c r="M170" s="505">
        <f t="shared" si="45"/>
        <v>3899</v>
      </c>
      <c r="N170" s="505">
        <f t="shared" si="45"/>
        <v>3877</v>
      </c>
      <c r="O170" s="505">
        <f t="shared" si="45"/>
        <v>3853</v>
      </c>
      <c r="P170" s="659">
        <f>SUM(D170:O170)</f>
        <v>47445</v>
      </c>
      <c r="S170" s="231"/>
    </row>
    <row r="171" spans="1:19" s="305" customFormat="1" x14ac:dyDescent="0.2">
      <c r="A171" s="656"/>
      <c r="B171" s="501"/>
      <c r="C171" s="693"/>
      <c r="D171" s="308"/>
      <c r="E171" s="308"/>
      <c r="F171" s="308"/>
      <c r="G171" s="308"/>
      <c r="H171" s="308"/>
      <c r="I171" s="308"/>
      <c r="J171" s="308"/>
      <c r="K171" s="306"/>
      <c r="L171" s="306"/>
      <c r="M171" s="306"/>
      <c r="N171" s="306"/>
      <c r="O171" s="306"/>
    </row>
    <row r="172" spans="1:19" x14ac:dyDescent="0.2">
      <c r="A172" s="656">
        <f>A170+1</f>
        <v>10</v>
      </c>
      <c r="B172" s="501" t="s">
        <v>268</v>
      </c>
      <c r="C172" s="665"/>
      <c r="D172" s="668"/>
      <c r="E172" s="668"/>
      <c r="F172" s="668"/>
      <c r="G172" s="668"/>
      <c r="H172" s="668"/>
      <c r="I172" s="668"/>
      <c r="J172" s="669"/>
      <c r="K172" s="669"/>
      <c r="L172" s="669"/>
      <c r="M172" s="669"/>
      <c r="N172" s="669"/>
      <c r="O172" s="669"/>
      <c r="P172" s="599"/>
      <c r="S172" s="231"/>
    </row>
    <row r="173" spans="1:19" x14ac:dyDescent="0.2">
      <c r="A173" s="656">
        <f>A172+1</f>
        <v>11</v>
      </c>
      <c r="B173" s="485" t="s">
        <v>289</v>
      </c>
      <c r="C173" s="657"/>
      <c r="D173" s="658">
        <v>13</v>
      </c>
      <c r="E173" s="658">
        <v>13</v>
      </c>
      <c r="F173" s="658">
        <v>12</v>
      </c>
      <c r="G173" s="658">
        <v>12</v>
      </c>
      <c r="H173" s="658">
        <v>12</v>
      </c>
      <c r="I173" s="658">
        <v>12</v>
      </c>
      <c r="J173" s="658">
        <v>12</v>
      </c>
      <c r="K173" s="658">
        <v>12</v>
      </c>
      <c r="L173" s="658">
        <v>12</v>
      </c>
      <c r="M173" s="658">
        <v>12</v>
      </c>
      <c r="N173" s="658">
        <v>13</v>
      </c>
      <c r="O173" s="658">
        <v>13</v>
      </c>
      <c r="P173" s="659">
        <f>SUM(D173:O173)</f>
        <v>148</v>
      </c>
      <c r="S173" s="231"/>
    </row>
    <row r="174" spans="1:19" x14ac:dyDescent="0.2">
      <c r="A174" s="656">
        <f>A173+1</f>
        <v>12</v>
      </c>
      <c r="B174" s="485" t="s">
        <v>244</v>
      </c>
      <c r="C174" s="657" t="s">
        <v>371</v>
      </c>
      <c r="D174" s="660">
        <v>0</v>
      </c>
      <c r="E174" s="660">
        <v>0</v>
      </c>
      <c r="F174" s="660">
        <v>0</v>
      </c>
      <c r="G174" s="660">
        <v>0</v>
      </c>
      <c r="H174" s="660">
        <v>0</v>
      </c>
      <c r="I174" s="660">
        <v>0</v>
      </c>
      <c r="J174" s="660">
        <v>0</v>
      </c>
      <c r="K174" s="660">
        <v>0</v>
      </c>
      <c r="L174" s="660">
        <v>0</v>
      </c>
      <c r="M174" s="660">
        <v>0</v>
      </c>
      <c r="N174" s="660">
        <v>0</v>
      </c>
      <c r="O174" s="660">
        <v>0</v>
      </c>
      <c r="P174" s="308">
        <f>SUM(D174:O174)</f>
        <v>0</v>
      </c>
      <c r="S174" s="231"/>
    </row>
    <row r="175" spans="1:19" x14ac:dyDescent="0.2">
      <c r="A175" s="656">
        <f>A174+1</f>
        <v>13</v>
      </c>
      <c r="B175" s="485" t="s">
        <v>290</v>
      </c>
      <c r="C175" s="657"/>
      <c r="D175" s="661">
        <v>0</v>
      </c>
      <c r="E175" s="661">
        <v>0</v>
      </c>
      <c r="F175" s="661">
        <v>0</v>
      </c>
      <c r="G175" s="661">
        <v>1</v>
      </c>
      <c r="H175" s="661">
        <v>0</v>
      </c>
      <c r="I175" s="661">
        <v>0</v>
      </c>
      <c r="J175" s="661">
        <v>0</v>
      </c>
      <c r="K175" s="661">
        <v>0</v>
      </c>
      <c r="L175" s="661">
        <v>0</v>
      </c>
      <c r="M175" s="661">
        <v>0</v>
      </c>
      <c r="N175" s="661">
        <v>0</v>
      </c>
      <c r="O175" s="661">
        <v>0</v>
      </c>
      <c r="P175" s="307">
        <f>SUM(D175:O175)</f>
        <v>1</v>
      </c>
      <c r="S175" s="231"/>
    </row>
    <row r="176" spans="1:19" x14ac:dyDescent="0.2">
      <c r="A176" s="656">
        <f>A175+1</f>
        <v>14</v>
      </c>
      <c r="B176" s="485" t="s">
        <v>259</v>
      </c>
      <c r="C176" s="657"/>
      <c r="D176" s="505">
        <f t="shared" ref="D176:O176" si="46">SUM(D173:D175)</f>
        <v>13</v>
      </c>
      <c r="E176" s="505">
        <f t="shared" si="46"/>
        <v>13</v>
      </c>
      <c r="F176" s="505">
        <f t="shared" si="46"/>
        <v>12</v>
      </c>
      <c r="G176" s="505">
        <f t="shared" si="46"/>
        <v>13</v>
      </c>
      <c r="H176" s="505">
        <f t="shared" si="46"/>
        <v>12</v>
      </c>
      <c r="I176" s="505">
        <f t="shared" si="46"/>
        <v>12</v>
      </c>
      <c r="J176" s="505">
        <f t="shared" si="46"/>
        <v>12</v>
      </c>
      <c r="K176" s="505">
        <f t="shared" si="46"/>
        <v>12</v>
      </c>
      <c r="L176" s="505">
        <f t="shared" si="46"/>
        <v>12</v>
      </c>
      <c r="M176" s="505">
        <f t="shared" si="46"/>
        <v>12</v>
      </c>
      <c r="N176" s="505">
        <f t="shared" si="46"/>
        <v>13</v>
      </c>
      <c r="O176" s="505">
        <f t="shared" si="46"/>
        <v>13</v>
      </c>
      <c r="P176" s="659">
        <f>SUM(D176:O176)</f>
        <v>149</v>
      </c>
      <c r="S176" s="231"/>
    </row>
    <row r="177" spans="1:19" x14ac:dyDescent="0.2">
      <c r="A177" s="656"/>
      <c r="B177" s="485"/>
      <c r="C177" s="657"/>
      <c r="D177" s="505"/>
      <c r="E177" s="505"/>
      <c r="F177" s="505"/>
      <c r="G177" s="505"/>
      <c r="H177" s="505"/>
      <c r="I177" s="505"/>
      <c r="J177" s="505"/>
      <c r="K177" s="505"/>
      <c r="L177" s="505"/>
      <c r="M177" s="505"/>
      <c r="N177" s="505"/>
      <c r="O177" s="505"/>
      <c r="P177" s="659"/>
      <c r="S177" s="231"/>
    </row>
    <row r="178" spans="1:19" x14ac:dyDescent="0.2">
      <c r="A178" s="656">
        <f>A176+1</f>
        <v>15</v>
      </c>
      <c r="B178" s="501" t="s">
        <v>260</v>
      </c>
      <c r="C178" s="665"/>
      <c r="D178" s="598"/>
      <c r="E178" s="598"/>
      <c r="F178" s="598"/>
      <c r="G178" s="598"/>
      <c r="H178" s="598"/>
      <c r="I178" s="598"/>
      <c r="J178" s="599"/>
      <c r="K178" s="599"/>
      <c r="L178" s="599"/>
      <c r="M178" s="599"/>
      <c r="N178" s="599"/>
      <c r="O178" s="599"/>
      <c r="P178" s="599"/>
      <c r="S178" s="231"/>
    </row>
    <row r="179" spans="1:19" x14ac:dyDescent="0.2">
      <c r="A179" s="656">
        <f>A178+1</f>
        <v>16</v>
      </c>
      <c r="B179" s="485" t="s">
        <v>289</v>
      </c>
      <c r="C179" s="657"/>
      <c r="D179" s="658">
        <v>30</v>
      </c>
      <c r="E179" s="658">
        <v>30</v>
      </c>
      <c r="F179" s="658">
        <v>30</v>
      </c>
      <c r="G179" s="658">
        <v>30</v>
      </c>
      <c r="H179" s="658">
        <v>30</v>
      </c>
      <c r="I179" s="658">
        <v>30</v>
      </c>
      <c r="J179" s="658">
        <v>30</v>
      </c>
      <c r="K179" s="658">
        <v>30</v>
      </c>
      <c r="L179" s="658">
        <v>30</v>
      </c>
      <c r="M179" s="658">
        <v>30</v>
      </c>
      <c r="N179" s="658">
        <v>30</v>
      </c>
      <c r="O179" s="658">
        <v>30</v>
      </c>
      <c r="P179" s="659">
        <f>SUM(D179:O179)</f>
        <v>360</v>
      </c>
      <c r="S179" s="231"/>
    </row>
    <row r="180" spans="1:19" x14ac:dyDescent="0.2">
      <c r="A180" s="656">
        <f>A179+1</f>
        <v>17</v>
      </c>
      <c r="B180" s="485" t="s">
        <v>244</v>
      </c>
      <c r="C180" s="657" t="s">
        <v>371</v>
      </c>
      <c r="D180" s="308">
        <f>'D pg 1'!D17</f>
        <v>2</v>
      </c>
      <c r="E180" s="308">
        <f>'D pg 1'!E17</f>
        <v>2</v>
      </c>
      <c r="F180" s="308">
        <f>'D pg 1'!F17</f>
        <v>2</v>
      </c>
      <c r="G180" s="308">
        <f>'D pg 1'!G17</f>
        <v>2</v>
      </c>
      <c r="H180" s="308">
        <f>'D pg 1'!H17</f>
        <v>2</v>
      </c>
      <c r="I180" s="308">
        <f>'D pg 1'!I17</f>
        <v>2</v>
      </c>
      <c r="J180" s="308">
        <f>'D pg 1'!J17</f>
        <v>3</v>
      </c>
      <c r="K180" s="308">
        <f>'D pg 1'!K17</f>
        <v>3</v>
      </c>
      <c r="L180" s="308">
        <f>'D pg 1'!L17</f>
        <v>3</v>
      </c>
      <c r="M180" s="308">
        <f>'D pg 1'!M17</f>
        <v>3</v>
      </c>
      <c r="N180" s="308">
        <f>'D pg 1'!N17</f>
        <v>3</v>
      </c>
      <c r="O180" s="308">
        <f>'D pg 1'!P17</f>
        <v>30</v>
      </c>
      <c r="P180" s="308">
        <f>SUM(D180:O180)</f>
        <v>57</v>
      </c>
      <c r="S180" s="231"/>
    </row>
    <row r="181" spans="1:19" x14ac:dyDescent="0.2">
      <c r="A181" s="656">
        <f>A180+1</f>
        <v>18</v>
      </c>
      <c r="B181" s="485" t="s">
        <v>290</v>
      </c>
      <c r="C181" s="657"/>
      <c r="D181" s="661">
        <v>9</v>
      </c>
      <c r="E181" s="661">
        <v>0</v>
      </c>
      <c r="F181" s="661">
        <v>0</v>
      </c>
      <c r="G181" s="661">
        <v>0</v>
      </c>
      <c r="H181" s="661">
        <v>0</v>
      </c>
      <c r="I181" s="661">
        <v>0</v>
      </c>
      <c r="J181" s="661">
        <v>1</v>
      </c>
      <c r="K181" s="661">
        <v>0</v>
      </c>
      <c r="L181" s="661">
        <v>0</v>
      </c>
      <c r="M181" s="661">
        <v>0</v>
      </c>
      <c r="N181" s="661">
        <v>1</v>
      </c>
      <c r="O181" s="661">
        <v>0</v>
      </c>
      <c r="P181" s="307">
        <f>SUM(D181:O181)</f>
        <v>11</v>
      </c>
      <c r="S181" s="231"/>
    </row>
    <row r="182" spans="1:19" x14ac:dyDescent="0.2">
      <c r="A182" s="656">
        <f>A181+1</f>
        <v>19</v>
      </c>
      <c r="B182" s="485" t="s">
        <v>259</v>
      </c>
      <c r="C182" s="657"/>
      <c r="D182" s="505">
        <f t="shared" ref="D182:O182" si="47">SUM(D179:D181)</f>
        <v>41</v>
      </c>
      <c r="E182" s="505">
        <f t="shared" si="47"/>
        <v>32</v>
      </c>
      <c r="F182" s="505">
        <f t="shared" si="47"/>
        <v>32</v>
      </c>
      <c r="G182" s="505">
        <f t="shared" si="47"/>
        <v>32</v>
      </c>
      <c r="H182" s="505">
        <f t="shared" si="47"/>
        <v>32</v>
      </c>
      <c r="I182" s="505">
        <f t="shared" si="47"/>
        <v>32</v>
      </c>
      <c r="J182" s="505">
        <f t="shared" si="47"/>
        <v>34</v>
      </c>
      <c r="K182" s="505">
        <f t="shared" si="47"/>
        <v>33</v>
      </c>
      <c r="L182" s="505">
        <f t="shared" si="47"/>
        <v>33</v>
      </c>
      <c r="M182" s="505">
        <f t="shared" si="47"/>
        <v>33</v>
      </c>
      <c r="N182" s="505">
        <f t="shared" si="47"/>
        <v>34</v>
      </c>
      <c r="O182" s="505">
        <f t="shared" si="47"/>
        <v>60</v>
      </c>
      <c r="P182" s="659">
        <f>SUM(D182:O182)</f>
        <v>428</v>
      </c>
      <c r="S182" s="231"/>
    </row>
    <row r="183" spans="1:19" s="305" customFormat="1" x14ac:dyDescent="0.2">
      <c r="A183" s="656"/>
      <c r="B183" s="501"/>
      <c r="C183" s="693"/>
      <c r="D183" s="304"/>
      <c r="E183" s="304"/>
      <c r="F183" s="304"/>
      <c r="G183" s="304"/>
      <c r="H183" s="304"/>
      <c r="I183" s="304"/>
      <c r="J183" s="304"/>
    </row>
    <row r="184" spans="1:19" x14ac:dyDescent="0.2">
      <c r="A184" s="656">
        <f>A182+1</f>
        <v>20</v>
      </c>
      <c r="B184" s="501" t="s">
        <v>262</v>
      </c>
      <c r="C184" s="665"/>
      <c r="D184" s="598"/>
      <c r="E184" s="598"/>
      <c r="F184" s="598"/>
      <c r="G184" s="598"/>
      <c r="H184" s="598"/>
      <c r="I184" s="598"/>
      <c r="J184" s="599"/>
      <c r="K184" s="599"/>
      <c r="L184" s="599"/>
      <c r="M184" s="599"/>
      <c r="N184" s="599"/>
      <c r="O184" s="599"/>
      <c r="P184" s="599"/>
      <c r="S184" s="231"/>
    </row>
    <row r="185" spans="1:19" x14ac:dyDescent="0.2">
      <c r="A185" s="656">
        <f>A184+1</f>
        <v>21</v>
      </c>
      <c r="B185" s="485" t="s">
        <v>289</v>
      </c>
      <c r="C185" s="657"/>
      <c r="D185" s="658">
        <v>39</v>
      </c>
      <c r="E185" s="658">
        <v>39</v>
      </c>
      <c r="F185" s="658">
        <v>39</v>
      </c>
      <c r="G185" s="658">
        <v>39</v>
      </c>
      <c r="H185" s="658">
        <v>39</v>
      </c>
      <c r="I185" s="658">
        <v>39</v>
      </c>
      <c r="J185" s="658">
        <v>39</v>
      </c>
      <c r="K185" s="658">
        <v>39</v>
      </c>
      <c r="L185" s="658">
        <v>39</v>
      </c>
      <c r="M185" s="658">
        <v>39</v>
      </c>
      <c r="N185" s="658">
        <v>39</v>
      </c>
      <c r="O185" s="658">
        <v>39</v>
      </c>
      <c r="P185" s="659">
        <f>SUM(D185:O185)</f>
        <v>468</v>
      </c>
      <c r="S185" s="231"/>
    </row>
    <row r="186" spans="1:19" x14ac:dyDescent="0.2">
      <c r="A186" s="656">
        <f>A185+1</f>
        <v>22</v>
      </c>
      <c r="B186" s="485" t="s">
        <v>244</v>
      </c>
      <c r="C186" s="657" t="s">
        <v>371</v>
      </c>
      <c r="D186" s="308">
        <f>'D pg 1'!D20</f>
        <v>0</v>
      </c>
      <c r="E186" s="308">
        <f>'D pg 1'!E20</f>
        <v>0</v>
      </c>
      <c r="F186" s="308">
        <f>'D pg 1'!F20</f>
        <v>0</v>
      </c>
      <c r="G186" s="308">
        <f>'D pg 1'!G20</f>
        <v>0</v>
      </c>
      <c r="H186" s="308">
        <f>'D pg 1'!H20</f>
        <v>0</v>
      </c>
      <c r="I186" s="308">
        <f>'D pg 1'!I20</f>
        <v>0</v>
      </c>
      <c r="J186" s="308">
        <f>'D pg 1'!J20</f>
        <v>0</v>
      </c>
      <c r="K186" s="308">
        <f>'D pg 1'!K20</f>
        <v>0</v>
      </c>
      <c r="L186" s="308">
        <f>'D pg 1'!L20</f>
        <v>0</v>
      </c>
      <c r="M186" s="308">
        <f>'D pg 1'!M20</f>
        <v>0</v>
      </c>
      <c r="N186" s="308">
        <f>'D pg 1'!N20</f>
        <v>0</v>
      </c>
      <c r="O186" s="308">
        <f>'D pg 1'!O20</f>
        <v>0</v>
      </c>
      <c r="P186" s="308">
        <f>SUM(D186:O186)</f>
        <v>0</v>
      </c>
      <c r="S186" s="231"/>
    </row>
    <row r="187" spans="1:19" x14ac:dyDescent="0.2">
      <c r="A187" s="656">
        <f>A186+1</f>
        <v>23</v>
      </c>
      <c r="B187" s="485" t="s">
        <v>290</v>
      </c>
      <c r="C187" s="657"/>
      <c r="D187" s="661">
        <v>0</v>
      </c>
      <c r="E187" s="661">
        <v>0</v>
      </c>
      <c r="F187" s="661">
        <v>0</v>
      </c>
      <c r="G187" s="661">
        <v>0</v>
      </c>
      <c r="H187" s="661">
        <v>0</v>
      </c>
      <c r="I187" s="661">
        <v>0</v>
      </c>
      <c r="J187" s="661">
        <v>0</v>
      </c>
      <c r="K187" s="661">
        <v>0</v>
      </c>
      <c r="L187" s="661">
        <v>0</v>
      </c>
      <c r="M187" s="661">
        <v>0</v>
      </c>
      <c r="N187" s="661">
        <v>0</v>
      </c>
      <c r="O187" s="661">
        <v>0</v>
      </c>
      <c r="P187" s="307">
        <f>SUM(D187:O187)</f>
        <v>0</v>
      </c>
      <c r="S187" s="231"/>
    </row>
    <row r="188" spans="1:19" x14ac:dyDescent="0.2">
      <c r="A188" s="656">
        <f>A187+1</f>
        <v>24</v>
      </c>
      <c r="B188" s="485" t="s">
        <v>259</v>
      </c>
      <c r="C188" s="657"/>
      <c r="D188" s="505">
        <f t="shared" ref="D188:O188" si="48">SUM(D185:D187)</f>
        <v>39</v>
      </c>
      <c r="E188" s="505">
        <f t="shared" si="48"/>
        <v>39</v>
      </c>
      <c r="F188" s="505">
        <f t="shared" si="48"/>
        <v>39</v>
      </c>
      <c r="G188" s="505">
        <f t="shared" si="48"/>
        <v>39</v>
      </c>
      <c r="H188" s="505">
        <f t="shared" si="48"/>
        <v>39</v>
      </c>
      <c r="I188" s="505">
        <f t="shared" si="48"/>
        <v>39</v>
      </c>
      <c r="J188" s="505">
        <f t="shared" si="48"/>
        <v>39</v>
      </c>
      <c r="K188" s="505">
        <f t="shared" si="48"/>
        <v>39</v>
      </c>
      <c r="L188" s="505">
        <f t="shared" si="48"/>
        <v>39</v>
      </c>
      <c r="M188" s="505">
        <f t="shared" si="48"/>
        <v>39</v>
      </c>
      <c r="N188" s="505">
        <f t="shared" si="48"/>
        <v>39</v>
      </c>
      <c r="O188" s="505">
        <f t="shared" si="48"/>
        <v>39</v>
      </c>
      <c r="P188" s="659">
        <f>SUM(D188:O188)</f>
        <v>468</v>
      </c>
      <c r="S188" s="231"/>
    </row>
    <row r="189" spans="1:19" s="305" customFormat="1" x14ac:dyDescent="0.2">
      <c r="A189" s="656"/>
      <c r="B189" s="501"/>
      <c r="C189" s="693"/>
      <c r="D189" s="304"/>
      <c r="E189" s="304"/>
      <c r="F189" s="304"/>
      <c r="G189" s="304"/>
      <c r="H189" s="304"/>
      <c r="I189" s="304"/>
      <c r="J189" s="304"/>
    </row>
    <row r="190" spans="1:19" x14ac:dyDescent="0.2">
      <c r="A190" s="656">
        <f>A188+1</f>
        <v>25</v>
      </c>
      <c r="B190" s="501" t="s">
        <v>271</v>
      </c>
      <c r="C190" s="665"/>
      <c r="D190" s="598"/>
      <c r="E190" s="598"/>
      <c r="F190" s="598"/>
      <c r="G190" s="598"/>
      <c r="H190" s="598"/>
      <c r="I190" s="598"/>
      <c r="J190" s="599"/>
      <c r="K190" s="599"/>
      <c r="L190" s="599"/>
      <c r="M190" s="599"/>
      <c r="N190" s="599"/>
      <c r="O190" s="599"/>
      <c r="P190" s="599"/>
      <c r="S190" s="231"/>
    </row>
    <row r="191" spans="1:19" x14ac:dyDescent="0.2">
      <c r="A191" s="656">
        <f>A190+1</f>
        <v>26</v>
      </c>
      <c r="B191" s="485" t="s">
        <v>289</v>
      </c>
      <c r="C191" s="657"/>
      <c r="D191" s="658">
        <v>12</v>
      </c>
      <c r="E191" s="658">
        <v>12</v>
      </c>
      <c r="F191" s="658">
        <v>12</v>
      </c>
      <c r="G191" s="658">
        <v>12</v>
      </c>
      <c r="H191" s="658">
        <v>12</v>
      </c>
      <c r="I191" s="658">
        <v>12</v>
      </c>
      <c r="J191" s="658">
        <v>12</v>
      </c>
      <c r="K191" s="658">
        <v>12</v>
      </c>
      <c r="L191" s="658">
        <v>12</v>
      </c>
      <c r="M191" s="658">
        <v>12</v>
      </c>
      <c r="N191" s="658">
        <v>12</v>
      </c>
      <c r="O191" s="658">
        <v>12</v>
      </c>
      <c r="P191" s="659">
        <f>SUM(D191:O191)</f>
        <v>144</v>
      </c>
      <c r="S191" s="231"/>
    </row>
    <row r="192" spans="1:19" x14ac:dyDescent="0.2">
      <c r="A192" s="656">
        <f>A191+1</f>
        <v>27</v>
      </c>
      <c r="B192" s="485" t="s">
        <v>244</v>
      </c>
      <c r="C192" s="657" t="s">
        <v>371</v>
      </c>
      <c r="D192" s="694">
        <f>'D pg 1'!D18</f>
        <v>0</v>
      </c>
      <c r="E192" s="694">
        <f>'D pg 1'!E18</f>
        <v>0</v>
      </c>
      <c r="F192" s="694">
        <f>'D pg 1'!F18</f>
        <v>0</v>
      </c>
      <c r="G192" s="694">
        <f>'D pg 1'!G18</f>
        <v>0</v>
      </c>
      <c r="H192" s="694">
        <f>'D pg 1'!H18</f>
        <v>0</v>
      </c>
      <c r="I192" s="694">
        <f>'D pg 1'!I18</f>
        <v>0</v>
      </c>
      <c r="J192" s="694">
        <f>'D pg 1'!J18</f>
        <v>0</v>
      </c>
      <c r="K192" s="694">
        <f>'D pg 1'!K18</f>
        <v>0</v>
      </c>
      <c r="L192" s="694">
        <f>'D pg 1'!L18</f>
        <v>0</v>
      </c>
      <c r="M192" s="694">
        <f>'D pg 1'!M18</f>
        <v>0</v>
      </c>
      <c r="N192" s="694">
        <f>'D pg 1'!N18</f>
        <v>0</v>
      </c>
      <c r="O192" s="694">
        <f>'D pg 1'!O18</f>
        <v>0</v>
      </c>
      <c r="P192" s="308">
        <f>SUM(D192:O192)</f>
        <v>0</v>
      </c>
      <c r="S192" s="231"/>
    </row>
    <row r="193" spans="1:19" x14ac:dyDescent="0.2">
      <c r="A193" s="656">
        <f>A192+1</f>
        <v>28</v>
      </c>
      <c r="B193" s="485" t="s">
        <v>290</v>
      </c>
      <c r="C193" s="657"/>
      <c r="D193" s="661">
        <v>0</v>
      </c>
      <c r="E193" s="661">
        <v>0</v>
      </c>
      <c r="F193" s="661">
        <v>0</v>
      </c>
      <c r="G193" s="661">
        <v>0</v>
      </c>
      <c r="H193" s="661">
        <v>0</v>
      </c>
      <c r="I193" s="661">
        <v>0</v>
      </c>
      <c r="J193" s="661">
        <v>0</v>
      </c>
      <c r="K193" s="661">
        <v>0</v>
      </c>
      <c r="L193" s="661">
        <v>0</v>
      </c>
      <c r="M193" s="661">
        <v>0</v>
      </c>
      <c r="N193" s="661">
        <v>1</v>
      </c>
      <c r="O193" s="661">
        <v>0</v>
      </c>
      <c r="P193" s="307">
        <f>SUM(D193:O193)</f>
        <v>1</v>
      </c>
      <c r="S193" s="231"/>
    </row>
    <row r="194" spans="1:19" x14ac:dyDescent="0.2">
      <c r="A194" s="656">
        <f>A193+1</f>
        <v>29</v>
      </c>
      <c r="B194" s="485" t="s">
        <v>259</v>
      </c>
      <c r="C194" s="657"/>
      <c r="D194" s="505">
        <f t="shared" ref="D194:O194" si="49">SUM(D191:D193)</f>
        <v>12</v>
      </c>
      <c r="E194" s="505">
        <f t="shared" si="49"/>
        <v>12</v>
      </c>
      <c r="F194" s="505">
        <f t="shared" si="49"/>
        <v>12</v>
      </c>
      <c r="G194" s="505">
        <f t="shared" si="49"/>
        <v>12</v>
      </c>
      <c r="H194" s="505">
        <f t="shared" si="49"/>
        <v>12</v>
      </c>
      <c r="I194" s="505">
        <f t="shared" si="49"/>
        <v>12</v>
      </c>
      <c r="J194" s="505">
        <f t="shared" si="49"/>
        <v>12</v>
      </c>
      <c r="K194" s="505">
        <f t="shared" si="49"/>
        <v>12</v>
      </c>
      <c r="L194" s="505">
        <f t="shared" si="49"/>
        <v>12</v>
      </c>
      <c r="M194" s="505">
        <f t="shared" si="49"/>
        <v>12</v>
      </c>
      <c r="N194" s="505">
        <f t="shared" si="49"/>
        <v>13</v>
      </c>
      <c r="O194" s="505">
        <f t="shared" si="49"/>
        <v>12</v>
      </c>
      <c r="P194" s="659">
        <f>SUM(D194:O194)</f>
        <v>145</v>
      </c>
      <c r="S194" s="231"/>
    </row>
    <row r="195" spans="1:19" x14ac:dyDescent="0.2">
      <c r="A195" s="656"/>
      <c r="B195" s="485"/>
      <c r="C195" s="657"/>
      <c r="D195" s="505"/>
      <c r="E195" s="505"/>
      <c r="F195" s="505"/>
      <c r="G195" s="505"/>
      <c r="H195" s="505"/>
      <c r="I195" s="505"/>
      <c r="J195" s="505"/>
      <c r="K195" s="505"/>
      <c r="L195" s="505"/>
      <c r="M195" s="505"/>
      <c r="N195" s="505"/>
      <c r="O195" s="505"/>
      <c r="P195" s="659"/>
      <c r="S195" s="231"/>
    </row>
    <row r="196" spans="1:19" x14ac:dyDescent="0.2">
      <c r="A196" s="656">
        <f>A194+1</f>
        <v>30</v>
      </c>
      <c r="B196" s="501" t="s">
        <v>261</v>
      </c>
      <c r="C196" s="665"/>
      <c r="D196" s="598"/>
      <c r="E196" s="598"/>
      <c r="F196" s="598"/>
      <c r="G196" s="598"/>
      <c r="H196" s="598"/>
      <c r="I196" s="598"/>
      <c r="J196" s="599"/>
      <c r="K196" s="599"/>
      <c r="L196" s="599"/>
      <c r="M196" s="599"/>
      <c r="N196" s="599"/>
      <c r="O196" s="599"/>
      <c r="P196" s="599"/>
      <c r="S196" s="801"/>
    </row>
    <row r="197" spans="1:19" x14ac:dyDescent="0.2">
      <c r="A197" s="656">
        <f>A196+1</f>
        <v>31</v>
      </c>
      <c r="B197" s="485" t="s">
        <v>289</v>
      </c>
      <c r="C197" s="657"/>
      <c r="D197" s="658">
        <v>15</v>
      </c>
      <c r="E197" s="658">
        <v>15</v>
      </c>
      <c r="F197" s="658">
        <v>15</v>
      </c>
      <c r="G197" s="658">
        <v>15</v>
      </c>
      <c r="H197" s="658">
        <v>15</v>
      </c>
      <c r="I197" s="658">
        <v>15</v>
      </c>
      <c r="J197" s="658">
        <v>15</v>
      </c>
      <c r="K197" s="658">
        <v>15</v>
      </c>
      <c r="L197" s="658">
        <v>15</v>
      </c>
      <c r="M197" s="658">
        <v>15</v>
      </c>
      <c r="N197" s="658">
        <v>15</v>
      </c>
      <c r="O197" s="658">
        <v>15</v>
      </c>
      <c r="P197" s="659">
        <f>SUM(D197:O197)</f>
        <v>180</v>
      </c>
      <c r="S197" s="801"/>
    </row>
    <row r="198" spans="1:19" x14ac:dyDescent="0.2">
      <c r="A198" s="656">
        <f>A197+1</f>
        <v>32</v>
      </c>
      <c r="B198" s="485" t="s">
        <v>244</v>
      </c>
      <c r="C198" s="657" t="s">
        <v>371</v>
      </c>
      <c r="D198" s="308">
        <f>'D pg 1'!D19</f>
        <v>0</v>
      </c>
      <c r="E198" s="308">
        <f>'D pg 1'!E19</f>
        <v>0</v>
      </c>
      <c r="F198" s="308">
        <f>'D pg 1'!F19</f>
        <v>0</v>
      </c>
      <c r="G198" s="308">
        <f>'D pg 1'!G19</f>
        <v>0</v>
      </c>
      <c r="H198" s="308">
        <f>'D pg 1'!H19</f>
        <v>0</v>
      </c>
      <c r="I198" s="308">
        <f>'D pg 1'!I19</f>
        <v>0</v>
      </c>
      <c r="J198" s="308">
        <f>'D pg 1'!J19</f>
        <v>0</v>
      </c>
      <c r="K198" s="308">
        <f>'D pg 1'!K19</f>
        <v>0</v>
      </c>
      <c r="L198" s="308">
        <f>'D pg 1'!L19</f>
        <v>0</v>
      </c>
      <c r="M198" s="308">
        <f>'D pg 1'!M19</f>
        <v>0</v>
      </c>
      <c r="N198" s="308">
        <f>'D pg 1'!N19</f>
        <v>0</v>
      </c>
      <c r="O198" s="308">
        <f>'D pg 1'!O19</f>
        <v>0</v>
      </c>
      <c r="P198" s="308">
        <f>SUM(D198:O198)</f>
        <v>0</v>
      </c>
      <c r="S198" s="801"/>
    </row>
    <row r="199" spans="1:19" x14ac:dyDescent="0.2">
      <c r="A199" s="656">
        <f>A198+1</f>
        <v>33</v>
      </c>
      <c r="B199" s="485" t="s">
        <v>290</v>
      </c>
      <c r="C199" s="657"/>
      <c r="D199" s="661">
        <v>0</v>
      </c>
      <c r="E199" s="661">
        <v>0</v>
      </c>
      <c r="F199" s="661">
        <v>0</v>
      </c>
      <c r="G199" s="661">
        <v>0</v>
      </c>
      <c r="H199" s="661">
        <v>0</v>
      </c>
      <c r="I199" s="661">
        <v>0</v>
      </c>
      <c r="J199" s="661">
        <v>0</v>
      </c>
      <c r="K199" s="661">
        <v>0</v>
      </c>
      <c r="L199" s="661">
        <v>0</v>
      </c>
      <c r="M199" s="661">
        <v>0</v>
      </c>
      <c r="N199" s="661">
        <v>0</v>
      </c>
      <c r="O199" s="661">
        <v>0</v>
      </c>
      <c r="P199" s="307">
        <f>SUM(D199:O199)</f>
        <v>0</v>
      </c>
      <c r="S199" s="231"/>
    </row>
    <row r="200" spans="1:19" x14ac:dyDescent="0.2">
      <c r="A200" s="656">
        <f>A199+1</f>
        <v>34</v>
      </c>
      <c r="B200" s="485" t="s">
        <v>259</v>
      </c>
      <c r="C200" s="657"/>
      <c r="D200" s="505">
        <f t="shared" ref="D200:O200" si="50">SUM(D197:D199)</f>
        <v>15</v>
      </c>
      <c r="E200" s="505">
        <f t="shared" si="50"/>
        <v>15</v>
      </c>
      <c r="F200" s="505">
        <f t="shared" si="50"/>
        <v>15</v>
      </c>
      <c r="G200" s="505">
        <f t="shared" si="50"/>
        <v>15</v>
      </c>
      <c r="H200" s="505">
        <f t="shared" si="50"/>
        <v>15</v>
      </c>
      <c r="I200" s="505">
        <f t="shared" si="50"/>
        <v>15</v>
      </c>
      <c r="J200" s="505">
        <f t="shared" si="50"/>
        <v>15</v>
      </c>
      <c r="K200" s="505">
        <f t="shared" si="50"/>
        <v>15</v>
      </c>
      <c r="L200" s="505">
        <f t="shared" si="50"/>
        <v>15</v>
      </c>
      <c r="M200" s="505">
        <f t="shared" si="50"/>
        <v>15</v>
      </c>
      <c r="N200" s="505">
        <f t="shared" si="50"/>
        <v>15</v>
      </c>
      <c r="O200" s="505">
        <f t="shared" si="50"/>
        <v>15</v>
      </c>
      <c r="P200" s="659">
        <f>SUM(D200:O200)</f>
        <v>180</v>
      </c>
      <c r="S200" s="231"/>
    </row>
    <row r="201" spans="1:19" x14ac:dyDescent="0.2">
      <c r="C201" s="221"/>
      <c r="E201" s="221"/>
      <c r="F201" s="221"/>
      <c r="G201" s="221"/>
      <c r="S201" s="231"/>
    </row>
    <row r="202" spans="1:19" x14ac:dyDescent="0.2">
      <c r="C202" s="221"/>
      <c r="E202" s="221"/>
      <c r="F202" s="221"/>
      <c r="G202" s="221"/>
      <c r="S202" s="231"/>
    </row>
    <row r="203" spans="1:19" x14ac:dyDescent="0.2">
      <c r="C203" s="221"/>
      <c r="E203" s="221"/>
      <c r="F203" s="221"/>
      <c r="G203" s="221"/>
      <c r="S203" s="231"/>
    </row>
    <row r="204" spans="1:19" s="305" customFormat="1" x14ac:dyDescent="0.2">
      <c r="A204" s="656"/>
      <c r="B204" s="501"/>
      <c r="C204" s="693"/>
      <c r="D204" s="304"/>
      <c r="E204" s="304"/>
      <c r="F204" s="304"/>
      <c r="G204" s="304"/>
      <c r="H204" s="304"/>
      <c r="I204" s="304"/>
      <c r="J204" s="304"/>
    </row>
    <row r="205" spans="1:19" x14ac:dyDescent="0.2">
      <c r="A205" s="874" t="s">
        <v>36</v>
      </c>
      <c r="B205" s="874"/>
      <c r="C205" s="874"/>
      <c r="D205" s="874"/>
      <c r="E205" s="874"/>
      <c r="F205" s="874"/>
      <c r="G205" s="874"/>
      <c r="H205" s="874"/>
      <c r="I205" s="874"/>
      <c r="J205" s="874"/>
      <c r="K205" s="874"/>
      <c r="L205" s="874"/>
      <c r="M205" s="874"/>
      <c r="N205" s="874"/>
      <c r="O205" s="874"/>
      <c r="P205" s="874"/>
    </row>
    <row r="206" spans="1:19" x14ac:dyDescent="0.2">
      <c r="A206" s="874" t="s">
        <v>195</v>
      </c>
      <c r="B206" s="874"/>
      <c r="C206" s="874"/>
      <c r="D206" s="874"/>
      <c r="E206" s="874"/>
      <c r="F206" s="874"/>
      <c r="G206" s="874"/>
      <c r="H206" s="874"/>
      <c r="I206" s="874"/>
      <c r="J206" s="874"/>
      <c r="K206" s="874"/>
      <c r="L206" s="874"/>
      <c r="M206" s="874"/>
      <c r="N206" s="874"/>
      <c r="O206" s="874"/>
      <c r="P206" s="874"/>
    </row>
    <row r="207" spans="1:19" x14ac:dyDescent="0.2">
      <c r="A207" s="874" t="str">
        <f>A3</f>
        <v>For the 12 Months Ended December 31, 2017</v>
      </c>
      <c r="B207" s="874"/>
      <c r="C207" s="874"/>
      <c r="D207" s="874"/>
      <c r="E207" s="874"/>
      <c r="F207" s="874"/>
      <c r="G207" s="874"/>
      <c r="H207" s="874"/>
      <c r="I207" s="874"/>
      <c r="J207" s="874"/>
      <c r="K207" s="874"/>
      <c r="L207" s="874"/>
      <c r="M207" s="874"/>
      <c r="N207" s="874"/>
      <c r="O207" s="874"/>
      <c r="P207" s="874"/>
    </row>
    <row r="208" spans="1:19" x14ac:dyDescent="0.2">
      <c r="A208" s="305"/>
      <c r="B208" s="305"/>
      <c r="C208" s="306"/>
      <c r="D208" s="305"/>
      <c r="E208" s="306"/>
      <c r="F208" s="306"/>
      <c r="G208" s="306"/>
      <c r="H208" s="305"/>
      <c r="I208" s="305"/>
      <c r="J208" s="305"/>
      <c r="K208" s="305"/>
      <c r="L208" s="305"/>
      <c r="M208" s="305"/>
      <c r="N208" s="305"/>
      <c r="O208" s="305"/>
      <c r="P208" s="305"/>
    </row>
    <row r="209" spans="1:19" x14ac:dyDescent="0.2">
      <c r="A209" s="588" t="str">
        <f>$A$5</f>
        <v>Data: __ Base Period_X_Forecasted Period</v>
      </c>
      <c r="B209" s="305"/>
      <c r="C209" s="227"/>
      <c r="D209" s="227"/>
      <c r="E209" s="227"/>
      <c r="F209" s="227"/>
      <c r="G209" s="306"/>
      <c r="H209" s="305"/>
      <c r="I209" s="305"/>
      <c r="J209" s="305"/>
      <c r="K209" s="305"/>
      <c r="L209" s="305"/>
      <c r="M209" s="305"/>
      <c r="N209" s="305"/>
      <c r="O209" s="305"/>
      <c r="P209" s="305"/>
    </row>
    <row r="210" spans="1:19" x14ac:dyDescent="0.2">
      <c r="A210" s="588" t="str">
        <f>$A$6</f>
        <v>Type of Filing: X Original _ Update _ Revised</v>
      </c>
      <c r="B210" s="305"/>
      <c r="C210" s="227"/>
      <c r="D210" s="227"/>
      <c r="E210" s="227"/>
      <c r="F210" s="227"/>
      <c r="G210" s="306"/>
      <c r="H210" s="305"/>
      <c r="I210" s="305"/>
      <c r="J210" s="305"/>
      <c r="K210" s="305"/>
      <c r="L210" s="305"/>
      <c r="M210" s="305"/>
      <c r="N210" s="305"/>
      <c r="O210" s="305"/>
      <c r="P210" s="305"/>
    </row>
    <row r="211" spans="1:19" x14ac:dyDescent="0.2">
      <c r="A211" s="588" t="str">
        <f>$A$7</f>
        <v>Work Paper Reference No(s):</v>
      </c>
      <c r="B211" s="305"/>
      <c r="C211" s="227"/>
      <c r="D211" s="227"/>
      <c r="E211" s="227"/>
      <c r="F211" s="227"/>
      <c r="G211" s="306"/>
      <c r="H211" s="305"/>
      <c r="I211" s="305"/>
      <c r="J211" s="305"/>
      <c r="K211" s="305"/>
      <c r="L211" s="305"/>
      <c r="M211" s="305"/>
      <c r="N211" s="305"/>
      <c r="O211" s="305"/>
      <c r="P211" s="589" t="str">
        <f>$P$7</f>
        <v>Workpaper WPM-B.2</v>
      </c>
    </row>
    <row r="212" spans="1:19" x14ac:dyDescent="0.2">
      <c r="A212" s="671" t="str">
        <f>$A$8</f>
        <v>12 Months Forecasted</v>
      </c>
      <c r="B212" s="591"/>
      <c r="C212" s="227"/>
      <c r="D212" s="672"/>
      <c r="E212" s="591"/>
      <c r="F212" s="592"/>
      <c r="G212" s="593"/>
      <c r="H212" s="592"/>
      <c r="I212" s="594"/>
      <c r="J212" s="592"/>
      <c r="K212" s="592"/>
      <c r="L212" s="592"/>
      <c r="M212" s="592"/>
      <c r="N212" s="592"/>
      <c r="O212" s="592"/>
      <c r="P212" s="595" t="s">
        <v>468</v>
      </c>
      <c r="Q212" s="226"/>
      <c r="R212" s="226"/>
    </row>
    <row r="213" spans="1:19" x14ac:dyDescent="0.2">
      <c r="A213" s="656"/>
      <c r="B213" s="485"/>
      <c r="C213" s="657"/>
      <c r="D213" s="505"/>
      <c r="E213" s="505"/>
      <c r="F213" s="505"/>
      <c r="G213" s="505"/>
      <c r="H213" s="505"/>
      <c r="I213" s="505"/>
      <c r="J213" s="505"/>
      <c r="K213" s="505"/>
      <c r="L213" s="505"/>
      <c r="M213" s="505"/>
      <c r="N213" s="505"/>
      <c r="O213" s="505"/>
      <c r="P213" s="659"/>
      <c r="S213" s="231"/>
    </row>
    <row r="214" spans="1:19" x14ac:dyDescent="0.2">
      <c r="A214" s="591" t="s">
        <v>1</v>
      </c>
      <c r="B214" s="591"/>
      <c r="C214" s="227"/>
      <c r="D214" s="672"/>
      <c r="E214" s="591"/>
      <c r="F214" s="592"/>
      <c r="G214" s="593"/>
      <c r="H214" s="592"/>
      <c r="I214" s="594"/>
      <c r="J214" s="592"/>
      <c r="K214" s="592"/>
      <c r="L214" s="592"/>
      <c r="M214" s="592"/>
      <c r="N214" s="592"/>
      <c r="O214" s="592"/>
      <c r="P214" s="592"/>
      <c r="Q214" s="231"/>
      <c r="R214" s="231"/>
    </row>
    <row r="215" spans="1:19" x14ac:dyDescent="0.2">
      <c r="A215" s="229" t="s">
        <v>3</v>
      </c>
      <c r="B215" s="229" t="s">
        <v>4</v>
      </c>
      <c r="C215" s="262" t="s">
        <v>186</v>
      </c>
      <c r="D215" s="673" t="str">
        <f>$D$11</f>
        <v>Jan-17</v>
      </c>
      <c r="E215" s="673" t="str">
        <f>$E$11</f>
        <v>Feb-17</v>
      </c>
      <c r="F215" s="673" t="str">
        <f>$F$11</f>
        <v>Mar-17</v>
      </c>
      <c r="G215" s="673" t="str">
        <f>$G$11</f>
        <v>Apr-17</v>
      </c>
      <c r="H215" s="673" t="str">
        <f>$H$11</f>
        <v>May-17</v>
      </c>
      <c r="I215" s="673" t="str">
        <f>$I$11</f>
        <v>Jun-17</v>
      </c>
      <c r="J215" s="673" t="str">
        <f>$J$11</f>
        <v>Jul-17</v>
      </c>
      <c r="K215" s="673" t="str">
        <f>$K$11</f>
        <v>Aug-17</v>
      </c>
      <c r="L215" s="673" t="str">
        <f>$L$11</f>
        <v>Sep-17</v>
      </c>
      <c r="M215" s="673" t="str">
        <f>$M$11</f>
        <v>Oct-17</v>
      </c>
      <c r="N215" s="673" t="str">
        <f>$N$11</f>
        <v>Nov-17</v>
      </c>
      <c r="O215" s="673" t="str">
        <f>$O$11</f>
        <v>Dec-17</v>
      </c>
      <c r="P215" s="673" t="s">
        <v>9</v>
      </c>
      <c r="S215" s="286"/>
    </row>
    <row r="216" spans="1:19" x14ac:dyDescent="0.2">
      <c r="A216" s="591"/>
      <c r="B216" s="674" t="s">
        <v>42</v>
      </c>
      <c r="C216" s="665" t="s">
        <v>43</v>
      </c>
      <c r="D216" s="598" t="s">
        <v>45</v>
      </c>
      <c r="E216" s="598" t="s">
        <v>46</v>
      </c>
      <c r="F216" s="598" t="s">
        <v>49</v>
      </c>
      <c r="G216" s="598" t="s">
        <v>50</v>
      </c>
      <c r="H216" s="598" t="s">
        <v>51</v>
      </c>
      <c r="I216" s="598" t="s">
        <v>52</v>
      </c>
      <c r="J216" s="598" t="s">
        <v>53</v>
      </c>
      <c r="K216" s="599" t="s">
        <v>54</v>
      </c>
      <c r="L216" s="599" t="s">
        <v>55</v>
      </c>
      <c r="M216" s="599" t="s">
        <v>56</v>
      </c>
      <c r="N216" s="599" t="s">
        <v>57</v>
      </c>
      <c r="O216" s="599" t="s">
        <v>58</v>
      </c>
      <c r="P216" s="599" t="s">
        <v>59</v>
      </c>
      <c r="S216" s="231"/>
    </row>
    <row r="217" spans="1:19" x14ac:dyDescent="0.2">
      <c r="A217" s="591"/>
      <c r="B217" s="674"/>
      <c r="C217" s="665"/>
      <c r="D217" s="598"/>
      <c r="E217" s="598"/>
      <c r="F217" s="598"/>
      <c r="G217" s="598"/>
      <c r="H217" s="598"/>
      <c r="I217" s="598"/>
      <c r="J217" s="599"/>
      <c r="K217" s="599"/>
      <c r="L217" s="599"/>
      <c r="M217" s="599"/>
      <c r="N217" s="599"/>
      <c r="O217" s="599"/>
      <c r="P217" s="599"/>
      <c r="S217" s="231"/>
    </row>
    <row r="218" spans="1:19" x14ac:dyDescent="0.2">
      <c r="A218" s="656">
        <v>1</v>
      </c>
      <c r="B218" s="501" t="s">
        <v>272</v>
      </c>
      <c r="C218" s="665"/>
      <c r="D218" s="598"/>
      <c r="E218" s="598"/>
      <c r="F218" s="598"/>
      <c r="G218" s="598"/>
      <c r="H218" s="598"/>
      <c r="I218" s="598"/>
      <c r="J218" s="599"/>
      <c r="K218" s="599"/>
      <c r="L218" s="599"/>
      <c r="M218" s="599"/>
      <c r="N218" s="599"/>
      <c r="O218" s="599"/>
      <c r="P218" s="599"/>
      <c r="S218" s="231"/>
    </row>
    <row r="219" spans="1:19" x14ac:dyDescent="0.2">
      <c r="A219" s="656">
        <f>A218+1</f>
        <v>2</v>
      </c>
      <c r="B219" s="485" t="s">
        <v>289</v>
      </c>
      <c r="C219" s="657"/>
      <c r="D219" s="658">
        <v>3</v>
      </c>
      <c r="E219" s="658">
        <v>3</v>
      </c>
      <c r="F219" s="658">
        <v>3</v>
      </c>
      <c r="G219" s="658">
        <v>3</v>
      </c>
      <c r="H219" s="658">
        <v>3</v>
      </c>
      <c r="I219" s="658">
        <v>3</v>
      </c>
      <c r="J219" s="658">
        <v>3</v>
      </c>
      <c r="K219" s="658">
        <v>3</v>
      </c>
      <c r="L219" s="658">
        <v>3</v>
      </c>
      <c r="M219" s="658">
        <v>3</v>
      </c>
      <c r="N219" s="658">
        <v>3</v>
      </c>
      <c r="O219" s="658">
        <v>3</v>
      </c>
      <c r="P219" s="659">
        <f>SUM(D219:O219)</f>
        <v>36</v>
      </c>
      <c r="S219" s="231"/>
    </row>
    <row r="220" spans="1:19" x14ac:dyDescent="0.2">
      <c r="A220" s="656">
        <f>A219+1</f>
        <v>3</v>
      </c>
      <c r="B220" s="485" t="s">
        <v>244</v>
      </c>
      <c r="C220" s="657" t="s">
        <v>371</v>
      </c>
      <c r="D220" s="660">
        <v>0</v>
      </c>
      <c r="E220" s="660">
        <v>0</v>
      </c>
      <c r="F220" s="660">
        <v>0</v>
      </c>
      <c r="G220" s="660">
        <v>0</v>
      </c>
      <c r="H220" s="660">
        <v>0</v>
      </c>
      <c r="I220" s="660">
        <v>0</v>
      </c>
      <c r="J220" s="660">
        <v>0</v>
      </c>
      <c r="K220" s="660">
        <v>0</v>
      </c>
      <c r="L220" s="660">
        <v>0</v>
      </c>
      <c r="M220" s="660">
        <v>0</v>
      </c>
      <c r="N220" s="660">
        <v>0</v>
      </c>
      <c r="O220" s="660">
        <v>0</v>
      </c>
      <c r="P220" s="308">
        <f>SUM(D220:O220)</f>
        <v>0</v>
      </c>
      <c r="S220" s="231"/>
    </row>
    <row r="221" spans="1:19" x14ac:dyDescent="0.2">
      <c r="A221" s="656">
        <f>A220+1</f>
        <v>4</v>
      </c>
      <c r="B221" s="485" t="s">
        <v>290</v>
      </c>
      <c r="C221" s="657"/>
      <c r="D221" s="661">
        <v>0</v>
      </c>
      <c r="E221" s="661">
        <v>0</v>
      </c>
      <c r="F221" s="661">
        <v>0</v>
      </c>
      <c r="G221" s="661">
        <v>0</v>
      </c>
      <c r="H221" s="661">
        <v>0</v>
      </c>
      <c r="I221" s="661">
        <v>0</v>
      </c>
      <c r="J221" s="661">
        <v>0</v>
      </c>
      <c r="K221" s="661">
        <v>0</v>
      </c>
      <c r="L221" s="661">
        <v>0</v>
      </c>
      <c r="M221" s="661">
        <v>0</v>
      </c>
      <c r="N221" s="661">
        <v>0</v>
      </c>
      <c r="O221" s="661">
        <v>0</v>
      </c>
      <c r="P221" s="307">
        <f>SUM(D221:O221)</f>
        <v>0</v>
      </c>
      <c r="S221" s="231"/>
    </row>
    <row r="222" spans="1:19" x14ac:dyDescent="0.2">
      <c r="A222" s="656">
        <f>A221+1</f>
        <v>5</v>
      </c>
      <c r="B222" s="485" t="s">
        <v>259</v>
      </c>
      <c r="C222" s="657"/>
      <c r="D222" s="505">
        <f t="shared" ref="D222:O222" si="51">SUM(D219:D221)</f>
        <v>3</v>
      </c>
      <c r="E222" s="505">
        <f t="shared" si="51"/>
        <v>3</v>
      </c>
      <c r="F222" s="505">
        <f t="shared" si="51"/>
        <v>3</v>
      </c>
      <c r="G222" s="505">
        <f t="shared" si="51"/>
        <v>3</v>
      </c>
      <c r="H222" s="505">
        <f t="shared" si="51"/>
        <v>3</v>
      </c>
      <c r="I222" s="505">
        <f t="shared" si="51"/>
        <v>3</v>
      </c>
      <c r="J222" s="505">
        <f t="shared" si="51"/>
        <v>3</v>
      </c>
      <c r="K222" s="505">
        <f t="shared" si="51"/>
        <v>3</v>
      </c>
      <c r="L222" s="505">
        <f t="shared" si="51"/>
        <v>3</v>
      </c>
      <c r="M222" s="505">
        <f t="shared" si="51"/>
        <v>3</v>
      </c>
      <c r="N222" s="505">
        <f t="shared" si="51"/>
        <v>3</v>
      </c>
      <c r="O222" s="505">
        <f t="shared" si="51"/>
        <v>3</v>
      </c>
      <c r="P222" s="659">
        <f>SUM(D222:O222)</f>
        <v>36</v>
      </c>
      <c r="S222" s="231"/>
    </row>
    <row r="223" spans="1:19" x14ac:dyDescent="0.2">
      <c r="A223" s="656"/>
      <c r="B223" s="485"/>
      <c r="C223" s="657"/>
      <c r="D223" s="505"/>
      <c r="E223" s="505"/>
      <c r="F223" s="505"/>
      <c r="G223" s="505"/>
      <c r="H223" s="505"/>
      <c r="I223" s="505"/>
      <c r="J223" s="505"/>
      <c r="K223" s="505"/>
      <c r="L223" s="505"/>
      <c r="M223" s="505"/>
      <c r="N223" s="505"/>
      <c r="O223" s="505"/>
      <c r="P223" s="659"/>
      <c r="S223" s="231"/>
    </row>
    <row r="224" spans="1:19" x14ac:dyDescent="0.2">
      <c r="A224" s="656">
        <f>A222+1</f>
        <v>6</v>
      </c>
      <c r="B224" s="501" t="s">
        <v>273</v>
      </c>
      <c r="C224" s="665"/>
      <c r="D224" s="668"/>
      <c r="E224" s="668"/>
      <c r="F224" s="668"/>
      <c r="G224" s="668"/>
      <c r="H224" s="668"/>
      <c r="I224" s="668"/>
      <c r="J224" s="669"/>
      <c r="K224" s="669"/>
      <c r="L224" s="669"/>
      <c r="M224" s="669"/>
      <c r="N224" s="669"/>
      <c r="O224" s="669"/>
      <c r="P224" s="599"/>
      <c r="S224" s="231"/>
    </row>
    <row r="225" spans="1:19" x14ac:dyDescent="0.2">
      <c r="A225" s="656">
        <f>A224+1</f>
        <v>7</v>
      </c>
      <c r="B225" s="485" t="s">
        <v>289</v>
      </c>
      <c r="C225" s="657"/>
      <c r="D225" s="658">
        <v>1</v>
      </c>
      <c r="E225" s="658">
        <v>1</v>
      </c>
      <c r="F225" s="658">
        <v>1</v>
      </c>
      <c r="G225" s="658">
        <v>1</v>
      </c>
      <c r="H225" s="658">
        <v>1</v>
      </c>
      <c r="I225" s="658">
        <v>1</v>
      </c>
      <c r="J225" s="658">
        <v>1</v>
      </c>
      <c r="K225" s="658">
        <v>1</v>
      </c>
      <c r="L225" s="658">
        <v>1</v>
      </c>
      <c r="M225" s="658">
        <v>1</v>
      </c>
      <c r="N225" s="658">
        <v>1</v>
      </c>
      <c r="O225" s="658">
        <v>1</v>
      </c>
      <c r="P225" s="659">
        <f>SUM(D225:O225)</f>
        <v>12</v>
      </c>
      <c r="S225" s="231"/>
    </row>
    <row r="226" spans="1:19" x14ac:dyDescent="0.2">
      <c r="A226" s="656">
        <f>A225+1</f>
        <v>8</v>
      </c>
      <c r="B226" s="485" t="s">
        <v>244</v>
      </c>
      <c r="C226" s="657" t="s">
        <v>371</v>
      </c>
      <c r="D226" s="660">
        <v>0</v>
      </c>
      <c r="E226" s="660">
        <v>0</v>
      </c>
      <c r="F226" s="660">
        <v>0</v>
      </c>
      <c r="G226" s="660">
        <v>0</v>
      </c>
      <c r="H226" s="660">
        <v>0</v>
      </c>
      <c r="I226" s="660">
        <v>0</v>
      </c>
      <c r="J226" s="660">
        <v>0</v>
      </c>
      <c r="K226" s="660">
        <v>0</v>
      </c>
      <c r="L226" s="660">
        <v>0</v>
      </c>
      <c r="M226" s="660">
        <v>0</v>
      </c>
      <c r="N226" s="660">
        <v>0</v>
      </c>
      <c r="O226" s="660">
        <v>0</v>
      </c>
      <c r="P226" s="308">
        <f>SUM(D226:O226)</f>
        <v>0</v>
      </c>
      <c r="S226" s="231"/>
    </row>
    <row r="227" spans="1:19" x14ac:dyDescent="0.2">
      <c r="A227" s="656">
        <f>A226+1</f>
        <v>9</v>
      </c>
      <c r="B227" s="485" t="s">
        <v>290</v>
      </c>
      <c r="C227" s="657"/>
      <c r="D227" s="661">
        <v>0</v>
      </c>
      <c r="E227" s="661">
        <v>0</v>
      </c>
      <c r="F227" s="661">
        <v>0</v>
      </c>
      <c r="G227" s="661">
        <v>0</v>
      </c>
      <c r="H227" s="661">
        <v>0</v>
      </c>
      <c r="I227" s="661">
        <v>0</v>
      </c>
      <c r="J227" s="661">
        <v>0</v>
      </c>
      <c r="K227" s="661">
        <v>0</v>
      </c>
      <c r="L227" s="661">
        <v>0</v>
      </c>
      <c r="M227" s="661">
        <v>0</v>
      </c>
      <c r="N227" s="661">
        <v>0</v>
      </c>
      <c r="O227" s="661">
        <v>0</v>
      </c>
      <c r="P227" s="307">
        <f>SUM(D227:O227)</f>
        <v>0</v>
      </c>
      <c r="S227" s="231"/>
    </row>
    <row r="228" spans="1:19" x14ac:dyDescent="0.2">
      <c r="A228" s="656">
        <f>A227+1</f>
        <v>10</v>
      </c>
      <c r="B228" s="485" t="s">
        <v>259</v>
      </c>
      <c r="C228" s="657"/>
      <c r="D228" s="505">
        <f t="shared" ref="D228:O228" si="52">SUM(D225:D227)</f>
        <v>1</v>
      </c>
      <c r="E228" s="505">
        <f t="shared" si="52"/>
        <v>1</v>
      </c>
      <c r="F228" s="505">
        <f t="shared" si="52"/>
        <v>1</v>
      </c>
      <c r="G228" s="505">
        <f t="shared" si="52"/>
        <v>1</v>
      </c>
      <c r="H228" s="505">
        <f t="shared" si="52"/>
        <v>1</v>
      </c>
      <c r="I228" s="505">
        <f t="shared" si="52"/>
        <v>1</v>
      </c>
      <c r="J228" s="505">
        <f t="shared" si="52"/>
        <v>1</v>
      </c>
      <c r="K228" s="505">
        <f t="shared" si="52"/>
        <v>1</v>
      </c>
      <c r="L228" s="505">
        <f t="shared" si="52"/>
        <v>1</v>
      </c>
      <c r="M228" s="505">
        <f t="shared" si="52"/>
        <v>1</v>
      </c>
      <c r="N228" s="505">
        <f t="shared" si="52"/>
        <v>1</v>
      </c>
      <c r="O228" s="505">
        <f t="shared" si="52"/>
        <v>1</v>
      </c>
      <c r="P228" s="659">
        <f>SUM(D228:O228)</f>
        <v>12</v>
      </c>
      <c r="S228" s="231"/>
    </row>
    <row r="229" spans="1:19" x14ac:dyDescent="0.2">
      <c r="A229" s="656"/>
      <c r="B229" s="485"/>
      <c r="C229" s="657"/>
      <c r="D229" s="505"/>
      <c r="E229" s="505"/>
      <c r="F229" s="505"/>
      <c r="G229" s="505"/>
      <c r="H229" s="505"/>
      <c r="I229" s="505"/>
      <c r="J229" s="505"/>
      <c r="K229" s="505"/>
      <c r="L229" s="505"/>
      <c r="M229" s="505"/>
      <c r="N229" s="505"/>
      <c r="O229" s="505"/>
      <c r="P229" s="659"/>
      <c r="S229" s="231"/>
    </row>
    <row r="230" spans="1:19" x14ac:dyDescent="0.2">
      <c r="A230" s="656">
        <f>A228+1</f>
        <v>11</v>
      </c>
      <c r="B230" s="501" t="s">
        <v>274</v>
      </c>
      <c r="C230" s="665"/>
      <c r="D230" s="668"/>
      <c r="E230" s="668"/>
      <c r="F230" s="668"/>
      <c r="G230" s="668"/>
      <c r="H230" s="668"/>
      <c r="I230" s="668"/>
      <c r="J230" s="669"/>
      <c r="K230" s="669"/>
      <c r="L230" s="669"/>
      <c r="M230" s="669"/>
      <c r="N230" s="669"/>
      <c r="O230" s="669"/>
      <c r="P230" s="599"/>
      <c r="S230" s="231"/>
    </row>
    <row r="231" spans="1:19" x14ac:dyDescent="0.2">
      <c r="A231" s="656">
        <f>A230+1</f>
        <v>12</v>
      </c>
      <c r="B231" s="485" t="s">
        <v>289</v>
      </c>
      <c r="C231" s="657"/>
      <c r="D231" s="658">
        <v>1</v>
      </c>
      <c r="E231" s="658">
        <v>1</v>
      </c>
      <c r="F231" s="658">
        <v>1</v>
      </c>
      <c r="G231" s="658">
        <v>1</v>
      </c>
      <c r="H231" s="658">
        <v>1</v>
      </c>
      <c r="I231" s="658">
        <v>1</v>
      </c>
      <c r="J231" s="658">
        <v>1</v>
      </c>
      <c r="K231" s="658">
        <v>1</v>
      </c>
      <c r="L231" s="658">
        <v>1</v>
      </c>
      <c r="M231" s="658">
        <v>1</v>
      </c>
      <c r="N231" s="658">
        <v>1</v>
      </c>
      <c r="O231" s="658">
        <v>1</v>
      </c>
      <c r="P231" s="659">
        <f>SUM(D231:O231)</f>
        <v>12</v>
      </c>
      <c r="S231" s="231"/>
    </row>
    <row r="232" spans="1:19" x14ac:dyDescent="0.2">
      <c r="A232" s="656">
        <f>A231+1</f>
        <v>13</v>
      </c>
      <c r="B232" s="485" t="s">
        <v>244</v>
      </c>
      <c r="C232" s="657" t="s">
        <v>371</v>
      </c>
      <c r="D232" s="660">
        <v>0</v>
      </c>
      <c r="E232" s="660">
        <v>0</v>
      </c>
      <c r="F232" s="660">
        <v>0</v>
      </c>
      <c r="G232" s="660">
        <v>0</v>
      </c>
      <c r="H232" s="660">
        <v>0</v>
      </c>
      <c r="I232" s="660">
        <v>0</v>
      </c>
      <c r="J232" s="660">
        <v>0</v>
      </c>
      <c r="K232" s="660">
        <v>0</v>
      </c>
      <c r="L232" s="660">
        <v>0</v>
      </c>
      <c r="M232" s="660">
        <v>0</v>
      </c>
      <c r="N232" s="660">
        <v>0</v>
      </c>
      <c r="O232" s="660">
        <v>0</v>
      </c>
      <c r="P232" s="308">
        <f>SUM(D232:O232)</f>
        <v>0</v>
      </c>
      <c r="S232" s="231"/>
    </row>
    <row r="233" spans="1:19" x14ac:dyDescent="0.2">
      <c r="A233" s="656">
        <f>A232+1</f>
        <v>14</v>
      </c>
      <c r="B233" s="485" t="s">
        <v>290</v>
      </c>
      <c r="C233" s="657"/>
      <c r="D233" s="661">
        <v>0</v>
      </c>
      <c r="E233" s="661">
        <v>0</v>
      </c>
      <c r="F233" s="661">
        <v>0</v>
      </c>
      <c r="G233" s="661">
        <v>0</v>
      </c>
      <c r="H233" s="661">
        <v>0</v>
      </c>
      <c r="I233" s="661">
        <v>0</v>
      </c>
      <c r="J233" s="661">
        <v>0</v>
      </c>
      <c r="K233" s="661">
        <v>0</v>
      </c>
      <c r="L233" s="661">
        <v>0</v>
      </c>
      <c r="M233" s="661">
        <v>0</v>
      </c>
      <c r="N233" s="661">
        <v>0</v>
      </c>
      <c r="O233" s="661">
        <v>0</v>
      </c>
      <c r="P233" s="307">
        <f>SUM(D233:O233)</f>
        <v>0</v>
      </c>
      <c r="S233" s="231"/>
    </row>
    <row r="234" spans="1:19" x14ac:dyDescent="0.2">
      <c r="A234" s="656">
        <f>A233+1</f>
        <v>15</v>
      </c>
      <c r="B234" s="485" t="s">
        <v>259</v>
      </c>
      <c r="C234" s="657"/>
      <c r="D234" s="505">
        <f t="shared" ref="D234:O234" si="53">SUM(D231:D233)</f>
        <v>1</v>
      </c>
      <c r="E234" s="505">
        <f t="shared" si="53"/>
        <v>1</v>
      </c>
      <c r="F234" s="505">
        <f t="shared" si="53"/>
        <v>1</v>
      </c>
      <c r="G234" s="505">
        <f t="shared" si="53"/>
        <v>1</v>
      </c>
      <c r="H234" s="505">
        <f t="shared" si="53"/>
        <v>1</v>
      </c>
      <c r="I234" s="505">
        <f t="shared" si="53"/>
        <v>1</v>
      </c>
      <c r="J234" s="505">
        <f t="shared" si="53"/>
        <v>1</v>
      </c>
      <c r="K234" s="505">
        <f t="shared" si="53"/>
        <v>1</v>
      </c>
      <c r="L234" s="505">
        <f t="shared" si="53"/>
        <v>1</v>
      </c>
      <c r="M234" s="505">
        <f t="shared" si="53"/>
        <v>1</v>
      </c>
      <c r="N234" s="505">
        <f t="shared" si="53"/>
        <v>1</v>
      </c>
      <c r="O234" s="505">
        <f t="shared" si="53"/>
        <v>1</v>
      </c>
      <c r="P234" s="659">
        <f>SUM(D234:O234)</f>
        <v>12</v>
      </c>
      <c r="S234" s="231"/>
    </row>
    <row r="235" spans="1:19" x14ac:dyDescent="0.2">
      <c r="A235" s="656"/>
      <c r="B235" s="485"/>
      <c r="C235" s="657"/>
      <c r="D235" s="505"/>
      <c r="E235" s="505"/>
      <c r="F235" s="505"/>
      <c r="G235" s="505"/>
      <c r="H235" s="505"/>
      <c r="I235" s="505"/>
      <c r="J235" s="505"/>
      <c r="K235" s="505"/>
      <c r="L235" s="505"/>
      <c r="M235" s="505"/>
      <c r="N235" s="505"/>
      <c r="O235" s="505"/>
      <c r="P235" s="659"/>
      <c r="S235" s="231"/>
    </row>
    <row r="236" spans="1:19" x14ac:dyDescent="0.2">
      <c r="A236" s="656">
        <f>A234+1</f>
        <v>16</v>
      </c>
      <c r="B236" s="501" t="s">
        <v>275</v>
      </c>
      <c r="C236" s="665"/>
      <c r="D236" s="598"/>
      <c r="E236" s="598"/>
      <c r="F236" s="598"/>
      <c r="G236" s="598"/>
      <c r="H236" s="598"/>
      <c r="I236" s="598"/>
      <c r="J236" s="599"/>
      <c r="K236" s="599"/>
      <c r="L236" s="599"/>
      <c r="M236" s="599"/>
      <c r="N236" s="599"/>
      <c r="O236" s="599"/>
      <c r="P236" s="599"/>
      <c r="S236" s="231"/>
    </row>
    <row r="237" spans="1:19" x14ac:dyDescent="0.2">
      <c r="A237" s="656">
        <f>A236+1</f>
        <v>17</v>
      </c>
      <c r="B237" s="485" t="s">
        <v>289</v>
      </c>
      <c r="C237" s="657"/>
      <c r="D237" s="658">
        <v>3</v>
      </c>
      <c r="E237" s="658">
        <v>3</v>
      </c>
      <c r="F237" s="658">
        <v>3</v>
      </c>
      <c r="G237" s="658">
        <v>3</v>
      </c>
      <c r="H237" s="658">
        <v>3</v>
      </c>
      <c r="I237" s="658">
        <v>3</v>
      </c>
      <c r="J237" s="658">
        <v>3</v>
      </c>
      <c r="K237" s="658">
        <v>3</v>
      </c>
      <c r="L237" s="658">
        <v>3</v>
      </c>
      <c r="M237" s="658">
        <v>3</v>
      </c>
      <c r="N237" s="658">
        <v>3</v>
      </c>
      <c r="O237" s="658">
        <v>3</v>
      </c>
      <c r="P237" s="659">
        <f>SUM(D237:O237)</f>
        <v>36</v>
      </c>
      <c r="S237" s="231"/>
    </row>
    <row r="238" spans="1:19" x14ac:dyDescent="0.2">
      <c r="A238" s="656">
        <f>A237+1</f>
        <v>18</v>
      </c>
      <c r="B238" s="485" t="s">
        <v>244</v>
      </c>
      <c r="C238" s="657" t="s">
        <v>371</v>
      </c>
      <c r="D238" s="660">
        <v>0</v>
      </c>
      <c r="E238" s="660">
        <v>0</v>
      </c>
      <c r="F238" s="660">
        <v>0</v>
      </c>
      <c r="G238" s="660">
        <v>0</v>
      </c>
      <c r="H238" s="660">
        <v>0</v>
      </c>
      <c r="I238" s="660">
        <v>0</v>
      </c>
      <c r="J238" s="660">
        <v>0</v>
      </c>
      <c r="K238" s="660">
        <v>0</v>
      </c>
      <c r="L238" s="660">
        <v>0</v>
      </c>
      <c r="M238" s="660">
        <v>0</v>
      </c>
      <c r="N238" s="660">
        <v>0</v>
      </c>
      <c r="O238" s="660">
        <v>0</v>
      </c>
      <c r="P238" s="308">
        <f>SUM(D238:O238)</f>
        <v>0</v>
      </c>
      <c r="S238" s="231"/>
    </row>
    <row r="239" spans="1:19" x14ac:dyDescent="0.2">
      <c r="A239" s="656">
        <f>A238+1</f>
        <v>19</v>
      </c>
      <c r="B239" s="485" t="s">
        <v>290</v>
      </c>
      <c r="C239" s="657"/>
      <c r="D239" s="661">
        <v>0</v>
      </c>
      <c r="E239" s="661">
        <v>0</v>
      </c>
      <c r="F239" s="661">
        <v>0</v>
      </c>
      <c r="G239" s="661">
        <v>0</v>
      </c>
      <c r="H239" s="661">
        <v>0</v>
      </c>
      <c r="I239" s="661">
        <v>0</v>
      </c>
      <c r="J239" s="661">
        <v>0</v>
      </c>
      <c r="K239" s="661">
        <v>0</v>
      </c>
      <c r="L239" s="661">
        <v>0</v>
      </c>
      <c r="M239" s="661">
        <v>0</v>
      </c>
      <c r="N239" s="661">
        <v>0</v>
      </c>
      <c r="O239" s="661">
        <v>0</v>
      </c>
      <c r="P239" s="307">
        <f>SUM(D239:O239)</f>
        <v>0</v>
      </c>
      <c r="S239" s="231"/>
    </row>
    <row r="240" spans="1:19" x14ac:dyDescent="0.2">
      <c r="A240" s="656">
        <f>A239+1</f>
        <v>20</v>
      </c>
      <c r="B240" s="485" t="s">
        <v>259</v>
      </c>
      <c r="C240" s="657"/>
      <c r="D240" s="505">
        <f t="shared" ref="D240:O240" si="54">SUM(D237:D239)</f>
        <v>3</v>
      </c>
      <c r="E240" s="505">
        <f t="shared" si="54"/>
        <v>3</v>
      </c>
      <c r="F240" s="505">
        <f t="shared" si="54"/>
        <v>3</v>
      </c>
      <c r="G240" s="505">
        <f t="shared" si="54"/>
        <v>3</v>
      </c>
      <c r="H240" s="505">
        <f t="shared" si="54"/>
        <v>3</v>
      </c>
      <c r="I240" s="505">
        <f t="shared" si="54"/>
        <v>3</v>
      </c>
      <c r="J240" s="505">
        <f t="shared" si="54"/>
        <v>3</v>
      </c>
      <c r="K240" s="505">
        <f t="shared" si="54"/>
        <v>3</v>
      </c>
      <c r="L240" s="505">
        <f t="shared" si="54"/>
        <v>3</v>
      </c>
      <c r="M240" s="505">
        <f t="shared" si="54"/>
        <v>3</v>
      </c>
      <c r="N240" s="505">
        <f t="shared" si="54"/>
        <v>3</v>
      </c>
      <c r="O240" s="505">
        <f t="shared" si="54"/>
        <v>3</v>
      </c>
      <c r="P240" s="659">
        <f>SUM(D240:O240)</f>
        <v>36</v>
      </c>
      <c r="S240" s="231"/>
    </row>
    <row r="241" spans="1:19" x14ac:dyDescent="0.2">
      <c r="A241" s="656"/>
      <c r="B241" s="485"/>
      <c r="C241" s="657"/>
      <c r="D241" s="505"/>
      <c r="E241" s="505"/>
      <c r="F241" s="505"/>
      <c r="G241" s="505"/>
      <c r="H241" s="505"/>
      <c r="I241" s="505"/>
      <c r="J241" s="505"/>
      <c r="K241" s="505"/>
      <c r="L241" s="505"/>
      <c r="M241" s="505"/>
      <c r="N241" s="505"/>
      <c r="O241" s="505"/>
      <c r="P241" s="659"/>
      <c r="S241" s="231"/>
    </row>
    <row r="242" spans="1:19" x14ac:dyDescent="0.2">
      <c r="A242" s="656">
        <f>A240+1</f>
        <v>21</v>
      </c>
      <c r="B242" s="501" t="s">
        <v>276</v>
      </c>
      <c r="C242" s="665"/>
      <c r="D242" s="668"/>
      <c r="E242" s="668"/>
      <c r="F242" s="668"/>
      <c r="G242" s="668"/>
      <c r="H242" s="668"/>
      <c r="I242" s="668"/>
      <c r="J242" s="669"/>
      <c r="K242" s="669"/>
      <c r="L242" s="669"/>
      <c r="M242" s="669"/>
      <c r="N242" s="669"/>
      <c r="O242" s="669"/>
      <c r="P242" s="599"/>
      <c r="S242" s="231"/>
    </row>
    <row r="243" spans="1:19" x14ac:dyDescent="0.2">
      <c r="A243" s="656">
        <f>A242+1</f>
        <v>22</v>
      </c>
      <c r="B243" s="485" t="s">
        <v>289</v>
      </c>
      <c r="C243" s="657"/>
      <c r="D243" s="658">
        <v>1</v>
      </c>
      <c r="E243" s="658">
        <v>1</v>
      </c>
      <c r="F243" s="658">
        <v>1</v>
      </c>
      <c r="G243" s="658">
        <v>1</v>
      </c>
      <c r="H243" s="658">
        <v>1</v>
      </c>
      <c r="I243" s="658">
        <v>1</v>
      </c>
      <c r="J243" s="658">
        <v>1</v>
      </c>
      <c r="K243" s="658">
        <v>1</v>
      </c>
      <c r="L243" s="658">
        <v>1</v>
      </c>
      <c r="M243" s="658">
        <v>1</v>
      </c>
      <c r="N243" s="658">
        <v>1</v>
      </c>
      <c r="O243" s="658">
        <v>1</v>
      </c>
      <c r="P243" s="659">
        <f>SUM(D243:O243)</f>
        <v>12</v>
      </c>
      <c r="S243" s="231"/>
    </row>
    <row r="244" spans="1:19" x14ac:dyDescent="0.2">
      <c r="A244" s="656">
        <f>A243+1</f>
        <v>23</v>
      </c>
      <c r="B244" s="485" t="s">
        <v>244</v>
      </c>
      <c r="C244" s="657" t="s">
        <v>371</v>
      </c>
      <c r="D244" s="660">
        <v>0</v>
      </c>
      <c r="E244" s="660">
        <v>0</v>
      </c>
      <c r="F244" s="660">
        <v>0</v>
      </c>
      <c r="G244" s="660">
        <v>0</v>
      </c>
      <c r="H244" s="660">
        <v>0</v>
      </c>
      <c r="I244" s="660">
        <v>0</v>
      </c>
      <c r="J244" s="660">
        <v>0</v>
      </c>
      <c r="K244" s="660">
        <v>0</v>
      </c>
      <c r="L244" s="660">
        <v>0</v>
      </c>
      <c r="M244" s="660">
        <v>0</v>
      </c>
      <c r="N244" s="660">
        <v>0</v>
      </c>
      <c r="O244" s="660">
        <v>0</v>
      </c>
      <c r="P244" s="308">
        <f>SUM(D244:O244)</f>
        <v>0</v>
      </c>
      <c r="S244" s="231"/>
    </row>
    <row r="245" spans="1:19" x14ac:dyDescent="0.2">
      <c r="A245" s="656">
        <f>A244+1</f>
        <v>24</v>
      </c>
      <c r="B245" s="485" t="s">
        <v>290</v>
      </c>
      <c r="C245" s="657"/>
      <c r="D245" s="661">
        <v>0</v>
      </c>
      <c r="E245" s="661">
        <v>0</v>
      </c>
      <c r="F245" s="661">
        <v>0</v>
      </c>
      <c r="G245" s="661">
        <v>0</v>
      </c>
      <c r="H245" s="661">
        <v>0</v>
      </c>
      <c r="I245" s="661">
        <v>0</v>
      </c>
      <c r="J245" s="661">
        <v>0</v>
      </c>
      <c r="K245" s="661">
        <v>0</v>
      </c>
      <c r="L245" s="661">
        <v>0</v>
      </c>
      <c r="M245" s="661">
        <v>0</v>
      </c>
      <c r="N245" s="661">
        <v>0</v>
      </c>
      <c r="O245" s="661">
        <v>0</v>
      </c>
      <c r="P245" s="307">
        <f>SUM(D245:O245)</f>
        <v>0</v>
      </c>
      <c r="S245" s="231"/>
    </row>
    <row r="246" spans="1:19" x14ac:dyDescent="0.2">
      <c r="A246" s="656">
        <f>A245+1</f>
        <v>25</v>
      </c>
      <c r="B246" s="485" t="s">
        <v>259</v>
      </c>
      <c r="C246" s="657"/>
      <c r="D246" s="505">
        <f t="shared" ref="D246:O246" si="55">SUM(D243:D245)</f>
        <v>1</v>
      </c>
      <c r="E246" s="505">
        <f t="shared" si="55"/>
        <v>1</v>
      </c>
      <c r="F246" s="505">
        <f t="shared" si="55"/>
        <v>1</v>
      </c>
      <c r="G246" s="505">
        <f t="shared" si="55"/>
        <v>1</v>
      </c>
      <c r="H246" s="505">
        <f t="shared" si="55"/>
        <v>1</v>
      </c>
      <c r="I246" s="505">
        <f t="shared" si="55"/>
        <v>1</v>
      </c>
      <c r="J246" s="505">
        <f t="shared" si="55"/>
        <v>1</v>
      </c>
      <c r="K246" s="505">
        <f t="shared" si="55"/>
        <v>1</v>
      </c>
      <c r="L246" s="505">
        <f t="shared" si="55"/>
        <v>1</v>
      </c>
      <c r="M246" s="505">
        <f t="shared" si="55"/>
        <v>1</v>
      </c>
      <c r="N246" s="505">
        <f t="shared" si="55"/>
        <v>1</v>
      </c>
      <c r="O246" s="505">
        <f t="shared" si="55"/>
        <v>1</v>
      </c>
      <c r="P246" s="659">
        <f>SUM(D246:O246)</f>
        <v>12</v>
      </c>
      <c r="S246" s="231"/>
    </row>
    <row r="247" spans="1:19" x14ac:dyDescent="0.2">
      <c r="A247" s="656"/>
      <c r="B247" s="485"/>
      <c r="C247" s="657"/>
      <c r="D247" s="505"/>
      <c r="E247" s="505"/>
      <c r="F247" s="505"/>
      <c r="G247" s="505"/>
      <c r="H247" s="505"/>
      <c r="I247" s="505"/>
      <c r="J247" s="505"/>
      <c r="K247" s="505"/>
      <c r="L247" s="505"/>
      <c r="M247" s="505"/>
      <c r="N247" s="505"/>
      <c r="O247" s="505"/>
      <c r="P247" s="659"/>
      <c r="S247" s="801"/>
    </row>
    <row r="248" spans="1:19" x14ac:dyDescent="0.2">
      <c r="A248" s="656">
        <f>A246+1</f>
        <v>26</v>
      </c>
      <c r="B248" s="501" t="s">
        <v>279</v>
      </c>
      <c r="C248" s="665"/>
      <c r="D248" s="668"/>
      <c r="E248" s="668"/>
      <c r="F248" s="668"/>
      <c r="G248" s="668"/>
      <c r="H248" s="668"/>
      <c r="I248" s="668"/>
      <c r="J248" s="669"/>
      <c r="K248" s="669"/>
      <c r="L248" s="669"/>
      <c r="M248" s="669"/>
      <c r="N248" s="669"/>
      <c r="O248" s="669"/>
      <c r="P248" s="599"/>
      <c r="S248" s="801"/>
    </row>
    <row r="249" spans="1:19" x14ac:dyDescent="0.2">
      <c r="A249" s="656">
        <f>A248+1</f>
        <v>27</v>
      </c>
      <c r="B249" s="485" t="s">
        <v>289</v>
      </c>
      <c r="C249" s="657"/>
      <c r="D249" s="660">
        <v>0</v>
      </c>
      <c r="E249" s="660">
        <v>0</v>
      </c>
      <c r="F249" s="660">
        <v>0</v>
      </c>
      <c r="G249" s="660">
        <v>0</v>
      </c>
      <c r="H249" s="660">
        <v>0</v>
      </c>
      <c r="I249" s="660">
        <v>0</v>
      </c>
      <c r="J249" s="660">
        <v>0</v>
      </c>
      <c r="K249" s="660">
        <v>0</v>
      </c>
      <c r="L249" s="660">
        <v>0</v>
      </c>
      <c r="M249" s="660">
        <v>0</v>
      </c>
      <c r="N249" s="660">
        <v>0</v>
      </c>
      <c r="O249" s="660">
        <v>0</v>
      </c>
      <c r="P249" s="308">
        <f>SUM(D249:O249)</f>
        <v>0</v>
      </c>
      <c r="S249" s="801"/>
    </row>
    <row r="250" spans="1:19" x14ac:dyDescent="0.2">
      <c r="A250" s="656">
        <f>A249+1</f>
        <v>28</v>
      </c>
      <c r="B250" s="485" t="s">
        <v>244</v>
      </c>
      <c r="C250" s="657" t="s">
        <v>371</v>
      </c>
      <c r="D250" s="308">
        <f>'D pg 1'!D21</f>
        <v>0</v>
      </c>
      <c r="E250" s="308">
        <f>'D pg 1'!E21</f>
        <v>0</v>
      </c>
      <c r="F250" s="308">
        <f>'D pg 1'!F21</f>
        <v>0</v>
      </c>
      <c r="G250" s="308">
        <f>'D pg 1'!G21</f>
        <v>0</v>
      </c>
      <c r="H250" s="308">
        <f>'D pg 1'!H21</f>
        <v>0</v>
      </c>
      <c r="I250" s="308">
        <f>'D pg 1'!I21</f>
        <v>0</v>
      </c>
      <c r="J250" s="308">
        <f>'D pg 1'!J21</f>
        <v>0</v>
      </c>
      <c r="K250" s="308">
        <f>'D pg 1'!K21</f>
        <v>0</v>
      </c>
      <c r="L250" s="308">
        <f>'D pg 1'!L21</f>
        <v>0</v>
      </c>
      <c r="M250" s="308">
        <f>'D pg 1'!M21</f>
        <v>0</v>
      </c>
      <c r="N250" s="308">
        <f>'D pg 1'!N21</f>
        <v>0</v>
      </c>
      <c r="O250" s="308">
        <f>'D pg 1'!O21</f>
        <v>0</v>
      </c>
      <c r="P250" s="308">
        <f>SUM(D250:O250)</f>
        <v>0</v>
      </c>
      <c r="S250" s="801"/>
    </row>
    <row r="251" spans="1:19" x14ac:dyDescent="0.2">
      <c r="A251" s="656">
        <f>A250+1</f>
        <v>29</v>
      </c>
      <c r="B251" s="485" t="s">
        <v>290</v>
      </c>
      <c r="C251" s="657"/>
      <c r="D251" s="661">
        <v>0</v>
      </c>
      <c r="E251" s="661">
        <v>0</v>
      </c>
      <c r="F251" s="661">
        <v>0</v>
      </c>
      <c r="G251" s="661">
        <v>0</v>
      </c>
      <c r="H251" s="661">
        <v>0</v>
      </c>
      <c r="I251" s="661">
        <v>0</v>
      </c>
      <c r="J251" s="661">
        <v>0</v>
      </c>
      <c r="K251" s="661">
        <v>0</v>
      </c>
      <c r="L251" s="661">
        <v>0</v>
      </c>
      <c r="M251" s="661">
        <v>0</v>
      </c>
      <c r="N251" s="661">
        <v>0</v>
      </c>
      <c r="O251" s="661">
        <v>0</v>
      </c>
      <c r="P251" s="307">
        <f>SUM(D251:O251)</f>
        <v>0</v>
      </c>
      <c r="S251" s="801"/>
    </row>
    <row r="252" spans="1:19" x14ac:dyDescent="0.2">
      <c r="A252" s="656">
        <f>A251+1</f>
        <v>30</v>
      </c>
      <c r="B252" s="485" t="s">
        <v>259</v>
      </c>
      <c r="C252" s="657"/>
      <c r="D252" s="308">
        <f t="shared" ref="D252:O252" si="56">SUM(D249:D251)</f>
        <v>0</v>
      </c>
      <c r="E252" s="308">
        <f t="shared" si="56"/>
        <v>0</v>
      </c>
      <c r="F252" s="308">
        <f t="shared" si="56"/>
        <v>0</v>
      </c>
      <c r="G252" s="308">
        <f t="shared" si="56"/>
        <v>0</v>
      </c>
      <c r="H252" s="308">
        <f t="shared" si="56"/>
        <v>0</v>
      </c>
      <c r="I252" s="308">
        <f t="shared" si="56"/>
        <v>0</v>
      </c>
      <c r="J252" s="308">
        <f t="shared" si="56"/>
        <v>0</v>
      </c>
      <c r="K252" s="308">
        <f t="shared" si="56"/>
        <v>0</v>
      </c>
      <c r="L252" s="308">
        <f t="shared" si="56"/>
        <v>0</v>
      </c>
      <c r="M252" s="308">
        <f t="shared" si="56"/>
        <v>0</v>
      </c>
      <c r="N252" s="308">
        <f t="shared" si="56"/>
        <v>0</v>
      </c>
      <c r="O252" s="308">
        <f t="shared" si="56"/>
        <v>0</v>
      </c>
      <c r="P252" s="308">
        <f>SUM(D252:O252)</f>
        <v>0</v>
      </c>
      <c r="S252" s="801"/>
    </row>
    <row r="253" spans="1:19" x14ac:dyDescent="0.2">
      <c r="A253" s="656"/>
      <c r="B253" s="485"/>
      <c r="C253" s="657"/>
      <c r="D253" s="505"/>
      <c r="E253" s="505"/>
      <c r="F253" s="505"/>
      <c r="G253" s="505"/>
      <c r="H253" s="505"/>
      <c r="I253" s="505"/>
      <c r="J253" s="505"/>
      <c r="K253" s="505"/>
      <c r="L253" s="505"/>
      <c r="M253" s="505"/>
      <c r="N253" s="505"/>
      <c r="O253" s="505"/>
      <c r="P253" s="659"/>
      <c r="S253" s="801"/>
    </row>
    <row r="254" spans="1:19" x14ac:dyDescent="0.2">
      <c r="A254" s="874" t="s">
        <v>36</v>
      </c>
      <c r="B254" s="874"/>
      <c r="C254" s="874"/>
      <c r="D254" s="874"/>
      <c r="E254" s="874"/>
      <c r="F254" s="874"/>
      <c r="G254" s="874"/>
      <c r="H254" s="874"/>
      <c r="I254" s="874"/>
      <c r="J254" s="874"/>
      <c r="K254" s="874"/>
      <c r="L254" s="874"/>
      <c r="M254" s="874"/>
      <c r="N254" s="874"/>
      <c r="O254" s="874"/>
      <c r="P254" s="874"/>
    </row>
    <row r="255" spans="1:19" x14ac:dyDescent="0.2">
      <c r="A255" s="874" t="s">
        <v>195</v>
      </c>
      <c r="B255" s="874"/>
      <c r="C255" s="874"/>
      <c r="D255" s="874"/>
      <c r="E255" s="874"/>
      <c r="F255" s="874"/>
      <c r="G255" s="874"/>
      <c r="H255" s="874"/>
      <c r="I255" s="874"/>
      <c r="J255" s="874"/>
      <c r="K255" s="874"/>
      <c r="L255" s="874"/>
      <c r="M255" s="874"/>
      <c r="N255" s="874"/>
      <c r="O255" s="874"/>
      <c r="P255" s="874"/>
    </row>
    <row r="256" spans="1:19" x14ac:dyDescent="0.2">
      <c r="A256" s="874" t="str">
        <f>A3</f>
        <v>For the 12 Months Ended December 31, 2017</v>
      </c>
      <c r="B256" s="874"/>
      <c r="C256" s="874"/>
      <c r="D256" s="874"/>
      <c r="E256" s="874"/>
      <c r="F256" s="874"/>
      <c r="G256" s="874"/>
      <c r="H256" s="874"/>
      <c r="I256" s="874"/>
      <c r="J256" s="874"/>
      <c r="K256" s="874"/>
      <c r="L256" s="874"/>
      <c r="M256" s="874"/>
      <c r="N256" s="874"/>
      <c r="O256" s="874"/>
      <c r="P256" s="874"/>
    </row>
    <row r="257" spans="1:19" x14ac:dyDescent="0.2">
      <c r="A257" s="305"/>
      <c r="B257" s="305"/>
      <c r="C257" s="306"/>
      <c r="D257" s="305"/>
      <c r="E257" s="306"/>
      <c r="F257" s="306"/>
      <c r="G257" s="306"/>
      <c r="H257" s="305"/>
      <c r="I257" s="305"/>
      <c r="J257" s="305"/>
      <c r="K257" s="305"/>
      <c r="L257" s="305"/>
      <c r="M257" s="305"/>
      <c r="N257" s="305"/>
      <c r="O257" s="305"/>
      <c r="P257" s="305"/>
    </row>
    <row r="258" spans="1:19" x14ac:dyDescent="0.2">
      <c r="A258" s="588" t="str">
        <f>$A$5</f>
        <v>Data: __ Base Period_X_Forecasted Period</v>
      </c>
      <c r="B258" s="305"/>
      <c r="C258" s="227"/>
      <c r="D258" s="227"/>
      <c r="E258" s="227"/>
      <c r="F258" s="227"/>
      <c r="G258" s="306"/>
      <c r="H258" s="305"/>
      <c r="I258" s="305"/>
      <c r="J258" s="305"/>
      <c r="K258" s="305"/>
      <c r="L258" s="305"/>
      <c r="M258" s="305"/>
      <c r="N258" s="305"/>
      <c r="O258" s="305"/>
      <c r="P258" s="305"/>
    </row>
    <row r="259" spans="1:19" x14ac:dyDescent="0.2">
      <c r="A259" s="588" t="str">
        <f>$A$6</f>
        <v>Type of Filing: X Original _ Update _ Revised</v>
      </c>
      <c r="B259" s="305"/>
      <c r="C259" s="227"/>
      <c r="D259" s="227"/>
      <c r="E259" s="227"/>
      <c r="F259" s="227"/>
      <c r="G259" s="306"/>
      <c r="H259" s="305"/>
      <c r="I259" s="305"/>
      <c r="J259" s="305"/>
      <c r="K259" s="305"/>
      <c r="L259" s="305"/>
      <c r="M259" s="305"/>
      <c r="N259" s="305"/>
      <c r="O259" s="305"/>
      <c r="P259" s="305"/>
    </row>
    <row r="260" spans="1:19" x14ac:dyDescent="0.2">
      <c r="A260" s="588" t="str">
        <f>$A$7</f>
        <v>Work Paper Reference No(s):</v>
      </c>
      <c r="B260" s="305"/>
      <c r="C260" s="227"/>
      <c r="D260" s="227"/>
      <c r="E260" s="227"/>
      <c r="F260" s="227"/>
      <c r="G260" s="306"/>
      <c r="H260" s="305"/>
      <c r="I260" s="305"/>
      <c r="J260" s="305"/>
      <c r="K260" s="305"/>
      <c r="L260" s="305"/>
      <c r="M260" s="305"/>
      <c r="N260" s="305"/>
      <c r="O260" s="305"/>
      <c r="P260" s="589" t="str">
        <f>$P$7</f>
        <v>Workpaper WPM-B.2</v>
      </c>
    </row>
    <row r="261" spans="1:19" x14ac:dyDescent="0.2">
      <c r="A261" s="671" t="str">
        <f>$A$8</f>
        <v>12 Months Forecasted</v>
      </c>
      <c r="B261" s="591"/>
      <c r="C261" s="227"/>
      <c r="D261" s="672"/>
      <c r="E261" s="591"/>
      <c r="F261" s="592"/>
      <c r="G261" s="593"/>
      <c r="H261" s="592"/>
      <c r="I261" s="594"/>
      <c r="J261" s="592"/>
      <c r="K261" s="592"/>
      <c r="L261" s="592"/>
      <c r="M261" s="592"/>
      <c r="N261" s="592"/>
      <c r="O261" s="592"/>
      <c r="P261" s="595" t="s">
        <v>469</v>
      </c>
      <c r="Q261" s="226"/>
      <c r="R261" s="226"/>
    </row>
    <row r="262" spans="1:19" x14ac:dyDescent="0.2">
      <c r="A262" s="656"/>
      <c r="B262" s="485"/>
      <c r="C262" s="657"/>
      <c r="D262" s="505"/>
      <c r="E262" s="505"/>
      <c r="F262" s="505"/>
      <c r="G262" s="505"/>
      <c r="H262" s="505"/>
      <c r="I262" s="505"/>
      <c r="J262" s="505"/>
      <c r="K262" s="505"/>
      <c r="L262" s="505"/>
      <c r="M262" s="505"/>
      <c r="N262" s="505"/>
      <c r="O262" s="505"/>
      <c r="P262" s="659"/>
      <c r="S262" s="231"/>
    </row>
    <row r="263" spans="1:19" x14ac:dyDescent="0.2">
      <c r="A263" s="591" t="s">
        <v>1</v>
      </c>
      <c r="B263" s="591"/>
      <c r="C263" s="227"/>
      <c r="D263" s="672"/>
      <c r="E263" s="591"/>
      <c r="F263" s="592"/>
      <c r="G263" s="593"/>
      <c r="H263" s="592"/>
      <c r="I263" s="594"/>
      <c r="J263" s="592"/>
      <c r="K263" s="592"/>
      <c r="L263" s="592"/>
      <c r="M263" s="592"/>
      <c r="N263" s="592"/>
      <c r="O263" s="592"/>
      <c r="P263" s="592"/>
      <c r="Q263" s="231"/>
      <c r="R263" s="231"/>
    </row>
    <row r="264" spans="1:19" x14ac:dyDescent="0.2">
      <c r="A264" s="229" t="s">
        <v>3</v>
      </c>
      <c r="B264" s="229" t="s">
        <v>4</v>
      </c>
      <c r="C264" s="262" t="s">
        <v>186</v>
      </c>
      <c r="D264" s="673" t="str">
        <f>$D$11</f>
        <v>Jan-17</v>
      </c>
      <c r="E264" s="673" t="str">
        <f>$E$11</f>
        <v>Feb-17</v>
      </c>
      <c r="F264" s="673" t="str">
        <f>$F$11</f>
        <v>Mar-17</v>
      </c>
      <c r="G264" s="673" t="str">
        <f>$G$11</f>
        <v>Apr-17</v>
      </c>
      <c r="H264" s="673" t="str">
        <f>$H$11</f>
        <v>May-17</v>
      </c>
      <c r="I264" s="673" t="str">
        <f>$I$11</f>
        <v>Jun-17</v>
      </c>
      <c r="J264" s="673" t="str">
        <f>$J$11</f>
        <v>Jul-17</v>
      </c>
      <c r="K264" s="673" t="str">
        <f>$K$11</f>
        <v>Aug-17</v>
      </c>
      <c r="L264" s="673" t="str">
        <f>$L$11</f>
        <v>Sep-17</v>
      </c>
      <c r="M264" s="673" t="str">
        <f>$M$11</f>
        <v>Oct-17</v>
      </c>
      <c r="N264" s="673" t="str">
        <f>$N$11</f>
        <v>Nov-17</v>
      </c>
      <c r="O264" s="673" t="str">
        <f>$O$11</f>
        <v>Dec-17</v>
      </c>
      <c r="P264" s="673" t="s">
        <v>9</v>
      </c>
      <c r="S264" s="286"/>
    </row>
    <row r="265" spans="1:19" x14ac:dyDescent="0.2">
      <c r="A265" s="591"/>
      <c r="B265" s="674" t="s">
        <v>42</v>
      </c>
      <c r="C265" s="665" t="s">
        <v>43</v>
      </c>
      <c r="D265" s="598" t="s">
        <v>45</v>
      </c>
      <c r="E265" s="598" t="s">
        <v>46</v>
      </c>
      <c r="F265" s="598" t="s">
        <v>49</v>
      </c>
      <c r="G265" s="598" t="s">
        <v>50</v>
      </c>
      <c r="H265" s="598" t="s">
        <v>51</v>
      </c>
      <c r="I265" s="598" t="s">
        <v>52</v>
      </c>
      <c r="J265" s="598" t="s">
        <v>53</v>
      </c>
      <c r="K265" s="599" t="s">
        <v>54</v>
      </c>
      <c r="L265" s="599" t="s">
        <v>55</v>
      </c>
      <c r="M265" s="599" t="s">
        <v>56</v>
      </c>
      <c r="N265" s="599" t="s">
        <v>57</v>
      </c>
      <c r="O265" s="599" t="s">
        <v>58</v>
      </c>
      <c r="P265" s="599" t="s">
        <v>59</v>
      </c>
      <c r="S265" s="231"/>
    </row>
    <row r="266" spans="1:19" x14ac:dyDescent="0.2">
      <c r="A266" s="799"/>
      <c r="B266" s="674"/>
      <c r="C266" s="665"/>
      <c r="D266" s="598"/>
      <c r="E266" s="598"/>
      <c r="F266" s="598"/>
      <c r="G266" s="598"/>
      <c r="H266" s="598"/>
      <c r="I266" s="598"/>
      <c r="J266" s="598"/>
      <c r="K266" s="599"/>
      <c r="L266" s="599"/>
      <c r="M266" s="599"/>
      <c r="N266" s="599"/>
      <c r="O266" s="599"/>
      <c r="P266" s="599"/>
      <c r="S266" s="801"/>
    </row>
    <row r="267" spans="1:19" x14ac:dyDescent="0.2">
      <c r="A267" s="656">
        <v>1</v>
      </c>
      <c r="B267" s="501" t="s">
        <v>280</v>
      </c>
      <c r="C267" s="665"/>
      <c r="D267" s="668"/>
      <c r="E267" s="668"/>
      <c r="F267" s="668"/>
      <c r="G267" s="668"/>
      <c r="H267" s="668"/>
      <c r="I267" s="668"/>
      <c r="J267" s="669"/>
      <c r="K267" s="669"/>
      <c r="L267" s="669"/>
      <c r="M267" s="669"/>
      <c r="N267" s="669"/>
      <c r="O267" s="669"/>
      <c r="P267" s="599"/>
      <c r="S267" s="801"/>
    </row>
    <row r="268" spans="1:19" x14ac:dyDescent="0.2">
      <c r="A268" s="656">
        <f>A267+1</f>
        <v>2</v>
      </c>
      <c r="B268" s="485" t="s">
        <v>289</v>
      </c>
      <c r="C268" s="657"/>
      <c r="D268" s="658">
        <v>1</v>
      </c>
      <c r="E268" s="658">
        <v>1</v>
      </c>
      <c r="F268" s="658">
        <v>1</v>
      </c>
      <c r="G268" s="658">
        <v>1</v>
      </c>
      <c r="H268" s="658">
        <v>1</v>
      </c>
      <c r="I268" s="658">
        <v>1</v>
      </c>
      <c r="J268" s="658">
        <v>1</v>
      </c>
      <c r="K268" s="658">
        <v>1</v>
      </c>
      <c r="L268" s="658">
        <v>1</v>
      </c>
      <c r="M268" s="658">
        <v>1</v>
      </c>
      <c r="N268" s="658">
        <v>1</v>
      </c>
      <c r="O268" s="658">
        <v>1</v>
      </c>
      <c r="P268" s="659">
        <f>SUM(D268:O268)</f>
        <v>12</v>
      </c>
      <c r="S268" s="801"/>
    </row>
    <row r="269" spans="1:19" x14ac:dyDescent="0.2">
      <c r="A269" s="656">
        <f>A268+1</f>
        <v>3</v>
      </c>
      <c r="B269" s="485" t="s">
        <v>244</v>
      </c>
      <c r="C269" s="657" t="s">
        <v>371</v>
      </c>
      <c r="D269" s="660">
        <v>0</v>
      </c>
      <c r="E269" s="660">
        <v>0</v>
      </c>
      <c r="F269" s="660">
        <v>0</v>
      </c>
      <c r="G269" s="660">
        <v>0</v>
      </c>
      <c r="H269" s="660">
        <v>0</v>
      </c>
      <c r="I269" s="660">
        <v>0</v>
      </c>
      <c r="J269" s="660">
        <v>0</v>
      </c>
      <c r="K269" s="660">
        <v>0</v>
      </c>
      <c r="L269" s="660">
        <v>0</v>
      </c>
      <c r="M269" s="660">
        <v>0</v>
      </c>
      <c r="N269" s="660">
        <v>0</v>
      </c>
      <c r="O269" s="660">
        <v>0</v>
      </c>
      <c r="P269" s="308">
        <f>SUM(D269:O269)</f>
        <v>0</v>
      </c>
      <c r="S269" s="801"/>
    </row>
    <row r="270" spans="1:19" x14ac:dyDescent="0.2">
      <c r="A270" s="656">
        <f>A269+1</f>
        <v>4</v>
      </c>
      <c r="B270" s="485" t="s">
        <v>290</v>
      </c>
      <c r="C270" s="657"/>
      <c r="D270" s="661">
        <v>0</v>
      </c>
      <c r="E270" s="661">
        <v>0</v>
      </c>
      <c r="F270" s="661">
        <v>0</v>
      </c>
      <c r="G270" s="661">
        <v>0</v>
      </c>
      <c r="H270" s="661">
        <v>0</v>
      </c>
      <c r="I270" s="661">
        <v>0</v>
      </c>
      <c r="J270" s="661">
        <v>0</v>
      </c>
      <c r="K270" s="661">
        <v>0</v>
      </c>
      <c r="L270" s="661">
        <v>0</v>
      </c>
      <c r="M270" s="661">
        <v>0</v>
      </c>
      <c r="N270" s="661">
        <v>0</v>
      </c>
      <c r="O270" s="661">
        <v>0</v>
      </c>
      <c r="P270" s="307">
        <f>SUM(D270:O270)</f>
        <v>0</v>
      </c>
      <c r="S270" s="801"/>
    </row>
    <row r="271" spans="1:19" x14ac:dyDescent="0.2">
      <c r="A271" s="656">
        <f>A270+1</f>
        <v>5</v>
      </c>
      <c r="B271" s="485" t="s">
        <v>259</v>
      </c>
      <c r="C271" s="657"/>
      <c r="D271" s="505">
        <f t="shared" ref="D271:O271" si="57">SUM(D268:D270)</f>
        <v>1</v>
      </c>
      <c r="E271" s="505">
        <f t="shared" si="57"/>
        <v>1</v>
      </c>
      <c r="F271" s="505">
        <f t="shared" si="57"/>
        <v>1</v>
      </c>
      <c r="G271" s="505">
        <f t="shared" si="57"/>
        <v>1</v>
      </c>
      <c r="H271" s="505">
        <f t="shared" si="57"/>
        <v>1</v>
      </c>
      <c r="I271" s="505">
        <f t="shared" si="57"/>
        <v>1</v>
      </c>
      <c r="J271" s="505">
        <f t="shared" si="57"/>
        <v>1</v>
      </c>
      <c r="K271" s="505">
        <f t="shared" si="57"/>
        <v>1</v>
      </c>
      <c r="L271" s="505">
        <f t="shared" si="57"/>
        <v>1</v>
      </c>
      <c r="M271" s="505">
        <f t="shared" si="57"/>
        <v>1</v>
      </c>
      <c r="N271" s="505">
        <f t="shared" si="57"/>
        <v>1</v>
      </c>
      <c r="O271" s="505">
        <f t="shared" si="57"/>
        <v>1</v>
      </c>
      <c r="P271" s="659">
        <f>SUM(D271:O271)</f>
        <v>12</v>
      </c>
      <c r="S271" s="801"/>
    </row>
    <row r="272" spans="1:19" ht="10.8" thickBot="1" x14ac:dyDescent="0.25">
      <c r="A272" s="591"/>
      <c r="B272" s="674"/>
      <c r="C272" s="665"/>
      <c r="D272" s="598"/>
      <c r="E272" s="598"/>
      <c r="F272" s="598"/>
      <c r="G272" s="598"/>
      <c r="H272" s="598"/>
      <c r="I272" s="598"/>
      <c r="J272" s="599"/>
      <c r="K272" s="599"/>
      <c r="L272" s="599"/>
      <c r="M272" s="599"/>
      <c r="N272" s="599"/>
      <c r="O272" s="599"/>
      <c r="P272" s="599"/>
      <c r="S272" s="231"/>
    </row>
    <row r="273" spans="1:19" s="305" customFormat="1" x14ac:dyDescent="0.2">
      <c r="A273" s="675">
        <f>A271+1</f>
        <v>6</v>
      </c>
      <c r="B273" s="676" t="s">
        <v>15</v>
      </c>
      <c r="C273" s="678"/>
      <c r="D273" s="546"/>
      <c r="E273" s="678"/>
      <c r="F273" s="678"/>
      <c r="G273" s="678"/>
      <c r="H273" s="546"/>
      <c r="I273" s="546"/>
      <c r="J273" s="546"/>
      <c r="K273" s="447"/>
      <c r="L273" s="447"/>
      <c r="M273" s="447"/>
      <c r="N273" s="447"/>
      <c r="O273" s="447"/>
      <c r="P273" s="448"/>
    </row>
    <row r="274" spans="1:19" s="305" customFormat="1" x14ac:dyDescent="0.2">
      <c r="A274" s="679"/>
      <c r="C274" s="308"/>
      <c r="D274" s="304"/>
      <c r="E274" s="308"/>
      <c r="F274" s="308"/>
      <c r="G274" s="308"/>
      <c r="H274" s="304"/>
      <c r="I274" s="304"/>
      <c r="J274" s="304"/>
      <c r="P274" s="450"/>
    </row>
    <row r="275" spans="1:19" s="305" customFormat="1" x14ac:dyDescent="0.2">
      <c r="A275" s="679">
        <f>A273+1</f>
        <v>7</v>
      </c>
      <c r="B275" s="501" t="s">
        <v>35</v>
      </c>
      <c r="C275" s="612"/>
      <c r="D275" s="612"/>
      <c r="E275" s="612"/>
      <c r="F275" s="612"/>
      <c r="G275" s="612"/>
      <c r="H275" s="612"/>
      <c r="I275" s="612"/>
      <c r="J275" s="612"/>
      <c r="P275" s="450"/>
    </row>
    <row r="276" spans="1:19" x14ac:dyDescent="0.2">
      <c r="A276" s="679">
        <f>A275+1</f>
        <v>8</v>
      </c>
      <c r="B276" s="485" t="s">
        <v>289</v>
      </c>
      <c r="C276" s="657"/>
      <c r="D276" s="505">
        <f t="shared" ref="D276:O276" si="58">D162</f>
        <v>23633</v>
      </c>
      <c r="E276" s="505">
        <f t="shared" si="58"/>
        <v>23667</v>
      </c>
      <c r="F276" s="505">
        <f t="shared" si="58"/>
        <v>23649</v>
      </c>
      <c r="G276" s="505">
        <f t="shared" si="58"/>
        <v>23511</v>
      </c>
      <c r="H276" s="505">
        <f t="shared" si="58"/>
        <v>23370</v>
      </c>
      <c r="I276" s="505">
        <f t="shared" si="58"/>
        <v>23180</v>
      </c>
      <c r="J276" s="505">
        <f t="shared" si="58"/>
        <v>23035</v>
      </c>
      <c r="K276" s="505">
        <f t="shared" si="58"/>
        <v>22973</v>
      </c>
      <c r="L276" s="505">
        <f t="shared" si="58"/>
        <v>22958</v>
      </c>
      <c r="M276" s="505">
        <f t="shared" si="58"/>
        <v>23042</v>
      </c>
      <c r="N276" s="505">
        <f t="shared" si="58"/>
        <v>23318</v>
      </c>
      <c r="O276" s="505">
        <f t="shared" si="58"/>
        <v>23543</v>
      </c>
      <c r="P276" s="681">
        <f>SUM(D276:O276)</f>
        <v>279879</v>
      </c>
      <c r="S276" s="231"/>
    </row>
    <row r="277" spans="1:19" ht="12" x14ac:dyDescent="0.35">
      <c r="A277" s="679">
        <f>A276+1</f>
        <v>9</v>
      </c>
      <c r="B277" s="485" t="s">
        <v>290</v>
      </c>
      <c r="C277" s="657"/>
      <c r="D277" s="683">
        <f t="shared" ref="D277:O277" si="59">D163</f>
        <v>87</v>
      </c>
      <c r="E277" s="683">
        <f t="shared" si="59"/>
        <v>118</v>
      </c>
      <c r="F277" s="683">
        <f t="shared" si="59"/>
        <v>137</v>
      </c>
      <c r="G277" s="683">
        <f t="shared" si="59"/>
        <v>183</v>
      </c>
      <c r="H277" s="683">
        <f t="shared" si="59"/>
        <v>242</v>
      </c>
      <c r="I277" s="683">
        <f t="shared" si="59"/>
        <v>206</v>
      </c>
      <c r="J277" s="683">
        <f t="shared" si="59"/>
        <v>203</v>
      </c>
      <c r="K277" s="683">
        <f t="shared" si="59"/>
        <v>250</v>
      </c>
      <c r="L277" s="683">
        <f t="shared" si="59"/>
        <v>221</v>
      </c>
      <c r="M277" s="683">
        <f t="shared" si="59"/>
        <v>146</v>
      </c>
      <c r="N277" s="683">
        <f t="shared" si="59"/>
        <v>140</v>
      </c>
      <c r="O277" s="683">
        <f t="shared" si="59"/>
        <v>134</v>
      </c>
      <c r="P277" s="684">
        <f>SUM(D277:O277)</f>
        <v>2067</v>
      </c>
      <c r="S277" s="231"/>
    </row>
    <row r="278" spans="1:19" x14ac:dyDescent="0.2">
      <c r="A278" s="679">
        <f>A277+1</f>
        <v>10</v>
      </c>
      <c r="B278" s="485" t="s">
        <v>259</v>
      </c>
      <c r="C278" s="657"/>
      <c r="D278" s="505">
        <f t="shared" ref="D278:O278" si="60">SUM(D276:D277)</f>
        <v>23720</v>
      </c>
      <c r="E278" s="505">
        <f t="shared" si="60"/>
        <v>23785</v>
      </c>
      <c r="F278" s="505">
        <f t="shared" si="60"/>
        <v>23786</v>
      </c>
      <c r="G278" s="505">
        <f t="shared" si="60"/>
        <v>23694</v>
      </c>
      <c r="H278" s="505">
        <f t="shared" si="60"/>
        <v>23612</v>
      </c>
      <c r="I278" s="505">
        <f t="shared" si="60"/>
        <v>23386</v>
      </c>
      <c r="J278" s="505">
        <f t="shared" si="60"/>
        <v>23238</v>
      </c>
      <c r="K278" s="505">
        <f t="shared" si="60"/>
        <v>23223</v>
      </c>
      <c r="L278" s="505">
        <f t="shared" si="60"/>
        <v>23179</v>
      </c>
      <c r="M278" s="505">
        <f t="shared" si="60"/>
        <v>23188</v>
      </c>
      <c r="N278" s="505">
        <f t="shared" si="60"/>
        <v>23458</v>
      </c>
      <c r="O278" s="505">
        <f t="shared" si="60"/>
        <v>23677</v>
      </c>
      <c r="P278" s="681">
        <f>SUM(D278:O278)</f>
        <v>281946</v>
      </c>
      <c r="S278" s="231"/>
    </row>
    <row r="279" spans="1:19" s="305" customFormat="1" x14ac:dyDescent="0.2">
      <c r="A279" s="452"/>
      <c r="C279" s="612"/>
      <c r="D279" s="612"/>
      <c r="E279" s="612"/>
      <c r="F279" s="612"/>
      <c r="G279" s="612"/>
      <c r="H279" s="612"/>
      <c r="I279" s="612"/>
      <c r="J279" s="612"/>
      <c r="P279" s="450"/>
    </row>
    <row r="280" spans="1:19" s="305" customFormat="1" x14ac:dyDescent="0.2">
      <c r="A280" s="679">
        <f>A278+1</f>
        <v>11</v>
      </c>
      <c r="B280" s="501" t="s">
        <v>16</v>
      </c>
      <c r="C280" s="612"/>
      <c r="D280" s="612"/>
      <c r="E280" s="612"/>
      <c r="F280" s="612"/>
      <c r="G280" s="612"/>
      <c r="H280" s="612"/>
      <c r="I280" s="612"/>
      <c r="J280" s="260"/>
      <c r="P280" s="450"/>
    </row>
    <row r="281" spans="1:19" x14ac:dyDescent="0.2">
      <c r="A281" s="679">
        <f>A280+1</f>
        <v>12</v>
      </c>
      <c r="B281" s="485" t="s">
        <v>289</v>
      </c>
      <c r="C281" s="657"/>
      <c r="D281" s="505">
        <f t="shared" ref="D281:O281" si="61">D167+D179+D191+D225+D231+D249</f>
        <v>3867</v>
      </c>
      <c r="E281" s="505">
        <f t="shared" si="61"/>
        <v>3835</v>
      </c>
      <c r="F281" s="505">
        <f t="shared" si="61"/>
        <v>4127</v>
      </c>
      <c r="G281" s="505">
        <f t="shared" si="61"/>
        <v>4107</v>
      </c>
      <c r="H281" s="505">
        <f t="shared" si="61"/>
        <v>4092</v>
      </c>
      <c r="I281" s="505">
        <f t="shared" si="61"/>
        <v>4066</v>
      </c>
      <c r="J281" s="505">
        <f t="shared" si="61"/>
        <v>4003</v>
      </c>
      <c r="K281" s="505">
        <f t="shared" si="61"/>
        <v>3987</v>
      </c>
      <c r="L281" s="505">
        <f t="shared" si="61"/>
        <v>3958</v>
      </c>
      <c r="M281" s="505">
        <f t="shared" si="61"/>
        <v>3931</v>
      </c>
      <c r="N281" s="505">
        <f t="shared" si="61"/>
        <v>3909</v>
      </c>
      <c r="O281" s="505">
        <f t="shared" si="61"/>
        <v>3889</v>
      </c>
      <c r="P281" s="681">
        <f>SUM(D281:O281)</f>
        <v>47771</v>
      </c>
      <c r="S281" s="231"/>
    </row>
    <row r="282" spans="1:19" x14ac:dyDescent="0.2">
      <c r="A282" s="679">
        <f>A281+1</f>
        <v>13</v>
      </c>
      <c r="B282" s="485" t="s">
        <v>244</v>
      </c>
      <c r="C282" s="657"/>
      <c r="D282" s="308">
        <f t="shared" ref="D282:O282" si="62">D168+D180+D192+D226+D232+D250</f>
        <v>2</v>
      </c>
      <c r="E282" s="308">
        <f t="shared" si="62"/>
        <v>2</v>
      </c>
      <c r="F282" s="308">
        <f t="shared" si="62"/>
        <v>2</v>
      </c>
      <c r="G282" s="308">
        <f t="shared" si="62"/>
        <v>2</v>
      </c>
      <c r="H282" s="308">
        <f t="shared" si="62"/>
        <v>2</v>
      </c>
      <c r="I282" s="308">
        <f t="shared" si="62"/>
        <v>2</v>
      </c>
      <c r="J282" s="308">
        <f t="shared" si="62"/>
        <v>3</v>
      </c>
      <c r="K282" s="308">
        <f t="shared" si="62"/>
        <v>3</v>
      </c>
      <c r="L282" s="308">
        <f t="shared" si="62"/>
        <v>3</v>
      </c>
      <c r="M282" s="308">
        <f t="shared" si="62"/>
        <v>3</v>
      </c>
      <c r="N282" s="308">
        <f t="shared" si="62"/>
        <v>3</v>
      </c>
      <c r="O282" s="308">
        <f t="shared" si="62"/>
        <v>30</v>
      </c>
      <c r="P282" s="682">
        <f>SUM(D282:O282)</f>
        <v>57</v>
      </c>
      <c r="S282" s="231"/>
    </row>
    <row r="283" spans="1:19" ht="12" x14ac:dyDescent="0.35">
      <c r="A283" s="679">
        <f>A282+1</f>
        <v>14</v>
      </c>
      <c r="B283" s="485" t="s">
        <v>290</v>
      </c>
      <c r="C283" s="657"/>
      <c r="D283" s="683">
        <f t="shared" ref="D283:O283" si="63">D169+D181+D193+D227+D233+D251</f>
        <v>23</v>
      </c>
      <c r="E283" s="683">
        <f t="shared" si="63"/>
        <v>18</v>
      </c>
      <c r="F283" s="683">
        <f t="shared" si="63"/>
        <v>10</v>
      </c>
      <c r="G283" s="683">
        <f t="shared" si="63"/>
        <v>18</v>
      </c>
      <c r="H283" s="683">
        <f t="shared" si="63"/>
        <v>10</v>
      </c>
      <c r="I283" s="683">
        <f t="shared" si="63"/>
        <v>20</v>
      </c>
      <c r="J283" s="683">
        <f t="shared" si="63"/>
        <v>58</v>
      </c>
      <c r="K283" s="683">
        <f t="shared" si="63"/>
        <v>13</v>
      </c>
      <c r="L283" s="683">
        <f t="shared" si="63"/>
        <v>10</v>
      </c>
      <c r="M283" s="683">
        <f t="shared" si="63"/>
        <v>12</v>
      </c>
      <c r="N283" s="683">
        <f t="shared" si="63"/>
        <v>14</v>
      </c>
      <c r="O283" s="683">
        <f t="shared" si="63"/>
        <v>8</v>
      </c>
      <c r="P283" s="684">
        <f>SUM(D283:O283)</f>
        <v>214</v>
      </c>
      <c r="S283" s="231"/>
    </row>
    <row r="284" spans="1:19" x14ac:dyDescent="0.2">
      <c r="A284" s="679">
        <f>A283+1</f>
        <v>15</v>
      </c>
      <c r="B284" s="485" t="s">
        <v>259</v>
      </c>
      <c r="C284" s="657"/>
      <c r="D284" s="505">
        <f t="shared" ref="D284:O284" si="64">SUM(D281:D283)</f>
        <v>3892</v>
      </c>
      <c r="E284" s="505">
        <f t="shared" si="64"/>
        <v>3855</v>
      </c>
      <c r="F284" s="505">
        <f t="shared" si="64"/>
        <v>4139</v>
      </c>
      <c r="G284" s="505">
        <f t="shared" si="64"/>
        <v>4127</v>
      </c>
      <c r="H284" s="505">
        <f t="shared" si="64"/>
        <v>4104</v>
      </c>
      <c r="I284" s="505">
        <f t="shared" si="64"/>
        <v>4088</v>
      </c>
      <c r="J284" s="505">
        <f t="shared" si="64"/>
        <v>4064</v>
      </c>
      <c r="K284" s="505">
        <f t="shared" si="64"/>
        <v>4003</v>
      </c>
      <c r="L284" s="505">
        <f t="shared" si="64"/>
        <v>3971</v>
      </c>
      <c r="M284" s="505">
        <f t="shared" si="64"/>
        <v>3946</v>
      </c>
      <c r="N284" s="505">
        <f t="shared" si="64"/>
        <v>3926</v>
      </c>
      <c r="O284" s="505">
        <f t="shared" si="64"/>
        <v>3927</v>
      </c>
      <c r="P284" s="681">
        <f>SUM(D284:O284)</f>
        <v>48042</v>
      </c>
      <c r="S284" s="231"/>
    </row>
    <row r="285" spans="1:19" s="305" customFormat="1" x14ac:dyDescent="0.2">
      <c r="A285" s="452"/>
      <c r="C285" s="612"/>
      <c r="D285" s="612"/>
      <c r="E285" s="612"/>
      <c r="F285" s="612"/>
      <c r="G285" s="612"/>
      <c r="H285" s="612"/>
      <c r="I285" s="612"/>
      <c r="J285" s="260"/>
      <c r="P285" s="450"/>
    </row>
    <row r="286" spans="1:19" s="305" customFormat="1" x14ac:dyDescent="0.2">
      <c r="A286" s="679">
        <f>A284+1</f>
        <v>16</v>
      </c>
      <c r="B286" s="501" t="s">
        <v>17</v>
      </c>
      <c r="C286" s="626"/>
      <c r="D286" s="626"/>
      <c r="E286" s="626"/>
      <c r="F286" s="626"/>
      <c r="G286" s="626"/>
      <c r="H286" s="626"/>
      <c r="I286" s="626"/>
      <c r="J286" s="686"/>
      <c r="P286" s="450"/>
    </row>
    <row r="287" spans="1:19" x14ac:dyDescent="0.2">
      <c r="A287" s="679">
        <f>A286+1</f>
        <v>17</v>
      </c>
      <c r="B287" s="485" t="s">
        <v>289</v>
      </c>
      <c r="C287" s="657"/>
      <c r="D287" s="505">
        <f t="shared" ref="D287:O287" si="65">D173+D185+D197+D219+D237+D243+D268</f>
        <v>75</v>
      </c>
      <c r="E287" s="505">
        <f t="shared" si="65"/>
        <v>75</v>
      </c>
      <c r="F287" s="505">
        <f t="shared" si="65"/>
        <v>74</v>
      </c>
      <c r="G287" s="505">
        <f t="shared" si="65"/>
        <v>74</v>
      </c>
      <c r="H287" s="505">
        <f t="shared" si="65"/>
        <v>74</v>
      </c>
      <c r="I287" s="505">
        <f t="shared" si="65"/>
        <v>74</v>
      </c>
      <c r="J287" s="505">
        <f t="shared" si="65"/>
        <v>74</v>
      </c>
      <c r="K287" s="505">
        <f t="shared" si="65"/>
        <v>74</v>
      </c>
      <c r="L287" s="505">
        <f t="shared" si="65"/>
        <v>74</v>
      </c>
      <c r="M287" s="505">
        <f t="shared" si="65"/>
        <v>74</v>
      </c>
      <c r="N287" s="505">
        <f t="shared" si="65"/>
        <v>75</v>
      </c>
      <c r="O287" s="505">
        <f t="shared" si="65"/>
        <v>75</v>
      </c>
      <c r="P287" s="681">
        <f>SUM(D287:O287)</f>
        <v>892</v>
      </c>
      <c r="S287" s="231"/>
    </row>
    <row r="288" spans="1:19" x14ac:dyDescent="0.2">
      <c r="A288" s="679">
        <f>A287+1</f>
        <v>18</v>
      </c>
      <c r="B288" s="485" t="s">
        <v>244</v>
      </c>
      <c r="C288" s="657"/>
      <c r="D288" s="308">
        <f t="shared" ref="D288:O288" si="66">D174+D186+D198+D220+D238+D244+D269</f>
        <v>0</v>
      </c>
      <c r="E288" s="308">
        <f t="shared" si="66"/>
        <v>0</v>
      </c>
      <c r="F288" s="308">
        <f t="shared" si="66"/>
        <v>0</v>
      </c>
      <c r="G288" s="308">
        <f t="shared" si="66"/>
        <v>0</v>
      </c>
      <c r="H288" s="308">
        <f t="shared" si="66"/>
        <v>0</v>
      </c>
      <c r="I288" s="308">
        <f t="shared" si="66"/>
        <v>0</v>
      </c>
      <c r="J288" s="308">
        <f t="shared" si="66"/>
        <v>0</v>
      </c>
      <c r="K288" s="308">
        <f t="shared" si="66"/>
        <v>0</v>
      </c>
      <c r="L288" s="308">
        <f t="shared" si="66"/>
        <v>0</v>
      </c>
      <c r="M288" s="308">
        <f t="shared" si="66"/>
        <v>0</v>
      </c>
      <c r="N288" s="308">
        <f t="shared" si="66"/>
        <v>0</v>
      </c>
      <c r="O288" s="308">
        <f t="shared" si="66"/>
        <v>0</v>
      </c>
      <c r="P288" s="682">
        <f>SUM(D288:O288)</f>
        <v>0</v>
      </c>
      <c r="S288" s="231"/>
    </row>
    <row r="289" spans="1:19" ht="12" x14ac:dyDescent="0.35">
      <c r="A289" s="679">
        <f>A288+1</f>
        <v>19</v>
      </c>
      <c r="B289" s="485" t="s">
        <v>290</v>
      </c>
      <c r="C289" s="657"/>
      <c r="D289" s="695">
        <f t="shared" ref="D289:O289" si="67">D175+D187+D199+D221+D239+D245+D270</f>
        <v>0</v>
      </c>
      <c r="E289" s="695">
        <f t="shared" si="67"/>
        <v>0</v>
      </c>
      <c r="F289" s="695">
        <f t="shared" si="67"/>
        <v>0</v>
      </c>
      <c r="G289" s="695">
        <f t="shared" si="67"/>
        <v>1</v>
      </c>
      <c r="H289" s="695">
        <f t="shared" si="67"/>
        <v>0</v>
      </c>
      <c r="I289" s="695">
        <f t="shared" si="67"/>
        <v>0</v>
      </c>
      <c r="J289" s="695">
        <f t="shared" si="67"/>
        <v>0</v>
      </c>
      <c r="K289" s="695">
        <f t="shared" si="67"/>
        <v>0</v>
      </c>
      <c r="L289" s="695">
        <f t="shared" si="67"/>
        <v>0</v>
      </c>
      <c r="M289" s="695">
        <f t="shared" si="67"/>
        <v>0</v>
      </c>
      <c r="N289" s="695">
        <f t="shared" si="67"/>
        <v>0</v>
      </c>
      <c r="O289" s="695">
        <f t="shared" si="67"/>
        <v>0</v>
      </c>
      <c r="P289" s="684">
        <f>SUM(D289:O289)</f>
        <v>1</v>
      </c>
      <c r="S289" s="231"/>
    </row>
    <row r="290" spans="1:19" x14ac:dyDescent="0.2">
      <c r="A290" s="679">
        <f>A289+1</f>
        <v>20</v>
      </c>
      <c r="B290" s="485" t="s">
        <v>259</v>
      </c>
      <c r="C290" s="657"/>
      <c r="D290" s="505">
        <f t="shared" ref="D290:O290" si="68">SUM(D287:D289)</f>
        <v>75</v>
      </c>
      <c r="E290" s="505">
        <f t="shared" si="68"/>
        <v>75</v>
      </c>
      <c r="F290" s="505">
        <f t="shared" si="68"/>
        <v>74</v>
      </c>
      <c r="G290" s="505">
        <f t="shared" si="68"/>
        <v>75</v>
      </c>
      <c r="H290" s="505">
        <f t="shared" si="68"/>
        <v>74</v>
      </c>
      <c r="I290" s="505">
        <f t="shared" si="68"/>
        <v>74</v>
      </c>
      <c r="J290" s="505">
        <f t="shared" si="68"/>
        <v>74</v>
      </c>
      <c r="K290" s="505">
        <f t="shared" si="68"/>
        <v>74</v>
      </c>
      <c r="L290" s="505">
        <f t="shared" si="68"/>
        <v>74</v>
      </c>
      <c r="M290" s="505">
        <f t="shared" si="68"/>
        <v>74</v>
      </c>
      <c r="N290" s="505">
        <f t="shared" si="68"/>
        <v>75</v>
      </c>
      <c r="O290" s="505">
        <f t="shared" si="68"/>
        <v>75</v>
      </c>
      <c r="P290" s="681">
        <f>SUM(D290:O290)</f>
        <v>893</v>
      </c>
      <c r="S290" s="231"/>
    </row>
    <row r="291" spans="1:19" s="305" customFormat="1" x14ac:dyDescent="0.2">
      <c r="A291" s="452"/>
      <c r="C291" s="626"/>
      <c r="D291" s="626"/>
      <c r="E291" s="626"/>
      <c r="F291" s="626"/>
      <c r="G291" s="626"/>
      <c r="H291" s="626"/>
      <c r="I291" s="626"/>
      <c r="J291" s="686"/>
      <c r="P291" s="450"/>
    </row>
    <row r="292" spans="1:19" s="305" customFormat="1" x14ac:dyDescent="0.2">
      <c r="A292" s="679">
        <f>A290+1</f>
        <v>21</v>
      </c>
      <c r="B292" s="501" t="s">
        <v>18</v>
      </c>
      <c r="C292" s="612"/>
      <c r="D292" s="260"/>
      <c r="E292" s="612"/>
      <c r="F292" s="612"/>
      <c r="G292" s="612"/>
      <c r="H292" s="260"/>
      <c r="I292" s="260"/>
      <c r="J292" s="260"/>
      <c r="P292" s="450"/>
    </row>
    <row r="293" spans="1:19" x14ac:dyDescent="0.2">
      <c r="A293" s="679">
        <f>A292+1</f>
        <v>22</v>
      </c>
      <c r="B293" s="485" t="s">
        <v>289</v>
      </c>
      <c r="C293" s="657"/>
      <c r="D293" s="505">
        <f t="shared" ref="D293:O293" si="69">D276+D281+D287</f>
        <v>27575</v>
      </c>
      <c r="E293" s="505">
        <f t="shared" si="69"/>
        <v>27577</v>
      </c>
      <c r="F293" s="505">
        <f t="shared" si="69"/>
        <v>27850</v>
      </c>
      <c r="G293" s="505">
        <f t="shared" si="69"/>
        <v>27692</v>
      </c>
      <c r="H293" s="505">
        <f t="shared" si="69"/>
        <v>27536</v>
      </c>
      <c r="I293" s="505">
        <f t="shared" si="69"/>
        <v>27320</v>
      </c>
      <c r="J293" s="505">
        <f t="shared" si="69"/>
        <v>27112</v>
      </c>
      <c r="K293" s="505">
        <f t="shared" si="69"/>
        <v>27034</v>
      </c>
      <c r="L293" s="505">
        <f t="shared" si="69"/>
        <v>26990</v>
      </c>
      <c r="M293" s="505">
        <f t="shared" si="69"/>
        <v>27047</v>
      </c>
      <c r="N293" s="505">
        <f t="shared" si="69"/>
        <v>27302</v>
      </c>
      <c r="O293" s="505">
        <f t="shared" si="69"/>
        <v>27507</v>
      </c>
      <c r="P293" s="681">
        <f>SUM(D293:O293)</f>
        <v>328542</v>
      </c>
      <c r="S293" s="231"/>
    </row>
    <row r="294" spans="1:19" x14ac:dyDescent="0.2">
      <c r="A294" s="679">
        <f>A293+1</f>
        <v>23</v>
      </c>
      <c r="B294" s="485" t="s">
        <v>244</v>
      </c>
      <c r="C294" s="657"/>
      <c r="D294" s="308">
        <f>D282+D288</f>
        <v>2</v>
      </c>
      <c r="E294" s="308">
        <f t="shared" ref="E294:P294" si="70">E282+E288</f>
        <v>2</v>
      </c>
      <c r="F294" s="308">
        <f t="shared" si="70"/>
        <v>2</v>
      </c>
      <c r="G294" s="308">
        <f t="shared" si="70"/>
        <v>2</v>
      </c>
      <c r="H294" s="308">
        <f t="shared" si="70"/>
        <v>2</v>
      </c>
      <c r="I294" s="308">
        <f t="shared" si="70"/>
        <v>2</v>
      </c>
      <c r="J294" s="308">
        <f t="shared" si="70"/>
        <v>3</v>
      </c>
      <c r="K294" s="308">
        <f t="shared" si="70"/>
        <v>3</v>
      </c>
      <c r="L294" s="308">
        <f t="shared" si="70"/>
        <v>3</v>
      </c>
      <c r="M294" s="308">
        <f t="shared" si="70"/>
        <v>3</v>
      </c>
      <c r="N294" s="308">
        <f t="shared" si="70"/>
        <v>3</v>
      </c>
      <c r="O294" s="308">
        <f t="shared" si="70"/>
        <v>30</v>
      </c>
      <c r="P294" s="681">
        <f t="shared" si="70"/>
        <v>57</v>
      </c>
      <c r="S294" s="231"/>
    </row>
    <row r="295" spans="1:19" ht="12" x14ac:dyDescent="0.35">
      <c r="A295" s="679">
        <f>A294+1</f>
        <v>24</v>
      </c>
      <c r="B295" s="485" t="s">
        <v>290</v>
      </c>
      <c r="C295" s="657"/>
      <c r="D295" s="683">
        <f t="shared" ref="D295:O295" si="71">D277+D283+D289</f>
        <v>110</v>
      </c>
      <c r="E295" s="683">
        <f t="shared" si="71"/>
        <v>136</v>
      </c>
      <c r="F295" s="683">
        <f t="shared" si="71"/>
        <v>147</v>
      </c>
      <c r="G295" s="683">
        <f t="shared" si="71"/>
        <v>202</v>
      </c>
      <c r="H295" s="683">
        <f t="shared" si="71"/>
        <v>252</v>
      </c>
      <c r="I295" s="683">
        <f t="shared" si="71"/>
        <v>226</v>
      </c>
      <c r="J295" s="683">
        <f t="shared" si="71"/>
        <v>261</v>
      </c>
      <c r="K295" s="683">
        <f t="shared" si="71"/>
        <v>263</v>
      </c>
      <c r="L295" s="683">
        <f t="shared" si="71"/>
        <v>231</v>
      </c>
      <c r="M295" s="683">
        <f t="shared" si="71"/>
        <v>158</v>
      </c>
      <c r="N295" s="683">
        <f t="shared" si="71"/>
        <v>154</v>
      </c>
      <c r="O295" s="683">
        <f t="shared" si="71"/>
        <v>142</v>
      </c>
      <c r="P295" s="684">
        <f>SUM(D295:O295)</f>
        <v>2282</v>
      </c>
      <c r="S295" s="231"/>
    </row>
    <row r="296" spans="1:19" x14ac:dyDescent="0.2">
      <c r="A296" s="679">
        <f>A295+1</f>
        <v>25</v>
      </c>
      <c r="B296" s="485" t="s">
        <v>259</v>
      </c>
      <c r="C296" s="657"/>
      <c r="D296" s="505">
        <f t="shared" ref="D296:O296" si="72">SUM(D293:D295)</f>
        <v>27687</v>
      </c>
      <c r="E296" s="505">
        <f t="shared" si="72"/>
        <v>27715</v>
      </c>
      <c r="F296" s="505">
        <f t="shared" si="72"/>
        <v>27999</v>
      </c>
      <c r="G296" s="505">
        <f t="shared" si="72"/>
        <v>27896</v>
      </c>
      <c r="H296" s="505">
        <f t="shared" si="72"/>
        <v>27790</v>
      </c>
      <c r="I296" s="505">
        <f t="shared" si="72"/>
        <v>27548</v>
      </c>
      <c r="J296" s="505">
        <f t="shared" si="72"/>
        <v>27376</v>
      </c>
      <c r="K296" s="505">
        <f t="shared" si="72"/>
        <v>27300</v>
      </c>
      <c r="L296" s="505">
        <f t="shared" si="72"/>
        <v>27224</v>
      </c>
      <c r="M296" s="505">
        <f t="shared" si="72"/>
        <v>27208</v>
      </c>
      <c r="N296" s="505">
        <f t="shared" si="72"/>
        <v>27459</v>
      </c>
      <c r="O296" s="505">
        <f t="shared" si="72"/>
        <v>27679</v>
      </c>
      <c r="P296" s="681">
        <f>SUM(D296:O296)</f>
        <v>330881</v>
      </c>
      <c r="S296" s="231"/>
    </row>
    <row r="297" spans="1:19" s="305" customFormat="1" x14ac:dyDescent="0.2">
      <c r="A297" s="452"/>
      <c r="C297" s="612"/>
      <c r="D297" s="260"/>
      <c r="E297" s="612"/>
      <c r="F297" s="612"/>
      <c r="G297" s="612"/>
      <c r="H297" s="260"/>
      <c r="I297" s="260"/>
      <c r="J297" s="260"/>
      <c r="P297" s="450"/>
    </row>
    <row r="298" spans="1:19" s="305" customFormat="1" x14ac:dyDescent="0.2">
      <c r="A298" s="679">
        <f>A296+1</f>
        <v>26</v>
      </c>
      <c r="B298" s="501" t="s">
        <v>302</v>
      </c>
      <c r="C298" s="612"/>
      <c r="D298" s="260"/>
      <c r="E298" s="612"/>
      <c r="F298" s="612"/>
      <c r="G298" s="612"/>
      <c r="H298" s="260"/>
      <c r="I298" s="260"/>
      <c r="J298" s="260"/>
      <c r="P298" s="450"/>
    </row>
    <row r="299" spans="1:19" x14ac:dyDescent="0.2">
      <c r="A299" s="679">
        <f>A298+1</f>
        <v>27</v>
      </c>
      <c r="B299" s="485" t="s">
        <v>289</v>
      </c>
      <c r="C299" s="657"/>
      <c r="D299" s="505">
        <f t="shared" ref="D299:O299" si="73">D143+D293</f>
        <v>135471</v>
      </c>
      <c r="E299" s="505">
        <f t="shared" si="73"/>
        <v>135700</v>
      </c>
      <c r="F299" s="505">
        <f t="shared" si="73"/>
        <v>135649</v>
      </c>
      <c r="G299" s="505">
        <f t="shared" si="73"/>
        <v>134836</v>
      </c>
      <c r="H299" s="505">
        <f t="shared" si="73"/>
        <v>134004</v>
      </c>
      <c r="I299" s="505">
        <f t="shared" si="73"/>
        <v>132919</v>
      </c>
      <c r="J299" s="505">
        <f t="shared" si="73"/>
        <v>132130</v>
      </c>
      <c r="K299" s="505">
        <f t="shared" si="73"/>
        <v>131763</v>
      </c>
      <c r="L299" s="505">
        <f t="shared" si="73"/>
        <v>131648</v>
      </c>
      <c r="M299" s="505">
        <f t="shared" si="73"/>
        <v>132088</v>
      </c>
      <c r="N299" s="505">
        <f t="shared" si="73"/>
        <v>133632</v>
      </c>
      <c r="O299" s="505">
        <f t="shared" si="73"/>
        <v>134935</v>
      </c>
      <c r="P299" s="681">
        <f>SUM(D299:O299)</f>
        <v>1604775</v>
      </c>
      <c r="S299" s="231"/>
    </row>
    <row r="300" spans="1:19" x14ac:dyDescent="0.2">
      <c r="A300" s="679">
        <f>A299+1</f>
        <v>28</v>
      </c>
      <c r="B300" s="485" t="s">
        <v>244</v>
      </c>
      <c r="C300" s="657"/>
      <c r="D300" s="505">
        <f t="shared" ref="D300:O300" si="74">D144+D294</f>
        <v>3</v>
      </c>
      <c r="E300" s="308">
        <f t="shared" si="74"/>
        <v>3</v>
      </c>
      <c r="F300" s="308">
        <f t="shared" si="74"/>
        <v>3</v>
      </c>
      <c r="G300" s="308">
        <f t="shared" si="74"/>
        <v>3</v>
      </c>
      <c r="H300" s="308">
        <f t="shared" si="74"/>
        <v>3</v>
      </c>
      <c r="I300" s="308">
        <f t="shared" si="74"/>
        <v>3</v>
      </c>
      <c r="J300" s="308">
        <f t="shared" si="74"/>
        <v>5</v>
      </c>
      <c r="K300" s="308">
        <f t="shared" si="74"/>
        <v>5</v>
      </c>
      <c r="L300" s="308">
        <f t="shared" si="74"/>
        <v>5</v>
      </c>
      <c r="M300" s="308">
        <f t="shared" si="74"/>
        <v>5</v>
      </c>
      <c r="N300" s="308">
        <f t="shared" si="74"/>
        <v>5</v>
      </c>
      <c r="O300" s="308">
        <f t="shared" si="74"/>
        <v>32</v>
      </c>
      <c r="P300" s="681">
        <f>SUM(D300:O300)</f>
        <v>75</v>
      </c>
      <c r="S300" s="231"/>
    </row>
    <row r="301" spans="1:19" ht="12" x14ac:dyDescent="0.35">
      <c r="A301" s="679">
        <f>A300+1</f>
        <v>29</v>
      </c>
      <c r="B301" s="485" t="s">
        <v>290</v>
      </c>
      <c r="C301" s="657"/>
      <c r="D301" s="683">
        <f t="shared" ref="D301:O301" si="75">D145+D295</f>
        <v>1789</v>
      </c>
      <c r="E301" s="683">
        <f t="shared" si="75"/>
        <v>1836</v>
      </c>
      <c r="F301" s="683">
        <f t="shared" si="75"/>
        <v>2005</v>
      </c>
      <c r="G301" s="683">
        <f t="shared" si="75"/>
        <v>2664</v>
      </c>
      <c r="H301" s="683">
        <f t="shared" si="75"/>
        <v>2785</v>
      </c>
      <c r="I301" s="683">
        <f t="shared" si="75"/>
        <v>2582</v>
      </c>
      <c r="J301" s="683">
        <f t="shared" si="75"/>
        <v>2345</v>
      </c>
      <c r="K301" s="683">
        <f t="shared" si="75"/>
        <v>3001</v>
      </c>
      <c r="L301" s="683">
        <f t="shared" si="75"/>
        <v>2370</v>
      </c>
      <c r="M301" s="683">
        <f t="shared" si="75"/>
        <v>1923</v>
      </c>
      <c r="N301" s="683">
        <f t="shared" si="75"/>
        <v>1809</v>
      </c>
      <c r="O301" s="683">
        <f t="shared" si="75"/>
        <v>1794</v>
      </c>
      <c r="P301" s="684">
        <f>SUM(D301:O301)</f>
        <v>26903</v>
      </c>
      <c r="S301" s="231"/>
    </row>
    <row r="302" spans="1:19" ht="10.8" thickBot="1" x14ac:dyDescent="0.25">
      <c r="A302" s="687">
        <f>A301+1</f>
        <v>30</v>
      </c>
      <c r="B302" s="688" t="s">
        <v>259</v>
      </c>
      <c r="C302" s="689"/>
      <c r="D302" s="690">
        <f t="shared" ref="D302:O302" si="76">SUM(D299:D301)</f>
        <v>137263</v>
      </c>
      <c r="E302" s="690">
        <f t="shared" si="76"/>
        <v>137539</v>
      </c>
      <c r="F302" s="690">
        <f t="shared" si="76"/>
        <v>137657</v>
      </c>
      <c r="G302" s="690">
        <f t="shared" si="76"/>
        <v>137503</v>
      </c>
      <c r="H302" s="690">
        <f t="shared" si="76"/>
        <v>136792</v>
      </c>
      <c r="I302" s="690">
        <f t="shared" si="76"/>
        <v>135504</v>
      </c>
      <c r="J302" s="690">
        <f t="shared" si="76"/>
        <v>134480</v>
      </c>
      <c r="K302" s="690">
        <f t="shared" si="76"/>
        <v>134769</v>
      </c>
      <c r="L302" s="690">
        <f t="shared" si="76"/>
        <v>134023</v>
      </c>
      <c r="M302" s="690">
        <f t="shared" si="76"/>
        <v>134016</v>
      </c>
      <c r="N302" s="690">
        <f t="shared" si="76"/>
        <v>135446</v>
      </c>
      <c r="O302" s="690">
        <f t="shared" si="76"/>
        <v>136761</v>
      </c>
      <c r="P302" s="691">
        <f>SUM(D302:O302)</f>
        <v>1631753</v>
      </c>
      <c r="S302" s="231"/>
    </row>
    <row r="303" spans="1:19" x14ac:dyDescent="0.2">
      <c r="A303" s="591"/>
      <c r="B303" s="674"/>
      <c r="C303" s="665"/>
      <c r="D303" s="598"/>
      <c r="E303" s="598"/>
      <c r="F303" s="598"/>
      <c r="G303" s="598"/>
      <c r="H303" s="598"/>
      <c r="I303" s="598"/>
      <c r="J303" s="599"/>
      <c r="K303" s="599"/>
      <c r="L303" s="599"/>
      <c r="M303" s="599"/>
      <c r="N303" s="599"/>
      <c r="O303" s="599"/>
      <c r="P303" s="599"/>
      <c r="S303" s="231"/>
    </row>
    <row r="304" spans="1:19" x14ac:dyDescent="0.2">
      <c r="A304" s="591"/>
      <c r="B304" s="674"/>
      <c r="C304" s="665"/>
      <c r="D304" s="598"/>
      <c r="E304" s="598"/>
      <c r="F304" s="598"/>
      <c r="G304" s="598"/>
      <c r="H304" s="598"/>
      <c r="I304" s="598"/>
      <c r="J304" s="599"/>
      <c r="K304" s="599"/>
      <c r="L304" s="599"/>
      <c r="M304" s="599"/>
      <c r="N304" s="599"/>
      <c r="O304" s="599"/>
      <c r="P304" s="599"/>
      <c r="S304" s="231"/>
    </row>
    <row r="305" spans="1:19" ht="10.8" thickBot="1" x14ac:dyDescent="0.25">
      <c r="A305" s="591"/>
      <c r="B305" s="674"/>
      <c r="C305" s="665"/>
      <c r="D305" s="598"/>
      <c r="E305" s="598"/>
      <c r="F305" s="598"/>
      <c r="G305" s="598"/>
      <c r="H305" s="598"/>
      <c r="I305" s="598"/>
      <c r="J305" s="599"/>
      <c r="K305" s="599"/>
      <c r="L305" s="599"/>
      <c r="M305" s="599"/>
      <c r="N305" s="599"/>
      <c r="O305" s="599"/>
      <c r="P305" s="599"/>
      <c r="S305" s="231"/>
    </row>
    <row r="306" spans="1:19" x14ac:dyDescent="0.2">
      <c r="A306" s="591"/>
      <c r="B306" s="696" t="s">
        <v>472</v>
      </c>
      <c r="C306" s="697"/>
      <c r="D306" s="698" t="s">
        <v>480</v>
      </c>
      <c r="E306" s="699"/>
      <c r="F306" s="599"/>
      <c r="G306" s="599"/>
      <c r="H306" s="599"/>
      <c r="I306" s="599"/>
      <c r="J306" s="599"/>
      <c r="K306" s="599"/>
      <c r="L306" s="432"/>
      <c r="O306" s="231"/>
    </row>
    <row r="307" spans="1:19" x14ac:dyDescent="0.2">
      <c r="A307" s="305"/>
      <c r="B307" s="700"/>
      <c r="C307" s="701" t="s">
        <v>473</v>
      </c>
      <c r="D307" s="701" t="s">
        <v>481</v>
      </c>
      <c r="E307" s="702" t="s">
        <v>475</v>
      </c>
      <c r="F307" s="305"/>
      <c r="G307" s="305"/>
      <c r="H307" s="305"/>
      <c r="I307" s="305"/>
      <c r="J307" s="305"/>
      <c r="K307" s="305"/>
    </row>
    <row r="308" spans="1:19" x14ac:dyDescent="0.2">
      <c r="A308" s="305"/>
      <c r="B308" s="703" t="s">
        <v>476</v>
      </c>
      <c r="C308" s="704">
        <f>P15+P25+P30+P35+P40+P45+P68+P73</f>
        <v>1157429</v>
      </c>
      <c r="D308" s="705">
        <v>1157429</v>
      </c>
      <c r="E308" s="706">
        <f t="shared" ref="E308:E309" si="77">C308-D308</f>
        <v>0</v>
      </c>
      <c r="F308" s="305"/>
      <c r="G308" s="305"/>
      <c r="H308" s="305"/>
      <c r="I308" s="305"/>
      <c r="J308" s="305"/>
      <c r="K308" s="305"/>
    </row>
    <row r="309" spans="1:19" x14ac:dyDescent="0.2">
      <c r="A309" s="305"/>
      <c r="B309" s="707" t="s">
        <v>477</v>
      </c>
      <c r="C309" s="704">
        <f>P162</f>
        <v>279879</v>
      </c>
      <c r="D309" s="705">
        <v>279879</v>
      </c>
      <c r="E309" s="706">
        <f t="shared" si="77"/>
        <v>0</v>
      </c>
      <c r="F309" s="305"/>
      <c r="G309" s="305"/>
      <c r="H309" s="305"/>
      <c r="I309" s="305"/>
      <c r="J309" s="305"/>
      <c r="K309" s="305"/>
    </row>
    <row r="310" spans="1:19" x14ac:dyDescent="0.2">
      <c r="A310" s="305"/>
      <c r="B310" s="707" t="s">
        <v>478</v>
      </c>
      <c r="C310" s="704">
        <f>P20+P50+P78+P84+P90+P96</f>
        <v>118804</v>
      </c>
      <c r="D310" s="705">
        <f>120076-324-948</f>
        <v>118804</v>
      </c>
      <c r="E310" s="706">
        <f>C310-D310</f>
        <v>0</v>
      </c>
      <c r="F310" s="305"/>
      <c r="G310" s="305"/>
      <c r="H310" s="305"/>
      <c r="I310" s="305"/>
      <c r="J310" s="305"/>
      <c r="K310" s="305"/>
    </row>
    <row r="311" spans="1:19" x14ac:dyDescent="0.2">
      <c r="A311" s="305"/>
      <c r="B311" s="707" t="s">
        <v>479</v>
      </c>
      <c r="C311" s="704">
        <f>P167+P173</f>
        <v>47391</v>
      </c>
      <c r="D311" s="705">
        <v>47391</v>
      </c>
      <c r="E311" s="706">
        <f t="shared" ref="E311:E312" si="78">C311-D311</f>
        <v>0</v>
      </c>
      <c r="F311" s="305"/>
      <c r="G311" s="305"/>
      <c r="H311" s="305"/>
      <c r="I311" s="305"/>
      <c r="J311" s="305"/>
      <c r="K311" s="305"/>
    </row>
    <row r="312" spans="1:19" ht="12" x14ac:dyDescent="0.35">
      <c r="A312" s="305"/>
      <c r="B312" s="707" t="s">
        <v>311</v>
      </c>
      <c r="C312" s="708">
        <f>P179+P185+P191+P197+P219+P225+P231+P237+P243+P249+P268</f>
        <v>1272</v>
      </c>
      <c r="D312" s="709">
        <v>1272</v>
      </c>
      <c r="E312" s="710">
        <f t="shared" si="78"/>
        <v>0</v>
      </c>
      <c r="F312" s="305"/>
      <c r="G312" s="305"/>
      <c r="H312" s="305"/>
      <c r="I312" s="305"/>
      <c r="J312" s="305"/>
      <c r="K312" s="305"/>
    </row>
    <row r="313" spans="1:19" ht="10.8" thickBot="1" x14ac:dyDescent="0.25">
      <c r="A313" s="305"/>
      <c r="B313" s="711"/>
      <c r="C313" s="712">
        <f>SUM(C308:C312)</f>
        <v>1604775</v>
      </c>
      <c r="D313" s="712">
        <f>SUM(D308:D312)</f>
        <v>1604775</v>
      </c>
      <c r="E313" s="713">
        <f>SUM(E308:E312)</f>
        <v>0</v>
      </c>
      <c r="F313" s="305"/>
      <c r="G313" s="305"/>
      <c r="H313" s="305"/>
      <c r="I313" s="305"/>
      <c r="J313" s="305"/>
      <c r="K313" s="305"/>
    </row>
    <row r="314" spans="1:19" x14ac:dyDescent="0.2">
      <c r="A314" s="305"/>
      <c r="B314" s="305"/>
      <c r="C314" s="306"/>
      <c r="D314" s="305"/>
      <c r="E314" s="306"/>
      <c r="F314" s="305"/>
      <c r="G314" s="305"/>
      <c r="H314" s="305"/>
      <c r="I314" s="305"/>
      <c r="J314" s="305"/>
      <c r="K314" s="305"/>
    </row>
    <row r="315" spans="1:19" ht="15" customHeight="1" x14ac:dyDescent="0.2">
      <c r="A315" s="305"/>
      <c r="B315" s="714"/>
      <c r="C315" s="715"/>
      <c r="D315" s="715"/>
      <c r="E315" s="716"/>
      <c r="F315" s="305"/>
      <c r="G315" s="305"/>
      <c r="H315" s="305"/>
      <c r="I315" s="305"/>
      <c r="J315" s="305"/>
      <c r="K315" s="305"/>
    </row>
    <row r="316" spans="1:19" ht="15" customHeight="1" x14ac:dyDescent="0.2">
      <c r="A316" s="305"/>
      <c r="B316" s="305"/>
      <c r="C316" s="306"/>
      <c r="D316" s="305"/>
      <c r="E316" s="306"/>
      <c r="F316" s="305"/>
      <c r="G316" s="305"/>
      <c r="H316" s="305"/>
      <c r="I316" s="305"/>
      <c r="J316" s="305"/>
      <c r="K316" s="305"/>
    </row>
    <row r="317" spans="1:19" ht="15" customHeight="1" x14ac:dyDescent="0.2">
      <c r="A317" s="305"/>
      <c r="B317" s="305"/>
      <c r="C317" s="306"/>
      <c r="D317" s="305"/>
      <c r="E317" s="306"/>
      <c r="F317" s="305"/>
      <c r="G317" s="305"/>
      <c r="H317" s="305"/>
      <c r="I317" s="305"/>
      <c r="J317" s="305"/>
      <c r="K317" s="305"/>
    </row>
    <row r="318" spans="1:19" ht="15" customHeight="1" x14ac:dyDescent="0.2">
      <c r="A318" s="305"/>
      <c r="B318" s="305"/>
      <c r="C318" s="306"/>
      <c r="D318" s="305"/>
      <c r="E318" s="306"/>
      <c r="F318" s="305"/>
      <c r="G318" s="305"/>
      <c r="H318" s="305"/>
      <c r="I318" s="305"/>
      <c r="J318" s="305"/>
      <c r="K318" s="305"/>
    </row>
    <row r="319" spans="1:19" ht="15" customHeight="1" x14ac:dyDescent="0.2">
      <c r="A319" s="305"/>
      <c r="B319" s="305"/>
      <c r="C319" s="306"/>
      <c r="D319" s="305"/>
      <c r="E319" s="306"/>
      <c r="F319" s="305"/>
      <c r="G319" s="305"/>
      <c r="H319" s="305"/>
      <c r="I319" s="305"/>
      <c r="J319" s="305"/>
      <c r="K319" s="305"/>
    </row>
    <row r="320" spans="1:19" ht="15" customHeight="1" x14ac:dyDescent="0.2">
      <c r="A320" s="305"/>
      <c r="B320" s="305"/>
      <c r="C320" s="306"/>
      <c r="D320" s="305"/>
      <c r="E320" s="306"/>
      <c r="F320" s="305"/>
      <c r="G320" s="305"/>
      <c r="H320" s="305"/>
      <c r="I320" s="305"/>
      <c r="J320" s="305"/>
      <c r="K320" s="305"/>
    </row>
    <row r="321" spans="1:16" ht="15" customHeight="1" x14ac:dyDescent="0.2">
      <c r="A321" s="305"/>
      <c r="B321" s="305"/>
      <c r="C321" s="306"/>
      <c r="D321" s="305"/>
      <c r="E321" s="306"/>
      <c r="F321" s="305"/>
      <c r="G321" s="305"/>
      <c r="H321" s="305"/>
      <c r="I321" s="305"/>
      <c r="J321" s="305"/>
      <c r="K321" s="305"/>
    </row>
    <row r="322" spans="1:16" ht="15" customHeight="1" x14ac:dyDescent="0.2">
      <c r="A322" s="305"/>
      <c r="B322" s="305"/>
      <c r="C322" s="306"/>
      <c r="D322" s="305"/>
      <c r="E322" s="306"/>
      <c r="F322" s="305"/>
      <c r="G322" s="305"/>
      <c r="H322" s="305"/>
      <c r="I322" s="305"/>
      <c r="J322" s="305"/>
      <c r="K322" s="305"/>
    </row>
    <row r="323" spans="1:16" ht="15" customHeight="1" x14ac:dyDescent="0.2">
      <c r="A323" s="305"/>
      <c r="B323" s="305"/>
      <c r="C323" s="306"/>
      <c r="D323" s="305"/>
      <c r="E323" s="306"/>
      <c r="F323" s="716"/>
      <c r="G323" s="716"/>
      <c r="H323" s="716"/>
      <c r="I323" s="716"/>
      <c r="J323" s="716"/>
      <c r="K323" s="717"/>
      <c r="L323" s="717"/>
      <c r="M323" s="717"/>
      <c r="N323" s="717"/>
      <c r="O323" s="717"/>
      <c r="P323" s="717"/>
    </row>
    <row r="324" spans="1:16" x14ac:dyDescent="0.2">
      <c r="A324" s="305"/>
      <c r="B324" s="305"/>
      <c r="C324" s="306"/>
      <c r="D324" s="305"/>
      <c r="E324" s="306"/>
      <c r="F324" s="306"/>
      <c r="G324" s="306"/>
      <c r="H324" s="305"/>
      <c r="I324" s="305"/>
      <c r="J324" s="305"/>
      <c r="K324" s="305"/>
      <c r="L324" s="305"/>
      <c r="M324" s="305"/>
      <c r="N324" s="305"/>
      <c r="O324" s="305"/>
      <c r="P324" s="305"/>
    </row>
    <row r="325" spans="1:16" x14ac:dyDescent="0.2">
      <c r="A325" s="305"/>
      <c r="B325" s="305"/>
      <c r="C325" s="306"/>
      <c r="D325" s="305"/>
      <c r="E325" s="306"/>
      <c r="F325" s="306"/>
      <c r="G325" s="306"/>
      <c r="H325" s="305"/>
      <c r="I325" s="305"/>
      <c r="J325" s="305"/>
      <c r="K325" s="305"/>
      <c r="L325" s="305"/>
      <c r="M325" s="305"/>
      <c r="N325" s="305"/>
      <c r="O325" s="305"/>
      <c r="P325" s="305"/>
    </row>
    <row r="326" spans="1:16" x14ac:dyDescent="0.2">
      <c r="A326" s="305"/>
      <c r="B326" s="305"/>
      <c r="C326" s="306"/>
      <c r="D326" s="305"/>
      <c r="E326" s="306"/>
      <c r="F326" s="306"/>
      <c r="G326" s="306"/>
      <c r="H326" s="305"/>
      <c r="I326" s="305"/>
      <c r="J326" s="305"/>
      <c r="K326" s="305"/>
      <c r="L326" s="305"/>
      <c r="M326" s="305"/>
      <c r="N326" s="305"/>
      <c r="O326" s="305"/>
      <c r="P326" s="305"/>
    </row>
    <row r="327" spans="1:16" x14ac:dyDescent="0.2">
      <c r="A327" s="305"/>
      <c r="B327" s="305"/>
      <c r="C327" s="306"/>
      <c r="D327" s="305"/>
      <c r="E327" s="306"/>
      <c r="F327" s="306"/>
      <c r="G327" s="306"/>
      <c r="H327" s="305"/>
      <c r="I327" s="305"/>
      <c r="J327" s="305"/>
      <c r="K327" s="305"/>
      <c r="L327" s="305"/>
      <c r="M327" s="305"/>
      <c r="N327" s="305"/>
      <c r="O327" s="305"/>
      <c r="P327" s="305"/>
    </row>
    <row r="328" spans="1:16" x14ac:dyDescent="0.2">
      <c r="A328" s="305"/>
      <c r="B328" s="305"/>
      <c r="C328" s="306"/>
      <c r="D328" s="305"/>
      <c r="E328" s="306"/>
      <c r="F328" s="306"/>
      <c r="G328" s="306"/>
      <c r="H328" s="305"/>
      <c r="I328" s="305"/>
      <c r="J328" s="305"/>
      <c r="K328" s="305"/>
      <c r="L328" s="305"/>
      <c r="M328" s="305"/>
      <c r="N328" s="305"/>
      <c r="O328" s="305"/>
      <c r="P328" s="305"/>
    </row>
    <row r="329" spans="1:16" x14ac:dyDescent="0.2">
      <c r="A329" s="305"/>
      <c r="B329" s="305"/>
      <c r="C329" s="306"/>
      <c r="D329" s="305"/>
      <c r="E329" s="306"/>
      <c r="F329" s="306"/>
      <c r="G329" s="306"/>
      <c r="H329" s="305"/>
      <c r="I329" s="305"/>
      <c r="J329" s="305"/>
      <c r="K329" s="305"/>
      <c r="L329" s="305"/>
      <c r="M329" s="305"/>
      <c r="N329" s="305"/>
      <c r="O329" s="305"/>
      <c r="P329" s="305"/>
    </row>
    <row r="330" spans="1:16" x14ac:dyDescent="0.2">
      <c r="A330" s="305"/>
      <c r="B330" s="305"/>
      <c r="C330" s="306"/>
      <c r="D330" s="305"/>
      <c r="E330" s="306"/>
      <c r="F330" s="306"/>
      <c r="G330" s="306"/>
      <c r="H330" s="305"/>
      <c r="I330" s="305"/>
      <c r="J330" s="305"/>
      <c r="K330" s="305"/>
      <c r="L330" s="305"/>
      <c r="M330" s="305"/>
      <c r="N330" s="305"/>
      <c r="O330" s="305"/>
      <c r="P330" s="305"/>
    </row>
    <row r="331" spans="1:16" x14ac:dyDescent="0.2">
      <c r="A331" s="305"/>
      <c r="B331" s="305"/>
      <c r="C331" s="306"/>
      <c r="D331" s="305"/>
      <c r="E331" s="306"/>
      <c r="F331" s="306"/>
      <c r="G331" s="306"/>
      <c r="H331" s="305"/>
      <c r="I331" s="305"/>
      <c r="J331" s="305"/>
      <c r="K331" s="305"/>
      <c r="L331" s="305"/>
      <c r="M331" s="305"/>
      <c r="N331" s="305"/>
      <c r="O331" s="305"/>
      <c r="P331" s="305"/>
    </row>
    <row r="332" spans="1:16" x14ac:dyDescent="0.2">
      <c r="A332" s="305"/>
      <c r="B332" s="305"/>
      <c r="C332" s="306"/>
      <c r="D332" s="305"/>
      <c r="E332" s="306"/>
      <c r="F332" s="306"/>
      <c r="G332" s="306"/>
      <c r="H332" s="305"/>
      <c r="I332" s="305"/>
      <c r="J332" s="305"/>
      <c r="K332" s="305"/>
      <c r="L332" s="305"/>
      <c r="M332" s="305"/>
      <c r="N332" s="305"/>
      <c r="O332" s="305"/>
      <c r="P332" s="305"/>
    </row>
    <row r="333" spans="1:16" x14ac:dyDescent="0.2">
      <c r="A333" s="305"/>
      <c r="B333" s="305"/>
      <c r="C333" s="306"/>
      <c r="D333" s="305"/>
      <c r="E333" s="306"/>
      <c r="F333" s="306"/>
      <c r="G333" s="306"/>
      <c r="H333" s="305"/>
      <c r="I333" s="305"/>
      <c r="J333" s="305"/>
      <c r="K333" s="305"/>
      <c r="L333" s="305"/>
      <c r="M333" s="305"/>
      <c r="N333" s="305"/>
      <c r="O333" s="305"/>
      <c r="P333" s="305"/>
    </row>
    <row r="334" spans="1:16" x14ac:dyDescent="0.2">
      <c r="A334" s="305"/>
      <c r="B334" s="305"/>
      <c r="C334" s="306"/>
      <c r="D334" s="305"/>
      <c r="E334" s="306"/>
      <c r="F334" s="306"/>
      <c r="G334" s="306"/>
      <c r="H334" s="305"/>
      <c r="I334" s="305"/>
      <c r="J334" s="305"/>
      <c r="K334" s="305"/>
      <c r="L334" s="305"/>
      <c r="M334" s="305"/>
      <c r="N334" s="305"/>
      <c r="O334" s="305"/>
      <c r="P334" s="305"/>
    </row>
    <row r="335" spans="1:16" x14ac:dyDescent="0.2">
      <c r="A335" s="305"/>
      <c r="B335" s="305"/>
      <c r="C335" s="306"/>
      <c r="D335" s="305"/>
      <c r="E335" s="306"/>
      <c r="F335" s="306"/>
      <c r="G335" s="306"/>
      <c r="H335" s="305"/>
      <c r="I335" s="305"/>
      <c r="J335" s="305"/>
      <c r="K335" s="305"/>
      <c r="L335" s="305"/>
      <c r="M335" s="305"/>
      <c r="N335" s="305"/>
      <c r="O335" s="305"/>
      <c r="P335" s="305"/>
    </row>
    <row r="336" spans="1:16" x14ac:dyDescent="0.2">
      <c r="A336" s="305"/>
      <c r="B336" s="305"/>
      <c r="C336" s="306"/>
      <c r="D336" s="305"/>
      <c r="E336" s="306"/>
      <c r="F336" s="306"/>
      <c r="G336" s="306"/>
      <c r="H336" s="305"/>
      <c r="I336" s="305"/>
      <c r="J336" s="305"/>
      <c r="K336" s="305"/>
      <c r="L336" s="305"/>
      <c r="M336" s="305"/>
      <c r="N336" s="305"/>
      <c r="O336" s="305"/>
      <c r="P336" s="305"/>
    </row>
    <row r="337" spans="1:16" x14ac:dyDescent="0.2">
      <c r="A337" s="305"/>
      <c r="B337" s="305"/>
      <c r="C337" s="306"/>
      <c r="D337" s="305"/>
      <c r="E337" s="306"/>
      <c r="F337" s="306"/>
      <c r="G337" s="306"/>
      <c r="H337" s="305"/>
      <c r="I337" s="305"/>
      <c r="J337" s="305"/>
      <c r="K337" s="305"/>
      <c r="L337" s="305"/>
      <c r="M337" s="305"/>
      <c r="N337" s="305"/>
      <c r="O337" s="305"/>
      <c r="P337" s="305"/>
    </row>
    <row r="338" spans="1:16" x14ac:dyDescent="0.2">
      <c r="A338" s="305"/>
      <c r="B338" s="305"/>
      <c r="C338" s="306"/>
      <c r="D338" s="305"/>
      <c r="E338" s="306"/>
      <c r="F338" s="306"/>
      <c r="G338" s="306"/>
      <c r="H338" s="305"/>
      <c r="I338" s="305"/>
      <c r="J338" s="305"/>
      <c r="K338" s="305"/>
      <c r="L338" s="305"/>
      <c r="M338" s="305"/>
      <c r="N338" s="305"/>
      <c r="O338" s="305"/>
      <c r="P338" s="305"/>
    </row>
    <row r="339" spans="1:16" x14ac:dyDescent="0.2">
      <c r="A339" s="305"/>
      <c r="B339" s="305"/>
      <c r="C339" s="306"/>
      <c r="D339" s="305"/>
      <c r="E339" s="306"/>
      <c r="F339" s="306"/>
      <c r="G339" s="306"/>
      <c r="H339" s="305"/>
      <c r="I339" s="305"/>
      <c r="J339" s="305"/>
      <c r="K339" s="305"/>
      <c r="L339" s="305"/>
      <c r="M339" s="305"/>
      <c r="N339" s="305"/>
      <c r="O339" s="305"/>
      <c r="P339" s="305"/>
    </row>
    <row r="340" spans="1:16" x14ac:dyDescent="0.2">
      <c r="A340" s="305"/>
      <c r="B340" s="305"/>
      <c r="C340" s="306"/>
      <c r="D340" s="305"/>
      <c r="E340" s="306"/>
      <c r="F340" s="306"/>
      <c r="G340" s="306"/>
      <c r="H340" s="305"/>
      <c r="I340" s="305"/>
      <c r="J340" s="305"/>
      <c r="K340" s="305"/>
      <c r="L340" s="305"/>
      <c r="M340" s="305"/>
      <c r="N340" s="305"/>
      <c r="O340" s="305"/>
      <c r="P340" s="305"/>
    </row>
    <row r="341" spans="1:16" x14ac:dyDescent="0.2">
      <c r="A341" s="305"/>
      <c r="B341" s="305"/>
      <c r="C341" s="306"/>
      <c r="D341" s="305"/>
      <c r="E341" s="306"/>
      <c r="F341" s="306"/>
      <c r="G341" s="306"/>
      <c r="H341" s="305"/>
      <c r="I341" s="305"/>
      <c r="J341" s="305"/>
      <c r="K341" s="305"/>
      <c r="L341" s="305"/>
      <c r="M341" s="305"/>
      <c r="N341" s="305"/>
      <c r="O341" s="305"/>
      <c r="P341" s="305"/>
    </row>
    <row r="342" spans="1:16" x14ac:dyDescent="0.2">
      <c r="A342" s="305"/>
      <c r="B342" s="305"/>
      <c r="C342" s="306"/>
      <c r="D342" s="305"/>
      <c r="E342" s="306"/>
      <c r="F342" s="306"/>
      <c r="G342" s="306"/>
      <c r="H342" s="305"/>
      <c r="I342" s="305"/>
      <c r="J342" s="305"/>
      <c r="K342" s="305"/>
      <c r="L342" s="305"/>
      <c r="M342" s="305"/>
      <c r="N342" s="305"/>
      <c r="O342" s="305"/>
      <c r="P342" s="305"/>
    </row>
    <row r="343" spans="1:16" x14ac:dyDescent="0.2">
      <c r="A343" s="305"/>
      <c r="B343" s="305"/>
      <c r="C343" s="306"/>
      <c r="D343" s="305"/>
      <c r="E343" s="306"/>
      <c r="F343" s="306"/>
      <c r="G343" s="306"/>
      <c r="H343" s="305"/>
      <c r="I343" s="305"/>
      <c r="J343" s="305"/>
      <c r="K343" s="305"/>
      <c r="L343" s="305"/>
      <c r="M343" s="305"/>
      <c r="N343" s="305"/>
      <c r="O343" s="305"/>
      <c r="P343" s="305"/>
    </row>
    <row r="344" spans="1:16" x14ac:dyDescent="0.2">
      <c r="A344" s="305"/>
      <c r="B344" s="305"/>
      <c r="C344" s="306"/>
      <c r="D344" s="305"/>
      <c r="E344" s="306"/>
      <c r="F344" s="306"/>
      <c r="G344" s="306"/>
      <c r="H344" s="305"/>
      <c r="I344" s="305"/>
      <c r="J344" s="305"/>
      <c r="K344" s="305"/>
      <c r="L344" s="305"/>
      <c r="M344" s="305"/>
      <c r="N344" s="305"/>
      <c r="O344" s="305"/>
      <c r="P344" s="305"/>
    </row>
    <row r="345" spans="1:16" x14ac:dyDescent="0.2">
      <c r="A345" s="305"/>
      <c r="B345" s="305"/>
      <c r="C345" s="306"/>
      <c r="D345" s="305"/>
      <c r="E345" s="306"/>
      <c r="F345" s="306"/>
      <c r="G345" s="306"/>
      <c r="H345" s="305"/>
      <c r="I345" s="305"/>
      <c r="J345" s="305"/>
      <c r="K345" s="305"/>
      <c r="L345" s="305"/>
      <c r="M345" s="305"/>
      <c r="N345" s="305"/>
      <c r="O345" s="305"/>
      <c r="P345" s="305"/>
    </row>
    <row r="346" spans="1:16" x14ac:dyDescent="0.2">
      <c r="A346" s="305"/>
      <c r="B346" s="305"/>
      <c r="C346" s="306"/>
      <c r="D346" s="305"/>
      <c r="E346" s="306"/>
      <c r="F346" s="306"/>
      <c r="G346" s="306"/>
      <c r="H346" s="305"/>
      <c r="I346" s="305"/>
      <c r="J346" s="305"/>
      <c r="K346" s="305"/>
      <c r="L346" s="305"/>
      <c r="M346" s="305"/>
      <c r="N346" s="305"/>
      <c r="O346" s="305"/>
      <c r="P346" s="305"/>
    </row>
    <row r="347" spans="1:16" x14ac:dyDescent="0.2">
      <c r="A347" s="305"/>
      <c r="B347" s="305"/>
      <c r="C347" s="306"/>
      <c r="D347" s="305"/>
      <c r="E347" s="306"/>
      <c r="F347" s="306"/>
      <c r="G347" s="306"/>
      <c r="H347" s="305"/>
      <c r="I347" s="305"/>
      <c r="J347" s="305"/>
      <c r="K347" s="305"/>
      <c r="L347" s="305"/>
      <c r="M347" s="305"/>
      <c r="N347" s="305"/>
      <c r="O347" s="305"/>
      <c r="P347" s="305"/>
    </row>
    <row r="348" spans="1:16" x14ac:dyDescent="0.2">
      <c r="A348" s="305"/>
      <c r="B348" s="305"/>
      <c r="C348" s="306"/>
      <c r="D348" s="305"/>
      <c r="E348" s="306"/>
      <c r="F348" s="306"/>
      <c r="G348" s="306"/>
      <c r="H348" s="305"/>
      <c r="I348" s="305"/>
      <c r="J348" s="305"/>
      <c r="K348" s="305"/>
      <c r="L348" s="305"/>
      <c r="M348" s="305"/>
      <c r="N348" s="305"/>
      <c r="O348" s="305"/>
      <c r="P348" s="305"/>
    </row>
    <row r="349" spans="1:16" x14ac:dyDescent="0.2">
      <c r="A349" s="305"/>
      <c r="B349" s="305"/>
      <c r="C349" s="306"/>
      <c r="D349" s="305"/>
      <c r="E349" s="306"/>
      <c r="F349" s="306"/>
      <c r="G349" s="306"/>
      <c r="H349" s="305"/>
      <c r="I349" s="305"/>
      <c r="J349" s="305"/>
      <c r="K349" s="305"/>
      <c r="L349" s="305"/>
      <c r="M349" s="305"/>
      <c r="N349" s="305"/>
      <c r="O349" s="305"/>
      <c r="P349" s="305"/>
    </row>
    <row r="350" spans="1:16" x14ac:dyDescent="0.2">
      <c r="A350" s="305"/>
      <c r="B350" s="305"/>
      <c r="C350" s="306"/>
      <c r="D350" s="305"/>
      <c r="E350" s="306"/>
      <c r="F350" s="306"/>
      <c r="G350" s="306"/>
      <c r="H350" s="305"/>
      <c r="I350" s="305"/>
      <c r="J350" s="305"/>
      <c r="K350" s="305"/>
      <c r="L350" s="305"/>
      <c r="M350" s="305"/>
      <c r="N350" s="305"/>
      <c r="O350" s="305"/>
      <c r="P350" s="305"/>
    </row>
    <row r="351" spans="1:16" x14ac:dyDescent="0.2">
      <c r="A351" s="305"/>
      <c r="B351" s="305"/>
      <c r="C351" s="306"/>
      <c r="D351" s="305"/>
      <c r="E351" s="306"/>
      <c r="F351" s="306"/>
      <c r="G351" s="306"/>
      <c r="H351" s="305"/>
      <c r="I351" s="305"/>
      <c r="J351" s="305"/>
      <c r="K351" s="305"/>
      <c r="L351" s="305"/>
      <c r="M351" s="305"/>
      <c r="N351" s="305"/>
      <c r="O351" s="305"/>
      <c r="P351" s="305"/>
    </row>
    <row r="352" spans="1:16" x14ac:dyDescent="0.2">
      <c r="A352" s="305"/>
      <c r="B352" s="305"/>
      <c r="C352" s="306"/>
      <c r="D352" s="305"/>
      <c r="E352" s="306"/>
      <c r="F352" s="306"/>
      <c r="G352" s="306"/>
      <c r="H352" s="305"/>
      <c r="I352" s="305"/>
      <c r="J352" s="305"/>
      <c r="K352" s="305"/>
      <c r="L352" s="305"/>
      <c r="M352" s="305"/>
      <c r="N352" s="305"/>
      <c r="O352" s="305"/>
      <c r="P352" s="305"/>
    </row>
    <row r="353" spans="1:16" x14ac:dyDescent="0.2">
      <c r="A353" s="305"/>
      <c r="B353" s="305"/>
      <c r="C353" s="306"/>
      <c r="D353" s="305"/>
      <c r="E353" s="306"/>
      <c r="F353" s="306"/>
      <c r="G353" s="306"/>
      <c r="H353" s="305"/>
      <c r="I353" s="305"/>
      <c r="J353" s="305"/>
      <c r="K353" s="305"/>
      <c r="L353" s="305"/>
      <c r="M353" s="305"/>
      <c r="N353" s="305"/>
      <c r="O353" s="305"/>
      <c r="P353" s="305"/>
    </row>
    <row r="354" spans="1:16" x14ac:dyDescent="0.2">
      <c r="A354" s="305"/>
      <c r="B354" s="305"/>
      <c r="C354" s="306"/>
      <c r="D354" s="305"/>
      <c r="E354" s="306"/>
      <c r="F354" s="306"/>
      <c r="G354" s="306"/>
      <c r="H354" s="305"/>
      <c r="I354" s="305"/>
      <c r="J354" s="305"/>
      <c r="K354" s="305"/>
      <c r="L354" s="305"/>
      <c r="M354" s="305"/>
      <c r="N354" s="305"/>
      <c r="O354" s="305"/>
      <c r="P354" s="305"/>
    </row>
    <row r="355" spans="1:16" x14ac:dyDescent="0.2">
      <c r="A355" s="305"/>
      <c r="F355" s="306"/>
      <c r="G355" s="306"/>
      <c r="H355" s="305"/>
      <c r="I355" s="305"/>
      <c r="J355" s="305"/>
      <c r="K355" s="305"/>
      <c r="L355" s="305"/>
      <c r="M355" s="305"/>
      <c r="N355" s="305"/>
      <c r="O355" s="305"/>
      <c r="P355" s="305"/>
    </row>
    <row r="356" spans="1:16" x14ac:dyDescent="0.2">
      <c r="A356" s="305"/>
      <c r="F356" s="306"/>
      <c r="G356" s="306"/>
      <c r="H356" s="305"/>
      <c r="I356" s="305"/>
      <c r="J356" s="305"/>
      <c r="K356" s="305"/>
      <c r="L356" s="305"/>
      <c r="M356" s="305"/>
      <c r="N356" s="305"/>
      <c r="O356" s="305"/>
      <c r="P356" s="305"/>
    </row>
    <row r="357" spans="1:16" x14ac:dyDescent="0.2">
      <c r="A357" s="305"/>
      <c r="F357" s="306"/>
      <c r="G357" s="306"/>
      <c r="H357" s="305"/>
      <c r="I357" s="305"/>
      <c r="J357" s="305"/>
      <c r="K357" s="305"/>
      <c r="L357" s="305"/>
      <c r="M357" s="305"/>
      <c r="N357" s="305"/>
      <c r="O357" s="305"/>
      <c r="P357" s="305"/>
    </row>
    <row r="358" spans="1:16" x14ac:dyDescent="0.2">
      <c r="A358" s="305"/>
      <c r="F358" s="306"/>
      <c r="G358" s="306"/>
      <c r="H358" s="305"/>
      <c r="I358" s="305"/>
      <c r="J358" s="305"/>
      <c r="K358" s="305"/>
      <c r="L358" s="305"/>
      <c r="M358" s="305"/>
      <c r="N358" s="305"/>
      <c r="O358" s="305"/>
      <c r="P358" s="305"/>
    </row>
    <row r="359" spans="1:16" x14ac:dyDescent="0.2">
      <c r="A359" s="305"/>
      <c r="F359" s="306"/>
      <c r="G359" s="306"/>
      <c r="H359" s="305"/>
      <c r="I359" s="305"/>
      <c r="J359" s="305"/>
      <c r="K359" s="305"/>
      <c r="L359" s="305"/>
      <c r="M359" s="305"/>
      <c r="N359" s="305"/>
      <c r="O359" s="305"/>
      <c r="P359" s="305"/>
    </row>
    <row r="360" spans="1:16" x14ac:dyDescent="0.2">
      <c r="A360" s="305"/>
      <c r="F360" s="306"/>
      <c r="G360" s="306"/>
      <c r="H360" s="305"/>
      <c r="I360" s="305"/>
      <c r="J360" s="305"/>
      <c r="K360" s="305"/>
      <c r="L360" s="305"/>
      <c r="M360" s="305"/>
      <c r="N360" s="305"/>
      <c r="O360" s="305"/>
      <c r="P360" s="305"/>
    </row>
    <row r="361" spans="1:16" x14ac:dyDescent="0.2">
      <c r="A361" s="305"/>
      <c r="F361" s="306"/>
      <c r="G361" s="306"/>
      <c r="H361" s="305"/>
      <c r="I361" s="305"/>
      <c r="J361" s="305"/>
      <c r="K361" s="305"/>
      <c r="L361" s="305"/>
      <c r="M361" s="305"/>
      <c r="N361" s="305"/>
      <c r="O361" s="305"/>
      <c r="P361" s="305"/>
    </row>
    <row r="362" spans="1:16" x14ac:dyDescent="0.2">
      <c r="A362" s="305"/>
      <c r="F362" s="306"/>
      <c r="G362" s="306"/>
      <c r="H362" s="305"/>
      <c r="I362" s="305"/>
      <c r="J362" s="305"/>
      <c r="K362" s="305"/>
      <c r="L362" s="305"/>
      <c r="M362" s="305"/>
      <c r="N362" s="305"/>
      <c r="O362" s="305"/>
      <c r="P362" s="305"/>
    </row>
  </sheetData>
  <mergeCells count="18">
    <mergeCell ref="A254:P254"/>
    <mergeCell ref="A255:P255"/>
    <mergeCell ref="A256:P256"/>
    <mergeCell ref="A148:P148"/>
    <mergeCell ref="A149:P149"/>
    <mergeCell ref="A150:P150"/>
    <mergeCell ref="A207:P207"/>
    <mergeCell ref="A206:P206"/>
    <mergeCell ref="A205:P205"/>
    <mergeCell ref="A106:P106"/>
    <mergeCell ref="A1:P1"/>
    <mergeCell ref="A54:P54"/>
    <mergeCell ref="A55:P55"/>
    <mergeCell ref="A105:P105"/>
    <mergeCell ref="A104:P104"/>
    <mergeCell ref="A56:P56"/>
    <mergeCell ref="A3:P3"/>
    <mergeCell ref="A2:P2"/>
  </mergeCells>
  <phoneticPr fontId="0" type="noConversion"/>
  <printOptions horizontalCentered="1"/>
  <pageMargins left="0.5" right="0.25" top="0.5" bottom="0.25" header="0.25" footer="0.5"/>
  <pageSetup scale="68" orientation="landscape" r:id="rId1"/>
  <headerFooter alignWithMargins="0">
    <oddHeader>&amp;RKY PSC Case No. 2016-00162
Attachment B to PSC 2-65</oddHeader>
  </headerFooter>
  <rowBreaks count="7" manualBreakCount="7">
    <brk id="53" max="15" man="1"/>
    <brk id="102" max="15" man="1"/>
    <brk id="147" max="15" man="1"/>
    <brk id="203" max="15" man="1"/>
    <brk id="253" max="15" man="1"/>
    <brk id="302" max="15" man="1"/>
    <brk id="304" max="1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"/>
  <dimension ref="A1:CP452"/>
  <sheetViews>
    <sheetView topLeftCell="A331" zoomScale="70" zoomScaleNormal="70" zoomScaleSheetLayoutView="70" workbookViewId="0">
      <selection activeCell="C18" sqref="C18"/>
    </sheetView>
  </sheetViews>
  <sheetFormatPr defaultColWidth="7" defaultRowHeight="15" x14ac:dyDescent="0.25"/>
  <cols>
    <col min="1" max="1" width="8.6640625" style="90" bestFit="1" customWidth="1"/>
    <col min="2" max="2" width="51" style="46" customWidth="1"/>
    <col min="3" max="3" width="26.6640625" style="64" bestFit="1" customWidth="1"/>
    <col min="4" max="4" width="24.33203125" style="64" bestFit="1" customWidth="1"/>
    <col min="5" max="5" width="25.6640625" style="64" bestFit="1" customWidth="1"/>
    <col min="6" max="7" width="21.33203125" style="64" bestFit="1" customWidth="1"/>
    <col min="8" max="8" width="21.83203125" style="64" bestFit="1" customWidth="1"/>
    <col min="9" max="12" width="21.33203125" style="64" bestFit="1" customWidth="1"/>
    <col min="13" max="13" width="20.6640625" style="64" customWidth="1"/>
    <col min="14" max="14" width="21.1640625" style="64" bestFit="1" customWidth="1"/>
    <col min="15" max="15" width="21.33203125" style="64" bestFit="1" customWidth="1"/>
    <col min="16" max="16" width="22.83203125" style="46" customWidth="1"/>
    <col min="17" max="17" width="7" style="53"/>
    <col min="18" max="18" width="20.6640625" style="53" bestFit="1" customWidth="1"/>
    <col min="19" max="94" width="7" style="53"/>
    <col min="95" max="16384" width="7" style="46"/>
  </cols>
  <sheetData>
    <row r="1" spans="1:24" ht="15.6" x14ac:dyDescent="0.3">
      <c r="A1" s="878" t="str">
        <f>CONAME</f>
        <v>Columbia Gas of Kentucky, Inc.</v>
      </c>
      <c r="B1" s="878"/>
      <c r="C1" s="878"/>
      <c r="D1" s="878"/>
      <c r="E1" s="878"/>
      <c r="F1" s="878"/>
      <c r="G1" s="878"/>
      <c r="H1" s="878"/>
      <c r="I1" s="878"/>
      <c r="J1" s="878"/>
      <c r="K1" s="878"/>
      <c r="L1" s="878"/>
      <c r="M1" s="878"/>
      <c r="N1" s="878"/>
      <c r="O1" s="878"/>
      <c r="P1" s="878"/>
    </row>
    <row r="2" spans="1:24" ht="15.6" x14ac:dyDescent="0.3">
      <c r="A2" s="878" t="s">
        <v>197</v>
      </c>
      <c r="B2" s="878"/>
      <c r="C2" s="878"/>
      <c r="D2" s="878"/>
      <c r="E2" s="878"/>
      <c r="F2" s="878"/>
      <c r="G2" s="878"/>
      <c r="H2" s="878"/>
      <c r="I2" s="878"/>
      <c r="J2" s="878"/>
      <c r="K2" s="878"/>
      <c r="L2" s="878"/>
      <c r="M2" s="878"/>
      <c r="N2" s="878"/>
      <c r="O2" s="878"/>
      <c r="P2" s="878"/>
    </row>
    <row r="3" spans="1:24" ht="15.6" x14ac:dyDescent="0.3">
      <c r="A3" s="877" t="str">
        <f>TYDESC</f>
        <v>For the 12 Months Ended December 31, 2017</v>
      </c>
      <c r="B3" s="877"/>
      <c r="C3" s="877"/>
      <c r="D3" s="877"/>
      <c r="E3" s="877"/>
      <c r="F3" s="877"/>
      <c r="G3" s="877"/>
      <c r="H3" s="877"/>
      <c r="I3" s="877"/>
      <c r="J3" s="877"/>
      <c r="K3" s="877"/>
      <c r="L3" s="877"/>
      <c r="M3" s="877"/>
      <c r="N3" s="877"/>
      <c r="O3" s="877"/>
      <c r="P3" s="877"/>
    </row>
    <row r="4" spans="1:24" ht="15.6" x14ac:dyDescent="0.3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24" ht="15.6" x14ac:dyDescent="0.3">
      <c r="A5" s="99" t="s">
        <v>349</v>
      </c>
      <c r="C5" s="77"/>
      <c r="D5" s="77"/>
      <c r="E5" s="77"/>
      <c r="F5" s="77"/>
      <c r="P5" s="91" t="s">
        <v>337</v>
      </c>
      <c r="R5" s="52"/>
      <c r="S5" s="52"/>
      <c r="T5" s="52"/>
      <c r="U5" s="52"/>
      <c r="V5" s="52"/>
      <c r="W5" s="52"/>
      <c r="X5" s="52"/>
    </row>
    <row r="6" spans="1:24" ht="15.6" x14ac:dyDescent="0.3">
      <c r="A6" s="99" t="s">
        <v>223</v>
      </c>
      <c r="C6" s="77"/>
      <c r="D6" s="77"/>
      <c r="E6" s="77"/>
      <c r="F6" s="77"/>
      <c r="P6" s="92" t="s">
        <v>372</v>
      </c>
    </row>
    <row r="7" spans="1:24" ht="15.6" x14ac:dyDescent="0.3">
      <c r="A7" s="100" t="s">
        <v>63</v>
      </c>
      <c r="C7" s="77"/>
      <c r="D7" s="77"/>
      <c r="E7" s="77"/>
      <c r="F7" s="77"/>
      <c r="P7" s="92"/>
    </row>
    <row r="8" spans="1:24" ht="15.6" x14ac:dyDescent="0.3">
      <c r="A8" s="101" t="s">
        <v>303</v>
      </c>
      <c r="B8" s="47"/>
      <c r="C8" s="77"/>
      <c r="D8" s="167"/>
      <c r="E8" s="77"/>
      <c r="F8" s="168"/>
      <c r="G8" s="169"/>
      <c r="H8" s="168"/>
      <c r="I8" s="170"/>
      <c r="J8" s="168"/>
      <c r="K8" s="168"/>
      <c r="L8" s="168"/>
      <c r="M8" s="168"/>
      <c r="N8" s="168"/>
      <c r="O8" s="168"/>
      <c r="P8" s="55"/>
      <c r="Q8" s="124"/>
      <c r="R8" s="124"/>
    </row>
    <row r="9" spans="1:24" ht="15.6" x14ac:dyDescent="0.3">
      <c r="A9" s="93"/>
      <c r="B9" s="47"/>
      <c r="C9" s="77"/>
      <c r="D9" s="167"/>
      <c r="E9" s="77"/>
      <c r="F9" s="168"/>
      <c r="G9" s="169"/>
      <c r="H9" s="168"/>
      <c r="I9" s="170"/>
      <c r="J9" s="168"/>
      <c r="K9" s="168"/>
      <c r="L9" s="168"/>
      <c r="M9" s="168"/>
      <c r="N9" s="168"/>
      <c r="O9" s="168"/>
      <c r="P9" s="55"/>
      <c r="Q9" s="124"/>
      <c r="R9" s="124"/>
    </row>
    <row r="10" spans="1:24" ht="15.6" x14ac:dyDescent="0.3">
      <c r="A10" s="47" t="s">
        <v>1</v>
      </c>
      <c r="B10" s="47"/>
      <c r="C10" s="77"/>
      <c r="D10" s="167"/>
      <c r="E10" s="77"/>
      <c r="F10" s="168"/>
      <c r="G10" s="169"/>
      <c r="H10" s="168"/>
      <c r="I10" s="170"/>
      <c r="J10" s="168"/>
      <c r="K10" s="168"/>
      <c r="L10" s="168"/>
      <c r="M10" s="168"/>
      <c r="N10" s="168"/>
      <c r="O10" s="168"/>
      <c r="P10" s="55"/>
      <c r="Q10" s="135"/>
      <c r="R10" s="135"/>
    </row>
    <row r="11" spans="1:24" ht="15.6" x14ac:dyDescent="0.3">
      <c r="A11" s="57" t="s">
        <v>3</v>
      </c>
      <c r="B11" s="57" t="s">
        <v>4</v>
      </c>
      <c r="C11" s="79" t="s">
        <v>186</v>
      </c>
      <c r="D11" s="161" t="str">
        <f>B!$D$11</f>
        <v>Jan-17</v>
      </c>
      <c r="E11" s="161" t="str">
        <f>B!$E$11</f>
        <v>Feb-17</v>
      </c>
      <c r="F11" s="161" t="str">
        <f>B!$F$11</f>
        <v>Mar-17</v>
      </c>
      <c r="G11" s="161" t="str">
        <f>B!$G$11</f>
        <v>Apr-17</v>
      </c>
      <c r="H11" s="161" t="str">
        <f>B!$H$11</f>
        <v>May-17</v>
      </c>
      <c r="I11" s="161" t="str">
        <f>B!$I$11</f>
        <v>Jun-17</v>
      </c>
      <c r="J11" s="161" t="str">
        <f>B!$J$11</f>
        <v>Jul-17</v>
      </c>
      <c r="K11" s="161" t="str">
        <f>B!$K$11</f>
        <v>Aug-17</v>
      </c>
      <c r="L11" s="161" t="str">
        <f>B!$L$11</f>
        <v>Sep-17</v>
      </c>
      <c r="M11" s="161" t="str">
        <f>B!$M$11</f>
        <v>Oct-17</v>
      </c>
      <c r="N11" s="161" t="str">
        <f>B!$N$11</f>
        <v>Nov-17</v>
      </c>
      <c r="O11" s="161" t="str">
        <f>B!$O$11</f>
        <v>Dec-17</v>
      </c>
      <c r="P11" s="58" t="s">
        <v>9</v>
      </c>
      <c r="S11" s="215"/>
    </row>
    <row r="12" spans="1:24" ht="15.6" x14ac:dyDescent="0.3">
      <c r="A12" s="47"/>
      <c r="B12" s="48" t="s">
        <v>42</v>
      </c>
      <c r="C12" s="80" t="s">
        <v>43</v>
      </c>
      <c r="D12" s="56" t="s">
        <v>45</v>
      </c>
      <c r="E12" s="56" t="s">
        <v>46</v>
      </c>
      <c r="F12" s="56" t="s">
        <v>49</v>
      </c>
      <c r="G12" s="56" t="s">
        <v>50</v>
      </c>
      <c r="H12" s="56" t="s">
        <v>51</v>
      </c>
      <c r="I12" s="56" t="s">
        <v>52</v>
      </c>
      <c r="J12" s="56" t="s">
        <v>53</v>
      </c>
      <c r="K12" s="60" t="s">
        <v>54</v>
      </c>
      <c r="L12" s="60" t="s">
        <v>55</v>
      </c>
      <c r="M12" s="60" t="s">
        <v>56</v>
      </c>
      <c r="N12" s="60" t="s">
        <v>57</v>
      </c>
      <c r="O12" s="60" t="s">
        <v>58</v>
      </c>
      <c r="P12" s="60" t="s">
        <v>59</v>
      </c>
      <c r="S12" s="135"/>
    </row>
    <row r="13" spans="1:24" ht="15.6" x14ac:dyDescent="0.3">
      <c r="A13" s="47"/>
      <c r="B13" s="48"/>
      <c r="C13" s="80"/>
      <c r="D13" s="171"/>
      <c r="E13" s="164"/>
      <c r="F13" s="164"/>
      <c r="G13" s="164"/>
      <c r="H13" s="164"/>
      <c r="I13" s="164"/>
      <c r="J13" s="164"/>
      <c r="K13" s="162"/>
      <c r="L13" s="162"/>
      <c r="M13" s="162"/>
      <c r="N13" s="162"/>
      <c r="O13" s="162"/>
      <c r="P13" s="60"/>
      <c r="Q13" s="136"/>
      <c r="R13" s="136"/>
      <c r="S13" s="135"/>
    </row>
    <row r="14" spans="1:24" ht="15.6" x14ac:dyDescent="0.3">
      <c r="A14" s="90">
        <v>1</v>
      </c>
      <c r="B14" s="49" t="s">
        <v>241</v>
      </c>
    </row>
    <row r="15" spans="1:24" x14ac:dyDescent="0.25">
      <c r="A15" s="90">
        <f>A14+1</f>
        <v>2</v>
      </c>
      <c r="B15" s="46" t="s">
        <v>368</v>
      </c>
      <c r="C15" s="76"/>
      <c r="D15" s="102">
        <v>1331907.1000000001</v>
      </c>
      <c r="E15" s="102">
        <v>1291151.8</v>
      </c>
      <c r="F15" s="102">
        <f>968393.7+9.3</f>
        <v>968403</v>
      </c>
      <c r="G15" s="102">
        <f>552547.1+6.3</f>
        <v>552553.4</v>
      </c>
      <c r="H15" s="102">
        <f>259774.2+2.2</f>
        <v>259776.40000000002</v>
      </c>
      <c r="I15" s="102">
        <v>123911.3</v>
      </c>
      <c r="J15" s="102">
        <v>88930</v>
      </c>
      <c r="K15" s="102">
        <v>85940.7</v>
      </c>
      <c r="L15" s="102">
        <v>88922.9</v>
      </c>
      <c r="M15" s="102">
        <v>141784.29999999999</v>
      </c>
      <c r="N15" s="102">
        <v>408542.4</v>
      </c>
      <c r="O15" s="102">
        <v>906257.2</v>
      </c>
      <c r="P15" s="67">
        <f>SUM(D15:O15)</f>
        <v>6248080.5000000009</v>
      </c>
    </row>
    <row r="16" spans="1:24" x14ac:dyDescent="0.25">
      <c r="A16" s="90">
        <f>A15+1</f>
        <v>3</v>
      </c>
      <c r="B16" s="46" t="s">
        <v>244</v>
      </c>
      <c r="C16" s="109" t="s">
        <v>371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0">
        <f>SUM(D16:O16)</f>
        <v>0</v>
      </c>
    </row>
    <row r="17" spans="1:16" ht="15.6" x14ac:dyDescent="0.3">
      <c r="A17" s="94">
        <f>A16+1</f>
        <v>4</v>
      </c>
      <c r="B17" s="53" t="s">
        <v>263</v>
      </c>
      <c r="C17" s="108"/>
      <c r="D17" s="105">
        <f t="shared" ref="D17:O17" si="0">SUM(D15:D16)</f>
        <v>1331907.1000000001</v>
      </c>
      <c r="E17" s="105">
        <f t="shared" si="0"/>
        <v>1291151.8</v>
      </c>
      <c r="F17" s="105">
        <f t="shared" si="0"/>
        <v>968403</v>
      </c>
      <c r="G17" s="105">
        <f t="shared" si="0"/>
        <v>552553.4</v>
      </c>
      <c r="H17" s="105">
        <f t="shared" si="0"/>
        <v>259776.40000000002</v>
      </c>
      <c r="I17" s="105">
        <f t="shared" si="0"/>
        <v>123911.3</v>
      </c>
      <c r="J17" s="105">
        <f t="shared" si="0"/>
        <v>88930</v>
      </c>
      <c r="K17" s="105">
        <f t="shared" si="0"/>
        <v>85940.7</v>
      </c>
      <c r="L17" s="105">
        <f t="shared" si="0"/>
        <v>88922.9</v>
      </c>
      <c r="M17" s="105">
        <f t="shared" si="0"/>
        <v>141784.29999999999</v>
      </c>
      <c r="N17" s="105">
        <f t="shared" si="0"/>
        <v>408542.4</v>
      </c>
      <c r="O17" s="105">
        <f t="shared" si="0"/>
        <v>906257.2</v>
      </c>
      <c r="P17" s="106">
        <f>SUM(D17:O17)</f>
        <v>6248080.5000000009</v>
      </c>
    </row>
    <row r="18" spans="1:16" ht="15.6" x14ac:dyDescent="0.3">
      <c r="A18" s="94"/>
      <c r="B18" s="52"/>
      <c r="C18" s="108"/>
      <c r="D18" s="96"/>
      <c r="E18" s="96"/>
      <c r="F18" s="104"/>
      <c r="G18" s="96"/>
      <c r="H18" s="133"/>
      <c r="I18" s="104"/>
      <c r="J18" s="104"/>
      <c r="K18" s="96"/>
      <c r="L18" s="96"/>
      <c r="M18" s="96"/>
      <c r="N18" s="96"/>
      <c r="O18" s="96"/>
      <c r="P18" s="53"/>
    </row>
    <row r="19" spans="1:16" ht="15.6" x14ac:dyDescent="0.3">
      <c r="A19" s="94">
        <f>A17+1</f>
        <v>5</v>
      </c>
      <c r="B19" s="52" t="s">
        <v>242</v>
      </c>
      <c r="C19" s="133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53"/>
    </row>
    <row r="20" spans="1:16" x14ac:dyDescent="0.25">
      <c r="A20" s="94">
        <f>A19+1</f>
        <v>6</v>
      </c>
      <c r="B20" s="53" t="s">
        <v>368</v>
      </c>
      <c r="C20" s="133"/>
      <c r="D20" s="312">
        <v>307.2</v>
      </c>
      <c r="E20" s="312">
        <v>374.8</v>
      </c>
      <c r="F20" s="312">
        <v>373.1</v>
      </c>
      <c r="G20" s="312">
        <v>173.3</v>
      </c>
      <c r="H20" s="312">
        <v>68.900000000000006</v>
      </c>
      <c r="I20" s="329">
        <v>18</v>
      </c>
      <c r="J20" s="329">
        <v>29.1</v>
      </c>
      <c r="K20" s="329">
        <v>16.7</v>
      </c>
      <c r="L20" s="312">
        <v>8.8000000000000007</v>
      </c>
      <c r="M20" s="312">
        <v>22.2</v>
      </c>
      <c r="N20" s="312">
        <v>83.3</v>
      </c>
      <c r="O20" s="312">
        <v>222.4</v>
      </c>
      <c r="P20" s="106">
        <f>SUM(D20:O20)</f>
        <v>1697.8</v>
      </c>
    </row>
    <row r="21" spans="1:16" x14ac:dyDescent="0.25">
      <c r="A21" s="94">
        <f>A20+1</f>
        <v>7</v>
      </c>
      <c r="B21" s="53" t="s">
        <v>244</v>
      </c>
      <c r="C21" s="143" t="s">
        <v>371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0">
        <f>SUM(D21:O21)</f>
        <v>0</v>
      </c>
    </row>
    <row r="22" spans="1:16" ht="15.6" x14ac:dyDescent="0.3">
      <c r="A22" s="94">
        <f>A21+1</f>
        <v>8</v>
      </c>
      <c r="B22" s="53" t="s">
        <v>263</v>
      </c>
      <c r="C22" s="108"/>
      <c r="D22" s="105">
        <f t="shared" ref="D22:O22" si="1">SUM(D20:D21)</f>
        <v>307.2</v>
      </c>
      <c r="E22" s="105">
        <f t="shared" si="1"/>
        <v>374.8</v>
      </c>
      <c r="F22" s="105">
        <f t="shared" si="1"/>
        <v>373.1</v>
      </c>
      <c r="G22" s="105">
        <f t="shared" si="1"/>
        <v>173.3</v>
      </c>
      <c r="H22" s="105">
        <f t="shared" si="1"/>
        <v>68.900000000000006</v>
      </c>
      <c r="I22" s="105">
        <f t="shared" si="1"/>
        <v>18</v>
      </c>
      <c r="J22" s="105">
        <f t="shared" si="1"/>
        <v>29.1</v>
      </c>
      <c r="K22" s="105">
        <f t="shared" si="1"/>
        <v>16.7</v>
      </c>
      <c r="L22" s="105">
        <f t="shared" si="1"/>
        <v>8.8000000000000007</v>
      </c>
      <c r="M22" s="105">
        <f t="shared" si="1"/>
        <v>22.2</v>
      </c>
      <c r="N22" s="105">
        <f t="shared" si="1"/>
        <v>83.3</v>
      </c>
      <c r="O22" s="105">
        <f t="shared" si="1"/>
        <v>222.4</v>
      </c>
      <c r="P22" s="106">
        <f>SUM(D22:O22)</f>
        <v>1697.8</v>
      </c>
    </row>
    <row r="23" spans="1:16" ht="15.6" x14ac:dyDescent="0.3">
      <c r="A23" s="124"/>
      <c r="B23" s="52"/>
      <c r="C23" s="108"/>
      <c r="D23" s="96"/>
      <c r="E23" s="96"/>
      <c r="F23" s="104"/>
      <c r="G23" s="96"/>
      <c r="H23" s="133"/>
      <c r="I23" s="104"/>
      <c r="J23" s="104"/>
      <c r="K23" s="96"/>
      <c r="L23" s="96"/>
      <c r="M23" s="96"/>
      <c r="N23" s="96"/>
      <c r="O23" s="96"/>
      <c r="P23" s="53"/>
    </row>
    <row r="24" spans="1:16" ht="15.6" x14ac:dyDescent="0.3">
      <c r="A24" s="94">
        <f>A22+1</f>
        <v>9</v>
      </c>
      <c r="B24" s="52" t="s">
        <v>243</v>
      </c>
      <c r="C24" s="133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53"/>
    </row>
    <row r="25" spans="1:16" x14ac:dyDescent="0.25">
      <c r="A25" s="94">
        <f>A24+1</f>
        <v>10</v>
      </c>
      <c r="B25" s="53" t="s">
        <v>368</v>
      </c>
      <c r="C25" s="133"/>
      <c r="D25" s="312">
        <v>458.3</v>
      </c>
      <c r="E25" s="312">
        <v>345.9</v>
      </c>
      <c r="F25" s="312">
        <v>279.39999999999998</v>
      </c>
      <c r="G25" s="312">
        <v>174.8</v>
      </c>
      <c r="H25" s="312">
        <v>81.099999999999994</v>
      </c>
      <c r="I25" s="329">
        <v>33.4</v>
      </c>
      <c r="J25" s="329">
        <v>24.1</v>
      </c>
      <c r="K25" s="329">
        <v>27.6</v>
      </c>
      <c r="L25" s="312">
        <v>28.4</v>
      </c>
      <c r="M25" s="312">
        <v>68</v>
      </c>
      <c r="N25" s="312">
        <v>159.19999999999999</v>
      </c>
      <c r="O25" s="312">
        <v>338.7</v>
      </c>
      <c r="P25" s="106">
        <f>SUM(D25:O25)</f>
        <v>2018.8999999999999</v>
      </c>
    </row>
    <row r="26" spans="1:16" x14ac:dyDescent="0.25">
      <c r="A26" s="94">
        <f>A25+1</f>
        <v>11</v>
      </c>
      <c r="B26" s="53" t="s">
        <v>244</v>
      </c>
      <c r="C26" s="143" t="s">
        <v>371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0">
        <f>SUM(D26:O26)</f>
        <v>0</v>
      </c>
    </row>
    <row r="27" spans="1:16" ht="15.6" x14ac:dyDescent="0.3">
      <c r="A27" s="94">
        <f>A26+1</f>
        <v>12</v>
      </c>
      <c r="B27" s="53" t="s">
        <v>263</v>
      </c>
      <c r="C27" s="108"/>
      <c r="D27" s="105">
        <f t="shared" ref="D27:O27" si="2">SUM(D25:D26)</f>
        <v>458.3</v>
      </c>
      <c r="E27" s="105">
        <f t="shared" si="2"/>
        <v>345.9</v>
      </c>
      <c r="F27" s="105">
        <f t="shared" si="2"/>
        <v>279.39999999999998</v>
      </c>
      <c r="G27" s="105">
        <f t="shared" si="2"/>
        <v>174.8</v>
      </c>
      <c r="H27" s="105">
        <f t="shared" si="2"/>
        <v>81.099999999999994</v>
      </c>
      <c r="I27" s="105">
        <f t="shared" si="2"/>
        <v>33.4</v>
      </c>
      <c r="J27" s="105">
        <f t="shared" si="2"/>
        <v>24.1</v>
      </c>
      <c r="K27" s="105">
        <f t="shared" si="2"/>
        <v>27.6</v>
      </c>
      <c r="L27" s="105">
        <f t="shared" si="2"/>
        <v>28.4</v>
      </c>
      <c r="M27" s="105">
        <f t="shared" si="2"/>
        <v>68</v>
      </c>
      <c r="N27" s="105">
        <f t="shared" si="2"/>
        <v>159.19999999999999</v>
      </c>
      <c r="O27" s="105">
        <f t="shared" si="2"/>
        <v>338.7</v>
      </c>
      <c r="P27" s="106">
        <f>SUM(D27:O27)</f>
        <v>2018.8999999999999</v>
      </c>
    </row>
    <row r="28" spans="1:16" ht="15.6" x14ac:dyDescent="0.3">
      <c r="A28" s="124"/>
      <c r="B28" s="52"/>
      <c r="C28" s="108"/>
      <c r="D28" s="96"/>
      <c r="E28" s="96"/>
      <c r="F28" s="104"/>
      <c r="G28" s="96"/>
      <c r="H28" s="133"/>
      <c r="I28" s="104"/>
      <c r="J28" s="104"/>
      <c r="K28" s="96"/>
      <c r="L28" s="96"/>
      <c r="M28" s="96"/>
      <c r="N28" s="96"/>
      <c r="O28" s="96"/>
      <c r="P28" s="53"/>
    </row>
    <row r="29" spans="1:16" ht="15.6" x14ac:dyDescent="0.3">
      <c r="A29" s="94">
        <f>A27+1</f>
        <v>13</v>
      </c>
      <c r="B29" s="52" t="s">
        <v>245</v>
      </c>
      <c r="C29" s="133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53"/>
    </row>
    <row r="30" spans="1:16" x14ac:dyDescent="0.25">
      <c r="A30" s="94">
        <f>A29+1</f>
        <v>14</v>
      </c>
      <c r="B30" s="53" t="s">
        <v>368</v>
      </c>
      <c r="C30" s="133"/>
      <c r="D30" s="312">
        <v>247.9</v>
      </c>
      <c r="E30" s="312">
        <v>172.9</v>
      </c>
      <c r="F30" s="312">
        <v>116.2</v>
      </c>
      <c r="G30" s="312">
        <v>84.5</v>
      </c>
      <c r="H30" s="312">
        <v>36.299999999999997</v>
      </c>
      <c r="I30" s="329">
        <v>17</v>
      </c>
      <c r="J30" s="329">
        <v>11.6</v>
      </c>
      <c r="K30" s="329">
        <v>10.8</v>
      </c>
      <c r="L30" s="312">
        <v>11.5</v>
      </c>
      <c r="M30" s="312">
        <v>34</v>
      </c>
      <c r="N30" s="312">
        <v>90.2</v>
      </c>
      <c r="O30" s="312">
        <v>157.30000000000001</v>
      </c>
      <c r="P30" s="106">
        <f>SUM(D30:O30)</f>
        <v>990.2</v>
      </c>
    </row>
    <row r="31" spans="1:16" x14ac:dyDescent="0.25">
      <c r="A31" s="94">
        <f>A30+1</f>
        <v>15</v>
      </c>
      <c r="B31" s="53" t="s">
        <v>244</v>
      </c>
      <c r="C31" s="143" t="s">
        <v>371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0">
        <f>SUM(D31:O31)</f>
        <v>0</v>
      </c>
    </row>
    <row r="32" spans="1:16" ht="15.6" x14ac:dyDescent="0.3">
      <c r="A32" s="94">
        <f>A31+1</f>
        <v>16</v>
      </c>
      <c r="B32" s="53" t="s">
        <v>263</v>
      </c>
      <c r="C32" s="108"/>
      <c r="D32" s="105">
        <f t="shared" ref="D32:O32" si="3">SUM(D30:D31)</f>
        <v>247.9</v>
      </c>
      <c r="E32" s="105">
        <f t="shared" si="3"/>
        <v>172.9</v>
      </c>
      <c r="F32" s="105">
        <f t="shared" si="3"/>
        <v>116.2</v>
      </c>
      <c r="G32" s="105">
        <f t="shared" si="3"/>
        <v>84.5</v>
      </c>
      <c r="H32" s="105">
        <f t="shared" si="3"/>
        <v>36.299999999999997</v>
      </c>
      <c r="I32" s="105">
        <f t="shared" si="3"/>
        <v>17</v>
      </c>
      <c r="J32" s="105">
        <f t="shared" si="3"/>
        <v>11.6</v>
      </c>
      <c r="K32" s="105">
        <f t="shared" si="3"/>
        <v>10.8</v>
      </c>
      <c r="L32" s="105">
        <f t="shared" si="3"/>
        <v>11.5</v>
      </c>
      <c r="M32" s="105">
        <f t="shared" si="3"/>
        <v>34</v>
      </c>
      <c r="N32" s="105">
        <f t="shared" si="3"/>
        <v>90.2</v>
      </c>
      <c r="O32" s="105">
        <f t="shared" si="3"/>
        <v>157.30000000000001</v>
      </c>
      <c r="P32" s="106">
        <f>SUM(D32:O32)</f>
        <v>990.2</v>
      </c>
    </row>
    <row r="33" spans="1:19" ht="15.6" x14ac:dyDescent="0.3">
      <c r="A33" s="94"/>
      <c r="B33" s="53"/>
      <c r="C33" s="108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6"/>
    </row>
    <row r="34" spans="1:19" ht="15.6" x14ac:dyDescent="0.3">
      <c r="A34" s="94">
        <f>A32+1</f>
        <v>17</v>
      </c>
      <c r="B34" s="52" t="s">
        <v>246</v>
      </c>
      <c r="C34" s="133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53"/>
    </row>
    <row r="35" spans="1:19" x14ac:dyDescent="0.25">
      <c r="A35" s="94">
        <f>A34+1</f>
        <v>18</v>
      </c>
      <c r="B35" s="53" t="s">
        <v>368</v>
      </c>
      <c r="C35" s="133"/>
      <c r="D35" s="73">
        <v>0</v>
      </c>
      <c r="E35" s="73">
        <v>0</v>
      </c>
      <c r="F35" s="73">
        <v>0</v>
      </c>
      <c r="G35" s="73">
        <v>0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63">
        <f>SUM(D35:O35)</f>
        <v>0</v>
      </c>
    </row>
    <row r="36" spans="1:19" x14ac:dyDescent="0.25">
      <c r="A36" s="94">
        <f>A35+1</f>
        <v>19</v>
      </c>
      <c r="B36" s="53" t="s">
        <v>244</v>
      </c>
      <c r="C36" s="143" t="s">
        <v>371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0">
        <f>SUM(D36:O36)</f>
        <v>0</v>
      </c>
    </row>
    <row r="37" spans="1:19" ht="15.6" x14ac:dyDescent="0.3">
      <c r="A37" s="94">
        <f>A36+1</f>
        <v>20</v>
      </c>
      <c r="B37" s="53" t="s">
        <v>263</v>
      </c>
      <c r="C37" s="108"/>
      <c r="D37" s="63">
        <f t="shared" ref="D37:O37" si="4">SUM(D35:D36)</f>
        <v>0</v>
      </c>
      <c r="E37" s="63">
        <f t="shared" si="4"/>
        <v>0</v>
      </c>
      <c r="F37" s="63">
        <f t="shared" si="4"/>
        <v>0</v>
      </c>
      <c r="G37" s="63">
        <f t="shared" si="4"/>
        <v>0</v>
      </c>
      <c r="H37" s="63">
        <f t="shared" si="4"/>
        <v>0</v>
      </c>
      <c r="I37" s="63">
        <f t="shared" si="4"/>
        <v>0</v>
      </c>
      <c r="J37" s="63">
        <f t="shared" si="4"/>
        <v>0</v>
      </c>
      <c r="K37" s="63">
        <f t="shared" si="4"/>
        <v>0</v>
      </c>
      <c r="L37" s="63">
        <f t="shared" si="4"/>
        <v>0</v>
      </c>
      <c r="M37" s="63">
        <f t="shared" si="4"/>
        <v>0</v>
      </c>
      <c r="N37" s="63">
        <f t="shared" si="4"/>
        <v>0</v>
      </c>
      <c r="O37" s="63">
        <f t="shared" si="4"/>
        <v>0</v>
      </c>
      <c r="P37" s="63">
        <f>SUM(D37:O37)</f>
        <v>0</v>
      </c>
    </row>
    <row r="38" spans="1:19" ht="15.6" x14ac:dyDescent="0.3">
      <c r="A38" s="94"/>
      <c r="B38" s="53"/>
      <c r="C38" s="108"/>
      <c r="D38" s="105"/>
      <c r="E38" s="105"/>
      <c r="F38" s="105"/>
      <c r="G38" s="72"/>
      <c r="H38" s="72"/>
      <c r="I38" s="72"/>
      <c r="J38" s="72"/>
      <c r="K38" s="72"/>
      <c r="L38" s="72"/>
      <c r="M38" s="105"/>
      <c r="N38" s="105"/>
      <c r="O38" s="105"/>
      <c r="P38" s="106"/>
    </row>
    <row r="39" spans="1:19" ht="15.6" x14ac:dyDescent="0.3">
      <c r="A39" s="94">
        <f>A37+1</f>
        <v>21</v>
      </c>
      <c r="B39" s="52" t="s">
        <v>247</v>
      </c>
      <c r="C39" s="133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53"/>
    </row>
    <row r="40" spans="1:19" x14ac:dyDescent="0.25">
      <c r="A40" s="94">
        <f>A39+1</f>
        <v>22</v>
      </c>
      <c r="B40" s="53" t="s">
        <v>368</v>
      </c>
      <c r="C40" s="133"/>
      <c r="D40" s="312">
        <v>84.3</v>
      </c>
      <c r="E40" s="312">
        <v>54.6</v>
      </c>
      <c r="F40" s="312">
        <v>43.5</v>
      </c>
      <c r="G40" s="329">
        <v>25.4</v>
      </c>
      <c r="H40" s="329">
        <v>12.3</v>
      </c>
      <c r="I40" s="329">
        <v>4.9000000000000004</v>
      </c>
      <c r="J40" s="329">
        <v>2.4</v>
      </c>
      <c r="K40" s="329">
        <v>2.9</v>
      </c>
      <c r="L40" s="329">
        <v>4.3</v>
      </c>
      <c r="M40" s="312">
        <v>14.9</v>
      </c>
      <c r="N40" s="312">
        <v>32.1</v>
      </c>
      <c r="O40" s="312">
        <v>52</v>
      </c>
      <c r="P40" s="106">
        <f>SUM(D40:O40)</f>
        <v>333.60000000000008</v>
      </c>
    </row>
    <row r="41" spans="1:19" x14ac:dyDescent="0.25">
      <c r="A41" s="94">
        <f>A40+1</f>
        <v>23</v>
      </c>
      <c r="B41" s="53" t="s">
        <v>244</v>
      </c>
      <c r="C41" s="143" t="s">
        <v>371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70">
        <f>SUM(D41:O41)</f>
        <v>0</v>
      </c>
    </row>
    <row r="42" spans="1:19" ht="15.6" x14ac:dyDescent="0.3">
      <c r="A42" s="94">
        <f>A41+1</f>
        <v>24</v>
      </c>
      <c r="B42" s="53" t="s">
        <v>263</v>
      </c>
      <c r="C42" s="108"/>
      <c r="D42" s="105">
        <f t="shared" ref="D42:O42" si="5">SUM(D40:D41)</f>
        <v>84.3</v>
      </c>
      <c r="E42" s="105">
        <f t="shared" si="5"/>
        <v>54.6</v>
      </c>
      <c r="F42" s="105">
        <f t="shared" si="5"/>
        <v>43.5</v>
      </c>
      <c r="G42" s="72">
        <f t="shared" si="5"/>
        <v>25.4</v>
      </c>
      <c r="H42" s="72">
        <f t="shared" si="5"/>
        <v>12.3</v>
      </c>
      <c r="I42" s="72">
        <f t="shared" si="5"/>
        <v>4.9000000000000004</v>
      </c>
      <c r="J42" s="72">
        <f t="shared" si="5"/>
        <v>2.4</v>
      </c>
      <c r="K42" s="72">
        <f t="shared" si="5"/>
        <v>2.9</v>
      </c>
      <c r="L42" s="72">
        <f t="shared" si="5"/>
        <v>4.3</v>
      </c>
      <c r="M42" s="105">
        <f t="shared" si="5"/>
        <v>14.9</v>
      </c>
      <c r="N42" s="105">
        <f t="shared" si="5"/>
        <v>32.1</v>
      </c>
      <c r="O42" s="105">
        <f t="shared" si="5"/>
        <v>52</v>
      </c>
      <c r="P42" s="106">
        <f>SUM(D42:O42)</f>
        <v>333.60000000000008</v>
      </c>
    </row>
    <row r="43" spans="1:19" ht="15.6" x14ac:dyDescent="0.3">
      <c r="A43" s="124"/>
      <c r="B43" s="135"/>
      <c r="C43" s="131"/>
      <c r="D43" s="172"/>
      <c r="E43" s="172"/>
      <c r="F43" s="172"/>
      <c r="G43" s="172"/>
      <c r="H43" s="172"/>
      <c r="I43" s="172"/>
      <c r="J43" s="173"/>
      <c r="K43" s="173"/>
      <c r="L43" s="173"/>
      <c r="M43" s="173"/>
      <c r="N43" s="173"/>
      <c r="O43" s="173"/>
      <c r="P43" s="136"/>
      <c r="S43" s="135"/>
    </row>
    <row r="44" spans="1:19" ht="15.6" x14ac:dyDescent="0.3">
      <c r="A44" s="94">
        <f>A42+1</f>
        <v>25</v>
      </c>
      <c r="B44" s="52" t="s">
        <v>248</v>
      </c>
      <c r="C44" s="133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53"/>
    </row>
    <row r="45" spans="1:19" x14ac:dyDescent="0.25">
      <c r="A45" s="94">
        <f>A44+1</f>
        <v>26</v>
      </c>
      <c r="B45" s="53" t="s">
        <v>368</v>
      </c>
      <c r="C45" s="133"/>
      <c r="D45" s="312">
        <v>161.1</v>
      </c>
      <c r="E45" s="312">
        <v>142.80000000000001</v>
      </c>
      <c r="F45" s="312">
        <v>70.5</v>
      </c>
      <c r="G45" s="329">
        <v>36.6</v>
      </c>
      <c r="H45" s="329">
        <v>15.2</v>
      </c>
      <c r="I45" s="329">
        <v>2.9</v>
      </c>
      <c r="J45" s="329">
        <v>3.2</v>
      </c>
      <c r="K45" s="329">
        <v>3.4</v>
      </c>
      <c r="L45" s="329">
        <v>3.8</v>
      </c>
      <c r="M45" s="312">
        <v>19</v>
      </c>
      <c r="N45" s="312">
        <v>51.7</v>
      </c>
      <c r="O45" s="312">
        <v>95</v>
      </c>
      <c r="P45" s="106">
        <f>SUM(D45:O45)</f>
        <v>605.19999999999993</v>
      </c>
    </row>
    <row r="46" spans="1:19" x14ac:dyDescent="0.25">
      <c r="A46" s="94">
        <f>A45+1</f>
        <v>27</v>
      </c>
      <c r="B46" s="53" t="s">
        <v>244</v>
      </c>
      <c r="C46" s="143" t="s">
        <v>371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0">
        <f>SUM(D46:O46)</f>
        <v>0</v>
      </c>
    </row>
    <row r="47" spans="1:19" ht="15.6" x14ac:dyDescent="0.3">
      <c r="A47" s="94">
        <f>A46+1</f>
        <v>28</v>
      </c>
      <c r="B47" s="53" t="s">
        <v>263</v>
      </c>
      <c r="C47" s="108"/>
      <c r="D47" s="105">
        <f t="shared" ref="D47:O47" si="6">SUM(D45:D46)</f>
        <v>161.1</v>
      </c>
      <c r="E47" s="105">
        <f t="shared" si="6"/>
        <v>142.80000000000001</v>
      </c>
      <c r="F47" s="105">
        <f t="shared" si="6"/>
        <v>70.5</v>
      </c>
      <c r="G47" s="72">
        <f t="shared" si="6"/>
        <v>36.6</v>
      </c>
      <c r="H47" s="72">
        <f t="shared" si="6"/>
        <v>15.2</v>
      </c>
      <c r="I47" s="72">
        <f t="shared" si="6"/>
        <v>2.9</v>
      </c>
      <c r="J47" s="72">
        <f t="shared" si="6"/>
        <v>3.2</v>
      </c>
      <c r="K47" s="72">
        <f t="shared" si="6"/>
        <v>3.4</v>
      </c>
      <c r="L47" s="72">
        <f t="shared" si="6"/>
        <v>3.8</v>
      </c>
      <c r="M47" s="105">
        <f t="shared" si="6"/>
        <v>19</v>
      </c>
      <c r="N47" s="105">
        <f t="shared" si="6"/>
        <v>51.7</v>
      </c>
      <c r="O47" s="105">
        <f t="shared" si="6"/>
        <v>95</v>
      </c>
      <c r="P47" s="106">
        <f>SUM(D47:O47)</f>
        <v>605.19999999999993</v>
      </c>
    </row>
    <row r="48" spans="1:19" ht="15.6" x14ac:dyDescent="0.3">
      <c r="A48" s="94"/>
      <c r="B48" s="53"/>
      <c r="C48" s="108"/>
      <c r="D48" s="105"/>
      <c r="E48" s="105"/>
      <c r="F48" s="105"/>
      <c r="G48" s="72"/>
      <c r="H48" s="72"/>
      <c r="I48" s="72"/>
      <c r="J48" s="72"/>
      <c r="K48" s="72"/>
      <c r="L48" s="72"/>
      <c r="M48" s="105"/>
      <c r="N48" s="105"/>
      <c r="O48" s="105"/>
      <c r="P48" s="106"/>
    </row>
    <row r="49" spans="1:19" ht="15.6" x14ac:dyDescent="0.3">
      <c r="A49" s="94">
        <f>A47+1</f>
        <v>29</v>
      </c>
      <c r="B49" s="52" t="s">
        <v>249</v>
      </c>
      <c r="C49" s="133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53"/>
    </row>
    <row r="50" spans="1:19" x14ac:dyDescent="0.25">
      <c r="A50" s="94">
        <f>A49+1</f>
        <v>30</v>
      </c>
      <c r="B50" s="53" t="s">
        <v>368</v>
      </c>
      <c r="C50" s="133"/>
      <c r="D50" s="73">
        <v>191.8</v>
      </c>
      <c r="E50" s="73">
        <v>167.7</v>
      </c>
      <c r="F50" s="73">
        <v>88.3</v>
      </c>
      <c r="G50" s="73">
        <v>54</v>
      </c>
      <c r="H50" s="73">
        <v>20.2</v>
      </c>
      <c r="I50" s="73">
        <v>7.6</v>
      </c>
      <c r="J50" s="73">
        <v>7.9</v>
      </c>
      <c r="K50" s="73">
        <v>6.8</v>
      </c>
      <c r="L50" s="73">
        <v>6.6</v>
      </c>
      <c r="M50" s="73">
        <v>14.8</v>
      </c>
      <c r="N50" s="73">
        <v>41.5</v>
      </c>
      <c r="O50" s="73">
        <v>103.7</v>
      </c>
      <c r="P50" s="63">
        <f>SUM(D50:O50)</f>
        <v>710.9</v>
      </c>
    </row>
    <row r="51" spans="1:19" x14ac:dyDescent="0.25">
      <c r="A51" s="94">
        <f>A50+1</f>
        <v>31</v>
      </c>
      <c r="B51" s="53" t="s">
        <v>244</v>
      </c>
      <c r="C51" s="143" t="s">
        <v>371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4">
        <v>0</v>
      </c>
      <c r="O51" s="74">
        <v>0</v>
      </c>
      <c r="P51" s="70">
        <f>SUM(D51:O51)</f>
        <v>0</v>
      </c>
    </row>
    <row r="52" spans="1:19" ht="15.6" x14ac:dyDescent="0.3">
      <c r="A52" s="94">
        <f>A51+1</f>
        <v>32</v>
      </c>
      <c r="B52" s="53" t="s">
        <v>263</v>
      </c>
      <c r="C52" s="108"/>
      <c r="D52" s="63">
        <f t="shared" ref="D52:O52" si="7">SUM(D50:D51)</f>
        <v>191.8</v>
      </c>
      <c r="E52" s="63">
        <f t="shared" si="7"/>
        <v>167.7</v>
      </c>
      <c r="F52" s="63">
        <f t="shared" si="7"/>
        <v>88.3</v>
      </c>
      <c r="G52" s="63">
        <f t="shared" si="7"/>
        <v>54</v>
      </c>
      <c r="H52" s="63">
        <f t="shared" si="7"/>
        <v>20.2</v>
      </c>
      <c r="I52" s="63">
        <f t="shared" si="7"/>
        <v>7.6</v>
      </c>
      <c r="J52" s="63">
        <f t="shared" si="7"/>
        <v>7.9</v>
      </c>
      <c r="K52" s="63">
        <f t="shared" si="7"/>
        <v>6.8</v>
      </c>
      <c r="L52" s="63">
        <f t="shared" si="7"/>
        <v>6.6</v>
      </c>
      <c r="M52" s="63">
        <f t="shared" si="7"/>
        <v>14.8</v>
      </c>
      <c r="N52" s="63">
        <f t="shared" si="7"/>
        <v>41.5</v>
      </c>
      <c r="O52" s="63">
        <f t="shared" si="7"/>
        <v>103.7</v>
      </c>
      <c r="P52" s="63">
        <f>SUM(D52:O52)</f>
        <v>710.9</v>
      </c>
    </row>
    <row r="53" spans="1:19" ht="15.6" x14ac:dyDescent="0.3">
      <c r="A53" s="94"/>
      <c r="B53" s="53"/>
      <c r="C53" s="108"/>
      <c r="D53" s="105"/>
      <c r="E53" s="105"/>
      <c r="F53" s="105"/>
      <c r="G53" s="72"/>
      <c r="H53" s="72"/>
      <c r="I53" s="72"/>
      <c r="J53" s="72"/>
      <c r="K53" s="72"/>
      <c r="L53" s="72"/>
      <c r="M53" s="105"/>
      <c r="N53" s="105"/>
      <c r="O53" s="105"/>
      <c r="P53" s="106"/>
    </row>
    <row r="54" spans="1:19" ht="15.75" customHeight="1" x14ac:dyDescent="0.3">
      <c r="A54" s="880" t="str">
        <f>CONAME</f>
        <v>Columbia Gas of Kentucky, Inc.</v>
      </c>
      <c r="B54" s="880"/>
      <c r="C54" s="880"/>
      <c r="D54" s="880"/>
      <c r="E54" s="880"/>
      <c r="F54" s="880"/>
      <c r="G54" s="880"/>
      <c r="H54" s="880"/>
      <c r="I54" s="880"/>
      <c r="J54" s="880"/>
      <c r="K54" s="880"/>
      <c r="L54" s="880"/>
      <c r="M54" s="880"/>
      <c r="N54" s="880"/>
      <c r="O54" s="880"/>
      <c r="P54" s="880"/>
    </row>
    <row r="55" spans="1:19" ht="15.75" customHeight="1" x14ac:dyDescent="0.3">
      <c r="A55" s="880" t="s">
        <v>197</v>
      </c>
      <c r="B55" s="880"/>
      <c r="C55" s="880"/>
      <c r="D55" s="880"/>
      <c r="E55" s="880"/>
      <c r="F55" s="880"/>
      <c r="G55" s="880"/>
      <c r="H55" s="880"/>
      <c r="I55" s="880"/>
      <c r="J55" s="880"/>
      <c r="K55" s="880"/>
      <c r="L55" s="880"/>
      <c r="M55" s="880"/>
      <c r="N55" s="880"/>
      <c r="O55" s="880"/>
      <c r="P55" s="880"/>
    </row>
    <row r="56" spans="1:19" ht="15.75" customHeight="1" x14ac:dyDescent="0.3">
      <c r="A56" s="879" t="str">
        <f>TYDESC</f>
        <v>For the 12 Months Ended December 31, 2017</v>
      </c>
      <c r="B56" s="879"/>
      <c r="C56" s="879"/>
      <c r="D56" s="879"/>
      <c r="E56" s="879"/>
      <c r="F56" s="879"/>
      <c r="G56" s="879"/>
      <c r="H56" s="879"/>
      <c r="I56" s="879"/>
      <c r="J56" s="879"/>
      <c r="K56" s="879"/>
      <c r="L56" s="879"/>
      <c r="M56" s="879"/>
      <c r="N56" s="879"/>
      <c r="O56" s="879"/>
      <c r="P56" s="879"/>
    </row>
    <row r="57" spans="1:19" ht="15.6" x14ac:dyDescent="0.3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</row>
    <row r="58" spans="1:19" ht="15.6" x14ac:dyDescent="0.3">
      <c r="A58" s="100" t="str">
        <f>$A$5</f>
        <v>Data: __ Base Period_X_Forecasted Period</v>
      </c>
      <c r="B58" s="53"/>
      <c r="C58" s="108"/>
      <c r="D58" s="108"/>
      <c r="E58" s="108"/>
      <c r="F58" s="108"/>
      <c r="G58" s="96"/>
      <c r="H58" s="96"/>
      <c r="I58" s="96"/>
      <c r="J58" s="96"/>
      <c r="K58" s="96"/>
      <c r="L58" s="96"/>
      <c r="M58" s="96"/>
      <c r="N58" s="96"/>
      <c r="O58" s="96"/>
      <c r="P58" s="330" t="str">
        <f>$P$5</f>
        <v>Workpaper WPM-C.2</v>
      </c>
    </row>
    <row r="59" spans="1:19" ht="15.6" x14ac:dyDescent="0.3">
      <c r="A59" s="100" t="str">
        <f>$A$6</f>
        <v>Type of Filing: X Original _ Update _ Revised</v>
      </c>
      <c r="B59" s="53"/>
      <c r="C59" s="108"/>
      <c r="D59" s="108"/>
      <c r="E59" s="108"/>
      <c r="F59" s="108"/>
      <c r="G59" s="96"/>
      <c r="H59" s="96"/>
      <c r="I59" s="96"/>
      <c r="J59" s="96"/>
      <c r="K59" s="96"/>
      <c r="L59" s="96"/>
      <c r="M59" s="96"/>
      <c r="N59" s="96"/>
      <c r="O59" s="96"/>
      <c r="P59" s="331" t="s">
        <v>373</v>
      </c>
    </row>
    <row r="60" spans="1:19" ht="15.6" x14ac:dyDescent="0.3">
      <c r="A60" s="100" t="str">
        <f>$A$7</f>
        <v>Work Paper Reference No(s):</v>
      </c>
      <c r="B60" s="53"/>
      <c r="C60" s="108"/>
      <c r="D60" s="108"/>
      <c r="E60" s="108"/>
      <c r="F60" s="108"/>
      <c r="G60" s="96"/>
      <c r="H60" s="96"/>
      <c r="I60" s="96"/>
      <c r="J60" s="96"/>
      <c r="K60" s="96"/>
      <c r="L60" s="96"/>
      <c r="M60" s="96"/>
      <c r="N60" s="96"/>
      <c r="O60" s="96"/>
      <c r="P60" s="331"/>
    </row>
    <row r="61" spans="1:19" ht="15.6" x14ac:dyDescent="0.3">
      <c r="A61" s="132" t="str">
        <f>$A$8</f>
        <v>12 Months Forecasted</v>
      </c>
      <c r="B61" s="124"/>
      <c r="C61" s="108"/>
      <c r="D61" s="332"/>
      <c r="E61" s="108"/>
      <c r="F61" s="333"/>
      <c r="G61" s="334"/>
      <c r="H61" s="333"/>
      <c r="I61" s="335"/>
      <c r="J61" s="333"/>
      <c r="K61" s="333"/>
      <c r="L61" s="333"/>
      <c r="M61" s="333"/>
      <c r="N61" s="333"/>
      <c r="O61" s="333"/>
      <c r="P61" s="314"/>
      <c r="Q61" s="124"/>
      <c r="R61" s="124"/>
    </row>
    <row r="62" spans="1:19" ht="15.6" x14ac:dyDescent="0.3">
      <c r="A62" s="93"/>
      <c r="B62" s="124"/>
      <c r="C62" s="108"/>
      <c r="D62" s="332"/>
      <c r="E62" s="108"/>
      <c r="F62" s="333"/>
      <c r="G62" s="334"/>
      <c r="H62" s="333"/>
      <c r="I62" s="335"/>
      <c r="J62" s="333"/>
      <c r="K62" s="333"/>
      <c r="L62" s="333"/>
      <c r="M62" s="333"/>
      <c r="N62" s="333"/>
      <c r="O62" s="333"/>
      <c r="P62" s="314"/>
      <c r="Q62" s="124"/>
      <c r="R62" s="124"/>
    </row>
    <row r="63" spans="1:19" ht="15.6" x14ac:dyDescent="0.3">
      <c r="A63" s="124" t="s">
        <v>1</v>
      </c>
      <c r="B63" s="124"/>
      <c r="C63" s="108"/>
      <c r="D63" s="332"/>
      <c r="E63" s="108"/>
      <c r="F63" s="333"/>
      <c r="G63" s="334"/>
      <c r="H63" s="333"/>
      <c r="I63" s="335"/>
      <c r="J63" s="333"/>
      <c r="K63" s="333"/>
      <c r="L63" s="333"/>
      <c r="M63" s="333"/>
      <c r="N63" s="333"/>
      <c r="O63" s="333"/>
      <c r="P63" s="314"/>
      <c r="Q63" s="135"/>
      <c r="R63" s="135"/>
    </row>
    <row r="64" spans="1:19" ht="15.6" x14ac:dyDescent="0.3">
      <c r="A64" s="316" t="s">
        <v>3</v>
      </c>
      <c r="B64" s="316" t="s">
        <v>4</v>
      </c>
      <c r="C64" s="317" t="s">
        <v>186</v>
      </c>
      <c r="D64" s="318" t="str">
        <f>B!$D$11</f>
        <v>Jan-17</v>
      </c>
      <c r="E64" s="318" t="str">
        <f>B!$E$11</f>
        <v>Feb-17</v>
      </c>
      <c r="F64" s="318" t="str">
        <f>B!$F$11</f>
        <v>Mar-17</v>
      </c>
      <c r="G64" s="318" t="str">
        <f>B!$G$11</f>
        <v>Apr-17</v>
      </c>
      <c r="H64" s="318" t="str">
        <f>B!$H$11</f>
        <v>May-17</v>
      </c>
      <c r="I64" s="318" t="str">
        <f>B!$I$11</f>
        <v>Jun-17</v>
      </c>
      <c r="J64" s="318" t="str">
        <f>B!$J$11</f>
        <v>Jul-17</v>
      </c>
      <c r="K64" s="318" t="str">
        <f>B!$K$11</f>
        <v>Aug-17</v>
      </c>
      <c r="L64" s="318" t="str">
        <f>B!$L$11</f>
        <v>Sep-17</v>
      </c>
      <c r="M64" s="318" t="str">
        <f>B!$M$11</f>
        <v>Oct-17</v>
      </c>
      <c r="N64" s="318" t="str">
        <f>B!$N$11</f>
        <v>Nov-17</v>
      </c>
      <c r="O64" s="318" t="str">
        <f>B!$O$11</f>
        <v>Dec-17</v>
      </c>
      <c r="P64" s="218" t="s">
        <v>9</v>
      </c>
      <c r="S64" s="215"/>
    </row>
    <row r="65" spans="1:19" ht="15.6" x14ac:dyDescent="0.3">
      <c r="A65" s="124"/>
      <c r="B65" s="135" t="s">
        <v>42</v>
      </c>
      <c r="C65" s="131" t="s">
        <v>43</v>
      </c>
      <c r="D65" s="313" t="s">
        <v>45</v>
      </c>
      <c r="E65" s="313" t="s">
        <v>46</v>
      </c>
      <c r="F65" s="313" t="s">
        <v>49</v>
      </c>
      <c r="G65" s="313" t="s">
        <v>50</v>
      </c>
      <c r="H65" s="313" t="s">
        <v>51</v>
      </c>
      <c r="I65" s="313" t="s">
        <v>52</v>
      </c>
      <c r="J65" s="313" t="s">
        <v>53</v>
      </c>
      <c r="K65" s="136" t="s">
        <v>54</v>
      </c>
      <c r="L65" s="136" t="s">
        <v>55</v>
      </c>
      <c r="M65" s="136" t="s">
        <v>56</v>
      </c>
      <c r="N65" s="136" t="s">
        <v>57</v>
      </c>
      <c r="O65" s="136" t="s">
        <v>58</v>
      </c>
      <c r="P65" s="136" t="s">
        <v>59</v>
      </c>
      <c r="S65" s="135"/>
    </row>
    <row r="66" spans="1:19" ht="15.6" x14ac:dyDescent="0.3">
      <c r="A66" s="124"/>
      <c r="B66" s="135"/>
      <c r="C66" s="131"/>
      <c r="D66" s="172"/>
      <c r="E66" s="172"/>
      <c r="F66" s="172"/>
      <c r="G66" s="172"/>
      <c r="H66" s="172"/>
      <c r="I66" s="172"/>
      <c r="J66" s="173"/>
      <c r="K66" s="173"/>
      <c r="L66" s="173"/>
      <c r="M66" s="173"/>
      <c r="N66" s="173"/>
      <c r="O66" s="173"/>
      <c r="P66" s="136"/>
      <c r="S66" s="135"/>
    </row>
    <row r="67" spans="1:19" ht="15.6" x14ac:dyDescent="0.3">
      <c r="A67" s="94">
        <v>1</v>
      </c>
      <c r="B67" s="52" t="s">
        <v>250</v>
      </c>
      <c r="C67" s="133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53"/>
    </row>
    <row r="68" spans="1:19" x14ac:dyDescent="0.25">
      <c r="A68" s="94">
        <f>A67+1</f>
        <v>2</v>
      </c>
      <c r="B68" s="53" t="s">
        <v>368</v>
      </c>
      <c r="C68" s="133"/>
      <c r="D68" s="312"/>
      <c r="E68" s="312"/>
      <c r="F68" s="312"/>
      <c r="G68" s="329"/>
      <c r="H68" s="329"/>
      <c r="I68" s="329"/>
      <c r="J68" s="329"/>
      <c r="K68" s="329"/>
      <c r="L68" s="329"/>
      <c r="M68" s="312"/>
      <c r="N68" s="312"/>
      <c r="O68" s="312"/>
      <c r="P68" s="106"/>
    </row>
    <row r="69" spans="1:19" x14ac:dyDescent="0.25">
      <c r="A69" s="94">
        <f>A68+1</f>
        <v>3</v>
      </c>
      <c r="B69" s="336" t="s">
        <v>251</v>
      </c>
      <c r="C69" s="133"/>
      <c r="D69" s="329">
        <v>2</v>
      </c>
      <c r="E69" s="312">
        <v>2</v>
      </c>
      <c r="F69" s="312">
        <v>2</v>
      </c>
      <c r="G69" s="329">
        <v>2</v>
      </c>
      <c r="H69" s="329">
        <v>2</v>
      </c>
      <c r="I69" s="329">
        <f>2+0.4</f>
        <v>2.4</v>
      </c>
      <c r="J69" s="329">
        <v>2</v>
      </c>
      <c r="K69" s="329">
        <v>2</v>
      </c>
      <c r="L69" s="329">
        <v>2</v>
      </c>
      <c r="M69" s="312">
        <v>2</v>
      </c>
      <c r="N69" s="312">
        <v>2</v>
      </c>
      <c r="O69" s="312">
        <v>2</v>
      </c>
      <c r="P69" s="106">
        <f>SUM(D69:O69)</f>
        <v>24.4</v>
      </c>
    </row>
    <row r="70" spans="1:19" ht="16.8" x14ac:dyDescent="0.4">
      <c r="A70" s="94">
        <f>A69+1</f>
        <v>4</v>
      </c>
      <c r="B70" s="336" t="s">
        <v>252</v>
      </c>
      <c r="C70" s="133"/>
      <c r="D70" s="337">
        <v>89.8</v>
      </c>
      <c r="E70" s="337">
        <v>71.400000000000006</v>
      </c>
      <c r="F70" s="337">
        <v>43.4</v>
      </c>
      <c r="G70" s="337">
        <v>102.5</v>
      </c>
      <c r="H70" s="337">
        <v>65.400000000000006</v>
      </c>
      <c r="I70" s="337">
        <v>24.1</v>
      </c>
      <c r="J70" s="337">
        <v>24.2</v>
      </c>
      <c r="K70" s="337">
        <v>9.8000000000000007</v>
      </c>
      <c r="L70" s="337">
        <v>24.2</v>
      </c>
      <c r="M70" s="337">
        <v>73.900000000000006</v>
      </c>
      <c r="N70" s="337">
        <v>103.5</v>
      </c>
      <c r="O70" s="337">
        <v>57.5</v>
      </c>
      <c r="P70" s="138">
        <f>SUM(D70:O70)</f>
        <v>689.7</v>
      </c>
    </row>
    <row r="71" spans="1:19" x14ac:dyDescent="0.25">
      <c r="A71" s="94">
        <f>A70+1</f>
        <v>5</v>
      </c>
      <c r="B71" s="53" t="s">
        <v>368</v>
      </c>
      <c r="C71" s="133"/>
      <c r="D71" s="72">
        <f t="shared" ref="D71:N71" si="8">SUM(D69:D70)</f>
        <v>91.8</v>
      </c>
      <c r="E71" s="105">
        <f t="shared" si="8"/>
        <v>73.400000000000006</v>
      </c>
      <c r="F71" s="105">
        <f t="shared" si="8"/>
        <v>45.4</v>
      </c>
      <c r="G71" s="105">
        <f t="shared" si="8"/>
        <v>104.5</v>
      </c>
      <c r="H71" s="105">
        <f t="shared" si="8"/>
        <v>67.400000000000006</v>
      </c>
      <c r="I71" s="105">
        <f t="shared" si="8"/>
        <v>26.5</v>
      </c>
      <c r="J71" s="105">
        <f t="shared" si="8"/>
        <v>26.2</v>
      </c>
      <c r="K71" s="105">
        <f t="shared" si="8"/>
        <v>11.8</v>
      </c>
      <c r="L71" s="105">
        <f t="shared" si="8"/>
        <v>26.2</v>
      </c>
      <c r="M71" s="105">
        <f t="shared" si="8"/>
        <v>75.900000000000006</v>
      </c>
      <c r="N71" s="105">
        <f t="shared" si="8"/>
        <v>105.5</v>
      </c>
      <c r="O71" s="105">
        <f>SUM(O69:O70)</f>
        <v>59.5</v>
      </c>
      <c r="P71" s="106">
        <f>SUM(D71:O71)</f>
        <v>714.1</v>
      </c>
    </row>
    <row r="72" spans="1:19" ht="15.6" x14ac:dyDescent="0.3">
      <c r="A72" s="94"/>
      <c r="B72" s="53"/>
      <c r="C72" s="108"/>
      <c r="D72" s="105"/>
      <c r="E72" s="105"/>
      <c r="F72" s="105"/>
      <c r="G72" s="72"/>
      <c r="H72" s="72"/>
      <c r="I72" s="72"/>
      <c r="J72" s="72"/>
      <c r="K72" s="72"/>
      <c r="L72" s="72"/>
      <c r="M72" s="105"/>
      <c r="N72" s="105"/>
      <c r="O72" s="105"/>
      <c r="P72" s="106"/>
    </row>
    <row r="73" spans="1:19" ht="15.6" x14ac:dyDescent="0.3">
      <c r="A73" s="94">
        <f>A71+1</f>
        <v>6</v>
      </c>
      <c r="B73" s="52" t="s">
        <v>253</v>
      </c>
      <c r="C73" s="133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53"/>
    </row>
    <row r="74" spans="1:19" x14ac:dyDescent="0.25">
      <c r="A74" s="94">
        <f>A73+1</f>
        <v>7</v>
      </c>
      <c r="B74" s="53" t="s">
        <v>368</v>
      </c>
      <c r="C74" s="133"/>
      <c r="D74" s="312">
        <v>49.5</v>
      </c>
      <c r="E74" s="312">
        <v>58.7</v>
      </c>
      <c r="F74" s="312">
        <v>42</v>
      </c>
      <c r="G74" s="329">
        <v>20.7</v>
      </c>
      <c r="H74" s="329">
        <v>11.2</v>
      </c>
      <c r="I74" s="329">
        <v>4</v>
      </c>
      <c r="J74" s="329">
        <v>2.6</v>
      </c>
      <c r="K74" s="329">
        <v>2.8</v>
      </c>
      <c r="L74" s="329">
        <v>3</v>
      </c>
      <c r="M74" s="312">
        <v>3.9</v>
      </c>
      <c r="N74" s="329">
        <v>18.899999999999999</v>
      </c>
      <c r="O74" s="329">
        <v>40.299999999999997</v>
      </c>
      <c r="P74" s="106">
        <f>SUM(D74:O74)</f>
        <v>257.59999999999997</v>
      </c>
    </row>
    <row r="75" spans="1:19" x14ac:dyDescent="0.25">
      <c r="A75" s="94">
        <f>A74+1</f>
        <v>8</v>
      </c>
      <c r="B75" s="53" t="s">
        <v>244</v>
      </c>
      <c r="C75" s="143" t="s">
        <v>371</v>
      </c>
      <c r="D75" s="338">
        <v>0</v>
      </c>
      <c r="E75" s="338">
        <v>0</v>
      </c>
      <c r="F75" s="338">
        <v>0</v>
      </c>
      <c r="G75" s="338">
        <v>0</v>
      </c>
      <c r="H75" s="338">
        <v>0</v>
      </c>
      <c r="I75" s="338">
        <v>0</v>
      </c>
      <c r="J75" s="338">
        <v>0</v>
      </c>
      <c r="K75" s="338">
        <v>0</v>
      </c>
      <c r="L75" s="338">
        <v>0</v>
      </c>
      <c r="M75" s="338">
        <v>0</v>
      </c>
      <c r="N75" s="338">
        <v>0</v>
      </c>
      <c r="O75" s="338">
        <v>0</v>
      </c>
      <c r="P75" s="138">
        <f>SUM(D75:O75)</f>
        <v>0</v>
      </c>
    </row>
    <row r="76" spans="1:19" ht="15.6" x14ac:dyDescent="0.3">
      <c r="A76" s="94">
        <f>A75+1</f>
        <v>9</v>
      </c>
      <c r="B76" s="53" t="s">
        <v>263</v>
      </c>
      <c r="C76" s="108"/>
      <c r="D76" s="105">
        <f t="shared" ref="D76:O76" si="9">SUM(D74:D75)</f>
        <v>49.5</v>
      </c>
      <c r="E76" s="105">
        <f t="shared" si="9"/>
        <v>58.7</v>
      </c>
      <c r="F76" s="105">
        <f t="shared" si="9"/>
        <v>42</v>
      </c>
      <c r="G76" s="72">
        <f t="shared" si="9"/>
        <v>20.7</v>
      </c>
      <c r="H76" s="72">
        <f t="shared" si="9"/>
        <v>11.2</v>
      </c>
      <c r="I76" s="72">
        <f t="shared" si="9"/>
        <v>4</v>
      </c>
      <c r="J76" s="72">
        <f t="shared" si="9"/>
        <v>2.6</v>
      </c>
      <c r="K76" s="72">
        <f t="shared" si="9"/>
        <v>2.8</v>
      </c>
      <c r="L76" s="72">
        <f t="shared" si="9"/>
        <v>3</v>
      </c>
      <c r="M76" s="105">
        <f t="shared" si="9"/>
        <v>3.9</v>
      </c>
      <c r="N76" s="72">
        <f t="shared" si="9"/>
        <v>18.899999999999999</v>
      </c>
      <c r="O76" s="72">
        <f t="shared" si="9"/>
        <v>40.299999999999997</v>
      </c>
      <c r="P76" s="106">
        <f>SUM(D76:O76)</f>
        <v>257.59999999999997</v>
      </c>
    </row>
    <row r="77" spans="1:19" ht="15.6" x14ac:dyDescent="0.3">
      <c r="A77" s="94"/>
      <c r="B77" s="53"/>
      <c r="C77" s="108"/>
      <c r="D77" s="105"/>
      <c r="E77" s="105"/>
      <c r="F77" s="105"/>
      <c r="G77" s="72"/>
      <c r="H77" s="72"/>
      <c r="I77" s="72"/>
      <c r="J77" s="72"/>
      <c r="K77" s="72"/>
      <c r="L77" s="72"/>
      <c r="M77" s="105"/>
      <c r="N77" s="105"/>
      <c r="O77" s="105"/>
      <c r="P77" s="106"/>
    </row>
    <row r="78" spans="1:19" ht="15.6" x14ac:dyDescent="0.3">
      <c r="A78" s="94">
        <f>A76+1</f>
        <v>10</v>
      </c>
      <c r="B78" s="52" t="s">
        <v>254</v>
      </c>
      <c r="C78" s="133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72"/>
      <c r="O78" s="72"/>
      <c r="P78" s="53"/>
    </row>
    <row r="79" spans="1:19" x14ac:dyDescent="0.25">
      <c r="A79" s="94">
        <f>A78+1</f>
        <v>11</v>
      </c>
      <c r="B79" s="53" t="s">
        <v>368</v>
      </c>
      <c r="C79" s="133"/>
      <c r="D79" s="312"/>
      <c r="E79" s="312"/>
      <c r="F79" s="312"/>
      <c r="G79" s="329"/>
      <c r="H79" s="329"/>
      <c r="I79" s="329"/>
      <c r="J79" s="329"/>
      <c r="K79" s="329"/>
      <c r="L79" s="329"/>
      <c r="M79" s="312"/>
      <c r="N79" s="312"/>
      <c r="O79" s="312"/>
      <c r="P79" s="106"/>
    </row>
    <row r="80" spans="1:19" x14ac:dyDescent="0.25">
      <c r="A80" s="94">
        <f>A79+1</f>
        <v>12</v>
      </c>
      <c r="B80" s="336" t="s">
        <v>255</v>
      </c>
      <c r="C80" s="133"/>
      <c r="D80" s="329">
        <v>267724</v>
      </c>
      <c r="E80" s="312">
        <v>278801.2</v>
      </c>
      <c r="F80" s="312">
        <v>227946.5</v>
      </c>
      <c r="G80" s="329">
        <v>149431.79999999999</v>
      </c>
      <c r="H80" s="329">
        <v>76855.7</v>
      </c>
      <c r="I80" s="329">
        <v>48785.1</v>
      </c>
      <c r="J80" s="329">
        <v>38320.5</v>
      </c>
      <c r="K80" s="329">
        <v>36243</v>
      </c>
      <c r="L80" s="329">
        <v>36349</v>
      </c>
      <c r="M80" s="312">
        <v>49912.3</v>
      </c>
      <c r="N80" s="312">
        <v>96938</v>
      </c>
      <c r="O80" s="312">
        <v>195958.3</v>
      </c>
      <c r="P80" s="106">
        <f>SUM(D80:O80)</f>
        <v>1503265.4000000001</v>
      </c>
    </row>
    <row r="81" spans="1:94" x14ac:dyDescent="0.25">
      <c r="A81" s="94">
        <f>A80+1</f>
        <v>13</v>
      </c>
      <c r="B81" s="336" t="s">
        <v>256</v>
      </c>
      <c r="C81" s="133"/>
      <c r="D81" s="329">
        <v>283839.2</v>
      </c>
      <c r="E81" s="312">
        <v>279646.2</v>
      </c>
      <c r="F81" s="312">
        <v>182183.2</v>
      </c>
      <c r="G81" s="329">
        <v>107296.4</v>
      </c>
      <c r="H81" s="329">
        <v>47863</v>
      </c>
      <c r="I81" s="329">
        <v>28650.6</v>
      </c>
      <c r="J81" s="329">
        <v>16633.3</v>
      </c>
      <c r="K81" s="329">
        <v>15250.7</v>
      </c>
      <c r="L81" s="329">
        <v>14035.7</v>
      </c>
      <c r="M81" s="312">
        <v>24219.7</v>
      </c>
      <c r="N81" s="312">
        <v>64428</v>
      </c>
      <c r="O81" s="312">
        <v>177273</v>
      </c>
      <c r="P81" s="106">
        <f>SUM(D81:O81)</f>
        <v>1241319</v>
      </c>
    </row>
    <row r="82" spans="1:94" x14ac:dyDescent="0.25">
      <c r="A82" s="94">
        <f>A81+1</f>
        <v>14</v>
      </c>
      <c r="B82" s="336" t="s">
        <v>257</v>
      </c>
      <c r="C82" s="133"/>
      <c r="D82" s="329">
        <v>79819.5</v>
      </c>
      <c r="E82" s="312">
        <v>71400.100000000006</v>
      </c>
      <c r="F82" s="312">
        <v>38709.599999999999</v>
      </c>
      <c r="G82" s="329">
        <v>16894.099999999999</v>
      </c>
      <c r="H82" s="329">
        <v>7331.2</v>
      </c>
      <c r="I82" s="329">
        <v>3286.7</v>
      </c>
      <c r="J82" s="329">
        <v>1774.7</v>
      </c>
      <c r="K82" s="329">
        <v>1292</v>
      </c>
      <c r="L82" s="329">
        <v>1416.5</v>
      </c>
      <c r="M82" s="312">
        <v>3112.1</v>
      </c>
      <c r="N82" s="312">
        <v>8898.7999999999993</v>
      </c>
      <c r="O82" s="312">
        <v>40405.4</v>
      </c>
      <c r="P82" s="106">
        <f>SUM(D82:O82)</f>
        <v>274340.70000000007</v>
      </c>
    </row>
    <row r="83" spans="1:94" ht="16.8" x14ac:dyDescent="0.4">
      <c r="A83" s="94">
        <f>A82+1</f>
        <v>15</v>
      </c>
      <c r="B83" s="336" t="s">
        <v>258</v>
      </c>
      <c r="C83" s="133"/>
      <c r="D83" s="337">
        <v>31980.1</v>
      </c>
      <c r="E83" s="337">
        <v>27309.4</v>
      </c>
      <c r="F83" s="337">
        <v>9608.2000000000007</v>
      </c>
      <c r="G83" s="337">
        <v>4479.6000000000004</v>
      </c>
      <c r="H83" s="337">
        <v>2530.3000000000002</v>
      </c>
      <c r="I83" s="337">
        <v>45.9</v>
      </c>
      <c r="J83" s="337">
        <v>0</v>
      </c>
      <c r="K83" s="337">
        <v>0</v>
      </c>
      <c r="L83" s="337">
        <v>0</v>
      </c>
      <c r="M83" s="337">
        <v>0</v>
      </c>
      <c r="N83" s="337">
        <v>1571.1</v>
      </c>
      <c r="O83" s="337">
        <v>11834.2</v>
      </c>
      <c r="P83" s="138">
        <f>SUM(D83:O83)</f>
        <v>89358.8</v>
      </c>
    </row>
    <row r="84" spans="1:94" x14ac:dyDescent="0.25">
      <c r="A84" s="94"/>
      <c r="B84" s="336"/>
      <c r="C84" s="133"/>
      <c r="D84" s="105">
        <f t="shared" ref="D84:N84" si="10">SUM(D80:D83)</f>
        <v>663362.79999999993</v>
      </c>
      <c r="E84" s="105">
        <f t="shared" si="10"/>
        <v>657156.9</v>
      </c>
      <c r="F84" s="105">
        <f t="shared" si="10"/>
        <v>458447.5</v>
      </c>
      <c r="G84" s="105">
        <f t="shared" si="10"/>
        <v>278101.89999999997</v>
      </c>
      <c r="H84" s="105">
        <f t="shared" si="10"/>
        <v>134580.19999999998</v>
      </c>
      <c r="I84" s="105">
        <f t="shared" si="10"/>
        <v>80768.299999999988</v>
      </c>
      <c r="J84" s="105">
        <f t="shared" si="10"/>
        <v>56728.5</v>
      </c>
      <c r="K84" s="105">
        <f t="shared" si="10"/>
        <v>52785.7</v>
      </c>
      <c r="L84" s="105">
        <f t="shared" si="10"/>
        <v>51801.2</v>
      </c>
      <c r="M84" s="105">
        <f t="shared" si="10"/>
        <v>77244.100000000006</v>
      </c>
      <c r="N84" s="105">
        <f t="shared" si="10"/>
        <v>171835.9</v>
      </c>
      <c r="O84" s="105">
        <f>SUM(O80:O83)</f>
        <v>425470.9</v>
      </c>
      <c r="P84" s="106">
        <f>SUM(D84:O84)</f>
        <v>3108283.9</v>
      </c>
    </row>
    <row r="85" spans="1:94" x14ac:dyDescent="0.25">
      <c r="A85" s="94">
        <f>A83+1</f>
        <v>16</v>
      </c>
      <c r="B85" s="53" t="s">
        <v>244</v>
      </c>
      <c r="C85" s="143" t="s">
        <v>371</v>
      </c>
      <c r="D85" s="329"/>
      <c r="E85" s="329"/>
      <c r="F85" s="329"/>
      <c r="G85" s="329"/>
      <c r="H85" s="329"/>
      <c r="I85" s="329"/>
      <c r="J85" s="329"/>
      <c r="K85" s="329"/>
      <c r="L85" s="329"/>
      <c r="M85" s="329"/>
      <c r="N85" s="329"/>
      <c r="O85" s="329"/>
      <c r="P85" s="72"/>
    </row>
    <row r="86" spans="1:94" x14ac:dyDescent="0.25">
      <c r="A86" s="94">
        <f>A85+1</f>
        <v>17</v>
      </c>
      <c r="B86" s="53" t="str">
        <f>B80</f>
        <v xml:space="preserve">    First 50 Mcf</v>
      </c>
      <c r="C86" s="143"/>
      <c r="D86" s="72">
        <f>'D pg 1'!D29</f>
        <v>-50</v>
      </c>
      <c r="E86" s="72">
        <f>'D pg 1'!E29</f>
        <v>-50</v>
      </c>
      <c r="F86" s="72">
        <f>'D pg 1'!F29</f>
        <v>-50</v>
      </c>
      <c r="G86" s="72">
        <f>'D pg 1'!G29</f>
        <v>-50</v>
      </c>
      <c r="H86" s="72">
        <f>'D pg 1'!H29</f>
        <v>-50</v>
      </c>
      <c r="I86" s="72">
        <f>'D pg 1'!I29</f>
        <v>-50</v>
      </c>
      <c r="J86" s="72">
        <f>'D pg 1'!J29</f>
        <v>0</v>
      </c>
      <c r="K86" s="72">
        <f>'D pg 1'!K29</f>
        <v>0</v>
      </c>
      <c r="L86" s="72">
        <f>'D pg 1'!L29</f>
        <v>0</v>
      </c>
      <c r="M86" s="72">
        <f>'D pg 1'!M29</f>
        <v>-50</v>
      </c>
      <c r="N86" s="72">
        <f>'D pg 1'!N29</f>
        <v>-50</v>
      </c>
      <c r="O86" s="72">
        <f>'D pg 1'!O29</f>
        <v>-50</v>
      </c>
      <c r="P86" s="72">
        <f>SUM(D86:O86)</f>
        <v>-450</v>
      </c>
    </row>
    <row r="87" spans="1:94" x14ac:dyDescent="0.25">
      <c r="A87" s="94">
        <f>A86+1</f>
        <v>18</v>
      </c>
      <c r="B87" s="53" t="str">
        <f>B81</f>
        <v xml:space="preserve">    Next 350 Mcf</v>
      </c>
      <c r="C87" s="143"/>
      <c r="D87" s="72">
        <f>'D pg 1'!D30</f>
        <v>-350</v>
      </c>
      <c r="E87" s="72">
        <f>'D pg 1'!E30</f>
        <v>-350</v>
      </c>
      <c r="F87" s="72">
        <f>'D pg 1'!F30</f>
        <v>-350</v>
      </c>
      <c r="G87" s="72">
        <f>'D pg 1'!G30</f>
        <v>-350</v>
      </c>
      <c r="H87" s="72">
        <f>'D pg 1'!H30</f>
        <v>-50</v>
      </c>
      <c r="I87" s="72">
        <f>'D pg 1'!I30</f>
        <v>0</v>
      </c>
      <c r="J87" s="72">
        <f>'D pg 1'!J30</f>
        <v>0</v>
      </c>
      <c r="K87" s="72">
        <f>'D pg 1'!K30</f>
        <v>0</v>
      </c>
      <c r="L87" s="72">
        <f>'D pg 1'!L30</f>
        <v>0</v>
      </c>
      <c r="M87" s="72">
        <f>'D pg 1'!M30</f>
        <v>-50</v>
      </c>
      <c r="N87" s="72">
        <f>'D pg 1'!N30</f>
        <v>-350</v>
      </c>
      <c r="O87" s="72">
        <f>'D pg 1'!O30</f>
        <v>-350</v>
      </c>
      <c r="P87" s="72">
        <f>SUM(D87:O87)</f>
        <v>-2200</v>
      </c>
    </row>
    <row r="88" spans="1:94" x14ac:dyDescent="0.25">
      <c r="A88" s="94">
        <f>A87+1</f>
        <v>19</v>
      </c>
      <c r="B88" s="53" t="str">
        <f>B82</f>
        <v xml:space="preserve">    Next 600 Mcf</v>
      </c>
      <c r="C88" s="143"/>
      <c r="D88" s="72">
        <f>'D pg 1'!D31</f>
        <v>-600</v>
      </c>
      <c r="E88" s="72">
        <f>'D pg 1'!E31</f>
        <v>-600</v>
      </c>
      <c r="F88" s="72">
        <f>'D pg 1'!F31</f>
        <v>-600</v>
      </c>
      <c r="G88" s="72">
        <f>'D pg 1'!G31</f>
        <v>-400</v>
      </c>
      <c r="H88" s="72">
        <f>'D pg 1'!H31</f>
        <v>0</v>
      </c>
      <c r="I88" s="72">
        <f>'D pg 1'!I31</f>
        <v>0</v>
      </c>
      <c r="J88" s="72">
        <f>'D pg 1'!J31</f>
        <v>0</v>
      </c>
      <c r="K88" s="72">
        <f>'D pg 1'!K31</f>
        <v>0</v>
      </c>
      <c r="L88" s="72">
        <f>'D pg 1'!L31</f>
        <v>0</v>
      </c>
      <c r="M88" s="72">
        <f>'D pg 1'!M31</f>
        <v>0</v>
      </c>
      <c r="N88" s="72">
        <f>'D pg 1'!N31</f>
        <v>-400</v>
      </c>
      <c r="O88" s="72">
        <f>'D pg 1'!O31</f>
        <v>-600</v>
      </c>
      <c r="P88" s="72">
        <f>SUM(D88:O88)</f>
        <v>-3200</v>
      </c>
    </row>
    <row r="89" spans="1:94" x14ac:dyDescent="0.25">
      <c r="A89" s="94">
        <f>A88+1</f>
        <v>20</v>
      </c>
      <c r="B89" s="53" t="str">
        <f>B83</f>
        <v xml:space="preserve">    Over 1,000 Mcf</v>
      </c>
      <c r="C89" s="143"/>
      <c r="D89" s="138">
        <f>'D pg 1'!D32</f>
        <v>-1622.8</v>
      </c>
      <c r="E89" s="138">
        <f>'D pg 1'!E32</f>
        <v>-1096</v>
      </c>
      <c r="F89" s="138">
        <f>'D pg 1'!F32</f>
        <v>-600</v>
      </c>
      <c r="G89" s="138">
        <f>'D pg 1'!G32</f>
        <v>0</v>
      </c>
      <c r="H89" s="138">
        <f>'D pg 1'!H32</f>
        <v>0</v>
      </c>
      <c r="I89" s="138">
        <f>'D pg 1'!I32</f>
        <v>0</v>
      </c>
      <c r="J89" s="138">
        <f>'D pg 1'!J32</f>
        <v>0</v>
      </c>
      <c r="K89" s="138">
        <f>'D pg 1'!K32</f>
        <v>0</v>
      </c>
      <c r="L89" s="138">
        <f>'D pg 1'!L32</f>
        <v>0</v>
      </c>
      <c r="M89" s="138">
        <f>'D pg 1'!M32</f>
        <v>0</v>
      </c>
      <c r="N89" s="138">
        <f>'D pg 1'!N32</f>
        <v>0</v>
      </c>
      <c r="O89" s="138">
        <f>'D pg 1'!O32</f>
        <v>-900</v>
      </c>
      <c r="P89" s="138">
        <f>SUM(D89:O89)</f>
        <v>-4218.8</v>
      </c>
    </row>
    <row r="90" spans="1:94" x14ac:dyDescent="0.25">
      <c r="A90" s="94"/>
      <c r="B90" s="53"/>
      <c r="C90" s="143"/>
      <c r="D90" s="72">
        <f t="shared" ref="D90:N90" si="11">SUM(D86:D89)</f>
        <v>-2622.8</v>
      </c>
      <c r="E90" s="72">
        <f t="shared" si="11"/>
        <v>-2096</v>
      </c>
      <c r="F90" s="72">
        <f t="shared" si="11"/>
        <v>-1600</v>
      </c>
      <c r="G90" s="72">
        <f t="shared" si="11"/>
        <v>-800</v>
      </c>
      <c r="H90" s="72">
        <f t="shared" si="11"/>
        <v>-100</v>
      </c>
      <c r="I90" s="72">
        <f t="shared" si="11"/>
        <v>-50</v>
      </c>
      <c r="J90" s="72">
        <f t="shared" si="11"/>
        <v>0</v>
      </c>
      <c r="K90" s="72">
        <f t="shared" si="11"/>
        <v>0</v>
      </c>
      <c r="L90" s="72">
        <f t="shared" si="11"/>
        <v>0</v>
      </c>
      <c r="M90" s="72">
        <f t="shared" si="11"/>
        <v>-100</v>
      </c>
      <c r="N90" s="72">
        <f t="shared" si="11"/>
        <v>-800</v>
      </c>
      <c r="O90" s="72">
        <f>SUM(O86:O89)</f>
        <v>-1900</v>
      </c>
      <c r="P90" s="72">
        <f>SUM(D90:O90)</f>
        <v>-10068.799999999999</v>
      </c>
    </row>
    <row r="91" spans="1:94" s="103" customFormat="1" ht="15.6" x14ac:dyDescent="0.3">
      <c r="A91" s="94">
        <f>A89+1</f>
        <v>21</v>
      </c>
      <c r="B91" s="53" t="s">
        <v>263</v>
      </c>
      <c r="C91" s="108"/>
      <c r="D91" s="105"/>
      <c r="E91" s="105"/>
      <c r="F91" s="105"/>
      <c r="G91" s="72"/>
      <c r="H91" s="72"/>
      <c r="I91" s="72"/>
      <c r="J91" s="72"/>
      <c r="K91" s="72"/>
      <c r="L91" s="72"/>
      <c r="M91" s="105"/>
      <c r="N91" s="105"/>
      <c r="O91" s="105"/>
      <c r="P91" s="106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  <c r="BY91" s="53"/>
      <c r="BZ91" s="53"/>
      <c r="CA91" s="53"/>
      <c r="CB91" s="53"/>
      <c r="CC91" s="53"/>
      <c r="CD91" s="53"/>
      <c r="CE91" s="53"/>
      <c r="CF91" s="53"/>
      <c r="CG91" s="53"/>
      <c r="CH91" s="53"/>
      <c r="CI91" s="53"/>
      <c r="CJ91" s="53"/>
      <c r="CK91" s="53"/>
      <c r="CL91" s="53"/>
      <c r="CM91" s="53"/>
      <c r="CN91" s="53"/>
      <c r="CO91" s="53"/>
      <c r="CP91" s="53"/>
    </row>
    <row r="92" spans="1:94" ht="15.6" x14ac:dyDescent="0.3">
      <c r="A92" s="94">
        <f>A91+1</f>
        <v>22</v>
      </c>
      <c r="B92" s="53" t="str">
        <f>B80</f>
        <v xml:space="preserve">    First 50 Mcf</v>
      </c>
      <c r="C92" s="131"/>
      <c r="D92" s="165">
        <f>D80+D86</f>
        <v>267674</v>
      </c>
      <c r="E92" s="165">
        <f t="shared" ref="E92:O92" si="12">E80+E86</f>
        <v>278751.2</v>
      </c>
      <c r="F92" s="165">
        <f t="shared" si="12"/>
        <v>227896.5</v>
      </c>
      <c r="G92" s="165">
        <f t="shared" si="12"/>
        <v>149381.79999999999</v>
      </c>
      <c r="H92" s="165">
        <f t="shared" si="12"/>
        <v>76805.7</v>
      </c>
      <c r="I92" s="165">
        <f t="shared" si="12"/>
        <v>48735.1</v>
      </c>
      <c r="J92" s="165">
        <f t="shared" si="12"/>
        <v>38320.5</v>
      </c>
      <c r="K92" s="165">
        <f t="shared" si="12"/>
        <v>36243</v>
      </c>
      <c r="L92" s="165">
        <f t="shared" si="12"/>
        <v>36349</v>
      </c>
      <c r="M92" s="165">
        <f t="shared" si="12"/>
        <v>49862.3</v>
      </c>
      <c r="N92" s="165">
        <f t="shared" si="12"/>
        <v>96888</v>
      </c>
      <c r="O92" s="165">
        <f t="shared" si="12"/>
        <v>195908.3</v>
      </c>
      <c r="P92" s="105">
        <f>SUM(D92:O92)</f>
        <v>1502815.4000000001</v>
      </c>
      <c r="S92" s="135"/>
    </row>
    <row r="93" spans="1:94" ht="15.6" x14ac:dyDescent="0.3">
      <c r="A93" s="94">
        <f>A92+1</f>
        <v>23</v>
      </c>
      <c r="B93" s="53" t="str">
        <f>B81</f>
        <v xml:space="preserve">    Next 350 Mcf</v>
      </c>
      <c r="C93" s="131"/>
      <c r="D93" s="165">
        <f t="shared" ref="D93:O95" si="13">D81+D87</f>
        <v>283489.2</v>
      </c>
      <c r="E93" s="165">
        <f t="shared" si="13"/>
        <v>279296.2</v>
      </c>
      <c r="F93" s="165">
        <f t="shared" si="13"/>
        <v>181833.2</v>
      </c>
      <c r="G93" s="165">
        <f t="shared" si="13"/>
        <v>106946.4</v>
      </c>
      <c r="H93" s="165">
        <f t="shared" si="13"/>
        <v>47813</v>
      </c>
      <c r="I93" s="165">
        <f t="shared" si="13"/>
        <v>28650.6</v>
      </c>
      <c r="J93" s="165">
        <f t="shared" si="13"/>
        <v>16633.3</v>
      </c>
      <c r="K93" s="165">
        <f t="shared" si="13"/>
        <v>15250.7</v>
      </c>
      <c r="L93" s="165">
        <f t="shared" si="13"/>
        <v>14035.7</v>
      </c>
      <c r="M93" s="165">
        <f t="shared" si="13"/>
        <v>24169.7</v>
      </c>
      <c r="N93" s="165">
        <f t="shared" si="13"/>
        <v>64078</v>
      </c>
      <c r="O93" s="165">
        <f t="shared" si="13"/>
        <v>176923</v>
      </c>
      <c r="P93" s="105">
        <f>SUM(D93:O93)</f>
        <v>1239119</v>
      </c>
      <c r="S93" s="135"/>
    </row>
    <row r="94" spans="1:94" ht="15.6" x14ac:dyDescent="0.3">
      <c r="A94" s="94">
        <f>A93+1</f>
        <v>24</v>
      </c>
      <c r="B94" s="53" t="str">
        <f>B82</f>
        <v xml:space="preserve">    Next 600 Mcf</v>
      </c>
      <c r="C94" s="131"/>
      <c r="D94" s="165">
        <f t="shared" si="13"/>
        <v>79219.5</v>
      </c>
      <c r="E94" s="165">
        <f t="shared" si="13"/>
        <v>70800.100000000006</v>
      </c>
      <c r="F94" s="165">
        <f t="shared" si="13"/>
        <v>38109.599999999999</v>
      </c>
      <c r="G94" s="165">
        <f t="shared" si="13"/>
        <v>16494.099999999999</v>
      </c>
      <c r="H94" s="165">
        <f t="shared" si="13"/>
        <v>7331.2</v>
      </c>
      <c r="I94" s="165">
        <f t="shared" si="13"/>
        <v>3286.7</v>
      </c>
      <c r="J94" s="165">
        <f t="shared" si="13"/>
        <v>1774.7</v>
      </c>
      <c r="K94" s="165">
        <f t="shared" si="13"/>
        <v>1292</v>
      </c>
      <c r="L94" s="165">
        <f t="shared" si="13"/>
        <v>1416.5</v>
      </c>
      <c r="M94" s="165">
        <f t="shared" si="13"/>
        <v>3112.1</v>
      </c>
      <c r="N94" s="165">
        <f t="shared" si="13"/>
        <v>8498.7999999999993</v>
      </c>
      <c r="O94" s="165">
        <f t="shared" si="13"/>
        <v>39805.4</v>
      </c>
      <c r="P94" s="105">
        <f>SUM(D94:O94)</f>
        <v>271140.70000000007</v>
      </c>
      <c r="S94" s="135"/>
    </row>
    <row r="95" spans="1:94" ht="15.6" x14ac:dyDescent="0.3">
      <c r="A95" s="94">
        <f>A94+1</f>
        <v>25</v>
      </c>
      <c r="B95" s="53" t="str">
        <f>B83</f>
        <v xml:space="preserve">    Over 1,000 Mcf</v>
      </c>
      <c r="C95" s="131"/>
      <c r="D95" s="140">
        <f t="shared" si="13"/>
        <v>30357.3</v>
      </c>
      <c r="E95" s="140">
        <f t="shared" si="13"/>
        <v>26213.4</v>
      </c>
      <c r="F95" s="140">
        <f t="shared" si="13"/>
        <v>9008.2000000000007</v>
      </c>
      <c r="G95" s="140">
        <f t="shared" si="13"/>
        <v>4479.6000000000004</v>
      </c>
      <c r="H95" s="140">
        <f t="shared" si="13"/>
        <v>2530.3000000000002</v>
      </c>
      <c r="I95" s="140">
        <f t="shared" si="13"/>
        <v>45.9</v>
      </c>
      <c r="J95" s="140">
        <f t="shared" si="13"/>
        <v>0</v>
      </c>
      <c r="K95" s="140">
        <f t="shared" si="13"/>
        <v>0</v>
      </c>
      <c r="L95" s="140">
        <f t="shared" si="13"/>
        <v>0</v>
      </c>
      <c r="M95" s="140">
        <f t="shared" si="13"/>
        <v>0</v>
      </c>
      <c r="N95" s="140">
        <f t="shared" si="13"/>
        <v>1571.1</v>
      </c>
      <c r="O95" s="140">
        <f t="shared" si="13"/>
        <v>10934.2</v>
      </c>
      <c r="P95" s="138">
        <f>SUM(D95:O95)</f>
        <v>85140</v>
      </c>
      <c r="S95" s="135"/>
    </row>
    <row r="96" spans="1:94" ht="15.6" x14ac:dyDescent="0.3">
      <c r="A96" s="94">
        <f>A95+1</f>
        <v>26</v>
      </c>
      <c r="B96" s="68" t="s">
        <v>369</v>
      </c>
      <c r="C96" s="131"/>
      <c r="D96" s="165">
        <f>D84+D90</f>
        <v>660739.99999999988</v>
      </c>
      <c r="E96" s="165">
        <f t="shared" ref="E96:O96" si="14">E84+E90</f>
        <v>655060.9</v>
      </c>
      <c r="F96" s="165">
        <f t="shared" si="14"/>
        <v>456847.5</v>
      </c>
      <c r="G96" s="165">
        <f t="shared" si="14"/>
        <v>277301.89999999997</v>
      </c>
      <c r="H96" s="165">
        <f t="shared" si="14"/>
        <v>134480.19999999998</v>
      </c>
      <c r="I96" s="165">
        <f t="shared" si="14"/>
        <v>80718.299999999988</v>
      </c>
      <c r="J96" s="165">
        <f t="shared" si="14"/>
        <v>56728.5</v>
      </c>
      <c r="K96" s="165">
        <f t="shared" si="14"/>
        <v>52785.7</v>
      </c>
      <c r="L96" s="165">
        <f t="shared" si="14"/>
        <v>51801.2</v>
      </c>
      <c r="M96" s="165">
        <f t="shared" si="14"/>
        <v>77144.100000000006</v>
      </c>
      <c r="N96" s="165">
        <f t="shared" si="14"/>
        <v>171035.9</v>
      </c>
      <c r="O96" s="165">
        <f t="shared" si="14"/>
        <v>423570.9</v>
      </c>
      <c r="P96" s="72">
        <f>SUM(D96:O96)</f>
        <v>3098215.1</v>
      </c>
      <c r="S96" s="135"/>
    </row>
    <row r="97" spans="1:19" ht="15.6" x14ac:dyDescent="0.3">
      <c r="A97" s="94"/>
      <c r="B97" s="68"/>
      <c r="C97" s="131"/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72"/>
      <c r="S97" s="135"/>
    </row>
    <row r="98" spans="1:19" ht="15.6" x14ac:dyDescent="0.3">
      <c r="A98" s="880" t="str">
        <f>CONAME</f>
        <v>Columbia Gas of Kentucky, Inc.</v>
      </c>
      <c r="B98" s="880"/>
      <c r="C98" s="880"/>
      <c r="D98" s="880"/>
      <c r="E98" s="880"/>
      <c r="F98" s="880"/>
      <c r="G98" s="880"/>
      <c r="H98" s="880"/>
      <c r="I98" s="880"/>
      <c r="J98" s="880"/>
      <c r="K98" s="880"/>
      <c r="L98" s="880"/>
      <c r="M98" s="880"/>
      <c r="N98" s="880"/>
      <c r="O98" s="880"/>
      <c r="P98" s="880"/>
      <c r="S98" s="135"/>
    </row>
    <row r="99" spans="1:19" ht="15.6" x14ac:dyDescent="0.3">
      <c r="A99" s="880" t="s">
        <v>197</v>
      </c>
      <c r="B99" s="880"/>
      <c r="C99" s="880"/>
      <c r="D99" s="880"/>
      <c r="E99" s="880"/>
      <c r="F99" s="880"/>
      <c r="G99" s="880"/>
      <c r="H99" s="880"/>
      <c r="I99" s="880"/>
      <c r="J99" s="880"/>
      <c r="K99" s="880"/>
      <c r="L99" s="880"/>
      <c r="M99" s="880"/>
      <c r="N99" s="880"/>
      <c r="O99" s="880"/>
      <c r="P99" s="880"/>
      <c r="S99" s="135"/>
    </row>
    <row r="100" spans="1:19" ht="15.6" x14ac:dyDescent="0.3">
      <c r="A100" s="879" t="str">
        <f>TYDESC</f>
        <v>For the 12 Months Ended December 31, 2017</v>
      </c>
      <c r="B100" s="879"/>
      <c r="C100" s="879"/>
      <c r="D100" s="879"/>
      <c r="E100" s="879"/>
      <c r="F100" s="879"/>
      <c r="G100" s="879"/>
      <c r="H100" s="879"/>
      <c r="I100" s="879"/>
      <c r="J100" s="879"/>
      <c r="K100" s="879"/>
      <c r="L100" s="879"/>
      <c r="M100" s="879"/>
      <c r="N100" s="879"/>
      <c r="O100" s="879"/>
      <c r="P100" s="879"/>
      <c r="S100" s="135"/>
    </row>
    <row r="101" spans="1:19" ht="15.6" x14ac:dyDescent="0.3">
      <c r="A101" s="124"/>
      <c r="B101" s="135"/>
      <c r="C101" s="131"/>
      <c r="D101" s="172"/>
      <c r="E101" s="172"/>
      <c r="F101" s="172"/>
      <c r="G101" s="172"/>
      <c r="H101" s="172"/>
      <c r="I101" s="172"/>
      <c r="J101" s="173"/>
      <c r="K101" s="173"/>
      <c r="L101" s="173"/>
      <c r="M101" s="173"/>
      <c r="N101" s="173"/>
      <c r="O101" s="173"/>
      <c r="P101" s="136"/>
      <c r="S101" s="135"/>
    </row>
    <row r="102" spans="1:19" ht="15.6" x14ac:dyDescent="0.3">
      <c r="A102" s="100" t="str">
        <f>$A$5</f>
        <v>Data: __ Base Period_X_Forecasted Period</v>
      </c>
      <c r="B102" s="53"/>
      <c r="C102" s="108"/>
      <c r="D102" s="108"/>
      <c r="E102" s="108"/>
      <c r="F102" s="108"/>
      <c r="G102" s="96"/>
      <c r="H102" s="96"/>
      <c r="I102" s="96"/>
      <c r="J102" s="96"/>
      <c r="K102" s="96"/>
      <c r="L102" s="96"/>
      <c r="M102" s="96"/>
      <c r="N102" s="96"/>
      <c r="O102" s="96"/>
      <c r="P102" s="330" t="str">
        <f>$P$5</f>
        <v>Workpaper WPM-C.2</v>
      </c>
    </row>
    <row r="103" spans="1:19" ht="15.6" x14ac:dyDescent="0.3">
      <c r="A103" s="100" t="str">
        <f>$A$6</f>
        <v>Type of Filing: X Original _ Update _ Revised</v>
      </c>
      <c r="B103" s="53"/>
      <c r="C103" s="108"/>
      <c r="D103" s="108"/>
      <c r="E103" s="108"/>
      <c r="F103" s="108"/>
      <c r="G103" s="96"/>
      <c r="H103" s="96"/>
      <c r="I103" s="96"/>
      <c r="J103" s="96"/>
      <c r="K103" s="96"/>
      <c r="L103" s="96"/>
      <c r="M103" s="96"/>
      <c r="N103" s="96"/>
      <c r="O103" s="96"/>
      <c r="P103" s="331" t="s">
        <v>374</v>
      </c>
    </row>
    <row r="104" spans="1:19" ht="15.6" x14ac:dyDescent="0.3">
      <c r="A104" s="100" t="str">
        <f>$A$7</f>
        <v>Work Paper Reference No(s):</v>
      </c>
      <c r="B104" s="53"/>
      <c r="C104" s="108"/>
      <c r="D104" s="108"/>
      <c r="E104" s="108"/>
      <c r="F104" s="108"/>
      <c r="G104" s="96"/>
      <c r="H104" s="96"/>
      <c r="I104" s="96"/>
      <c r="J104" s="96"/>
      <c r="K104" s="96"/>
      <c r="L104" s="96"/>
      <c r="M104" s="96"/>
      <c r="N104" s="96"/>
      <c r="O104" s="96"/>
      <c r="P104" s="331"/>
    </row>
    <row r="105" spans="1:19" ht="15.6" x14ac:dyDescent="0.3">
      <c r="A105" s="132" t="str">
        <f>$A$8</f>
        <v>12 Months Forecasted</v>
      </c>
      <c r="B105" s="124"/>
      <c r="C105" s="108"/>
      <c r="D105" s="332"/>
      <c r="E105" s="108"/>
      <c r="F105" s="333"/>
      <c r="G105" s="334"/>
      <c r="H105" s="333"/>
      <c r="I105" s="335"/>
      <c r="J105" s="333"/>
      <c r="K105" s="333"/>
      <c r="L105" s="333"/>
      <c r="M105" s="333"/>
      <c r="N105" s="333"/>
      <c r="O105" s="333"/>
      <c r="P105" s="314"/>
      <c r="Q105" s="124"/>
      <c r="R105" s="124"/>
    </row>
    <row r="106" spans="1:19" ht="15.6" x14ac:dyDescent="0.3">
      <c r="A106" s="93"/>
      <c r="B106" s="124"/>
      <c r="C106" s="108"/>
      <c r="D106" s="332"/>
      <c r="E106" s="108"/>
      <c r="F106" s="333"/>
      <c r="G106" s="334"/>
      <c r="H106" s="333"/>
      <c r="I106" s="335"/>
      <c r="J106" s="333"/>
      <c r="K106" s="333"/>
      <c r="L106" s="333"/>
      <c r="M106" s="333"/>
      <c r="N106" s="333"/>
      <c r="O106" s="333"/>
      <c r="P106" s="314"/>
      <c r="Q106" s="124"/>
      <c r="R106" s="124"/>
    </row>
    <row r="107" spans="1:19" ht="15.6" x14ac:dyDescent="0.3">
      <c r="A107" s="124" t="s">
        <v>1</v>
      </c>
      <c r="B107" s="124"/>
      <c r="C107" s="108"/>
      <c r="D107" s="332"/>
      <c r="E107" s="108"/>
      <c r="F107" s="333"/>
      <c r="G107" s="334"/>
      <c r="H107" s="333"/>
      <c r="I107" s="335"/>
      <c r="J107" s="333"/>
      <c r="K107" s="333"/>
      <c r="L107" s="333"/>
      <c r="M107" s="333"/>
      <c r="N107" s="333"/>
      <c r="O107" s="333"/>
      <c r="P107" s="314"/>
      <c r="Q107" s="135"/>
      <c r="R107" s="135"/>
    </row>
    <row r="108" spans="1:19" ht="15.6" x14ac:dyDescent="0.3">
      <c r="A108" s="316" t="s">
        <v>3</v>
      </c>
      <c r="B108" s="316" t="s">
        <v>4</v>
      </c>
      <c r="C108" s="317" t="s">
        <v>186</v>
      </c>
      <c r="D108" s="318" t="str">
        <f>B!$D$11</f>
        <v>Jan-17</v>
      </c>
      <c r="E108" s="318" t="str">
        <f>B!$E$11</f>
        <v>Feb-17</v>
      </c>
      <c r="F108" s="318" t="str">
        <f>B!$F$11</f>
        <v>Mar-17</v>
      </c>
      <c r="G108" s="318" t="str">
        <f>B!$G$11</f>
        <v>Apr-17</v>
      </c>
      <c r="H108" s="318" t="str">
        <f>B!$H$11</f>
        <v>May-17</v>
      </c>
      <c r="I108" s="318" t="str">
        <f>B!$I$11</f>
        <v>Jun-17</v>
      </c>
      <c r="J108" s="318" t="str">
        <f>B!$J$11</f>
        <v>Jul-17</v>
      </c>
      <c r="K108" s="318" t="str">
        <f>B!$K$11</f>
        <v>Aug-17</v>
      </c>
      <c r="L108" s="318" t="str">
        <f>B!$L$11</f>
        <v>Sep-17</v>
      </c>
      <c r="M108" s="318" t="str">
        <f>B!$M$11</f>
        <v>Oct-17</v>
      </c>
      <c r="N108" s="318" t="str">
        <f>B!$N$11</f>
        <v>Nov-17</v>
      </c>
      <c r="O108" s="318" t="str">
        <f>B!$O$11</f>
        <v>Dec-17</v>
      </c>
      <c r="P108" s="218" t="s">
        <v>9</v>
      </c>
      <c r="S108" s="215"/>
    </row>
    <row r="109" spans="1:19" ht="15.6" x14ac:dyDescent="0.3">
      <c r="A109" s="124"/>
      <c r="B109" s="135" t="s">
        <v>42</v>
      </c>
      <c r="C109" s="131" t="s">
        <v>43</v>
      </c>
      <c r="D109" s="313" t="s">
        <v>45</v>
      </c>
      <c r="E109" s="313" t="s">
        <v>46</v>
      </c>
      <c r="F109" s="313" t="s">
        <v>49</v>
      </c>
      <c r="G109" s="313" t="s">
        <v>50</v>
      </c>
      <c r="H109" s="313" t="s">
        <v>51</v>
      </c>
      <c r="I109" s="313" t="s">
        <v>52</v>
      </c>
      <c r="J109" s="313" t="s">
        <v>53</v>
      </c>
      <c r="K109" s="136" t="s">
        <v>54</v>
      </c>
      <c r="L109" s="136" t="s">
        <v>55</v>
      </c>
      <c r="M109" s="136" t="s">
        <v>56</v>
      </c>
      <c r="N109" s="136" t="s">
        <v>57</v>
      </c>
      <c r="O109" s="136" t="s">
        <v>58</v>
      </c>
      <c r="P109" s="136" t="s">
        <v>59</v>
      </c>
      <c r="S109" s="135"/>
    </row>
    <row r="110" spans="1:19" ht="15.6" x14ac:dyDescent="0.3">
      <c r="A110" s="124"/>
      <c r="B110" s="135"/>
      <c r="C110" s="131"/>
      <c r="D110" s="172"/>
      <c r="E110" s="172"/>
      <c r="F110" s="172"/>
      <c r="G110" s="172"/>
      <c r="H110" s="172"/>
      <c r="I110" s="172"/>
      <c r="J110" s="173"/>
      <c r="K110" s="173"/>
      <c r="L110" s="173"/>
      <c r="M110" s="173"/>
      <c r="N110" s="173"/>
      <c r="O110" s="173"/>
      <c r="P110" s="136"/>
      <c r="S110" s="135"/>
    </row>
    <row r="111" spans="1:19" ht="15.6" x14ac:dyDescent="0.3">
      <c r="A111" s="94">
        <f>A109+1</f>
        <v>1</v>
      </c>
      <c r="B111" s="52" t="s">
        <v>264</v>
      </c>
      <c r="C111" s="133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53"/>
    </row>
    <row r="112" spans="1:19" x14ac:dyDescent="0.25">
      <c r="A112" s="94">
        <f>A111+1</f>
        <v>2</v>
      </c>
      <c r="B112" s="53" t="s">
        <v>368</v>
      </c>
      <c r="C112" s="133"/>
      <c r="D112" s="312"/>
      <c r="E112" s="312"/>
      <c r="F112" s="312"/>
      <c r="G112" s="329"/>
      <c r="H112" s="329"/>
      <c r="I112" s="329"/>
      <c r="J112" s="329"/>
      <c r="K112" s="329"/>
      <c r="L112" s="329"/>
      <c r="M112" s="312"/>
      <c r="N112" s="312"/>
      <c r="O112" s="312"/>
      <c r="P112" s="106"/>
    </row>
    <row r="113" spans="1:94" x14ac:dyDescent="0.25">
      <c r="A113" s="94">
        <f>A112+1</f>
        <v>3</v>
      </c>
      <c r="B113" s="336" t="s">
        <v>255</v>
      </c>
      <c r="C113" s="133"/>
      <c r="D113" s="329">
        <v>1558.9</v>
      </c>
      <c r="E113" s="312">
        <v>1551.3</v>
      </c>
      <c r="F113" s="312">
        <v>1600.8</v>
      </c>
      <c r="G113" s="329">
        <v>1363.3</v>
      </c>
      <c r="H113" s="329">
        <v>1020.7</v>
      </c>
      <c r="I113" s="329">
        <v>766.7</v>
      </c>
      <c r="J113" s="329">
        <v>635.29999999999995</v>
      </c>
      <c r="K113" s="329">
        <v>732.2</v>
      </c>
      <c r="L113" s="329">
        <v>790.1</v>
      </c>
      <c r="M113" s="312">
        <v>900</v>
      </c>
      <c r="N113" s="312">
        <v>1284.4000000000001</v>
      </c>
      <c r="O113" s="312">
        <v>1486.5</v>
      </c>
      <c r="P113" s="72">
        <f>SUM(D113:O113)</f>
        <v>13690.2</v>
      </c>
    </row>
    <row r="114" spans="1:94" x14ac:dyDescent="0.25">
      <c r="A114" s="94">
        <f>A113+1</f>
        <v>4</v>
      </c>
      <c r="B114" s="336" t="s">
        <v>256</v>
      </c>
      <c r="C114" s="133"/>
      <c r="D114" s="329">
        <v>6098.9</v>
      </c>
      <c r="E114" s="312">
        <v>4956.8</v>
      </c>
      <c r="F114" s="312">
        <v>5106.3999999999996</v>
      </c>
      <c r="G114" s="329">
        <v>5165.5</v>
      </c>
      <c r="H114" s="329">
        <v>3527.2</v>
      </c>
      <c r="I114" s="329">
        <v>3061.5</v>
      </c>
      <c r="J114" s="329">
        <v>3237.7</v>
      </c>
      <c r="K114" s="329">
        <v>3639.2</v>
      </c>
      <c r="L114" s="329">
        <v>3340.5</v>
      </c>
      <c r="M114" s="312">
        <v>3872.5</v>
      </c>
      <c r="N114" s="312">
        <v>4518</v>
      </c>
      <c r="O114" s="312">
        <v>4871.8999999999996</v>
      </c>
      <c r="P114" s="72">
        <f>SUM(D114:O114)</f>
        <v>51396.1</v>
      </c>
    </row>
    <row r="115" spans="1:94" x14ac:dyDescent="0.25">
      <c r="A115" s="94">
        <f>A114+1</f>
        <v>5</v>
      </c>
      <c r="B115" s="336" t="s">
        <v>257</v>
      </c>
      <c r="C115" s="133"/>
      <c r="D115" s="329">
        <v>3257.5</v>
      </c>
      <c r="E115" s="312">
        <v>3260.1</v>
      </c>
      <c r="F115" s="312">
        <v>3350.7</v>
      </c>
      <c r="G115" s="329">
        <v>3077.9</v>
      </c>
      <c r="H115" s="329">
        <v>3045.7</v>
      </c>
      <c r="I115" s="329">
        <v>2835</v>
      </c>
      <c r="J115" s="329">
        <v>3210.5</v>
      </c>
      <c r="K115" s="329">
        <v>3672.2</v>
      </c>
      <c r="L115" s="329">
        <v>3819</v>
      </c>
      <c r="M115" s="312">
        <v>4119.7</v>
      </c>
      <c r="N115" s="312">
        <v>3007.2</v>
      </c>
      <c r="O115" s="312">
        <v>2833.4</v>
      </c>
      <c r="P115" s="72">
        <f>SUM(D115:O115)</f>
        <v>39488.899999999994</v>
      </c>
    </row>
    <row r="116" spans="1:94" ht="16.8" x14ac:dyDescent="0.4">
      <c r="A116" s="94">
        <f>A115+1</f>
        <v>6</v>
      </c>
      <c r="B116" s="336" t="s">
        <v>258</v>
      </c>
      <c r="C116" s="133"/>
      <c r="D116" s="337">
        <v>2084.9</v>
      </c>
      <c r="E116" s="337">
        <v>2231.6999999999998</v>
      </c>
      <c r="F116" s="337">
        <v>942.1</v>
      </c>
      <c r="G116" s="337">
        <v>393.2</v>
      </c>
      <c r="H116" s="337">
        <v>1406.7</v>
      </c>
      <c r="I116" s="337">
        <v>1336.7</v>
      </c>
      <c r="J116" s="337">
        <v>916.4</v>
      </c>
      <c r="K116" s="337">
        <v>956.6</v>
      </c>
      <c r="L116" s="337">
        <v>1050.5999999999999</v>
      </c>
      <c r="M116" s="337">
        <v>2107.6999999999998</v>
      </c>
      <c r="N116" s="337">
        <v>2190.4</v>
      </c>
      <c r="O116" s="337">
        <v>1808.3</v>
      </c>
      <c r="P116" s="138">
        <f>SUM(D116:O116)</f>
        <v>17425.300000000003</v>
      </c>
    </row>
    <row r="117" spans="1:94" x14ac:dyDescent="0.25">
      <c r="A117" s="94"/>
      <c r="B117" s="336"/>
      <c r="C117" s="133"/>
      <c r="D117" s="105">
        <f t="shared" ref="D117:O117" si="15">SUM(D113:D116)</f>
        <v>13000.199999999999</v>
      </c>
      <c r="E117" s="105">
        <f t="shared" si="15"/>
        <v>11999.900000000001</v>
      </c>
      <c r="F117" s="105">
        <f t="shared" si="15"/>
        <v>11000</v>
      </c>
      <c r="G117" s="105">
        <f t="shared" si="15"/>
        <v>9999.9000000000015</v>
      </c>
      <c r="H117" s="105">
        <f t="shared" si="15"/>
        <v>9000.2999999999993</v>
      </c>
      <c r="I117" s="105">
        <f t="shared" si="15"/>
        <v>7999.9</v>
      </c>
      <c r="J117" s="105">
        <f t="shared" si="15"/>
        <v>7999.9</v>
      </c>
      <c r="K117" s="105">
        <f t="shared" si="15"/>
        <v>9000.1999999999989</v>
      </c>
      <c r="L117" s="105">
        <f t="shared" si="15"/>
        <v>9000.2000000000007</v>
      </c>
      <c r="M117" s="105">
        <f t="shared" si="15"/>
        <v>10999.900000000001</v>
      </c>
      <c r="N117" s="105">
        <f t="shared" si="15"/>
        <v>10999.999999999998</v>
      </c>
      <c r="O117" s="105">
        <f t="shared" si="15"/>
        <v>11000.099999999999</v>
      </c>
      <c r="P117" s="72">
        <f>SUM(D117:O117)</f>
        <v>122000.5</v>
      </c>
    </row>
    <row r="118" spans="1:94" x14ac:dyDescent="0.25">
      <c r="A118" s="94">
        <f>A116+1</f>
        <v>7</v>
      </c>
      <c r="B118" s="53" t="s">
        <v>244</v>
      </c>
      <c r="C118" s="143" t="s">
        <v>371</v>
      </c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72"/>
    </row>
    <row r="119" spans="1:94" x14ac:dyDescent="0.25">
      <c r="A119" s="94">
        <f>A118+1</f>
        <v>8</v>
      </c>
      <c r="B119" s="53" t="str">
        <f>B113</f>
        <v xml:space="preserve">    First 50 Mcf</v>
      </c>
      <c r="C119" s="143"/>
      <c r="D119" s="339">
        <f>'D pg 1'!D36</f>
        <v>150</v>
      </c>
      <c r="E119" s="339">
        <f>'D pg 1'!E36</f>
        <v>150</v>
      </c>
      <c r="F119" s="339">
        <f>'D pg 1'!F36</f>
        <v>150</v>
      </c>
      <c r="G119" s="339">
        <f>'D pg 1'!G36</f>
        <v>150</v>
      </c>
      <c r="H119" s="339">
        <f>'D pg 1'!H36</f>
        <v>150</v>
      </c>
      <c r="I119" s="339">
        <f>'D pg 1'!I36</f>
        <v>150</v>
      </c>
      <c r="J119" s="339">
        <f>'D pg 1'!J36</f>
        <v>150</v>
      </c>
      <c r="K119" s="339">
        <f>'D pg 1'!K36</f>
        <v>150</v>
      </c>
      <c r="L119" s="339">
        <f>'D pg 1'!L36</f>
        <v>150</v>
      </c>
      <c r="M119" s="339">
        <f>'D pg 1'!M36</f>
        <v>150</v>
      </c>
      <c r="N119" s="339">
        <f>'D pg 1'!N36</f>
        <v>150</v>
      </c>
      <c r="O119" s="339">
        <f>'D pg 1'!O36</f>
        <v>150</v>
      </c>
      <c r="P119" s="72">
        <f>SUM(D119:O119)</f>
        <v>1800</v>
      </c>
    </row>
    <row r="120" spans="1:94" x14ac:dyDescent="0.25">
      <c r="A120" s="94">
        <f>A119+1</f>
        <v>9</v>
      </c>
      <c r="B120" s="53" t="str">
        <f>B114</f>
        <v xml:space="preserve">    Next 350 Mcf</v>
      </c>
      <c r="C120" s="143"/>
      <c r="D120" s="339">
        <f>'D pg 1'!D37</f>
        <v>1050</v>
      </c>
      <c r="E120" s="339">
        <f>'D pg 1'!E37</f>
        <v>1050</v>
      </c>
      <c r="F120" s="339">
        <f>'D pg 1'!F37</f>
        <v>1050</v>
      </c>
      <c r="G120" s="339">
        <f>'D pg 1'!G37</f>
        <v>1050</v>
      </c>
      <c r="H120" s="339">
        <f>'D pg 1'!H37</f>
        <v>1050</v>
      </c>
      <c r="I120" s="339">
        <f>'D pg 1'!I37</f>
        <v>1050</v>
      </c>
      <c r="J120" s="339">
        <f>'D pg 1'!J37</f>
        <v>1050</v>
      </c>
      <c r="K120" s="339">
        <f>'D pg 1'!K37</f>
        <v>1050</v>
      </c>
      <c r="L120" s="339">
        <f>'D pg 1'!L37</f>
        <v>1050</v>
      </c>
      <c r="M120" s="339">
        <f>'D pg 1'!M37</f>
        <v>1050</v>
      </c>
      <c r="N120" s="339">
        <f>'D pg 1'!N37</f>
        <v>1050</v>
      </c>
      <c r="O120" s="339">
        <f>'D pg 1'!O37</f>
        <v>1050</v>
      </c>
      <c r="P120" s="72">
        <f>SUM(D120:O120)</f>
        <v>12600</v>
      </c>
    </row>
    <row r="121" spans="1:94" x14ac:dyDescent="0.25">
      <c r="A121" s="94">
        <f>A120+1</f>
        <v>10</v>
      </c>
      <c r="B121" s="53" t="str">
        <f>B115</f>
        <v xml:space="preserve">    Next 600 Mcf</v>
      </c>
      <c r="C121" s="143"/>
      <c r="D121" s="339">
        <f>'D pg 1'!D38</f>
        <v>1800</v>
      </c>
      <c r="E121" s="339">
        <f>'D pg 1'!E38</f>
        <v>1800</v>
      </c>
      <c r="F121" s="339">
        <f>'D pg 1'!F38</f>
        <v>1700</v>
      </c>
      <c r="G121" s="339">
        <f>'D pg 1'!G38</f>
        <v>1600</v>
      </c>
      <c r="H121" s="339">
        <f>'D pg 1'!H38</f>
        <v>1600</v>
      </c>
      <c r="I121" s="339">
        <f>'D pg 1'!I38</f>
        <v>1550</v>
      </c>
      <c r="J121" s="339">
        <f>'D pg 1'!J38</f>
        <v>1550</v>
      </c>
      <c r="K121" s="339">
        <f>'D pg 1'!K38</f>
        <v>1550</v>
      </c>
      <c r="L121" s="339">
        <f>'D pg 1'!L38</f>
        <v>1550</v>
      </c>
      <c r="M121" s="339">
        <f>'D pg 1'!M38</f>
        <v>1650</v>
      </c>
      <c r="N121" s="339">
        <f>'D pg 1'!N38</f>
        <v>1700</v>
      </c>
      <c r="O121" s="339">
        <f>'D pg 1'!O38</f>
        <v>1800</v>
      </c>
      <c r="P121" s="72">
        <f>SUM(D121:O121)</f>
        <v>19850</v>
      </c>
    </row>
    <row r="122" spans="1:94" x14ac:dyDescent="0.25">
      <c r="A122" s="94">
        <f>A121+1</f>
        <v>11</v>
      </c>
      <c r="B122" s="53" t="str">
        <f>B116</f>
        <v xml:space="preserve">    Over 1,000 Mcf</v>
      </c>
      <c r="C122" s="143"/>
      <c r="D122" s="340">
        <f>'D pg 1'!D39</f>
        <v>17000</v>
      </c>
      <c r="E122" s="340">
        <f>'D pg 1'!E39</f>
        <v>17000</v>
      </c>
      <c r="F122" s="340">
        <f>'D pg 1'!F39</f>
        <v>17000</v>
      </c>
      <c r="G122" s="340">
        <f>'D pg 1'!G39</f>
        <v>17000</v>
      </c>
      <c r="H122" s="340">
        <f>'D pg 1'!H39</f>
        <v>17000</v>
      </c>
      <c r="I122" s="340">
        <f>'D pg 1'!I39</f>
        <v>17000</v>
      </c>
      <c r="J122" s="340">
        <f>'D pg 1'!J39</f>
        <v>17000</v>
      </c>
      <c r="K122" s="340">
        <f>'D pg 1'!K39</f>
        <v>17000</v>
      </c>
      <c r="L122" s="340">
        <f>'D pg 1'!L39</f>
        <v>17000</v>
      </c>
      <c r="M122" s="340">
        <f>'D pg 1'!M39</f>
        <v>17000</v>
      </c>
      <c r="N122" s="340">
        <f>'D pg 1'!N39</f>
        <v>17000</v>
      </c>
      <c r="O122" s="340">
        <f>'D pg 1'!O39</f>
        <v>17000</v>
      </c>
      <c r="P122" s="138">
        <f>SUM(D122:O122)</f>
        <v>204000</v>
      </c>
    </row>
    <row r="123" spans="1:94" x14ac:dyDescent="0.25">
      <c r="A123" s="94"/>
      <c r="B123" s="53"/>
      <c r="C123" s="143"/>
      <c r="D123" s="72">
        <f t="shared" ref="D123:O123" si="16">SUM(D119:D122)</f>
        <v>20000</v>
      </c>
      <c r="E123" s="72">
        <f t="shared" si="16"/>
        <v>20000</v>
      </c>
      <c r="F123" s="72">
        <f t="shared" si="16"/>
        <v>19900</v>
      </c>
      <c r="G123" s="72">
        <f t="shared" si="16"/>
        <v>19800</v>
      </c>
      <c r="H123" s="72">
        <f t="shared" si="16"/>
        <v>19800</v>
      </c>
      <c r="I123" s="72">
        <f t="shared" si="16"/>
        <v>19750</v>
      </c>
      <c r="J123" s="72">
        <f t="shared" si="16"/>
        <v>19750</v>
      </c>
      <c r="K123" s="72">
        <f t="shared" si="16"/>
        <v>19750</v>
      </c>
      <c r="L123" s="72">
        <f t="shared" si="16"/>
        <v>19750</v>
      </c>
      <c r="M123" s="72">
        <f t="shared" si="16"/>
        <v>19850</v>
      </c>
      <c r="N123" s="72">
        <f t="shared" si="16"/>
        <v>19900</v>
      </c>
      <c r="O123" s="72">
        <f t="shared" si="16"/>
        <v>20000</v>
      </c>
      <c r="P123" s="72">
        <f>SUM(D123:O123)</f>
        <v>238250</v>
      </c>
    </row>
    <row r="124" spans="1:94" s="103" customFormat="1" ht="15.6" x14ac:dyDescent="0.3">
      <c r="A124" s="94">
        <f>A122+1</f>
        <v>12</v>
      </c>
      <c r="B124" s="53" t="s">
        <v>263</v>
      </c>
      <c r="C124" s="108"/>
      <c r="D124" s="105"/>
      <c r="E124" s="105"/>
      <c r="F124" s="105"/>
      <c r="G124" s="72"/>
      <c r="H124" s="72"/>
      <c r="I124" s="72"/>
      <c r="J124" s="72"/>
      <c r="K124" s="72"/>
      <c r="L124" s="72"/>
      <c r="M124" s="105"/>
      <c r="N124" s="105"/>
      <c r="O124" s="105"/>
      <c r="P124" s="106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  <c r="BT124" s="53"/>
      <c r="BU124" s="53"/>
      <c r="BV124" s="53"/>
      <c r="BW124" s="53"/>
      <c r="BX124" s="53"/>
      <c r="BY124" s="53"/>
      <c r="BZ124" s="53"/>
      <c r="CA124" s="53"/>
      <c r="CB124" s="53"/>
      <c r="CC124" s="53"/>
      <c r="CD124" s="53"/>
      <c r="CE124" s="53"/>
      <c r="CF124" s="53"/>
      <c r="CG124" s="53"/>
      <c r="CH124" s="53"/>
      <c r="CI124" s="53"/>
      <c r="CJ124" s="53"/>
      <c r="CK124" s="53"/>
      <c r="CL124" s="53"/>
      <c r="CM124" s="53"/>
      <c r="CN124" s="53"/>
      <c r="CO124" s="53"/>
      <c r="CP124" s="53"/>
    </row>
    <row r="125" spans="1:94" ht="15.6" x14ac:dyDescent="0.3">
      <c r="A125" s="94">
        <f>A124+1</f>
        <v>13</v>
      </c>
      <c r="B125" s="53" t="str">
        <f>B113</f>
        <v xml:space="preserve">    First 50 Mcf</v>
      </c>
      <c r="C125" s="131"/>
      <c r="D125" s="165">
        <f t="shared" ref="D125:O125" si="17">D113+D119</f>
        <v>1708.9</v>
      </c>
      <c r="E125" s="165">
        <f t="shared" si="17"/>
        <v>1701.3</v>
      </c>
      <c r="F125" s="165">
        <f t="shared" si="17"/>
        <v>1750.8</v>
      </c>
      <c r="G125" s="165">
        <f t="shared" si="17"/>
        <v>1513.3</v>
      </c>
      <c r="H125" s="165">
        <f t="shared" si="17"/>
        <v>1170.7</v>
      </c>
      <c r="I125" s="165">
        <f t="shared" si="17"/>
        <v>916.7</v>
      </c>
      <c r="J125" s="165">
        <f t="shared" si="17"/>
        <v>785.3</v>
      </c>
      <c r="K125" s="165">
        <f t="shared" si="17"/>
        <v>882.2</v>
      </c>
      <c r="L125" s="165">
        <f t="shared" si="17"/>
        <v>940.1</v>
      </c>
      <c r="M125" s="165">
        <f t="shared" si="17"/>
        <v>1050</v>
      </c>
      <c r="N125" s="165">
        <f t="shared" si="17"/>
        <v>1434.4</v>
      </c>
      <c r="O125" s="165">
        <f t="shared" si="17"/>
        <v>1636.5</v>
      </c>
      <c r="P125" s="105">
        <f>SUM(D125:O125)</f>
        <v>15490.2</v>
      </c>
      <c r="S125" s="135"/>
    </row>
    <row r="126" spans="1:94" ht="15.6" x14ac:dyDescent="0.3">
      <c r="A126" s="94">
        <f>A125+1</f>
        <v>14</v>
      </c>
      <c r="B126" s="53" t="str">
        <f>B114</f>
        <v xml:space="preserve">    Next 350 Mcf</v>
      </c>
      <c r="C126" s="131"/>
      <c r="D126" s="165">
        <f t="shared" ref="D126:O126" si="18">D114+D120</f>
        <v>7148.9</v>
      </c>
      <c r="E126" s="165">
        <f t="shared" si="18"/>
        <v>6006.8</v>
      </c>
      <c r="F126" s="165">
        <f t="shared" si="18"/>
        <v>6156.4</v>
      </c>
      <c r="G126" s="165">
        <f t="shared" si="18"/>
        <v>6215.5</v>
      </c>
      <c r="H126" s="165">
        <f t="shared" si="18"/>
        <v>4577.2</v>
      </c>
      <c r="I126" s="165">
        <f t="shared" si="18"/>
        <v>4111.5</v>
      </c>
      <c r="J126" s="165">
        <f t="shared" si="18"/>
        <v>4287.7</v>
      </c>
      <c r="K126" s="165">
        <f t="shared" si="18"/>
        <v>4689.2</v>
      </c>
      <c r="L126" s="165">
        <f t="shared" si="18"/>
        <v>4390.5</v>
      </c>
      <c r="M126" s="165">
        <f t="shared" si="18"/>
        <v>4922.5</v>
      </c>
      <c r="N126" s="165">
        <f t="shared" si="18"/>
        <v>5568</v>
      </c>
      <c r="O126" s="165">
        <f t="shared" si="18"/>
        <v>5921.9</v>
      </c>
      <c r="P126" s="105">
        <f>SUM(D126:O126)</f>
        <v>63996.1</v>
      </c>
      <c r="S126" s="135"/>
    </row>
    <row r="127" spans="1:94" ht="15.6" x14ac:dyDescent="0.3">
      <c r="A127" s="94">
        <f>A126+1</f>
        <v>15</v>
      </c>
      <c r="B127" s="53" t="str">
        <f>B115</f>
        <v xml:space="preserve">    Next 600 Mcf</v>
      </c>
      <c r="C127" s="131"/>
      <c r="D127" s="165">
        <f t="shared" ref="D127:O127" si="19">D115+D121</f>
        <v>5057.5</v>
      </c>
      <c r="E127" s="165">
        <f t="shared" si="19"/>
        <v>5060.1000000000004</v>
      </c>
      <c r="F127" s="165">
        <f t="shared" si="19"/>
        <v>5050.7</v>
      </c>
      <c r="G127" s="165">
        <f t="shared" si="19"/>
        <v>4677.8999999999996</v>
      </c>
      <c r="H127" s="165">
        <f t="shared" si="19"/>
        <v>4645.7</v>
      </c>
      <c r="I127" s="165">
        <f t="shared" si="19"/>
        <v>4385</v>
      </c>
      <c r="J127" s="165">
        <f t="shared" si="19"/>
        <v>4760.5</v>
      </c>
      <c r="K127" s="165">
        <f t="shared" si="19"/>
        <v>5222.2</v>
      </c>
      <c r="L127" s="165">
        <f t="shared" si="19"/>
        <v>5369</v>
      </c>
      <c r="M127" s="165">
        <f t="shared" si="19"/>
        <v>5769.7</v>
      </c>
      <c r="N127" s="165">
        <f t="shared" si="19"/>
        <v>4707.2</v>
      </c>
      <c r="O127" s="165">
        <f t="shared" si="19"/>
        <v>4633.3999999999996</v>
      </c>
      <c r="P127" s="105">
        <f>SUM(D127:O127)</f>
        <v>59338.899999999987</v>
      </c>
      <c r="S127" s="135"/>
    </row>
    <row r="128" spans="1:94" ht="15.6" x14ac:dyDescent="0.3">
      <c r="A128" s="94">
        <f>A127+1</f>
        <v>16</v>
      </c>
      <c r="B128" s="53" t="str">
        <f>B116</f>
        <v xml:space="preserve">    Over 1,000 Mcf</v>
      </c>
      <c r="C128" s="131"/>
      <c r="D128" s="140">
        <f t="shared" ref="D128:O128" si="20">D116+D122</f>
        <v>19084.900000000001</v>
      </c>
      <c r="E128" s="140">
        <f t="shared" si="20"/>
        <v>19231.7</v>
      </c>
      <c r="F128" s="140">
        <f t="shared" si="20"/>
        <v>17942.099999999999</v>
      </c>
      <c r="G128" s="140">
        <f t="shared" si="20"/>
        <v>17393.2</v>
      </c>
      <c r="H128" s="140">
        <f t="shared" si="20"/>
        <v>18406.7</v>
      </c>
      <c r="I128" s="140">
        <f t="shared" si="20"/>
        <v>18336.7</v>
      </c>
      <c r="J128" s="140">
        <f t="shared" si="20"/>
        <v>17916.400000000001</v>
      </c>
      <c r="K128" s="140">
        <f t="shared" si="20"/>
        <v>17956.599999999999</v>
      </c>
      <c r="L128" s="140">
        <f t="shared" si="20"/>
        <v>18050.599999999999</v>
      </c>
      <c r="M128" s="140">
        <f t="shared" si="20"/>
        <v>19107.7</v>
      </c>
      <c r="N128" s="140">
        <f t="shared" si="20"/>
        <v>19190.400000000001</v>
      </c>
      <c r="O128" s="140">
        <f t="shared" si="20"/>
        <v>18808.3</v>
      </c>
      <c r="P128" s="138">
        <f>SUM(D128:O128)</f>
        <v>221425.30000000002</v>
      </c>
      <c r="S128" s="135"/>
    </row>
    <row r="129" spans="1:19" ht="15.6" x14ac:dyDescent="0.3">
      <c r="A129" s="94">
        <f>A128+1</f>
        <v>17</v>
      </c>
      <c r="B129" s="211" t="s">
        <v>369</v>
      </c>
      <c r="C129" s="131"/>
      <c r="D129" s="72">
        <f t="shared" ref="D129:O129" si="21">D117+D123</f>
        <v>33000.199999999997</v>
      </c>
      <c r="E129" s="72">
        <f t="shared" si="21"/>
        <v>31999.9</v>
      </c>
      <c r="F129" s="72">
        <f t="shared" si="21"/>
        <v>30900</v>
      </c>
      <c r="G129" s="72">
        <f t="shared" si="21"/>
        <v>29799.9</v>
      </c>
      <c r="H129" s="72">
        <f t="shared" si="21"/>
        <v>28800.3</v>
      </c>
      <c r="I129" s="72">
        <f t="shared" si="21"/>
        <v>27749.9</v>
      </c>
      <c r="J129" s="72">
        <f t="shared" si="21"/>
        <v>27749.9</v>
      </c>
      <c r="K129" s="72">
        <f t="shared" si="21"/>
        <v>28750.199999999997</v>
      </c>
      <c r="L129" s="72">
        <f t="shared" si="21"/>
        <v>28750.2</v>
      </c>
      <c r="M129" s="72">
        <f t="shared" si="21"/>
        <v>30849.9</v>
      </c>
      <c r="N129" s="72">
        <f t="shared" si="21"/>
        <v>30900</v>
      </c>
      <c r="O129" s="72">
        <f t="shared" si="21"/>
        <v>31000.1</v>
      </c>
      <c r="P129" s="72">
        <f>SUM(D129:O129)</f>
        <v>360250.5</v>
      </c>
      <c r="S129" s="135"/>
    </row>
    <row r="130" spans="1:19" ht="15.6" x14ac:dyDescent="0.3">
      <c r="A130" s="124"/>
      <c r="B130" s="135"/>
      <c r="C130" s="131"/>
      <c r="D130" s="172"/>
      <c r="E130" s="172"/>
      <c r="F130" s="172"/>
      <c r="G130" s="172"/>
      <c r="H130" s="172"/>
      <c r="I130" s="172"/>
      <c r="J130" s="173"/>
      <c r="K130" s="173"/>
      <c r="L130" s="173"/>
      <c r="M130" s="173"/>
      <c r="N130" s="173"/>
      <c r="O130" s="173"/>
      <c r="P130" s="136"/>
      <c r="S130" s="135"/>
    </row>
    <row r="131" spans="1:19" ht="15.6" x14ac:dyDescent="0.3">
      <c r="A131" s="94">
        <f>A129+1</f>
        <v>18</v>
      </c>
      <c r="B131" s="52" t="s">
        <v>284</v>
      </c>
      <c r="C131" s="133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53"/>
      <c r="S131" s="135"/>
    </row>
    <row r="132" spans="1:19" ht="15.6" x14ac:dyDescent="0.3">
      <c r="A132" s="94">
        <f>A131+1</f>
        <v>19</v>
      </c>
      <c r="B132" s="53" t="s">
        <v>368</v>
      </c>
      <c r="C132" s="133"/>
      <c r="D132" s="329"/>
      <c r="E132" s="329"/>
      <c r="F132" s="329"/>
      <c r="G132" s="329"/>
      <c r="H132" s="329"/>
      <c r="I132" s="329"/>
      <c r="J132" s="329"/>
      <c r="K132" s="329"/>
      <c r="L132" s="329"/>
      <c r="M132" s="329"/>
      <c r="N132" s="329"/>
      <c r="O132" s="329"/>
      <c r="P132" s="53"/>
      <c r="S132" s="135"/>
    </row>
    <row r="133" spans="1:19" ht="15.6" x14ac:dyDescent="0.3">
      <c r="A133" s="94">
        <f>A132+1</f>
        <v>20</v>
      </c>
      <c r="B133" s="336" t="s">
        <v>269</v>
      </c>
      <c r="C133" s="133"/>
      <c r="D133" s="329">
        <v>0</v>
      </c>
      <c r="E133" s="329">
        <v>0</v>
      </c>
      <c r="F133" s="329">
        <v>0</v>
      </c>
      <c r="G133" s="329">
        <v>0</v>
      </c>
      <c r="H133" s="329">
        <v>0</v>
      </c>
      <c r="I133" s="329">
        <v>0</v>
      </c>
      <c r="J133" s="329">
        <v>0</v>
      </c>
      <c r="K133" s="329">
        <v>0</v>
      </c>
      <c r="L133" s="329">
        <v>0</v>
      </c>
      <c r="M133" s="329">
        <v>0</v>
      </c>
      <c r="N133" s="329">
        <v>0</v>
      </c>
      <c r="O133" s="329">
        <v>0</v>
      </c>
      <c r="P133" s="72">
        <f>SUM(D133:O133)</f>
        <v>0</v>
      </c>
      <c r="S133" s="135"/>
    </row>
    <row r="134" spans="1:19" ht="15.6" x14ac:dyDescent="0.3">
      <c r="A134" s="94">
        <f>A133+1</f>
        <v>21</v>
      </c>
      <c r="B134" s="336" t="s">
        <v>270</v>
      </c>
      <c r="C134" s="133"/>
      <c r="D134" s="338">
        <v>0</v>
      </c>
      <c r="E134" s="338">
        <v>0</v>
      </c>
      <c r="F134" s="338">
        <v>0</v>
      </c>
      <c r="G134" s="338">
        <v>0</v>
      </c>
      <c r="H134" s="338">
        <v>0</v>
      </c>
      <c r="I134" s="338">
        <v>0</v>
      </c>
      <c r="J134" s="338">
        <v>0</v>
      </c>
      <c r="K134" s="338">
        <v>0</v>
      </c>
      <c r="L134" s="338">
        <v>0</v>
      </c>
      <c r="M134" s="338">
        <v>0</v>
      </c>
      <c r="N134" s="338">
        <v>0</v>
      </c>
      <c r="O134" s="338">
        <v>0</v>
      </c>
      <c r="P134" s="138">
        <f>SUM(D134:O134)</f>
        <v>0</v>
      </c>
      <c r="S134" s="135"/>
    </row>
    <row r="135" spans="1:19" ht="15.6" x14ac:dyDescent="0.3">
      <c r="A135" s="94">
        <f>A134+1</f>
        <v>22</v>
      </c>
      <c r="B135" s="53" t="s">
        <v>220</v>
      </c>
      <c r="C135" s="133"/>
      <c r="D135" s="72">
        <f t="shared" ref="D135:N135" si="22">SUM(D133:D134)</f>
        <v>0</v>
      </c>
      <c r="E135" s="72">
        <f t="shared" si="22"/>
        <v>0</v>
      </c>
      <c r="F135" s="72">
        <f t="shared" si="22"/>
        <v>0</v>
      </c>
      <c r="G135" s="72">
        <f t="shared" si="22"/>
        <v>0</v>
      </c>
      <c r="H135" s="72">
        <f t="shared" si="22"/>
        <v>0</v>
      </c>
      <c r="I135" s="72">
        <f t="shared" si="22"/>
        <v>0</v>
      </c>
      <c r="J135" s="72">
        <f t="shared" si="22"/>
        <v>0</v>
      </c>
      <c r="K135" s="72">
        <f t="shared" si="22"/>
        <v>0</v>
      </c>
      <c r="L135" s="72">
        <f t="shared" si="22"/>
        <v>0</v>
      </c>
      <c r="M135" s="72">
        <f t="shared" si="22"/>
        <v>0</v>
      </c>
      <c r="N135" s="72">
        <f t="shared" si="22"/>
        <v>0</v>
      </c>
      <c r="O135" s="72">
        <f>SUM(O133:O134)</f>
        <v>0</v>
      </c>
      <c r="P135" s="72">
        <f>SUM(D135:O135)</f>
        <v>0</v>
      </c>
      <c r="S135" s="135"/>
    </row>
    <row r="136" spans="1:19" ht="15.6" x14ac:dyDescent="0.3">
      <c r="A136" s="94"/>
      <c r="B136" s="336"/>
      <c r="C136" s="133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S136" s="135"/>
    </row>
    <row r="137" spans="1:19" ht="15.6" x14ac:dyDescent="0.3">
      <c r="A137" s="94">
        <f>A135+1</f>
        <v>23</v>
      </c>
      <c r="B137" s="52" t="s">
        <v>265</v>
      </c>
      <c r="C137" s="131"/>
      <c r="D137" s="172"/>
      <c r="E137" s="172"/>
      <c r="F137" s="172"/>
      <c r="G137" s="172"/>
      <c r="H137" s="172"/>
      <c r="I137" s="172"/>
      <c r="J137" s="173"/>
      <c r="K137" s="173"/>
      <c r="L137" s="173"/>
      <c r="M137" s="173"/>
      <c r="N137" s="173"/>
      <c r="O137" s="173"/>
      <c r="P137" s="136"/>
      <c r="S137" s="135"/>
    </row>
    <row r="138" spans="1:19" ht="15.6" x14ac:dyDescent="0.3">
      <c r="A138" s="94">
        <f>A137+1</f>
        <v>24</v>
      </c>
      <c r="B138" s="53" t="s">
        <v>368</v>
      </c>
      <c r="C138" s="133"/>
      <c r="D138" s="329">
        <v>3136.7</v>
      </c>
      <c r="E138" s="329">
        <v>2307.1999999999998</v>
      </c>
      <c r="F138" s="329">
        <v>1098.5999999999999</v>
      </c>
      <c r="G138" s="329">
        <v>641.70000000000005</v>
      </c>
      <c r="H138" s="329">
        <v>362.9</v>
      </c>
      <c r="I138" s="329">
        <v>221.4</v>
      </c>
      <c r="J138" s="329">
        <v>245</v>
      </c>
      <c r="K138" s="329">
        <v>196.3</v>
      </c>
      <c r="L138" s="329">
        <v>196.6</v>
      </c>
      <c r="M138" s="329">
        <v>705.2</v>
      </c>
      <c r="N138" s="329">
        <v>1014.3</v>
      </c>
      <c r="O138" s="329">
        <v>1194.8</v>
      </c>
      <c r="P138" s="72">
        <f>SUM(D138:O138)</f>
        <v>11320.699999999999</v>
      </c>
      <c r="S138" s="135"/>
    </row>
    <row r="139" spans="1:19" ht="15.6" x14ac:dyDescent="0.3">
      <c r="A139" s="94">
        <f>A138+1</f>
        <v>25</v>
      </c>
      <c r="B139" s="53" t="s">
        <v>244</v>
      </c>
      <c r="C139" s="143" t="s">
        <v>371</v>
      </c>
      <c r="D139" s="338">
        <v>0</v>
      </c>
      <c r="E139" s="338">
        <v>0</v>
      </c>
      <c r="F139" s="338">
        <v>0</v>
      </c>
      <c r="G139" s="338">
        <v>0</v>
      </c>
      <c r="H139" s="338">
        <v>0</v>
      </c>
      <c r="I139" s="338">
        <v>0</v>
      </c>
      <c r="J139" s="338">
        <v>0</v>
      </c>
      <c r="K139" s="338">
        <v>0</v>
      </c>
      <c r="L139" s="338">
        <v>0</v>
      </c>
      <c r="M139" s="338">
        <v>0</v>
      </c>
      <c r="N139" s="338">
        <v>0</v>
      </c>
      <c r="O139" s="338">
        <v>0</v>
      </c>
      <c r="P139" s="138">
        <f>SUM(D139:O139)</f>
        <v>0</v>
      </c>
      <c r="S139" s="135"/>
    </row>
    <row r="140" spans="1:19" ht="15.6" x14ac:dyDescent="0.3">
      <c r="A140" s="94">
        <f>A139+1</f>
        <v>26</v>
      </c>
      <c r="B140" s="53" t="s">
        <v>263</v>
      </c>
      <c r="C140" s="108"/>
      <c r="D140" s="72">
        <f t="shared" ref="D140:O140" si="23">SUM(D138:D139)</f>
        <v>3136.7</v>
      </c>
      <c r="E140" s="72">
        <f t="shared" si="23"/>
        <v>2307.1999999999998</v>
      </c>
      <c r="F140" s="72">
        <f t="shared" si="23"/>
        <v>1098.5999999999999</v>
      </c>
      <c r="G140" s="72">
        <f t="shared" si="23"/>
        <v>641.70000000000005</v>
      </c>
      <c r="H140" s="72">
        <f t="shared" si="23"/>
        <v>362.9</v>
      </c>
      <c r="I140" s="72">
        <f t="shared" si="23"/>
        <v>221.4</v>
      </c>
      <c r="J140" s="72">
        <f t="shared" si="23"/>
        <v>245</v>
      </c>
      <c r="K140" s="72">
        <f t="shared" si="23"/>
        <v>196.3</v>
      </c>
      <c r="L140" s="72">
        <f t="shared" si="23"/>
        <v>196.6</v>
      </c>
      <c r="M140" s="72">
        <f t="shared" si="23"/>
        <v>705.2</v>
      </c>
      <c r="N140" s="72">
        <f t="shared" si="23"/>
        <v>1014.3</v>
      </c>
      <c r="O140" s="72">
        <f t="shared" si="23"/>
        <v>1194.8</v>
      </c>
      <c r="P140" s="72">
        <f>SUM(D140:O140)</f>
        <v>11320.699999999999</v>
      </c>
      <c r="S140" s="135"/>
    </row>
    <row r="141" spans="1:19" ht="15.6" x14ac:dyDescent="0.3">
      <c r="A141" s="94"/>
      <c r="B141" s="53"/>
      <c r="C141" s="108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S141" s="135"/>
    </row>
    <row r="142" spans="1:19" ht="15.6" x14ac:dyDescent="0.3">
      <c r="A142" s="880" t="str">
        <f>CONAME</f>
        <v>Columbia Gas of Kentucky, Inc.</v>
      </c>
      <c r="B142" s="880"/>
      <c r="C142" s="880"/>
      <c r="D142" s="880"/>
      <c r="E142" s="880"/>
      <c r="F142" s="880"/>
      <c r="G142" s="880"/>
      <c r="H142" s="880"/>
      <c r="I142" s="880"/>
      <c r="J142" s="880"/>
      <c r="K142" s="880"/>
      <c r="L142" s="880"/>
      <c r="M142" s="880"/>
      <c r="N142" s="880"/>
      <c r="O142" s="880"/>
      <c r="P142" s="880"/>
      <c r="S142" s="135"/>
    </row>
    <row r="143" spans="1:19" ht="15.6" x14ac:dyDescent="0.3">
      <c r="A143" s="880" t="s">
        <v>197</v>
      </c>
      <c r="B143" s="880"/>
      <c r="C143" s="880"/>
      <c r="D143" s="880"/>
      <c r="E143" s="880"/>
      <c r="F143" s="880"/>
      <c r="G143" s="880"/>
      <c r="H143" s="880"/>
      <c r="I143" s="880"/>
      <c r="J143" s="880"/>
      <c r="K143" s="880"/>
      <c r="L143" s="880"/>
      <c r="M143" s="880"/>
      <c r="N143" s="880"/>
      <c r="O143" s="880"/>
      <c r="P143" s="880"/>
      <c r="S143" s="135"/>
    </row>
    <row r="144" spans="1:19" ht="15.6" x14ac:dyDescent="0.3">
      <c r="A144" s="879" t="str">
        <f>TYDESC</f>
        <v>For the 12 Months Ended December 31, 2017</v>
      </c>
      <c r="B144" s="879"/>
      <c r="C144" s="879"/>
      <c r="D144" s="879"/>
      <c r="E144" s="879"/>
      <c r="F144" s="879"/>
      <c r="G144" s="879"/>
      <c r="H144" s="879"/>
      <c r="I144" s="879"/>
      <c r="J144" s="879"/>
      <c r="K144" s="879"/>
      <c r="L144" s="879"/>
      <c r="M144" s="879"/>
      <c r="N144" s="879"/>
      <c r="O144" s="879"/>
      <c r="P144" s="879"/>
      <c r="S144" s="135"/>
    </row>
    <row r="145" spans="1:19" ht="15.6" x14ac:dyDescent="0.3">
      <c r="A145" s="124"/>
      <c r="B145" s="135"/>
      <c r="C145" s="131"/>
      <c r="D145" s="172"/>
      <c r="E145" s="172"/>
      <c r="F145" s="172"/>
      <c r="G145" s="172"/>
      <c r="H145" s="172"/>
      <c r="I145" s="172"/>
      <c r="J145" s="173"/>
      <c r="K145" s="173"/>
      <c r="L145" s="173"/>
      <c r="M145" s="173"/>
      <c r="N145" s="173"/>
      <c r="O145" s="173"/>
      <c r="P145" s="136"/>
      <c r="S145" s="135"/>
    </row>
    <row r="146" spans="1:19" ht="15.6" x14ac:dyDescent="0.3">
      <c r="A146" s="100" t="str">
        <f>$A$5</f>
        <v>Data: __ Base Period_X_Forecasted Period</v>
      </c>
      <c r="B146" s="53"/>
      <c r="C146" s="108"/>
      <c r="D146" s="108"/>
      <c r="E146" s="108"/>
      <c r="F146" s="108"/>
      <c r="G146" s="96"/>
      <c r="H146" s="96"/>
      <c r="I146" s="96"/>
      <c r="J146" s="96"/>
      <c r="K146" s="96"/>
      <c r="L146" s="96"/>
      <c r="M146" s="96"/>
      <c r="N146" s="96"/>
      <c r="O146" s="96"/>
      <c r="P146" s="330" t="str">
        <f>$P$5</f>
        <v>Workpaper WPM-C.2</v>
      </c>
      <c r="S146" s="135"/>
    </row>
    <row r="147" spans="1:19" ht="15.6" x14ac:dyDescent="0.3">
      <c r="A147" s="100" t="str">
        <f>$A$6</f>
        <v>Type of Filing: X Original _ Update _ Revised</v>
      </c>
      <c r="B147" s="53"/>
      <c r="C147" s="108"/>
      <c r="D147" s="108"/>
      <c r="E147" s="108"/>
      <c r="F147" s="108"/>
      <c r="G147" s="96"/>
      <c r="H147" s="96"/>
      <c r="I147" s="96"/>
      <c r="J147" s="96"/>
      <c r="K147" s="96"/>
      <c r="L147" s="96"/>
      <c r="M147" s="96"/>
      <c r="N147" s="96"/>
      <c r="O147" s="96"/>
      <c r="P147" s="331" t="s">
        <v>375</v>
      </c>
      <c r="S147" s="135"/>
    </row>
    <row r="148" spans="1:19" ht="15.6" x14ac:dyDescent="0.3">
      <c r="A148" s="100" t="str">
        <f>$A$7</f>
        <v>Work Paper Reference No(s):</v>
      </c>
      <c r="B148" s="53"/>
      <c r="C148" s="108"/>
      <c r="D148" s="108"/>
      <c r="E148" s="108"/>
      <c r="F148" s="108"/>
      <c r="G148" s="96"/>
      <c r="H148" s="96"/>
      <c r="I148" s="96"/>
      <c r="J148" s="96"/>
      <c r="K148" s="96"/>
      <c r="L148" s="96"/>
      <c r="M148" s="96"/>
      <c r="N148" s="96"/>
      <c r="O148" s="96"/>
      <c r="P148" s="331"/>
      <c r="S148" s="135"/>
    </row>
    <row r="149" spans="1:19" ht="15.6" x14ac:dyDescent="0.3">
      <c r="A149" s="132" t="str">
        <f>$A$8</f>
        <v>12 Months Forecasted</v>
      </c>
      <c r="B149" s="124"/>
      <c r="C149" s="108"/>
      <c r="D149" s="332"/>
      <c r="E149" s="108"/>
      <c r="F149" s="333"/>
      <c r="G149" s="334"/>
      <c r="H149" s="333"/>
      <c r="I149" s="335"/>
      <c r="J149" s="333"/>
      <c r="K149" s="333"/>
      <c r="L149" s="333"/>
      <c r="M149" s="333"/>
      <c r="N149" s="333"/>
      <c r="O149" s="333"/>
      <c r="P149" s="314"/>
      <c r="S149" s="135"/>
    </row>
    <row r="150" spans="1:19" ht="15.6" x14ac:dyDescent="0.3">
      <c r="A150" s="93"/>
      <c r="B150" s="124"/>
      <c r="C150" s="108"/>
      <c r="D150" s="332"/>
      <c r="E150" s="108"/>
      <c r="F150" s="333"/>
      <c r="G150" s="334"/>
      <c r="H150" s="333"/>
      <c r="I150" s="335"/>
      <c r="J150" s="333"/>
      <c r="K150" s="333"/>
      <c r="L150" s="333"/>
      <c r="M150" s="333"/>
      <c r="N150" s="333"/>
      <c r="O150" s="333"/>
      <c r="P150" s="314"/>
      <c r="S150" s="135"/>
    </row>
    <row r="151" spans="1:19" ht="15.6" x14ac:dyDescent="0.3">
      <c r="A151" s="124" t="s">
        <v>1</v>
      </c>
      <c r="B151" s="124"/>
      <c r="C151" s="108"/>
      <c r="D151" s="332"/>
      <c r="E151" s="108"/>
      <c r="F151" s="333"/>
      <c r="G151" s="334"/>
      <c r="H151" s="333"/>
      <c r="I151" s="335"/>
      <c r="J151" s="333"/>
      <c r="K151" s="333"/>
      <c r="L151" s="333"/>
      <c r="M151" s="333"/>
      <c r="N151" s="333"/>
      <c r="O151" s="333"/>
      <c r="P151" s="314"/>
      <c r="S151" s="135"/>
    </row>
    <row r="152" spans="1:19" ht="15.6" x14ac:dyDescent="0.3">
      <c r="A152" s="316" t="s">
        <v>3</v>
      </c>
      <c r="B152" s="316" t="s">
        <v>4</v>
      </c>
      <c r="C152" s="317" t="s">
        <v>186</v>
      </c>
      <c r="D152" s="318" t="str">
        <f>B!$D$11</f>
        <v>Jan-17</v>
      </c>
      <c r="E152" s="318" t="str">
        <f>B!$E$11</f>
        <v>Feb-17</v>
      </c>
      <c r="F152" s="318" t="str">
        <f>B!$F$11</f>
        <v>Mar-17</v>
      </c>
      <c r="G152" s="318" t="str">
        <f>B!$G$11</f>
        <v>Apr-17</v>
      </c>
      <c r="H152" s="318" t="str">
        <f>B!$H$11</f>
        <v>May-17</v>
      </c>
      <c r="I152" s="318" t="str">
        <f>B!$I$11</f>
        <v>Jun-17</v>
      </c>
      <c r="J152" s="318" t="str">
        <f>B!$J$11</f>
        <v>Jul-17</v>
      </c>
      <c r="K152" s="318" t="str">
        <f>B!$K$11</f>
        <v>Aug-17</v>
      </c>
      <c r="L152" s="318" t="str">
        <f>B!$L$11</f>
        <v>Sep-17</v>
      </c>
      <c r="M152" s="318" t="str">
        <f>B!$M$11</f>
        <v>Oct-17</v>
      </c>
      <c r="N152" s="318" t="str">
        <f>B!$N$11</f>
        <v>Nov-17</v>
      </c>
      <c r="O152" s="318" t="str">
        <f>B!$O$11</f>
        <v>Dec-17</v>
      </c>
      <c r="P152" s="218" t="s">
        <v>9</v>
      </c>
      <c r="S152" s="135"/>
    </row>
    <row r="153" spans="1:19" ht="15.6" x14ac:dyDescent="0.3">
      <c r="A153" s="124"/>
      <c r="B153" s="135" t="s">
        <v>42</v>
      </c>
      <c r="C153" s="131" t="s">
        <v>43</v>
      </c>
      <c r="D153" s="313" t="s">
        <v>45</v>
      </c>
      <c r="E153" s="313" t="s">
        <v>46</v>
      </c>
      <c r="F153" s="313" t="s">
        <v>49</v>
      </c>
      <c r="G153" s="313" t="s">
        <v>50</v>
      </c>
      <c r="H153" s="313" t="s">
        <v>51</v>
      </c>
      <c r="I153" s="313" t="s">
        <v>52</v>
      </c>
      <c r="J153" s="313" t="s">
        <v>53</v>
      </c>
      <c r="K153" s="136" t="s">
        <v>54</v>
      </c>
      <c r="L153" s="136" t="s">
        <v>55</v>
      </c>
      <c r="M153" s="136" t="s">
        <v>56</v>
      </c>
      <c r="N153" s="136" t="s">
        <v>57</v>
      </c>
      <c r="O153" s="136" t="s">
        <v>58</v>
      </c>
      <c r="P153" s="136" t="s">
        <v>59</v>
      </c>
      <c r="S153" s="135"/>
    </row>
    <row r="154" spans="1:19" ht="16.2" thickBot="1" x14ac:dyDescent="0.35">
      <c r="A154" s="124"/>
      <c r="B154" s="135"/>
      <c r="C154" s="131"/>
      <c r="D154" s="172"/>
      <c r="E154" s="172"/>
      <c r="F154" s="172"/>
      <c r="G154" s="172"/>
      <c r="H154" s="172"/>
      <c r="I154" s="172"/>
      <c r="J154" s="173"/>
      <c r="K154" s="173"/>
      <c r="L154" s="173"/>
      <c r="M154" s="173"/>
      <c r="N154" s="173"/>
      <c r="O154" s="173"/>
      <c r="P154" s="136"/>
      <c r="S154" s="135"/>
    </row>
    <row r="155" spans="1:19" ht="15.6" x14ac:dyDescent="0.3">
      <c r="A155" s="141">
        <v>1</v>
      </c>
      <c r="B155" s="125" t="s">
        <v>10</v>
      </c>
      <c r="C155" s="126"/>
      <c r="D155" s="126"/>
      <c r="E155" s="126"/>
      <c r="F155" s="126"/>
      <c r="G155" s="126"/>
      <c r="H155" s="126"/>
      <c r="I155" s="126"/>
      <c r="J155" s="126"/>
      <c r="K155" s="148"/>
      <c r="L155" s="148"/>
      <c r="M155" s="148"/>
      <c r="N155" s="148"/>
      <c r="O155" s="148"/>
      <c r="P155" s="142"/>
    </row>
    <row r="156" spans="1:19" x14ac:dyDescent="0.25">
      <c r="A156" s="129"/>
      <c r="B156" s="53"/>
      <c r="C156" s="88"/>
      <c r="D156" s="88"/>
      <c r="E156" s="88"/>
      <c r="F156" s="88"/>
      <c r="G156" s="88"/>
      <c r="H156" s="88"/>
      <c r="I156" s="88"/>
      <c r="J156" s="88"/>
      <c r="K156" s="96"/>
      <c r="L156" s="96"/>
      <c r="M156" s="96"/>
      <c r="N156" s="96"/>
      <c r="O156" s="96"/>
      <c r="P156" s="128"/>
    </row>
    <row r="157" spans="1:19" ht="15.6" x14ac:dyDescent="0.3">
      <c r="A157" s="129">
        <f>A155+1</f>
        <v>2</v>
      </c>
      <c r="B157" s="52" t="s">
        <v>11</v>
      </c>
      <c r="C157" s="88"/>
      <c r="D157" s="88"/>
      <c r="E157" s="88"/>
      <c r="F157" s="88"/>
      <c r="G157" s="88"/>
      <c r="H157" s="88"/>
      <c r="I157" s="88"/>
      <c r="J157" s="88"/>
      <c r="K157" s="96"/>
      <c r="L157" s="96"/>
      <c r="M157" s="96"/>
      <c r="N157" s="96"/>
      <c r="O157" s="96"/>
      <c r="P157" s="128"/>
    </row>
    <row r="158" spans="1:19" x14ac:dyDescent="0.25">
      <c r="A158" s="129">
        <f>A157+1</f>
        <v>3</v>
      </c>
      <c r="B158" s="53" t="s">
        <v>368</v>
      </c>
      <c r="C158" s="133"/>
      <c r="D158" s="72">
        <f t="shared" ref="D158:O158" si="24">D15+D25+D30+D35+D40+D45+D71+D74</f>
        <v>1333000.0000000002</v>
      </c>
      <c r="E158" s="72">
        <f t="shared" si="24"/>
        <v>1292000.0999999999</v>
      </c>
      <c r="F158" s="72">
        <f t="shared" si="24"/>
        <v>969000</v>
      </c>
      <c r="G158" s="72">
        <f t="shared" si="24"/>
        <v>552999.9</v>
      </c>
      <c r="H158" s="72">
        <f t="shared" si="24"/>
        <v>259999.90000000002</v>
      </c>
      <c r="I158" s="72">
        <f t="shared" si="24"/>
        <v>123999.99999999999</v>
      </c>
      <c r="J158" s="72">
        <f t="shared" si="24"/>
        <v>89000.1</v>
      </c>
      <c r="K158" s="72">
        <f t="shared" si="24"/>
        <v>86000</v>
      </c>
      <c r="L158" s="72">
        <f t="shared" si="24"/>
        <v>89000.099999999991</v>
      </c>
      <c r="M158" s="72">
        <f t="shared" si="24"/>
        <v>141999.99999999997</v>
      </c>
      <c r="N158" s="72">
        <f t="shared" si="24"/>
        <v>409000.00000000006</v>
      </c>
      <c r="O158" s="72">
        <f t="shared" si="24"/>
        <v>907000</v>
      </c>
      <c r="P158" s="149">
        <f>SUM(D158:O158)</f>
        <v>6253000.0999999996</v>
      </c>
    </row>
    <row r="159" spans="1:19" x14ac:dyDescent="0.25">
      <c r="A159" s="129">
        <f>A158+1</f>
        <v>4</v>
      </c>
      <c r="B159" s="53" t="s">
        <v>244</v>
      </c>
      <c r="C159" s="143"/>
      <c r="D159" s="138">
        <f t="shared" ref="D159:P159" si="25">D16+D26+D31+D36+D41+D46+D75</f>
        <v>0</v>
      </c>
      <c r="E159" s="138">
        <f t="shared" si="25"/>
        <v>0</v>
      </c>
      <c r="F159" s="138">
        <f t="shared" si="25"/>
        <v>0</v>
      </c>
      <c r="G159" s="138">
        <f t="shared" si="25"/>
        <v>0</v>
      </c>
      <c r="H159" s="138">
        <f t="shared" si="25"/>
        <v>0</v>
      </c>
      <c r="I159" s="138">
        <f t="shared" si="25"/>
        <v>0</v>
      </c>
      <c r="J159" s="138">
        <f t="shared" si="25"/>
        <v>0</v>
      </c>
      <c r="K159" s="138">
        <f t="shared" si="25"/>
        <v>0</v>
      </c>
      <c r="L159" s="138">
        <f t="shared" si="25"/>
        <v>0</v>
      </c>
      <c r="M159" s="138">
        <f t="shared" si="25"/>
        <v>0</v>
      </c>
      <c r="N159" s="138">
        <f t="shared" si="25"/>
        <v>0</v>
      </c>
      <c r="O159" s="138">
        <f t="shared" si="25"/>
        <v>0</v>
      </c>
      <c r="P159" s="356">
        <f t="shared" si="25"/>
        <v>0</v>
      </c>
    </row>
    <row r="160" spans="1:19" ht="15.6" x14ac:dyDescent="0.3">
      <c r="A160" s="129">
        <f>A159+1</f>
        <v>5</v>
      </c>
      <c r="B160" s="53" t="s">
        <v>263</v>
      </c>
      <c r="C160" s="108"/>
      <c r="D160" s="72">
        <f t="shared" ref="D160:O160" si="26">SUM(D158:D159)</f>
        <v>1333000.0000000002</v>
      </c>
      <c r="E160" s="72">
        <f t="shared" si="26"/>
        <v>1292000.0999999999</v>
      </c>
      <c r="F160" s="72">
        <f t="shared" si="26"/>
        <v>969000</v>
      </c>
      <c r="G160" s="72">
        <f t="shared" si="26"/>
        <v>552999.9</v>
      </c>
      <c r="H160" s="72">
        <f t="shared" si="26"/>
        <v>259999.90000000002</v>
      </c>
      <c r="I160" s="72">
        <f t="shared" si="26"/>
        <v>123999.99999999999</v>
      </c>
      <c r="J160" s="72">
        <f t="shared" si="26"/>
        <v>89000.1</v>
      </c>
      <c r="K160" s="72">
        <f t="shared" si="26"/>
        <v>86000</v>
      </c>
      <c r="L160" s="72">
        <f t="shared" si="26"/>
        <v>89000.099999999991</v>
      </c>
      <c r="M160" s="72">
        <f t="shared" si="26"/>
        <v>141999.99999999997</v>
      </c>
      <c r="N160" s="72">
        <f t="shared" si="26"/>
        <v>409000.00000000006</v>
      </c>
      <c r="O160" s="72">
        <f t="shared" si="26"/>
        <v>907000</v>
      </c>
      <c r="P160" s="149">
        <f>SUM(D160:O160)</f>
        <v>6253000.0999999996</v>
      </c>
    </row>
    <row r="161" spans="1:16" x14ac:dyDescent="0.25">
      <c r="A161" s="129"/>
      <c r="B161" s="53"/>
      <c r="C161" s="88"/>
      <c r="D161" s="88"/>
      <c r="E161" s="88"/>
      <c r="F161" s="88"/>
      <c r="G161" s="88"/>
      <c r="H161" s="88"/>
      <c r="I161" s="88"/>
      <c r="J161" s="88"/>
      <c r="K161" s="96"/>
      <c r="L161" s="96"/>
      <c r="M161" s="96"/>
      <c r="N161" s="96"/>
      <c r="O161" s="96"/>
      <c r="P161" s="128"/>
    </row>
    <row r="162" spans="1:16" ht="15.6" x14ac:dyDescent="0.3">
      <c r="A162" s="129">
        <f>A160+1</f>
        <v>6</v>
      </c>
      <c r="B162" s="52" t="s">
        <v>12</v>
      </c>
      <c r="C162" s="88"/>
      <c r="D162" s="88"/>
      <c r="E162" s="88"/>
      <c r="F162" s="88"/>
      <c r="G162" s="88"/>
      <c r="H162" s="88"/>
      <c r="I162" s="88"/>
      <c r="J162" s="88"/>
      <c r="K162" s="96"/>
      <c r="L162" s="96"/>
      <c r="M162" s="96"/>
      <c r="N162" s="96"/>
      <c r="O162" s="96"/>
      <c r="P162" s="128"/>
    </row>
    <row r="163" spans="1:16" x14ac:dyDescent="0.25">
      <c r="A163" s="129">
        <f>A162+1</f>
        <v>7</v>
      </c>
      <c r="B163" s="53" t="s">
        <v>368</v>
      </c>
      <c r="C163" s="133"/>
      <c r="D163" s="72">
        <f>D20+D50+D84</f>
        <v>663861.79999999993</v>
      </c>
      <c r="E163" s="72">
        <f t="shared" ref="E163:O163" si="27">E20+E50+E84</f>
        <v>657699.4</v>
      </c>
      <c r="F163" s="72">
        <f t="shared" si="27"/>
        <v>458908.9</v>
      </c>
      <c r="G163" s="72">
        <f t="shared" si="27"/>
        <v>278329.19999999995</v>
      </c>
      <c r="H163" s="72">
        <f t="shared" si="27"/>
        <v>134669.29999999999</v>
      </c>
      <c r="I163" s="72">
        <f t="shared" si="27"/>
        <v>80793.899999999994</v>
      </c>
      <c r="J163" s="72">
        <f t="shared" si="27"/>
        <v>56765.5</v>
      </c>
      <c r="K163" s="72">
        <f t="shared" si="27"/>
        <v>52809.2</v>
      </c>
      <c r="L163" s="72">
        <f t="shared" si="27"/>
        <v>51816.6</v>
      </c>
      <c r="M163" s="72">
        <f t="shared" si="27"/>
        <v>77281.100000000006</v>
      </c>
      <c r="N163" s="72">
        <f t="shared" si="27"/>
        <v>171960.69999999998</v>
      </c>
      <c r="O163" s="72">
        <f t="shared" si="27"/>
        <v>425797</v>
      </c>
      <c r="P163" s="149">
        <f>P20+P50+P84</f>
        <v>3110692.6</v>
      </c>
    </row>
    <row r="164" spans="1:16" x14ac:dyDescent="0.25">
      <c r="A164" s="129">
        <f>A163+1</f>
        <v>8</v>
      </c>
      <c r="B164" s="53" t="s">
        <v>244</v>
      </c>
      <c r="C164" s="143"/>
      <c r="D164" s="138">
        <f>D21+D51+D90</f>
        <v>-2622.8</v>
      </c>
      <c r="E164" s="138">
        <f t="shared" ref="E164:O164" si="28">E21+E51+E90</f>
        <v>-2096</v>
      </c>
      <c r="F164" s="138">
        <f t="shared" si="28"/>
        <v>-1600</v>
      </c>
      <c r="G164" s="138">
        <f t="shared" si="28"/>
        <v>-800</v>
      </c>
      <c r="H164" s="138">
        <f t="shared" si="28"/>
        <v>-100</v>
      </c>
      <c r="I164" s="138">
        <f t="shared" si="28"/>
        <v>-50</v>
      </c>
      <c r="J164" s="138">
        <f t="shared" si="28"/>
        <v>0</v>
      </c>
      <c r="K164" s="138">
        <f t="shared" si="28"/>
        <v>0</v>
      </c>
      <c r="L164" s="138">
        <f t="shared" si="28"/>
        <v>0</v>
      </c>
      <c r="M164" s="138">
        <f t="shared" si="28"/>
        <v>-100</v>
      </c>
      <c r="N164" s="138">
        <f t="shared" si="28"/>
        <v>-800</v>
      </c>
      <c r="O164" s="138">
        <f t="shared" si="28"/>
        <v>-1900</v>
      </c>
      <c r="P164" s="356">
        <f>P21+P51+P90</f>
        <v>-10068.799999999999</v>
      </c>
    </row>
    <row r="165" spans="1:16" ht="15.6" x14ac:dyDescent="0.3">
      <c r="A165" s="129">
        <f>A164+1</f>
        <v>9</v>
      </c>
      <c r="B165" s="53" t="s">
        <v>263</v>
      </c>
      <c r="C165" s="108"/>
      <c r="D165" s="72">
        <f t="shared" ref="D165:O165" si="29">SUM(D163:D164)</f>
        <v>661238.99999999988</v>
      </c>
      <c r="E165" s="72">
        <f t="shared" si="29"/>
        <v>655603.4</v>
      </c>
      <c r="F165" s="72">
        <f t="shared" si="29"/>
        <v>457308.9</v>
      </c>
      <c r="G165" s="72">
        <f t="shared" si="29"/>
        <v>277529.19999999995</v>
      </c>
      <c r="H165" s="72">
        <f t="shared" si="29"/>
        <v>134569.29999999999</v>
      </c>
      <c r="I165" s="72">
        <f t="shared" si="29"/>
        <v>80743.899999999994</v>
      </c>
      <c r="J165" s="72">
        <f t="shared" si="29"/>
        <v>56765.5</v>
      </c>
      <c r="K165" s="72">
        <f t="shared" si="29"/>
        <v>52809.2</v>
      </c>
      <c r="L165" s="72">
        <f t="shared" si="29"/>
        <v>51816.6</v>
      </c>
      <c r="M165" s="72">
        <f t="shared" si="29"/>
        <v>77181.100000000006</v>
      </c>
      <c r="N165" s="72">
        <f t="shared" si="29"/>
        <v>171160.69999999998</v>
      </c>
      <c r="O165" s="72">
        <f t="shared" si="29"/>
        <v>423897</v>
      </c>
      <c r="P165" s="149">
        <f>SUM(D165:O165)</f>
        <v>3100623.8000000003</v>
      </c>
    </row>
    <row r="166" spans="1:16" x14ac:dyDescent="0.25">
      <c r="A166" s="129"/>
      <c r="B166" s="53"/>
      <c r="C166" s="88"/>
      <c r="D166" s="88"/>
      <c r="E166" s="88"/>
      <c r="F166" s="88"/>
      <c r="G166" s="88"/>
      <c r="H166" s="88"/>
      <c r="I166" s="88"/>
      <c r="J166" s="88"/>
      <c r="K166" s="96"/>
      <c r="L166" s="96"/>
      <c r="M166" s="96"/>
      <c r="N166" s="96"/>
      <c r="O166" s="96"/>
      <c r="P166" s="128"/>
    </row>
    <row r="167" spans="1:16" ht="15.6" x14ac:dyDescent="0.3">
      <c r="A167" s="129">
        <f>A165+1</f>
        <v>10</v>
      </c>
      <c r="B167" s="52" t="s">
        <v>13</v>
      </c>
      <c r="C167" s="88"/>
      <c r="D167" s="88"/>
      <c r="E167" s="88"/>
      <c r="F167" s="88"/>
      <c r="G167" s="88"/>
      <c r="H167" s="88"/>
      <c r="I167" s="88"/>
      <c r="J167" s="88"/>
      <c r="K167" s="96"/>
      <c r="L167" s="96"/>
      <c r="M167" s="96"/>
      <c r="N167" s="96"/>
      <c r="O167" s="96"/>
      <c r="P167" s="128"/>
    </row>
    <row r="168" spans="1:16" x14ac:dyDescent="0.25">
      <c r="A168" s="129">
        <f>A167+1</f>
        <v>11</v>
      </c>
      <c r="B168" s="53" t="s">
        <v>368</v>
      </c>
      <c r="C168" s="133"/>
      <c r="D168" s="72">
        <f>D117+D135</f>
        <v>13000.199999999999</v>
      </c>
      <c r="E168" s="72">
        <f t="shared" ref="E168:P168" si="30">E117+E135</f>
        <v>11999.900000000001</v>
      </c>
      <c r="F168" s="72">
        <f t="shared" si="30"/>
        <v>11000</v>
      </c>
      <c r="G168" s="72">
        <f t="shared" si="30"/>
        <v>9999.9000000000015</v>
      </c>
      <c r="H168" s="72">
        <f t="shared" si="30"/>
        <v>9000.2999999999993</v>
      </c>
      <c r="I168" s="72">
        <f t="shared" si="30"/>
        <v>7999.9</v>
      </c>
      <c r="J168" s="72">
        <f t="shared" si="30"/>
        <v>7999.9</v>
      </c>
      <c r="K168" s="72">
        <f t="shared" si="30"/>
        <v>9000.1999999999989</v>
      </c>
      <c r="L168" s="72">
        <f t="shared" si="30"/>
        <v>9000.2000000000007</v>
      </c>
      <c r="M168" s="72">
        <f t="shared" si="30"/>
        <v>10999.900000000001</v>
      </c>
      <c r="N168" s="72">
        <f t="shared" si="30"/>
        <v>10999.999999999998</v>
      </c>
      <c r="O168" s="72">
        <f t="shared" si="30"/>
        <v>11000.099999999999</v>
      </c>
      <c r="P168" s="149">
        <f t="shared" si="30"/>
        <v>122000.5</v>
      </c>
    </row>
    <row r="169" spans="1:16" x14ac:dyDescent="0.25">
      <c r="A169" s="129">
        <f>A168+1</f>
        <v>12</v>
      </c>
      <c r="B169" s="53" t="s">
        <v>244</v>
      </c>
      <c r="C169" s="143"/>
      <c r="D169" s="138">
        <f>D123</f>
        <v>20000</v>
      </c>
      <c r="E169" s="138">
        <f t="shared" ref="E169:P169" si="31">E123</f>
        <v>20000</v>
      </c>
      <c r="F169" s="138">
        <f t="shared" si="31"/>
        <v>19900</v>
      </c>
      <c r="G169" s="138">
        <f t="shared" si="31"/>
        <v>19800</v>
      </c>
      <c r="H169" s="138">
        <f t="shared" si="31"/>
        <v>19800</v>
      </c>
      <c r="I169" s="138">
        <f t="shared" si="31"/>
        <v>19750</v>
      </c>
      <c r="J169" s="138">
        <f t="shared" si="31"/>
        <v>19750</v>
      </c>
      <c r="K169" s="138">
        <f t="shared" si="31"/>
        <v>19750</v>
      </c>
      <c r="L169" s="138">
        <f t="shared" si="31"/>
        <v>19750</v>
      </c>
      <c r="M169" s="138">
        <f t="shared" si="31"/>
        <v>19850</v>
      </c>
      <c r="N169" s="138">
        <f t="shared" si="31"/>
        <v>19900</v>
      </c>
      <c r="O169" s="138">
        <f t="shared" si="31"/>
        <v>20000</v>
      </c>
      <c r="P169" s="356">
        <f t="shared" si="31"/>
        <v>238250</v>
      </c>
    </row>
    <row r="170" spans="1:16" ht="15.6" x14ac:dyDescent="0.3">
      <c r="A170" s="129">
        <f>A169+1</f>
        <v>13</v>
      </c>
      <c r="B170" s="53" t="s">
        <v>263</v>
      </c>
      <c r="C170" s="108"/>
      <c r="D170" s="72">
        <f t="shared" ref="D170:O170" si="32">SUM(D168:D169)</f>
        <v>33000.199999999997</v>
      </c>
      <c r="E170" s="72">
        <f t="shared" si="32"/>
        <v>31999.9</v>
      </c>
      <c r="F170" s="72">
        <f t="shared" si="32"/>
        <v>30900</v>
      </c>
      <c r="G170" s="72">
        <f t="shared" si="32"/>
        <v>29799.9</v>
      </c>
      <c r="H170" s="72">
        <f t="shared" si="32"/>
        <v>28800.3</v>
      </c>
      <c r="I170" s="72">
        <f t="shared" si="32"/>
        <v>27749.9</v>
      </c>
      <c r="J170" s="72">
        <f t="shared" si="32"/>
        <v>27749.9</v>
      </c>
      <c r="K170" s="72">
        <f t="shared" si="32"/>
        <v>28750.199999999997</v>
      </c>
      <c r="L170" s="72">
        <f t="shared" si="32"/>
        <v>28750.2</v>
      </c>
      <c r="M170" s="72">
        <f t="shared" si="32"/>
        <v>30849.9</v>
      </c>
      <c r="N170" s="72">
        <f t="shared" si="32"/>
        <v>30900</v>
      </c>
      <c r="O170" s="72">
        <f t="shared" si="32"/>
        <v>31000.1</v>
      </c>
      <c r="P170" s="149">
        <f>SUM(D170:O170)</f>
        <v>360250.5</v>
      </c>
    </row>
    <row r="171" spans="1:16" x14ac:dyDescent="0.25">
      <c r="A171" s="129"/>
      <c r="B171" s="53"/>
      <c r="C171" s="88"/>
      <c r="D171" s="88"/>
      <c r="E171" s="88"/>
      <c r="F171" s="88"/>
      <c r="G171" s="88"/>
      <c r="H171" s="88"/>
      <c r="I171" s="88"/>
      <c r="J171" s="88"/>
      <c r="K171" s="96"/>
      <c r="L171" s="96"/>
      <c r="M171" s="96"/>
      <c r="N171" s="96"/>
      <c r="O171" s="96"/>
      <c r="P171" s="128"/>
    </row>
    <row r="172" spans="1:16" ht="15.6" x14ac:dyDescent="0.3">
      <c r="A172" s="129">
        <f>A170+1</f>
        <v>14</v>
      </c>
      <c r="B172" s="52" t="s">
        <v>72</v>
      </c>
      <c r="C172" s="88"/>
      <c r="D172" s="88"/>
      <c r="E172" s="88"/>
      <c r="F172" s="88"/>
      <c r="G172" s="88"/>
      <c r="H172" s="88"/>
      <c r="I172" s="88"/>
      <c r="J172" s="123"/>
      <c r="K172" s="96"/>
      <c r="L172" s="96"/>
      <c r="M172" s="96"/>
      <c r="N172" s="96"/>
      <c r="O172" s="96"/>
      <c r="P172" s="128"/>
    </row>
    <row r="173" spans="1:16" x14ac:dyDescent="0.25">
      <c r="A173" s="129">
        <f>A172+1</f>
        <v>15</v>
      </c>
      <c r="B173" s="53" t="s">
        <v>368</v>
      </c>
      <c r="C173" s="133"/>
      <c r="D173" s="72">
        <f t="shared" ref="D173:O173" si="33">D138</f>
        <v>3136.7</v>
      </c>
      <c r="E173" s="72">
        <f t="shared" si="33"/>
        <v>2307.1999999999998</v>
      </c>
      <c r="F173" s="72">
        <f t="shared" si="33"/>
        <v>1098.5999999999999</v>
      </c>
      <c r="G173" s="72">
        <f t="shared" si="33"/>
        <v>641.70000000000005</v>
      </c>
      <c r="H173" s="72">
        <f t="shared" si="33"/>
        <v>362.9</v>
      </c>
      <c r="I173" s="72">
        <f t="shared" si="33"/>
        <v>221.4</v>
      </c>
      <c r="J173" s="72">
        <f t="shared" si="33"/>
        <v>245</v>
      </c>
      <c r="K173" s="72">
        <f t="shared" si="33"/>
        <v>196.3</v>
      </c>
      <c r="L173" s="72">
        <f t="shared" si="33"/>
        <v>196.6</v>
      </c>
      <c r="M173" s="72">
        <f t="shared" si="33"/>
        <v>705.2</v>
      </c>
      <c r="N173" s="72">
        <f t="shared" si="33"/>
        <v>1014.3</v>
      </c>
      <c r="O173" s="72">
        <f t="shared" si="33"/>
        <v>1194.8</v>
      </c>
      <c r="P173" s="149">
        <f>SUM(D173:O173)</f>
        <v>11320.699999999999</v>
      </c>
    </row>
    <row r="174" spans="1:16" x14ac:dyDescent="0.25">
      <c r="A174" s="129">
        <f>A173+1</f>
        <v>16</v>
      </c>
      <c r="B174" s="53" t="s">
        <v>244</v>
      </c>
      <c r="C174" s="143"/>
      <c r="D174" s="138">
        <f t="shared" ref="D174:O174" si="34">D139</f>
        <v>0</v>
      </c>
      <c r="E174" s="138">
        <f t="shared" si="34"/>
        <v>0</v>
      </c>
      <c r="F174" s="138">
        <f t="shared" si="34"/>
        <v>0</v>
      </c>
      <c r="G174" s="138">
        <f t="shared" si="34"/>
        <v>0</v>
      </c>
      <c r="H174" s="138">
        <f t="shared" si="34"/>
        <v>0</v>
      </c>
      <c r="I174" s="138">
        <f t="shared" si="34"/>
        <v>0</v>
      </c>
      <c r="J174" s="138">
        <f t="shared" si="34"/>
        <v>0</v>
      </c>
      <c r="K174" s="138">
        <f t="shared" si="34"/>
        <v>0</v>
      </c>
      <c r="L174" s="138">
        <f t="shared" si="34"/>
        <v>0</v>
      </c>
      <c r="M174" s="138">
        <f t="shared" si="34"/>
        <v>0</v>
      </c>
      <c r="N174" s="138">
        <f t="shared" si="34"/>
        <v>0</v>
      </c>
      <c r="O174" s="138">
        <f t="shared" si="34"/>
        <v>0</v>
      </c>
      <c r="P174" s="356">
        <f>SUM(D174:O174)</f>
        <v>0</v>
      </c>
    </row>
    <row r="175" spans="1:16" ht="15.6" x14ac:dyDescent="0.3">
      <c r="A175" s="129">
        <f>A174+1</f>
        <v>17</v>
      </c>
      <c r="B175" s="53" t="s">
        <v>263</v>
      </c>
      <c r="C175" s="108"/>
      <c r="D175" s="72">
        <f t="shared" ref="D175:O175" si="35">SUM(D173:D174)</f>
        <v>3136.7</v>
      </c>
      <c r="E175" s="72">
        <f t="shared" si="35"/>
        <v>2307.1999999999998</v>
      </c>
      <c r="F175" s="72">
        <f t="shared" si="35"/>
        <v>1098.5999999999999</v>
      </c>
      <c r="G175" s="72">
        <f t="shared" si="35"/>
        <v>641.70000000000005</v>
      </c>
      <c r="H175" s="72">
        <f t="shared" si="35"/>
        <v>362.9</v>
      </c>
      <c r="I175" s="72">
        <f t="shared" si="35"/>
        <v>221.4</v>
      </c>
      <c r="J175" s="72">
        <f t="shared" si="35"/>
        <v>245</v>
      </c>
      <c r="K175" s="72">
        <f t="shared" si="35"/>
        <v>196.3</v>
      </c>
      <c r="L175" s="72">
        <f t="shared" si="35"/>
        <v>196.6</v>
      </c>
      <c r="M175" s="72">
        <f t="shared" si="35"/>
        <v>705.2</v>
      </c>
      <c r="N175" s="72">
        <f t="shared" si="35"/>
        <v>1014.3</v>
      </c>
      <c r="O175" s="72">
        <f t="shared" si="35"/>
        <v>1194.8</v>
      </c>
      <c r="P175" s="149">
        <f>SUM(D175:O175)</f>
        <v>11320.699999999999</v>
      </c>
    </row>
    <row r="176" spans="1:16" x14ac:dyDescent="0.25">
      <c r="A176" s="129"/>
      <c r="B176" s="53"/>
      <c r="C176" s="123"/>
      <c r="D176" s="123"/>
      <c r="E176" s="123"/>
      <c r="F176" s="123"/>
      <c r="G176" s="123"/>
      <c r="H176" s="123"/>
      <c r="I176" s="123"/>
      <c r="J176" s="123"/>
      <c r="K176" s="96"/>
      <c r="L176" s="96"/>
      <c r="M176" s="96"/>
      <c r="N176" s="96"/>
      <c r="O176" s="96"/>
      <c r="P176" s="128"/>
    </row>
    <row r="177" spans="1:19" ht="15.6" x14ac:dyDescent="0.3">
      <c r="A177" s="129">
        <f>A175+1</f>
        <v>18</v>
      </c>
      <c r="B177" s="52" t="s">
        <v>14</v>
      </c>
      <c r="C177" s="88"/>
      <c r="D177" s="88"/>
      <c r="E177" s="88"/>
      <c r="F177" s="88"/>
      <c r="G177" s="88"/>
      <c r="H177" s="88"/>
      <c r="I177" s="88"/>
      <c r="J177" s="88"/>
      <c r="K177" s="96"/>
      <c r="L177" s="96"/>
      <c r="M177" s="96"/>
      <c r="N177" s="96"/>
      <c r="O177" s="96"/>
      <c r="P177" s="128"/>
    </row>
    <row r="178" spans="1:19" x14ac:dyDescent="0.25">
      <c r="A178" s="129">
        <f>A177+1</f>
        <v>19</v>
      </c>
      <c r="B178" s="53" t="s">
        <v>368</v>
      </c>
      <c r="C178" s="133"/>
      <c r="D178" s="72">
        <f t="shared" ref="D178:O178" si="36">D158+D163+D168+D173</f>
        <v>2012998.7000000002</v>
      </c>
      <c r="E178" s="72">
        <f t="shared" si="36"/>
        <v>1964006.5999999999</v>
      </c>
      <c r="F178" s="72">
        <f t="shared" si="36"/>
        <v>1440007.5</v>
      </c>
      <c r="G178" s="72">
        <f t="shared" si="36"/>
        <v>841970.7</v>
      </c>
      <c r="H178" s="72">
        <f t="shared" si="36"/>
        <v>404032.4</v>
      </c>
      <c r="I178" s="72">
        <f t="shared" si="36"/>
        <v>213015.19999999995</v>
      </c>
      <c r="J178" s="72">
        <f t="shared" si="36"/>
        <v>154010.5</v>
      </c>
      <c r="K178" s="72">
        <f t="shared" si="36"/>
        <v>148005.70000000001</v>
      </c>
      <c r="L178" s="72">
        <f t="shared" si="36"/>
        <v>150013.5</v>
      </c>
      <c r="M178" s="72">
        <f t="shared" si="36"/>
        <v>230986.19999999998</v>
      </c>
      <c r="N178" s="72">
        <f t="shared" si="36"/>
        <v>592975.00000000012</v>
      </c>
      <c r="O178" s="72">
        <f t="shared" si="36"/>
        <v>1344991.9000000001</v>
      </c>
      <c r="P178" s="149">
        <f>SUM(D178:O178)</f>
        <v>9497013.9000000004</v>
      </c>
    </row>
    <row r="179" spans="1:19" x14ac:dyDescent="0.25">
      <c r="A179" s="129">
        <f>A178+1</f>
        <v>20</v>
      </c>
      <c r="B179" s="53" t="s">
        <v>244</v>
      </c>
      <c r="C179" s="143"/>
      <c r="D179" s="138">
        <f t="shared" ref="D179:O179" si="37">D159+D164+D169+D174</f>
        <v>17377.2</v>
      </c>
      <c r="E179" s="138">
        <f t="shared" si="37"/>
        <v>17904</v>
      </c>
      <c r="F179" s="138">
        <f t="shared" si="37"/>
        <v>18300</v>
      </c>
      <c r="G179" s="138">
        <f t="shared" si="37"/>
        <v>19000</v>
      </c>
      <c r="H179" s="138">
        <f t="shared" si="37"/>
        <v>19700</v>
      </c>
      <c r="I179" s="138">
        <f t="shared" si="37"/>
        <v>19700</v>
      </c>
      <c r="J179" s="138">
        <f t="shared" si="37"/>
        <v>19750</v>
      </c>
      <c r="K179" s="138">
        <f t="shared" si="37"/>
        <v>19750</v>
      </c>
      <c r="L179" s="138">
        <f t="shared" si="37"/>
        <v>19750</v>
      </c>
      <c r="M179" s="138">
        <f t="shared" si="37"/>
        <v>19750</v>
      </c>
      <c r="N179" s="138">
        <f t="shared" si="37"/>
        <v>19100</v>
      </c>
      <c r="O179" s="138">
        <f t="shared" si="37"/>
        <v>18100</v>
      </c>
      <c r="P179" s="356">
        <f>SUM(D179:O179)</f>
        <v>228181.2</v>
      </c>
    </row>
    <row r="180" spans="1:19" ht="16.2" thickBot="1" x14ac:dyDescent="0.35">
      <c r="A180" s="130">
        <f>A179+1</f>
        <v>21</v>
      </c>
      <c r="B180" s="144" t="s">
        <v>263</v>
      </c>
      <c r="C180" s="355"/>
      <c r="D180" s="146">
        <f t="shared" ref="D180:O180" si="38">SUM(D178:D179)</f>
        <v>2030375.9000000001</v>
      </c>
      <c r="E180" s="146">
        <f t="shared" si="38"/>
        <v>1981910.5999999999</v>
      </c>
      <c r="F180" s="146">
        <f t="shared" si="38"/>
        <v>1458307.5</v>
      </c>
      <c r="G180" s="146">
        <f t="shared" si="38"/>
        <v>860970.7</v>
      </c>
      <c r="H180" s="146">
        <f t="shared" si="38"/>
        <v>423732.4</v>
      </c>
      <c r="I180" s="146">
        <f t="shared" si="38"/>
        <v>232715.19999999995</v>
      </c>
      <c r="J180" s="146">
        <f t="shared" si="38"/>
        <v>173760.5</v>
      </c>
      <c r="K180" s="146">
        <f t="shared" si="38"/>
        <v>167755.70000000001</v>
      </c>
      <c r="L180" s="146">
        <f t="shared" si="38"/>
        <v>169763.5</v>
      </c>
      <c r="M180" s="146">
        <f t="shared" si="38"/>
        <v>250736.19999999998</v>
      </c>
      <c r="N180" s="146">
        <f t="shared" si="38"/>
        <v>612075.00000000012</v>
      </c>
      <c r="O180" s="146">
        <f t="shared" si="38"/>
        <v>1363091.9000000001</v>
      </c>
      <c r="P180" s="147">
        <f>SUM(D180:O180)</f>
        <v>9725195.1000000015</v>
      </c>
    </row>
    <row r="181" spans="1:19" ht="15.6" x14ac:dyDescent="0.3">
      <c r="A181" s="124"/>
      <c r="B181" s="135"/>
      <c r="C181" s="131"/>
      <c r="D181" s="172"/>
      <c r="E181" s="172"/>
      <c r="F181" s="172"/>
      <c r="G181" s="172"/>
      <c r="H181" s="172"/>
      <c r="I181" s="172"/>
      <c r="J181" s="173"/>
      <c r="K181" s="173"/>
      <c r="L181" s="173"/>
      <c r="M181" s="173"/>
      <c r="N181" s="173"/>
      <c r="O181" s="173"/>
      <c r="P181" s="136"/>
      <c r="S181" s="135"/>
    </row>
    <row r="182" spans="1:19" ht="15.6" x14ac:dyDescent="0.3">
      <c r="A182" s="124"/>
      <c r="B182" s="135"/>
      <c r="C182" s="131"/>
      <c r="D182" s="172"/>
      <c r="E182" s="172"/>
      <c r="F182" s="172"/>
      <c r="G182" s="172"/>
      <c r="H182" s="172"/>
      <c r="I182" s="172"/>
      <c r="J182" s="173"/>
      <c r="K182" s="173"/>
      <c r="L182" s="173"/>
      <c r="M182" s="173"/>
      <c r="N182" s="173"/>
      <c r="O182" s="173"/>
      <c r="P182" s="136"/>
      <c r="S182" s="135"/>
    </row>
    <row r="183" spans="1:19" ht="15.6" x14ac:dyDescent="0.3">
      <c r="A183" s="94">
        <f>A180+1</f>
        <v>22</v>
      </c>
      <c r="B183" s="52" t="s">
        <v>266</v>
      </c>
      <c r="C183" s="131"/>
      <c r="D183" s="172"/>
      <c r="E183" s="172"/>
      <c r="F183" s="172"/>
      <c r="G183" s="172"/>
      <c r="H183" s="172"/>
      <c r="I183" s="172"/>
      <c r="J183" s="173"/>
      <c r="K183" s="173"/>
      <c r="L183" s="173"/>
      <c r="M183" s="173"/>
      <c r="N183" s="173"/>
      <c r="O183" s="173"/>
      <c r="P183" s="136"/>
      <c r="S183" s="135"/>
    </row>
    <row r="184" spans="1:19" ht="15.6" x14ac:dyDescent="0.3">
      <c r="A184" s="94">
        <f>A183+1</f>
        <v>23</v>
      </c>
      <c r="B184" s="53" t="s">
        <v>368</v>
      </c>
      <c r="C184" s="133"/>
      <c r="D184" s="329">
        <v>364000</v>
      </c>
      <c r="E184" s="329">
        <v>353000</v>
      </c>
      <c r="F184" s="329">
        <v>265000</v>
      </c>
      <c r="G184" s="329">
        <v>151000</v>
      </c>
      <c r="H184" s="329">
        <v>71000</v>
      </c>
      <c r="I184" s="329">
        <v>34000</v>
      </c>
      <c r="J184" s="329">
        <v>24000</v>
      </c>
      <c r="K184" s="329">
        <v>23000</v>
      </c>
      <c r="L184" s="329">
        <v>25000</v>
      </c>
      <c r="M184" s="329">
        <v>39000</v>
      </c>
      <c r="N184" s="329">
        <v>111000</v>
      </c>
      <c r="O184" s="329">
        <v>247000</v>
      </c>
      <c r="P184" s="72">
        <f>SUM(D184:O184)</f>
        <v>1707000</v>
      </c>
      <c r="S184" s="135"/>
    </row>
    <row r="185" spans="1:19" ht="15.6" x14ac:dyDescent="0.3">
      <c r="A185" s="94">
        <f>A184+1</f>
        <v>24</v>
      </c>
      <c r="B185" s="53" t="s">
        <v>244</v>
      </c>
      <c r="C185" s="143" t="s">
        <v>371</v>
      </c>
      <c r="D185" s="338">
        <v>0</v>
      </c>
      <c r="E185" s="338">
        <v>0</v>
      </c>
      <c r="F185" s="338">
        <v>0</v>
      </c>
      <c r="G185" s="338">
        <v>0</v>
      </c>
      <c r="H185" s="338">
        <v>0</v>
      </c>
      <c r="I185" s="338">
        <v>0</v>
      </c>
      <c r="J185" s="338">
        <v>0</v>
      </c>
      <c r="K185" s="338">
        <v>0</v>
      </c>
      <c r="L185" s="338">
        <v>0</v>
      </c>
      <c r="M185" s="338">
        <v>0</v>
      </c>
      <c r="N185" s="338">
        <v>0</v>
      </c>
      <c r="O185" s="338">
        <v>0</v>
      </c>
      <c r="P185" s="138">
        <f>SUM(D185:O185)</f>
        <v>0</v>
      </c>
      <c r="S185" s="135"/>
    </row>
    <row r="186" spans="1:19" ht="15.6" x14ac:dyDescent="0.3">
      <c r="A186" s="94">
        <f>A185+1</f>
        <v>25</v>
      </c>
      <c r="B186" s="53" t="s">
        <v>263</v>
      </c>
      <c r="C186" s="108"/>
      <c r="D186" s="72">
        <f t="shared" ref="D186:O186" si="39">SUM(D184:D185)</f>
        <v>364000</v>
      </c>
      <c r="E186" s="72">
        <f t="shared" si="39"/>
        <v>353000</v>
      </c>
      <c r="F186" s="72">
        <f t="shared" si="39"/>
        <v>265000</v>
      </c>
      <c r="G186" s="72">
        <f t="shared" si="39"/>
        <v>151000</v>
      </c>
      <c r="H186" s="72">
        <f t="shared" si="39"/>
        <v>71000</v>
      </c>
      <c r="I186" s="72">
        <f t="shared" si="39"/>
        <v>34000</v>
      </c>
      <c r="J186" s="72">
        <f t="shared" si="39"/>
        <v>24000</v>
      </c>
      <c r="K186" s="72">
        <f t="shared" si="39"/>
        <v>23000</v>
      </c>
      <c r="L186" s="72">
        <f t="shared" si="39"/>
        <v>25000</v>
      </c>
      <c r="M186" s="72">
        <f t="shared" si="39"/>
        <v>39000</v>
      </c>
      <c r="N186" s="72">
        <f t="shared" si="39"/>
        <v>111000</v>
      </c>
      <c r="O186" s="72">
        <f t="shared" si="39"/>
        <v>247000</v>
      </c>
      <c r="P186" s="72">
        <f>SUM(D186:O186)</f>
        <v>1707000</v>
      </c>
      <c r="S186" s="135"/>
    </row>
    <row r="187" spans="1:19" ht="15.6" x14ac:dyDescent="0.3">
      <c r="A187" s="94"/>
      <c r="B187" s="53"/>
      <c r="C187" s="108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54"/>
      <c r="S187" s="135"/>
    </row>
    <row r="188" spans="1:19" ht="15.6" x14ac:dyDescent="0.3">
      <c r="A188" s="94">
        <f>A186+1</f>
        <v>26</v>
      </c>
      <c r="B188" s="52" t="s">
        <v>267</v>
      </c>
      <c r="C188" s="133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53"/>
      <c r="S188" s="135"/>
    </row>
    <row r="189" spans="1:19" ht="15.6" x14ac:dyDescent="0.3">
      <c r="A189" s="94">
        <f>A188+1</f>
        <v>27</v>
      </c>
      <c r="B189" s="53" t="s">
        <v>368</v>
      </c>
      <c r="C189" s="133"/>
      <c r="D189" s="312"/>
      <c r="E189" s="312"/>
      <c r="F189" s="312"/>
      <c r="G189" s="329"/>
      <c r="H189" s="329"/>
      <c r="I189" s="329"/>
      <c r="J189" s="329"/>
      <c r="K189" s="329"/>
      <c r="L189" s="329"/>
      <c r="M189" s="312"/>
      <c r="N189" s="312"/>
      <c r="O189" s="312"/>
      <c r="P189" s="106"/>
      <c r="S189" s="135"/>
    </row>
    <row r="190" spans="1:19" ht="15.6" x14ac:dyDescent="0.3">
      <c r="A190" s="94">
        <f>A189+1</f>
        <v>28</v>
      </c>
      <c r="B190" s="336" t="s">
        <v>255</v>
      </c>
      <c r="C190" s="133"/>
      <c r="D190" s="329">
        <v>115248.5</v>
      </c>
      <c r="E190" s="312">
        <v>116322.6</v>
      </c>
      <c r="F190" s="312">
        <v>106138.4</v>
      </c>
      <c r="G190" s="329">
        <v>75878.899999999994</v>
      </c>
      <c r="H190" s="329">
        <v>48386.9</v>
      </c>
      <c r="I190" s="329">
        <v>34090.9</v>
      </c>
      <c r="J190" s="329">
        <v>31140.7</v>
      </c>
      <c r="K190" s="329">
        <v>30451.200000000001</v>
      </c>
      <c r="L190" s="329">
        <v>32109</v>
      </c>
      <c r="M190" s="312">
        <v>40148.199999999997</v>
      </c>
      <c r="N190" s="312">
        <v>62458.3</v>
      </c>
      <c r="O190" s="312">
        <v>94003.8</v>
      </c>
      <c r="P190" s="106">
        <f>SUM(D190:O190)</f>
        <v>786377.4</v>
      </c>
      <c r="S190" s="135"/>
    </row>
    <row r="191" spans="1:19" ht="15.6" x14ac:dyDescent="0.3">
      <c r="A191" s="94">
        <f>A190+1</f>
        <v>29</v>
      </c>
      <c r="B191" s="336" t="s">
        <v>256</v>
      </c>
      <c r="C191" s="133"/>
      <c r="D191" s="329">
        <v>147158.6</v>
      </c>
      <c r="E191" s="312">
        <v>143758.29999999999</v>
      </c>
      <c r="F191" s="312">
        <v>103281.1</v>
      </c>
      <c r="G191" s="329">
        <v>63376.9</v>
      </c>
      <c r="H191" s="329">
        <v>39602.300000000003</v>
      </c>
      <c r="I191" s="329">
        <v>30878.400000000001</v>
      </c>
      <c r="J191" s="329">
        <v>27567.7</v>
      </c>
      <c r="K191" s="329">
        <v>26232.9</v>
      </c>
      <c r="L191" s="329">
        <v>28470.1</v>
      </c>
      <c r="M191" s="312">
        <v>38563.300000000003</v>
      </c>
      <c r="N191" s="312">
        <v>57697.599999999999</v>
      </c>
      <c r="O191" s="312">
        <v>100340.5</v>
      </c>
      <c r="P191" s="106">
        <f>SUM(D191:O191)</f>
        <v>806927.7</v>
      </c>
      <c r="S191" s="135"/>
    </row>
    <row r="192" spans="1:19" ht="15.6" x14ac:dyDescent="0.3">
      <c r="A192" s="94">
        <f>A191+1</f>
        <v>30</v>
      </c>
      <c r="B192" s="336" t="s">
        <v>257</v>
      </c>
      <c r="C192" s="133"/>
      <c r="D192" s="329">
        <v>37085</v>
      </c>
      <c r="E192" s="312">
        <v>34041.199999999997</v>
      </c>
      <c r="F192" s="312">
        <v>18666.5</v>
      </c>
      <c r="G192" s="329">
        <v>11741.5</v>
      </c>
      <c r="H192" s="329">
        <v>6797.7</v>
      </c>
      <c r="I192" s="329">
        <v>6188.9</v>
      </c>
      <c r="J192" s="329">
        <v>5312.4</v>
      </c>
      <c r="K192" s="329">
        <v>5525.8</v>
      </c>
      <c r="L192" s="329">
        <v>6310.6</v>
      </c>
      <c r="M192" s="312">
        <v>8979.6</v>
      </c>
      <c r="N192" s="312">
        <v>14083</v>
      </c>
      <c r="O192" s="312">
        <v>24521.200000000001</v>
      </c>
      <c r="P192" s="106">
        <f>SUM(D192:O192)</f>
        <v>179253.4</v>
      </c>
      <c r="S192" s="135"/>
    </row>
    <row r="193" spans="1:19" ht="15.6" x14ac:dyDescent="0.3">
      <c r="A193" s="94">
        <f>A192+1</f>
        <v>31</v>
      </c>
      <c r="B193" s="336" t="s">
        <v>258</v>
      </c>
      <c r="C193" s="133"/>
      <c r="D193" s="338">
        <v>22508.7</v>
      </c>
      <c r="E193" s="338">
        <v>17880.3</v>
      </c>
      <c r="F193" s="338">
        <v>7915.1</v>
      </c>
      <c r="G193" s="338">
        <v>4006.6</v>
      </c>
      <c r="H193" s="338">
        <v>2211.6999999999998</v>
      </c>
      <c r="I193" s="338">
        <v>2841.9</v>
      </c>
      <c r="J193" s="338">
        <v>1978.2</v>
      </c>
      <c r="K193" s="338">
        <v>1791.2</v>
      </c>
      <c r="L193" s="338">
        <v>2108.3000000000002</v>
      </c>
      <c r="M193" s="338">
        <v>3303.5</v>
      </c>
      <c r="N193" s="338">
        <v>5755.8</v>
      </c>
      <c r="O193" s="338">
        <v>15131</v>
      </c>
      <c r="P193" s="138">
        <f>SUM(D193:O193)</f>
        <v>87432.3</v>
      </c>
      <c r="S193" s="135"/>
    </row>
    <row r="194" spans="1:19" ht="15.6" x14ac:dyDescent="0.3">
      <c r="A194" s="94"/>
      <c r="B194" s="336"/>
      <c r="C194" s="133"/>
      <c r="D194" s="105">
        <f t="shared" ref="D194:N194" si="40">SUM(D190:D193)</f>
        <v>322000.8</v>
      </c>
      <c r="E194" s="105">
        <f t="shared" si="40"/>
        <v>312002.39999999997</v>
      </c>
      <c r="F194" s="105">
        <f t="shared" si="40"/>
        <v>236001.1</v>
      </c>
      <c r="G194" s="105">
        <f t="shared" si="40"/>
        <v>155003.9</v>
      </c>
      <c r="H194" s="105">
        <f t="shared" si="40"/>
        <v>96998.6</v>
      </c>
      <c r="I194" s="105">
        <f t="shared" si="40"/>
        <v>74000.099999999991</v>
      </c>
      <c r="J194" s="105">
        <f t="shared" si="40"/>
        <v>65999</v>
      </c>
      <c r="K194" s="105">
        <f t="shared" si="40"/>
        <v>64001.100000000006</v>
      </c>
      <c r="L194" s="105">
        <f t="shared" si="40"/>
        <v>68998</v>
      </c>
      <c r="M194" s="105">
        <f t="shared" si="40"/>
        <v>90994.6</v>
      </c>
      <c r="N194" s="105">
        <f t="shared" si="40"/>
        <v>139994.69999999998</v>
      </c>
      <c r="O194" s="105">
        <f>SUM(O190:O193)</f>
        <v>233996.5</v>
      </c>
      <c r="P194" s="106">
        <f>SUM(D194:O194)</f>
        <v>1859990.8000000003</v>
      </c>
      <c r="S194" s="135"/>
    </row>
    <row r="195" spans="1:19" ht="15.6" x14ac:dyDescent="0.3">
      <c r="A195" s="94">
        <f>A193+1</f>
        <v>32</v>
      </c>
      <c r="B195" s="53" t="s">
        <v>244</v>
      </c>
      <c r="C195" s="143" t="s">
        <v>371</v>
      </c>
      <c r="D195" s="329"/>
      <c r="E195" s="329"/>
      <c r="F195" s="329"/>
      <c r="G195" s="329"/>
      <c r="H195" s="329"/>
      <c r="I195" s="329"/>
      <c r="J195" s="329"/>
      <c r="K195" s="329"/>
      <c r="L195" s="329"/>
      <c r="M195" s="329"/>
      <c r="N195" s="329"/>
      <c r="O195" s="329"/>
      <c r="P195" s="72"/>
      <c r="S195" s="135"/>
    </row>
    <row r="196" spans="1:19" ht="15.6" x14ac:dyDescent="0.3">
      <c r="A196" s="94">
        <f>A195+1</f>
        <v>33</v>
      </c>
      <c r="B196" s="53" t="str">
        <f>B190</f>
        <v xml:space="preserve">    First 50 Mcf</v>
      </c>
      <c r="C196" s="143"/>
      <c r="D196" s="329">
        <v>0</v>
      </c>
      <c r="E196" s="329">
        <v>0</v>
      </c>
      <c r="F196" s="329">
        <v>0</v>
      </c>
      <c r="G196" s="329">
        <v>0</v>
      </c>
      <c r="H196" s="329">
        <v>0</v>
      </c>
      <c r="I196" s="329">
        <v>0</v>
      </c>
      <c r="J196" s="329">
        <v>0</v>
      </c>
      <c r="K196" s="329">
        <v>0</v>
      </c>
      <c r="L196" s="329">
        <v>0</v>
      </c>
      <c r="M196" s="329">
        <v>0</v>
      </c>
      <c r="N196" s="329">
        <v>0</v>
      </c>
      <c r="O196" s="329">
        <v>0</v>
      </c>
      <c r="P196" s="72">
        <f>SUM(D196:O196)</f>
        <v>0</v>
      </c>
      <c r="S196" s="135"/>
    </row>
    <row r="197" spans="1:19" ht="15.6" x14ac:dyDescent="0.3">
      <c r="A197" s="94">
        <f>A196+1</f>
        <v>34</v>
      </c>
      <c r="B197" s="53" t="str">
        <f>B191</f>
        <v xml:space="preserve">    Next 350 Mcf</v>
      </c>
      <c r="C197" s="143"/>
      <c r="D197" s="329">
        <v>0</v>
      </c>
      <c r="E197" s="329">
        <v>0</v>
      </c>
      <c r="F197" s="329">
        <v>0</v>
      </c>
      <c r="G197" s="329">
        <v>0</v>
      </c>
      <c r="H197" s="329">
        <v>0</v>
      </c>
      <c r="I197" s="329">
        <v>0</v>
      </c>
      <c r="J197" s="329">
        <v>0</v>
      </c>
      <c r="K197" s="329">
        <v>0</v>
      </c>
      <c r="L197" s="329">
        <v>0</v>
      </c>
      <c r="M197" s="329">
        <v>0</v>
      </c>
      <c r="N197" s="329">
        <v>0</v>
      </c>
      <c r="O197" s="329">
        <v>0</v>
      </c>
      <c r="P197" s="72">
        <f>SUM(D197:O197)</f>
        <v>0</v>
      </c>
      <c r="S197" s="135"/>
    </row>
    <row r="198" spans="1:19" ht="15.6" x14ac:dyDescent="0.3">
      <c r="A198" s="94">
        <f>A197+1</f>
        <v>35</v>
      </c>
      <c r="B198" s="53" t="str">
        <f>B192</f>
        <v xml:space="preserve">    Next 600 Mcf</v>
      </c>
      <c r="C198" s="143"/>
      <c r="D198" s="329">
        <v>0</v>
      </c>
      <c r="E198" s="329">
        <v>0</v>
      </c>
      <c r="F198" s="329">
        <v>0</v>
      </c>
      <c r="G198" s="329">
        <v>0</v>
      </c>
      <c r="H198" s="329">
        <v>0</v>
      </c>
      <c r="I198" s="329">
        <v>0</v>
      </c>
      <c r="J198" s="329">
        <v>0</v>
      </c>
      <c r="K198" s="329">
        <v>0</v>
      </c>
      <c r="L198" s="329">
        <v>0</v>
      </c>
      <c r="M198" s="329">
        <v>0</v>
      </c>
      <c r="N198" s="329">
        <v>0</v>
      </c>
      <c r="O198" s="329">
        <v>0</v>
      </c>
      <c r="P198" s="72">
        <f>SUM(D198:O198)</f>
        <v>0</v>
      </c>
      <c r="S198" s="135"/>
    </row>
    <row r="199" spans="1:19" ht="15.6" x14ac:dyDescent="0.3">
      <c r="A199" s="94">
        <f>A198+1</f>
        <v>36</v>
      </c>
      <c r="B199" s="53" t="str">
        <f>B193</f>
        <v xml:space="preserve">    Over 1,000 Mcf</v>
      </c>
      <c r="C199" s="143"/>
      <c r="D199" s="338">
        <v>0</v>
      </c>
      <c r="E199" s="338">
        <v>0</v>
      </c>
      <c r="F199" s="338">
        <v>0</v>
      </c>
      <c r="G199" s="338">
        <v>0</v>
      </c>
      <c r="H199" s="338">
        <v>0</v>
      </c>
      <c r="I199" s="338">
        <v>0</v>
      </c>
      <c r="J199" s="338">
        <v>0</v>
      </c>
      <c r="K199" s="338">
        <v>0</v>
      </c>
      <c r="L199" s="338">
        <v>0</v>
      </c>
      <c r="M199" s="338">
        <v>0</v>
      </c>
      <c r="N199" s="338">
        <v>0</v>
      </c>
      <c r="O199" s="338">
        <v>0</v>
      </c>
      <c r="P199" s="138">
        <f>SUM(D199:O199)</f>
        <v>0</v>
      </c>
      <c r="S199" s="135"/>
    </row>
    <row r="200" spans="1:19" ht="15.6" x14ac:dyDescent="0.3">
      <c r="A200" s="94"/>
      <c r="B200" s="53"/>
      <c r="C200" s="143"/>
      <c r="D200" s="72">
        <f t="shared" ref="D200:N200" si="41">SUM(D196:D199)</f>
        <v>0</v>
      </c>
      <c r="E200" s="72">
        <f t="shared" si="41"/>
        <v>0</v>
      </c>
      <c r="F200" s="72">
        <f t="shared" si="41"/>
        <v>0</v>
      </c>
      <c r="G200" s="72">
        <f t="shared" si="41"/>
        <v>0</v>
      </c>
      <c r="H200" s="72">
        <f t="shared" si="41"/>
        <v>0</v>
      </c>
      <c r="I200" s="72">
        <f t="shared" si="41"/>
        <v>0</v>
      </c>
      <c r="J200" s="72">
        <f t="shared" si="41"/>
        <v>0</v>
      </c>
      <c r="K200" s="72">
        <f t="shared" si="41"/>
        <v>0</v>
      </c>
      <c r="L200" s="72">
        <f t="shared" si="41"/>
        <v>0</v>
      </c>
      <c r="M200" s="72">
        <f t="shared" si="41"/>
        <v>0</v>
      </c>
      <c r="N200" s="72">
        <f t="shared" si="41"/>
        <v>0</v>
      </c>
      <c r="O200" s="72">
        <f>SUM(O196:O199)</f>
        <v>0</v>
      </c>
      <c r="P200" s="72">
        <f>SUM(D200:O200)</f>
        <v>0</v>
      </c>
      <c r="S200" s="135"/>
    </row>
    <row r="201" spans="1:19" ht="15.6" x14ac:dyDescent="0.3">
      <c r="A201" s="94">
        <f>A199+1</f>
        <v>37</v>
      </c>
      <c r="B201" s="53" t="s">
        <v>263</v>
      </c>
      <c r="C201" s="108"/>
      <c r="D201" s="105"/>
      <c r="E201" s="105"/>
      <c r="F201" s="105"/>
      <c r="G201" s="72"/>
      <c r="H201" s="72"/>
      <c r="I201" s="72"/>
      <c r="J201" s="72"/>
      <c r="K201" s="72"/>
      <c r="L201" s="72"/>
      <c r="M201" s="105"/>
      <c r="N201" s="105"/>
      <c r="O201" s="105"/>
      <c r="P201" s="106"/>
      <c r="S201" s="135"/>
    </row>
    <row r="202" spans="1:19" ht="15.6" x14ac:dyDescent="0.3">
      <c r="A202" s="94">
        <f>A201+1</f>
        <v>38</v>
      </c>
      <c r="B202" s="53" t="str">
        <f>B190</f>
        <v xml:space="preserve">    First 50 Mcf</v>
      </c>
      <c r="C202" s="131"/>
      <c r="D202" s="165">
        <f>D190+D196</f>
        <v>115248.5</v>
      </c>
      <c r="E202" s="165">
        <f t="shared" ref="E202:O202" si="42">E190+E196</f>
        <v>116322.6</v>
      </c>
      <c r="F202" s="165">
        <f t="shared" si="42"/>
        <v>106138.4</v>
      </c>
      <c r="G202" s="165">
        <f t="shared" si="42"/>
        <v>75878.899999999994</v>
      </c>
      <c r="H202" s="165">
        <f t="shared" si="42"/>
        <v>48386.9</v>
      </c>
      <c r="I202" s="165">
        <f t="shared" si="42"/>
        <v>34090.9</v>
      </c>
      <c r="J202" s="165">
        <f t="shared" si="42"/>
        <v>31140.7</v>
      </c>
      <c r="K202" s="165">
        <f t="shared" si="42"/>
        <v>30451.200000000001</v>
      </c>
      <c r="L202" s="165">
        <f t="shared" si="42"/>
        <v>32109</v>
      </c>
      <c r="M202" s="165">
        <f t="shared" si="42"/>
        <v>40148.199999999997</v>
      </c>
      <c r="N202" s="165">
        <f t="shared" si="42"/>
        <v>62458.3</v>
      </c>
      <c r="O202" s="165">
        <f t="shared" si="42"/>
        <v>94003.8</v>
      </c>
      <c r="P202" s="105">
        <f>SUM(D202:O202)</f>
        <v>786377.4</v>
      </c>
      <c r="S202" s="135"/>
    </row>
    <row r="203" spans="1:19" ht="15.6" x14ac:dyDescent="0.3">
      <c r="A203" s="94">
        <f>A202+1</f>
        <v>39</v>
      </c>
      <c r="B203" s="53" t="str">
        <f>B191</f>
        <v xml:space="preserve">    Next 350 Mcf</v>
      </c>
      <c r="C203" s="131"/>
      <c r="D203" s="165">
        <f t="shared" ref="D203:O205" si="43">D191+D197</f>
        <v>147158.6</v>
      </c>
      <c r="E203" s="165">
        <f t="shared" si="43"/>
        <v>143758.29999999999</v>
      </c>
      <c r="F203" s="165">
        <f t="shared" si="43"/>
        <v>103281.1</v>
      </c>
      <c r="G203" s="165">
        <f t="shared" si="43"/>
        <v>63376.9</v>
      </c>
      <c r="H203" s="165">
        <f t="shared" si="43"/>
        <v>39602.300000000003</v>
      </c>
      <c r="I203" s="165">
        <f t="shared" si="43"/>
        <v>30878.400000000001</v>
      </c>
      <c r="J203" s="165">
        <f t="shared" si="43"/>
        <v>27567.7</v>
      </c>
      <c r="K203" s="165">
        <f t="shared" si="43"/>
        <v>26232.9</v>
      </c>
      <c r="L203" s="165">
        <f t="shared" si="43"/>
        <v>28470.1</v>
      </c>
      <c r="M203" s="165">
        <f t="shared" si="43"/>
        <v>38563.300000000003</v>
      </c>
      <c r="N203" s="165">
        <f t="shared" si="43"/>
        <v>57697.599999999999</v>
      </c>
      <c r="O203" s="165">
        <f t="shared" si="43"/>
        <v>100340.5</v>
      </c>
      <c r="P203" s="105">
        <f>SUM(D203:O203)</f>
        <v>806927.7</v>
      </c>
      <c r="S203" s="135"/>
    </row>
    <row r="204" spans="1:19" ht="15.6" x14ac:dyDescent="0.3">
      <c r="A204" s="94">
        <f>A203+1</f>
        <v>40</v>
      </c>
      <c r="B204" s="53" t="str">
        <f>B192</f>
        <v xml:space="preserve">    Next 600 Mcf</v>
      </c>
      <c r="C204" s="131"/>
      <c r="D204" s="165">
        <f t="shared" si="43"/>
        <v>37085</v>
      </c>
      <c r="E204" s="165">
        <f t="shared" si="43"/>
        <v>34041.199999999997</v>
      </c>
      <c r="F204" s="165">
        <f t="shared" si="43"/>
        <v>18666.5</v>
      </c>
      <c r="G204" s="165">
        <f t="shared" si="43"/>
        <v>11741.5</v>
      </c>
      <c r="H204" s="165">
        <f t="shared" si="43"/>
        <v>6797.7</v>
      </c>
      <c r="I204" s="165">
        <f t="shared" si="43"/>
        <v>6188.9</v>
      </c>
      <c r="J204" s="165">
        <f t="shared" si="43"/>
        <v>5312.4</v>
      </c>
      <c r="K204" s="165">
        <f t="shared" si="43"/>
        <v>5525.8</v>
      </c>
      <c r="L204" s="165">
        <f t="shared" si="43"/>
        <v>6310.6</v>
      </c>
      <c r="M204" s="165">
        <f t="shared" si="43"/>
        <v>8979.6</v>
      </c>
      <c r="N204" s="165">
        <f t="shared" si="43"/>
        <v>14083</v>
      </c>
      <c r="O204" s="165">
        <f t="shared" si="43"/>
        <v>24521.200000000001</v>
      </c>
      <c r="P204" s="105">
        <f>SUM(D204:O204)</f>
        <v>179253.4</v>
      </c>
      <c r="S204" s="135"/>
    </row>
    <row r="205" spans="1:19" ht="15.6" x14ac:dyDescent="0.3">
      <c r="A205" s="94">
        <f>A204+1</f>
        <v>41</v>
      </c>
      <c r="B205" s="53" t="str">
        <f>B193</f>
        <v xml:space="preserve">    Over 1,000 Mcf</v>
      </c>
      <c r="C205" s="131"/>
      <c r="D205" s="140">
        <f t="shared" si="43"/>
        <v>22508.7</v>
      </c>
      <c r="E205" s="140">
        <f t="shared" si="43"/>
        <v>17880.3</v>
      </c>
      <c r="F205" s="140">
        <f t="shared" si="43"/>
        <v>7915.1</v>
      </c>
      <c r="G205" s="140">
        <f t="shared" si="43"/>
        <v>4006.6</v>
      </c>
      <c r="H205" s="140">
        <f t="shared" si="43"/>
        <v>2211.6999999999998</v>
      </c>
      <c r="I205" s="140">
        <f t="shared" si="43"/>
        <v>2841.9</v>
      </c>
      <c r="J205" s="140">
        <f t="shared" si="43"/>
        <v>1978.2</v>
      </c>
      <c r="K205" s="140">
        <f t="shared" si="43"/>
        <v>1791.2</v>
      </c>
      <c r="L205" s="140">
        <f t="shared" si="43"/>
        <v>2108.3000000000002</v>
      </c>
      <c r="M205" s="140">
        <f t="shared" si="43"/>
        <v>3303.5</v>
      </c>
      <c r="N205" s="140">
        <f t="shared" si="43"/>
        <v>5755.8</v>
      </c>
      <c r="O205" s="140">
        <f t="shared" si="43"/>
        <v>15131</v>
      </c>
      <c r="P205" s="138">
        <f>SUM(D205:O205)</f>
        <v>87432.3</v>
      </c>
      <c r="S205" s="135"/>
    </row>
    <row r="206" spans="1:19" ht="15.6" x14ac:dyDescent="0.3">
      <c r="A206" s="94">
        <f>A205+1</f>
        <v>42</v>
      </c>
      <c r="B206" s="53" t="s">
        <v>369</v>
      </c>
      <c r="C206" s="108"/>
      <c r="D206" s="72">
        <f>D194+D200</f>
        <v>322000.8</v>
      </c>
      <c r="E206" s="72">
        <f t="shared" ref="E206:O206" si="44">E194+E200</f>
        <v>312002.39999999997</v>
      </c>
      <c r="F206" s="72">
        <f t="shared" si="44"/>
        <v>236001.1</v>
      </c>
      <c r="G206" s="72">
        <f t="shared" si="44"/>
        <v>155003.9</v>
      </c>
      <c r="H206" s="72">
        <f t="shared" si="44"/>
        <v>96998.6</v>
      </c>
      <c r="I206" s="72">
        <f t="shared" si="44"/>
        <v>74000.099999999991</v>
      </c>
      <c r="J206" s="72">
        <f t="shared" si="44"/>
        <v>65999</v>
      </c>
      <c r="K206" s="72">
        <f t="shared" si="44"/>
        <v>64001.100000000006</v>
      </c>
      <c r="L206" s="72">
        <f t="shared" si="44"/>
        <v>68998</v>
      </c>
      <c r="M206" s="72">
        <f t="shared" si="44"/>
        <v>90994.6</v>
      </c>
      <c r="N206" s="72">
        <f t="shared" si="44"/>
        <v>139994.69999999998</v>
      </c>
      <c r="O206" s="72">
        <f t="shared" si="44"/>
        <v>233996.5</v>
      </c>
      <c r="P206" s="72">
        <f>SUM(D206:O206)</f>
        <v>1859990.8000000003</v>
      </c>
      <c r="S206" s="135"/>
    </row>
    <row r="207" spans="1:19" ht="15.6" x14ac:dyDescent="0.3">
      <c r="A207" s="124"/>
      <c r="B207" s="135"/>
      <c r="C207" s="131"/>
      <c r="D207" s="172"/>
      <c r="E207" s="172"/>
      <c r="F207" s="172"/>
      <c r="G207" s="172"/>
      <c r="H207" s="172"/>
      <c r="I207" s="172"/>
      <c r="J207" s="173"/>
      <c r="K207" s="173"/>
      <c r="L207" s="173"/>
      <c r="M207" s="173"/>
      <c r="N207" s="173"/>
      <c r="O207" s="173"/>
      <c r="P207" s="136"/>
      <c r="S207" s="135"/>
    </row>
    <row r="208" spans="1:19" ht="15.6" x14ac:dyDescent="0.3">
      <c r="A208" s="880" t="str">
        <f>CONAME</f>
        <v>Columbia Gas of Kentucky, Inc.</v>
      </c>
      <c r="B208" s="880"/>
      <c r="C208" s="880"/>
      <c r="D208" s="880"/>
      <c r="E208" s="880"/>
      <c r="F208" s="880"/>
      <c r="G208" s="880"/>
      <c r="H208" s="880"/>
      <c r="I208" s="880"/>
      <c r="J208" s="880"/>
      <c r="K208" s="880"/>
      <c r="L208" s="880"/>
      <c r="M208" s="880"/>
      <c r="N208" s="880"/>
      <c r="O208" s="880"/>
      <c r="P208" s="880"/>
    </row>
    <row r="209" spans="1:19" ht="15.6" x14ac:dyDescent="0.3">
      <c r="A209" s="880" t="s">
        <v>197</v>
      </c>
      <c r="B209" s="880"/>
      <c r="C209" s="880"/>
      <c r="D209" s="880"/>
      <c r="E209" s="880"/>
      <c r="F209" s="880"/>
      <c r="G209" s="880"/>
      <c r="H209" s="880"/>
      <c r="I209" s="880"/>
      <c r="J209" s="880"/>
      <c r="K209" s="880"/>
      <c r="L209" s="880"/>
      <c r="M209" s="880"/>
      <c r="N209" s="880"/>
      <c r="O209" s="880"/>
      <c r="P209" s="880"/>
    </row>
    <row r="210" spans="1:19" ht="15.6" x14ac:dyDescent="0.3">
      <c r="A210" s="879" t="str">
        <f>TYDESC</f>
        <v>For the 12 Months Ended December 31, 2017</v>
      </c>
      <c r="B210" s="879"/>
      <c r="C210" s="879"/>
      <c r="D210" s="879"/>
      <c r="E210" s="879"/>
      <c r="F210" s="879"/>
      <c r="G210" s="879"/>
      <c r="H210" s="879"/>
      <c r="I210" s="879"/>
      <c r="J210" s="879"/>
      <c r="K210" s="879"/>
      <c r="L210" s="879"/>
      <c r="M210" s="879"/>
      <c r="N210" s="879"/>
      <c r="O210" s="879"/>
      <c r="P210" s="879"/>
    </row>
    <row r="211" spans="1:19" ht="15.6" x14ac:dyDescent="0.3">
      <c r="A211" s="108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</row>
    <row r="212" spans="1:19" ht="15.6" x14ac:dyDescent="0.3">
      <c r="A212" s="100" t="str">
        <f>$A$5</f>
        <v>Data: __ Base Period_X_Forecasted Period</v>
      </c>
      <c r="B212" s="53"/>
      <c r="C212" s="108"/>
      <c r="D212" s="108"/>
      <c r="E212" s="108"/>
      <c r="F212" s="108"/>
      <c r="G212" s="96"/>
      <c r="H212" s="96"/>
      <c r="I212" s="96"/>
      <c r="J212" s="96"/>
      <c r="K212" s="96"/>
      <c r="L212" s="96"/>
      <c r="M212" s="96"/>
      <c r="N212" s="96"/>
      <c r="O212" s="96"/>
      <c r="P212" s="330" t="str">
        <f>$P$5</f>
        <v>Workpaper WPM-C.2</v>
      </c>
    </row>
    <row r="213" spans="1:19" ht="15.6" x14ac:dyDescent="0.3">
      <c r="A213" s="100" t="str">
        <f>$A$6</f>
        <v>Type of Filing: X Original _ Update _ Revised</v>
      </c>
      <c r="B213" s="53"/>
      <c r="C213" s="108"/>
      <c r="D213" s="108"/>
      <c r="E213" s="108"/>
      <c r="F213" s="108"/>
      <c r="G213" s="96"/>
      <c r="H213" s="96"/>
      <c r="I213" s="96"/>
      <c r="J213" s="96"/>
      <c r="K213" s="96"/>
      <c r="L213" s="96"/>
      <c r="M213" s="96"/>
      <c r="N213" s="96"/>
      <c r="O213" s="96"/>
      <c r="P213" s="331" t="s">
        <v>376</v>
      </c>
    </row>
    <row r="214" spans="1:19" ht="15.6" x14ac:dyDescent="0.3">
      <c r="A214" s="100" t="str">
        <f>$A$7</f>
        <v>Work Paper Reference No(s):</v>
      </c>
      <c r="B214" s="53"/>
      <c r="C214" s="108"/>
      <c r="D214" s="108"/>
      <c r="E214" s="108"/>
      <c r="F214" s="108"/>
      <c r="G214" s="96"/>
      <c r="H214" s="96"/>
      <c r="I214" s="96"/>
      <c r="J214" s="96"/>
      <c r="K214" s="96"/>
      <c r="L214" s="96"/>
      <c r="M214" s="96"/>
      <c r="N214" s="96"/>
      <c r="O214" s="96"/>
      <c r="P214" s="331"/>
    </row>
    <row r="215" spans="1:19" ht="15.6" x14ac:dyDescent="0.3">
      <c r="A215" s="132" t="str">
        <f>$A$8</f>
        <v>12 Months Forecasted</v>
      </c>
      <c r="B215" s="124"/>
      <c r="C215" s="108"/>
      <c r="D215" s="332"/>
      <c r="E215" s="108"/>
      <c r="F215" s="333"/>
      <c r="G215" s="334"/>
      <c r="H215" s="333"/>
      <c r="I215" s="335"/>
      <c r="J215" s="333"/>
      <c r="K215" s="333"/>
      <c r="L215" s="333"/>
      <c r="M215" s="333"/>
      <c r="N215" s="333"/>
      <c r="O215" s="333"/>
      <c r="P215" s="314"/>
      <c r="Q215" s="124"/>
      <c r="R215" s="124"/>
    </row>
    <row r="216" spans="1:19" ht="15.6" x14ac:dyDescent="0.3">
      <c r="A216" s="101"/>
      <c r="B216" s="124"/>
      <c r="C216" s="108"/>
      <c r="D216" s="332"/>
      <c r="E216" s="108"/>
      <c r="F216" s="333"/>
      <c r="G216" s="334"/>
      <c r="H216" s="333"/>
      <c r="I216" s="335"/>
      <c r="J216" s="333"/>
      <c r="K216" s="333"/>
      <c r="L216" s="333"/>
      <c r="M216" s="333"/>
      <c r="N216" s="333"/>
      <c r="O216" s="333"/>
      <c r="P216" s="314"/>
      <c r="Q216" s="124"/>
      <c r="R216" s="124"/>
    </row>
    <row r="217" spans="1:19" ht="15.6" x14ac:dyDescent="0.3">
      <c r="A217" s="124" t="s">
        <v>1</v>
      </c>
      <c r="B217" s="124"/>
      <c r="C217" s="108"/>
      <c r="D217" s="332"/>
      <c r="E217" s="108"/>
      <c r="F217" s="333"/>
      <c r="G217" s="334"/>
      <c r="H217" s="333"/>
      <c r="I217" s="335"/>
      <c r="J217" s="333"/>
      <c r="K217" s="333"/>
      <c r="L217" s="333"/>
      <c r="M217" s="333"/>
      <c r="N217" s="333"/>
      <c r="O217" s="333"/>
      <c r="P217" s="314"/>
      <c r="Q217" s="135"/>
      <c r="R217" s="135"/>
    </row>
    <row r="218" spans="1:19" ht="15.6" x14ac:dyDescent="0.3">
      <c r="A218" s="316" t="s">
        <v>3</v>
      </c>
      <c r="B218" s="316" t="s">
        <v>4</v>
      </c>
      <c r="C218" s="317" t="s">
        <v>186</v>
      </c>
      <c r="D218" s="318" t="str">
        <f>B!$D$11</f>
        <v>Jan-17</v>
      </c>
      <c r="E218" s="318" t="str">
        <f>B!$E$11</f>
        <v>Feb-17</v>
      </c>
      <c r="F218" s="318" t="str">
        <f>B!$F$11</f>
        <v>Mar-17</v>
      </c>
      <c r="G218" s="318" t="str">
        <f>B!$G$11</f>
        <v>Apr-17</v>
      </c>
      <c r="H218" s="318" t="str">
        <f>B!$H$11</f>
        <v>May-17</v>
      </c>
      <c r="I218" s="318" t="str">
        <f>B!$I$11</f>
        <v>Jun-17</v>
      </c>
      <c r="J218" s="318" t="str">
        <f>B!$J$11</f>
        <v>Jul-17</v>
      </c>
      <c r="K218" s="318" t="str">
        <f>B!$K$11</f>
        <v>Aug-17</v>
      </c>
      <c r="L218" s="318" t="str">
        <f>B!$L$11</f>
        <v>Sep-17</v>
      </c>
      <c r="M218" s="318" t="str">
        <f>B!$M$11</f>
        <v>Oct-17</v>
      </c>
      <c r="N218" s="318" t="str">
        <f>B!$N$11</f>
        <v>Nov-17</v>
      </c>
      <c r="O218" s="318" t="str">
        <f>B!$O$11</f>
        <v>Dec-17</v>
      </c>
      <c r="P218" s="218" t="s">
        <v>9</v>
      </c>
      <c r="S218" s="215"/>
    </row>
    <row r="219" spans="1:19" ht="15.6" x14ac:dyDescent="0.3">
      <c r="A219" s="124"/>
      <c r="B219" s="135" t="s">
        <v>42</v>
      </c>
      <c r="C219" s="131" t="s">
        <v>43</v>
      </c>
      <c r="D219" s="313" t="s">
        <v>45</v>
      </c>
      <c r="E219" s="313" t="s">
        <v>46</v>
      </c>
      <c r="F219" s="313" t="s">
        <v>49</v>
      </c>
      <c r="G219" s="313" t="s">
        <v>50</v>
      </c>
      <c r="H219" s="313" t="s">
        <v>51</v>
      </c>
      <c r="I219" s="313" t="s">
        <v>52</v>
      </c>
      <c r="J219" s="313" t="s">
        <v>53</v>
      </c>
      <c r="K219" s="136" t="s">
        <v>54</v>
      </c>
      <c r="L219" s="136" t="s">
        <v>55</v>
      </c>
      <c r="M219" s="136" t="s">
        <v>56</v>
      </c>
      <c r="N219" s="136" t="s">
        <v>57</v>
      </c>
      <c r="O219" s="136" t="s">
        <v>58</v>
      </c>
      <c r="P219" s="136" t="s">
        <v>59</v>
      </c>
      <c r="S219" s="135"/>
    </row>
    <row r="220" spans="1:19" ht="15.6" x14ac:dyDescent="0.3">
      <c r="A220" s="124"/>
      <c r="B220" s="135"/>
      <c r="C220" s="131"/>
      <c r="D220" s="172"/>
      <c r="E220" s="172"/>
      <c r="F220" s="172"/>
      <c r="G220" s="172"/>
      <c r="H220" s="172"/>
      <c r="I220" s="172"/>
      <c r="J220" s="173"/>
      <c r="K220" s="173"/>
      <c r="L220" s="173"/>
      <c r="M220" s="173"/>
      <c r="N220" s="173"/>
      <c r="O220" s="173"/>
      <c r="P220" s="136"/>
      <c r="S220" s="135"/>
    </row>
    <row r="221" spans="1:19" ht="15.6" x14ac:dyDescent="0.3">
      <c r="A221" s="94">
        <v>1</v>
      </c>
      <c r="B221" s="52" t="s">
        <v>268</v>
      </c>
      <c r="C221" s="133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53"/>
    </row>
    <row r="222" spans="1:19" x14ac:dyDescent="0.25">
      <c r="A222" s="94">
        <f>A221+1</f>
        <v>2</v>
      </c>
      <c r="B222" s="53" t="s">
        <v>368</v>
      </c>
      <c r="C222" s="133"/>
      <c r="D222" s="312"/>
      <c r="E222" s="312"/>
      <c r="F222" s="312"/>
      <c r="G222" s="329"/>
      <c r="H222" s="329"/>
      <c r="I222" s="329"/>
      <c r="J222" s="329"/>
      <c r="K222" s="329"/>
      <c r="L222" s="329"/>
      <c r="M222" s="312"/>
      <c r="N222" s="312"/>
      <c r="O222" s="312"/>
      <c r="P222" s="106"/>
    </row>
    <row r="223" spans="1:19" x14ac:dyDescent="0.25">
      <c r="A223" s="94">
        <f>A222+1</f>
        <v>3</v>
      </c>
      <c r="B223" s="336" t="s">
        <v>255</v>
      </c>
      <c r="C223" s="133"/>
      <c r="D223" s="329">
        <v>472.7</v>
      </c>
      <c r="E223" s="312">
        <v>517.79999999999995</v>
      </c>
      <c r="F223" s="312">
        <v>508.5</v>
      </c>
      <c r="G223" s="329">
        <v>429.7</v>
      </c>
      <c r="H223" s="329">
        <v>346.2</v>
      </c>
      <c r="I223" s="329">
        <v>313.10000000000002</v>
      </c>
      <c r="J223" s="329">
        <v>310.60000000000002</v>
      </c>
      <c r="K223" s="329">
        <v>295.60000000000002</v>
      </c>
      <c r="L223" s="329">
        <v>279.2</v>
      </c>
      <c r="M223" s="312">
        <v>420.4</v>
      </c>
      <c r="N223" s="312">
        <v>426.1</v>
      </c>
      <c r="O223" s="312">
        <v>467.9</v>
      </c>
      <c r="P223" s="106">
        <f>SUM(D223:O223)</f>
        <v>4787.7999999999993</v>
      </c>
    </row>
    <row r="224" spans="1:19" x14ac:dyDescent="0.25">
      <c r="A224" s="94">
        <f>A223+1</f>
        <v>4</v>
      </c>
      <c r="B224" s="336" t="s">
        <v>256</v>
      </c>
      <c r="C224" s="133"/>
      <c r="D224" s="329">
        <v>2210.1999999999998</v>
      </c>
      <c r="E224" s="312">
        <v>2239.1</v>
      </c>
      <c r="F224" s="312">
        <v>2090.1999999999998</v>
      </c>
      <c r="G224" s="329">
        <v>1600.8</v>
      </c>
      <c r="H224" s="329">
        <v>1646.5</v>
      </c>
      <c r="I224" s="329">
        <v>1359.8</v>
      </c>
      <c r="J224" s="329">
        <v>1359.2</v>
      </c>
      <c r="K224" s="329">
        <v>1380.5</v>
      </c>
      <c r="L224" s="329">
        <v>1335.8</v>
      </c>
      <c r="M224" s="312">
        <v>1812.9</v>
      </c>
      <c r="N224" s="312">
        <v>2003.7</v>
      </c>
      <c r="O224" s="312">
        <v>2070.3000000000002</v>
      </c>
      <c r="P224" s="106">
        <f>SUM(D224:O224)</f>
        <v>21109</v>
      </c>
    </row>
    <row r="225" spans="1:94" x14ac:dyDescent="0.25">
      <c r="A225" s="94">
        <f>A224+1</f>
        <v>5</v>
      </c>
      <c r="B225" s="336" t="s">
        <v>257</v>
      </c>
      <c r="C225" s="133"/>
      <c r="D225" s="329">
        <v>2400</v>
      </c>
      <c r="E225" s="312">
        <v>2344.6999999999998</v>
      </c>
      <c r="F225" s="312">
        <v>2065.1</v>
      </c>
      <c r="G225" s="329">
        <v>1901.5</v>
      </c>
      <c r="H225" s="329">
        <v>1446.5</v>
      </c>
      <c r="I225" s="329">
        <v>1488.2</v>
      </c>
      <c r="J225" s="329">
        <v>1395.6</v>
      </c>
      <c r="K225" s="329">
        <v>1201</v>
      </c>
      <c r="L225" s="329">
        <v>1365.8</v>
      </c>
      <c r="M225" s="312">
        <v>1413.9</v>
      </c>
      <c r="N225" s="312">
        <v>1953.8</v>
      </c>
      <c r="O225" s="312">
        <v>1933.6</v>
      </c>
      <c r="P225" s="106">
        <f>SUM(D225:O225)</f>
        <v>20909.699999999997</v>
      </c>
    </row>
    <row r="226" spans="1:94" ht="16.8" x14ac:dyDescent="0.4">
      <c r="A226" s="94">
        <f>A225+1</f>
        <v>6</v>
      </c>
      <c r="B226" s="336" t="s">
        <v>258</v>
      </c>
      <c r="C226" s="133"/>
      <c r="D226" s="337">
        <v>917.2</v>
      </c>
      <c r="E226" s="341">
        <v>898.3</v>
      </c>
      <c r="F226" s="337">
        <v>1336.1</v>
      </c>
      <c r="G226" s="337">
        <v>2067.9</v>
      </c>
      <c r="H226" s="337">
        <v>2560.8000000000002</v>
      </c>
      <c r="I226" s="337">
        <v>2839</v>
      </c>
      <c r="J226" s="337">
        <v>2934.5</v>
      </c>
      <c r="K226" s="337">
        <v>3122.9</v>
      </c>
      <c r="L226" s="337">
        <v>3019.2</v>
      </c>
      <c r="M226" s="341">
        <v>2352.9</v>
      </c>
      <c r="N226" s="341">
        <v>1616.4</v>
      </c>
      <c r="O226" s="341">
        <v>1528.2</v>
      </c>
      <c r="P226" s="342">
        <f>SUM(D226:O226)</f>
        <v>25193.400000000005</v>
      </c>
    </row>
    <row r="227" spans="1:94" x14ac:dyDescent="0.25">
      <c r="A227" s="94"/>
      <c r="B227" s="336"/>
      <c r="C227" s="133"/>
      <c r="D227" s="105">
        <f t="shared" ref="D227:N227" si="45">SUM(D223:D226)</f>
        <v>6000.0999999999995</v>
      </c>
      <c r="E227" s="105">
        <f t="shared" si="45"/>
        <v>5999.9</v>
      </c>
      <c r="F227" s="105">
        <f t="shared" si="45"/>
        <v>5999.9</v>
      </c>
      <c r="G227" s="105">
        <f t="shared" si="45"/>
        <v>5999.9</v>
      </c>
      <c r="H227" s="105">
        <f t="shared" si="45"/>
        <v>6000</v>
      </c>
      <c r="I227" s="105">
        <f t="shared" si="45"/>
        <v>6000.1</v>
      </c>
      <c r="J227" s="105">
        <f t="shared" si="45"/>
        <v>5999.9</v>
      </c>
      <c r="K227" s="105">
        <f t="shared" si="45"/>
        <v>6000</v>
      </c>
      <c r="L227" s="105">
        <f t="shared" si="45"/>
        <v>6000</v>
      </c>
      <c r="M227" s="105">
        <f t="shared" si="45"/>
        <v>6000.1</v>
      </c>
      <c r="N227" s="105">
        <f t="shared" si="45"/>
        <v>6000</v>
      </c>
      <c r="O227" s="105">
        <f>SUM(O223:O226)</f>
        <v>6000</v>
      </c>
      <c r="P227" s="106">
        <f>SUM(D227:O227)</f>
        <v>71999.899999999994</v>
      </c>
    </row>
    <row r="228" spans="1:94" x14ac:dyDescent="0.25">
      <c r="A228" s="94">
        <f>A226+1</f>
        <v>7</v>
      </c>
      <c r="B228" s="53" t="s">
        <v>244</v>
      </c>
      <c r="C228" s="143" t="s">
        <v>371</v>
      </c>
      <c r="D228" s="329"/>
      <c r="E228" s="329"/>
      <c r="F228" s="329"/>
      <c r="G228" s="329"/>
      <c r="H228" s="329"/>
      <c r="I228" s="329"/>
      <c r="J228" s="329"/>
      <c r="K228" s="329"/>
      <c r="L228" s="329"/>
      <c r="M228" s="329"/>
      <c r="N228" s="329"/>
      <c r="O228" s="329"/>
      <c r="P228" s="72"/>
    </row>
    <row r="229" spans="1:94" x14ac:dyDescent="0.25">
      <c r="A229" s="94">
        <f>A228+1</f>
        <v>8</v>
      </c>
      <c r="B229" s="53" t="str">
        <f>B223</f>
        <v xml:space="preserve">    First 50 Mcf</v>
      </c>
      <c r="C229" s="143"/>
      <c r="D229" s="329">
        <v>0</v>
      </c>
      <c r="E229" s="329">
        <v>0</v>
      </c>
      <c r="F229" s="329">
        <v>0</v>
      </c>
      <c r="G229" s="329">
        <v>0</v>
      </c>
      <c r="H229" s="329">
        <v>0</v>
      </c>
      <c r="I229" s="329">
        <v>0</v>
      </c>
      <c r="J229" s="329">
        <v>0</v>
      </c>
      <c r="K229" s="329">
        <v>0</v>
      </c>
      <c r="L229" s="329">
        <v>0</v>
      </c>
      <c r="M229" s="329">
        <v>0</v>
      </c>
      <c r="N229" s="329">
        <v>0</v>
      </c>
      <c r="O229" s="329">
        <v>0</v>
      </c>
      <c r="P229" s="72">
        <f>SUM(D229:O229)</f>
        <v>0</v>
      </c>
    </row>
    <row r="230" spans="1:94" x14ac:dyDescent="0.25">
      <c r="A230" s="94">
        <f>A229+1</f>
        <v>9</v>
      </c>
      <c r="B230" s="53" t="str">
        <f>B224</f>
        <v xml:space="preserve">    Next 350 Mcf</v>
      </c>
      <c r="C230" s="143"/>
      <c r="D230" s="329">
        <v>0</v>
      </c>
      <c r="E230" s="329">
        <v>0</v>
      </c>
      <c r="F230" s="329">
        <v>0</v>
      </c>
      <c r="G230" s="329">
        <v>0</v>
      </c>
      <c r="H230" s="329">
        <v>0</v>
      </c>
      <c r="I230" s="329">
        <v>0</v>
      </c>
      <c r="J230" s="329">
        <v>0</v>
      </c>
      <c r="K230" s="329">
        <v>0</v>
      </c>
      <c r="L230" s="329">
        <v>0</v>
      </c>
      <c r="M230" s="329">
        <v>0</v>
      </c>
      <c r="N230" s="329">
        <v>0</v>
      </c>
      <c r="O230" s="329">
        <v>0</v>
      </c>
      <c r="P230" s="72">
        <f>SUM(D230:O230)</f>
        <v>0</v>
      </c>
    </row>
    <row r="231" spans="1:94" x14ac:dyDescent="0.25">
      <c r="A231" s="94">
        <f>A230+1</f>
        <v>10</v>
      </c>
      <c r="B231" s="53" t="str">
        <f>B225</f>
        <v xml:space="preserve">    Next 600 Mcf</v>
      </c>
      <c r="C231" s="143"/>
      <c r="D231" s="329">
        <v>0</v>
      </c>
      <c r="E231" s="329">
        <v>0</v>
      </c>
      <c r="F231" s="329">
        <v>0</v>
      </c>
      <c r="G231" s="329">
        <v>0</v>
      </c>
      <c r="H231" s="329">
        <v>0</v>
      </c>
      <c r="I231" s="329">
        <v>0</v>
      </c>
      <c r="J231" s="329">
        <v>0</v>
      </c>
      <c r="K231" s="329">
        <v>0</v>
      </c>
      <c r="L231" s="329">
        <v>0</v>
      </c>
      <c r="M231" s="329">
        <v>0</v>
      </c>
      <c r="N231" s="329">
        <v>0</v>
      </c>
      <c r="O231" s="329">
        <v>0</v>
      </c>
      <c r="P231" s="72">
        <f>SUM(D231:O231)</f>
        <v>0</v>
      </c>
    </row>
    <row r="232" spans="1:94" x14ac:dyDescent="0.25">
      <c r="A232" s="94">
        <f>A231+1</f>
        <v>11</v>
      </c>
      <c r="B232" s="53" t="str">
        <f>B226</f>
        <v xml:space="preserve">    Over 1,000 Mcf</v>
      </c>
      <c r="C232" s="143"/>
      <c r="D232" s="338">
        <v>0</v>
      </c>
      <c r="E232" s="338">
        <v>0</v>
      </c>
      <c r="F232" s="338">
        <v>0</v>
      </c>
      <c r="G232" s="338">
        <v>0</v>
      </c>
      <c r="H232" s="338">
        <v>0</v>
      </c>
      <c r="I232" s="338">
        <v>0</v>
      </c>
      <c r="J232" s="338">
        <v>0</v>
      </c>
      <c r="K232" s="338">
        <v>0</v>
      </c>
      <c r="L232" s="338">
        <v>0</v>
      </c>
      <c r="M232" s="338">
        <v>0</v>
      </c>
      <c r="N232" s="338">
        <v>0</v>
      </c>
      <c r="O232" s="338">
        <v>0</v>
      </c>
      <c r="P232" s="138">
        <f>SUM(D232:O232)</f>
        <v>0</v>
      </c>
    </row>
    <row r="233" spans="1:94" x14ac:dyDescent="0.25">
      <c r="A233" s="94"/>
      <c r="B233" s="53"/>
      <c r="C233" s="143"/>
      <c r="D233" s="72">
        <f t="shared" ref="D233:N233" si="46">SUM(D229:D232)</f>
        <v>0</v>
      </c>
      <c r="E233" s="72">
        <f t="shared" si="46"/>
        <v>0</v>
      </c>
      <c r="F233" s="72">
        <f t="shared" si="46"/>
        <v>0</v>
      </c>
      <c r="G233" s="72">
        <f t="shared" si="46"/>
        <v>0</v>
      </c>
      <c r="H233" s="72">
        <f t="shared" si="46"/>
        <v>0</v>
      </c>
      <c r="I233" s="72">
        <f t="shared" si="46"/>
        <v>0</v>
      </c>
      <c r="J233" s="72">
        <f t="shared" si="46"/>
        <v>0</v>
      </c>
      <c r="K233" s="72">
        <f t="shared" si="46"/>
        <v>0</v>
      </c>
      <c r="L233" s="72">
        <f t="shared" si="46"/>
        <v>0</v>
      </c>
      <c r="M233" s="72">
        <f t="shared" si="46"/>
        <v>0</v>
      </c>
      <c r="N233" s="72">
        <f t="shared" si="46"/>
        <v>0</v>
      </c>
      <c r="O233" s="72">
        <f>SUM(O229:O232)</f>
        <v>0</v>
      </c>
      <c r="P233" s="72">
        <f>SUM(D233:O233)</f>
        <v>0</v>
      </c>
    </row>
    <row r="234" spans="1:94" s="103" customFormat="1" ht="15.6" x14ac:dyDescent="0.3">
      <c r="A234" s="94">
        <f>A232+1</f>
        <v>12</v>
      </c>
      <c r="B234" s="53" t="s">
        <v>263</v>
      </c>
      <c r="C234" s="108"/>
      <c r="D234" s="105"/>
      <c r="E234" s="105"/>
      <c r="F234" s="105"/>
      <c r="G234" s="72"/>
      <c r="H234" s="72"/>
      <c r="I234" s="72"/>
      <c r="J234" s="72"/>
      <c r="K234" s="72"/>
      <c r="L234" s="72"/>
      <c r="M234" s="105"/>
      <c r="N234" s="105"/>
      <c r="O234" s="105"/>
      <c r="P234" s="106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  <c r="BF234" s="53"/>
      <c r="BG234" s="53"/>
      <c r="BH234" s="53"/>
      <c r="BI234" s="53"/>
      <c r="BJ234" s="53"/>
      <c r="BK234" s="53"/>
      <c r="BL234" s="53"/>
      <c r="BM234" s="53"/>
      <c r="BN234" s="53"/>
      <c r="BO234" s="53"/>
      <c r="BP234" s="53"/>
      <c r="BQ234" s="53"/>
      <c r="BR234" s="53"/>
      <c r="BS234" s="53"/>
      <c r="BT234" s="53"/>
      <c r="BU234" s="53"/>
      <c r="BV234" s="53"/>
      <c r="BW234" s="53"/>
      <c r="BX234" s="53"/>
      <c r="BY234" s="53"/>
      <c r="BZ234" s="53"/>
      <c r="CA234" s="53"/>
      <c r="CB234" s="53"/>
      <c r="CC234" s="53"/>
      <c r="CD234" s="53"/>
      <c r="CE234" s="53"/>
      <c r="CF234" s="53"/>
      <c r="CG234" s="53"/>
      <c r="CH234" s="53"/>
      <c r="CI234" s="53"/>
      <c r="CJ234" s="53"/>
      <c r="CK234" s="53"/>
      <c r="CL234" s="53"/>
      <c r="CM234" s="53"/>
      <c r="CN234" s="53"/>
      <c r="CO234" s="53"/>
      <c r="CP234" s="53"/>
    </row>
    <row r="235" spans="1:94" ht="15.6" x14ac:dyDescent="0.3">
      <c r="A235" s="94">
        <f>A234+1</f>
        <v>13</v>
      </c>
      <c r="B235" s="53" t="str">
        <f>B223</f>
        <v xml:space="preserve">    First 50 Mcf</v>
      </c>
      <c r="C235" s="131"/>
      <c r="D235" s="165">
        <f>D223+D229</f>
        <v>472.7</v>
      </c>
      <c r="E235" s="165">
        <f t="shared" ref="E235:N235" si="47">E223+E229</f>
        <v>517.79999999999995</v>
      </c>
      <c r="F235" s="165">
        <f t="shared" si="47"/>
        <v>508.5</v>
      </c>
      <c r="G235" s="165">
        <f t="shared" si="47"/>
        <v>429.7</v>
      </c>
      <c r="H235" s="165">
        <f t="shared" si="47"/>
        <v>346.2</v>
      </c>
      <c r="I235" s="165">
        <f t="shared" si="47"/>
        <v>313.10000000000002</v>
      </c>
      <c r="J235" s="165">
        <f t="shared" si="47"/>
        <v>310.60000000000002</v>
      </c>
      <c r="K235" s="165">
        <f t="shared" si="47"/>
        <v>295.60000000000002</v>
      </c>
      <c r="L235" s="165">
        <f t="shared" si="47"/>
        <v>279.2</v>
      </c>
      <c r="M235" s="165">
        <f t="shared" si="47"/>
        <v>420.4</v>
      </c>
      <c r="N235" s="165">
        <f t="shared" si="47"/>
        <v>426.1</v>
      </c>
      <c r="O235" s="165">
        <f>O223+O229</f>
        <v>467.9</v>
      </c>
      <c r="P235" s="105">
        <f>SUM(D235:O235)</f>
        <v>4787.7999999999993</v>
      </c>
      <c r="S235" s="135"/>
    </row>
    <row r="236" spans="1:94" ht="15.6" x14ac:dyDescent="0.3">
      <c r="A236" s="94">
        <f>A235+1</f>
        <v>14</v>
      </c>
      <c r="B236" s="53" t="str">
        <f>B224</f>
        <v xml:space="preserve">    Next 350 Mcf</v>
      </c>
      <c r="C236" s="131"/>
      <c r="D236" s="165">
        <f t="shared" ref="D236:N238" si="48">D224+D230</f>
        <v>2210.1999999999998</v>
      </c>
      <c r="E236" s="165">
        <f t="shared" si="48"/>
        <v>2239.1</v>
      </c>
      <c r="F236" s="165">
        <f t="shared" si="48"/>
        <v>2090.1999999999998</v>
      </c>
      <c r="G236" s="165">
        <f t="shared" si="48"/>
        <v>1600.8</v>
      </c>
      <c r="H236" s="165">
        <f t="shared" si="48"/>
        <v>1646.5</v>
      </c>
      <c r="I236" s="165">
        <f t="shared" si="48"/>
        <v>1359.8</v>
      </c>
      <c r="J236" s="165">
        <f t="shared" si="48"/>
        <v>1359.2</v>
      </c>
      <c r="K236" s="165">
        <f t="shared" si="48"/>
        <v>1380.5</v>
      </c>
      <c r="L236" s="165">
        <f t="shared" si="48"/>
        <v>1335.8</v>
      </c>
      <c r="M236" s="165">
        <f t="shared" si="48"/>
        <v>1812.9</v>
      </c>
      <c r="N236" s="165">
        <f t="shared" si="48"/>
        <v>2003.7</v>
      </c>
      <c r="O236" s="165">
        <f>O224+O230</f>
        <v>2070.3000000000002</v>
      </c>
      <c r="P236" s="105">
        <f>SUM(D236:O236)</f>
        <v>21109</v>
      </c>
      <c r="S236" s="135"/>
    </row>
    <row r="237" spans="1:94" ht="15.6" x14ac:dyDescent="0.3">
      <c r="A237" s="94">
        <f>A236+1</f>
        <v>15</v>
      </c>
      <c r="B237" s="53" t="str">
        <f>B225</f>
        <v xml:space="preserve">    Next 600 Mcf</v>
      </c>
      <c r="C237" s="131"/>
      <c r="D237" s="165">
        <f t="shared" si="48"/>
        <v>2400</v>
      </c>
      <c r="E237" s="165">
        <f t="shared" si="48"/>
        <v>2344.6999999999998</v>
      </c>
      <c r="F237" s="165">
        <f t="shared" si="48"/>
        <v>2065.1</v>
      </c>
      <c r="G237" s="165">
        <f t="shared" si="48"/>
        <v>1901.5</v>
      </c>
      <c r="H237" s="165">
        <f t="shared" si="48"/>
        <v>1446.5</v>
      </c>
      <c r="I237" s="165">
        <f t="shared" si="48"/>
        <v>1488.2</v>
      </c>
      <c r="J237" s="165">
        <f t="shared" si="48"/>
        <v>1395.6</v>
      </c>
      <c r="K237" s="165">
        <f t="shared" si="48"/>
        <v>1201</v>
      </c>
      <c r="L237" s="165">
        <f t="shared" si="48"/>
        <v>1365.8</v>
      </c>
      <c r="M237" s="165">
        <f t="shared" si="48"/>
        <v>1413.9</v>
      </c>
      <c r="N237" s="165">
        <f t="shared" si="48"/>
        <v>1953.8</v>
      </c>
      <c r="O237" s="165">
        <f>O225+O231</f>
        <v>1933.6</v>
      </c>
      <c r="P237" s="105">
        <f>SUM(D237:O237)</f>
        <v>20909.699999999997</v>
      </c>
      <c r="S237" s="135"/>
    </row>
    <row r="238" spans="1:94" ht="15.6" x14ac:dyDescent="0.3">
      <c r="A238" s="94">
        <f>A237+1</f>
        <v>16</v>
      </c>
      <c r="B238" s="53" t="str">
        <f>B226</f>
        <v xml:space="preserve">    Over 1,000 Mcf</v>
      </c>
      <c r="C238" s="131"/>
      <c r="D238" s="140">
        <f t="shared" si="48"/>
        <v>917.2</v>
      </c>
      <c r="E238" s="140">
        <f t="shared" si="48"/>
        <v>898.3</v>
      </c>
      <c r="F238" s="140">
        <f t="shared" si="48"/>
        <v>1336.1</v>
      </c>
      <c r="G238" s="140">
        <f t="shared" si="48"/>
        <v>2067.9</v>
      </c>
      <c r="H238" s="140">
        <f t="shared" si="48"/>
        <v>2560.8000000000002</v>
      </c>
      <c r="I238" s="140">
        <f t="shared" si="48"/>
        <v>2839</v>
      </c>
      <c r="J238" s="140">
        <f t="shared" si="48"/>
        <v>2934.5</v>
      </c>
      <c r="K238" s="140">
        <f t="shared" si="48"/>
        <v>3122.9</v>
      </c>
      <c r="L238" s="140">
        <f t="shared" si="48"/>
        <v>3019.2</v>
      </c>
      <c r="M238" s="140">
        <f t="shared" si="48"/>
        <v>2352.9</v>
      </c>
      <c r="N238" s="140">
        <f t="shared" si="48"/>
        <v>1616.4</v>
      </c>
      <c r="O238" s="140">
        <f>O226+O232</f>
        <v>1528.2</v>
      </c>
      <c r="P238" s="138">
        <f>SUM(D238:O238)</f>
        <v>25193.400000000005</v>
      </c>
      <c r="S238" s="135"/>
    </row>
    <row r="239" spans="1:94" ht="15.6" x14ac:dyDescent="0.3">
      <c r="A239" s="94">
        <f>A238+1</f>
        <v>17</v>
      </c>
      <c r="B239" s="53" t="s">
        <v>369</v>
      </c>
      <c r="C239" s="108"/>
      <c r="D239" s="165">
        <f>D227+D233</f>
        <v>6000.0999999999995</v>
      </c>
      <c r="E239" s="165">
        <f t="shared" ref="E239:N239" si="49">E227+E233</f>
        <v>5999.9</v>
      </c>
      <c r="F239" s="165">
        <f t="shared" si="49"/>
        <v>5999.9</v>
      </c>
      <c r="G239" s="165">
        <f t="shared" si="49"/>
        <v>5999.9</v>
      </c>
      <c r="H239" s="165">
        <f t="shared" si="49"/>
        <v>6000</v>
      </c>
      <c r="I239" s="165">
        <f t="shared" si="49"/>
        <v>6000.1</v>
      </c>
      <c r="J239" s="165">
        <f t="shared" si="49"/>
        <v>5999.9</v>
      </c>
      <c r="K239" s="165">
        <f t="shared" si="49"/>
        <v>6000</v>
      </c>
      <c r="L239" s="165">
        <f t="shared" si="49"/>
        <v>6000</v>
      </c>
      <c r="M239" s="165">
        <f t="shared" si="49"/>
        <v>6000.1</v>
      </c>
      <c r="N239" s="165">
        <f t="shared" si="49"/>
        <v>6000</v>
      </c>
      <c r="O239" s="165">
        <f>O227+O233</f>
        <v>6000</v>
      </c>
      <c r="P239" s="72">
        <f>SUM(D239:O239)</f>
        <v>71999.899999999994</v>
      </c>
    </row>
    <row r="240" spans="1:94" ht="15.6" x14ac:dyDescent="0.3">
      <c r="A240" s="94"/>
      <c r="B240" s="53"/>
      <c r="C240" s="108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54"/>
    </row>
    <row r="241" spans="1:94" ht="15.6" x14ac:dyDescent="0.3">
      <c r="A241" s="94">
        <f>A239+1</f>
        <v>18</v>
      </c>
      <c r="B241" s="52" t="s">
        <v>260</v>
      </c>
      <c r="C241" s="108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54"/>
    </row>
    <row r="242" spans="1:94" x14ac:dyDescent="0.25">
      <c r="A242" s="94">
        <f>A241+1</f>
        <v>19</v>
      </c>
      <c r="B242" s="53" t="s">
        <v>368</v>
      </c>
      <c r="C242" s="133"/>
      <c r="D242" s="312"/>
      <c r="E242" s="312"/>
      <c r="F242" s="312"/>
      <c r="G242" s="329"/>
      <c r="H242" s="329"/>
      <c r="I242" s="329"/>
      <c r="J242" s="329"/>
      <c r="K242" s="329"/>
      <c r="L242" s="329"/>
      <c r="M242" s="312"/>
      <c r="N242" s="312"/>
      <c r="O242" s="312"/>
      <c r="P242" s="106"/>
    </row>
    <row r="243" spans="1:94" x14ac:dyDescent="0.25">
      <c r="A243" s="94">
        <f>A242+1</f>
        <v>20</v>
      </c>
      <c r="B243" s="336" t="s">
        <v>269</v>
      </c>
      <c r="C243" s="133"/>
      <c r="D243" s="329">
        <v>188859</v>
      </c>
      <c r="E243" s="312">
        <v>169110.1</v>
      </c>
      <c r="F243" s="312">
        <v>147265.60000000001</v>
      </c>
      <c r="G243" s="329">
        <v>103565.2</v>
      </c>
      <c r="H243" s="329">
        <v>83423.100000000006</v>
      </c>
      <c r="I243" s="329">
        <v>69626.2</v>
      </c>
      <c r="J243" s="329">
        <v>68394.7</v>
      </c>
      <c r="K243" s="329">
        <v>69858.100000000006</v>
      </c>
      <c r="L243" s="329">
        <v>76451.3</v>
      </c>
      <c r="M243" s="312">
        <v>101603.3</v>
      </c>
      <c r="N243" s="312">
        <v>139898.5</v>
      </c>
      <c r="O243" s="312">
        <v>162514.9</v>
      </c>
      <c r="P243" s="106">
        <f>SUM(D243:O243)</f>
        <v>1380569.9999999998</v>
      </c>
    </row>
    <row r="244" spans="1:94" x14ac:dyDescent="0.25">
      <c r="A244" s="94">
        <f>A243+1</f>
        <v>21</v>
      </c>
      <c r="B244" s="336" t="s">
        <v>270</v>
      </c>
      <c r="C244" s="133"/>
      <c r="D244" s="338">
        <v>0</v>
      </c>
      <c r="E244" s="338">
        <v>0</v>
      </c>
      <c r="F244" s="338">
        <v>0</v>
      </c>
      <c r="G244" s="338">
        <v>0</v>
      </c>
      <c r="H244" s="338">
        <v>0</v>
      </c>
      <c r="I244" s="338">
        <v>0</v>
      </c>
      <c r="J244" s="338">
        <v>0</v>
      </c>
      <c r="K244" s="338">
        <v>0</v>
      </c>
      <c r="L244" s="338">
        <v>0</v>
      </c>
      <c r="M244" s="338">
        <v>0</v>
      </c>
      <c r="N244" s="338">
        <v>0</v>
      </c>
      <c r="O244" s="338">
        <v>0</v>
      </c>
      <c r="P244" s="138">
        <f>SUM(D244:O244)</f>
        <v>0</v>
      </c>
    </row>
    <row r="245" spans="1:94" x14ac:dyDescent="0.25">
      <c r="A245" s="94"/>
      <c r="B245" s="336"/>
      <c r="C245" s="133"/>
      <c r="D245" s="72">
        <f t="shared" ref="D245:N245" si="50">SUM(D243:D244)</f>
        <v>188859</v>
      </c>
      <c r="E245" s="72">
        <f t="shared" si="50"/>
        <v>169110.1</v>
      </c>
      <c r="F245" s="72">
        <f t="shared" si="50"/>
        <v>147265.60000000001</v>
      </c>
      <c r="G245" s="72">
        <f t="shared" si="50"/>
        <v>103565.2</v>
      </c>
      <c r="H245" s="72">
        <f t="shared" si="50"/>
        <v>83423.100000000006</v>
      </c>
      <c r="I245" s="72">
        <f t="shared" si="50"/>
        <v>69626.2</v>
      </c>
      <c r="J245" s="72">
        <f t="shared" si="50"/>
        <v>68394.7</v>
      </c>
      <c r="K245" s="72">
        <f t="shared" si="50"/>
        <v>69858.100000000006</v>
      </c>
      <c r="L245" s="72">
        <f t="shared" si="50"/>
        <v>76451.3</v>
      </c>
      <c r="M245" s="72">
        <f t="shared" si="50"/>
        <v>101603.3</v>
      </c>
      <c r="N245" s="72">
        <f t="shared" si="50"/>
        <v>139898.5</v>
      </c>
      <c r="O245" s="72">
        <f>SUM(O243:O244)</f>
        <v>162514.9</v>
      </c>
      <c r="P245" s="72">
        <f>SUM(D245:O245)</f>
        <v>1380569.9999999998</v>
      </c>
    </row>
    <row r="246" spans="1:94" x14ac:dyDescent="0.25">
      <c r="A246" s="94">
        <f>A244+1</f>
        <v>22</v>
      </c>
      <c r="B246" s="53" t="s">
        <v>244</v>
      </c>
      <c r="C246" s="143" t="s">
        <v>371</v>
      </c>
      <c r="D246" s="329"/>
      <c r="E246" s="329"/>
      <c r="F246" s="329"/>
      <c r="G246" s="329"/>
      <c r="H246" s="329"/>
      <c r="I246" s="329"/>
      <c r="J246" s="329"/>
      <c r="K246" s="329"/>
      <c r="L246" s="329"/>
      <c r="M246" s="329"/>
      <c r="N246" s="329"/>
      <c r="O246" s="329"/>
      <c r="P246" s="72"/>
    </row>
    <row r="247" spans="1:94" x14ac:dyDescent="0.25">
      <c r="A247" s="94">
        <f>A246+1</f>
        <v>23</v>
      </c>
      <c r="B247" s="53" t="str">
        <f>B243</f>
        <v xml:space="preserve">    First 30,000 Mcf</v>
      </c>
      <c r="C247" s="143"/>
      <c r="D247" s="329">
        <v>0</v>
      </c>
      <c r="E247" s="329">
        <v>0</v>
      </c>
      <c r="F247" s="329">
        <v>0</v>
      </c>
      <c r="G247" s="329">
        <v>0</v>
      </c>
      <c r="H247" s="329">
        <v>0</v>
      </c>
      <c r="I247" s="329">
        <v>0</v>
      </c>
      <c r="J247" s="329">
        <v>0</v>
      </c>
      <c r="K247" s="329">
        <v>0</v>
      </c>
      <c r="L247" s="329">
        <v>0</v>
      </c>
      <c r="M247" s="329">
        <v>0</v>
      </c>
      <c r="N247" s="329">
        <v>0</v>
      </c>
      <c r="O247" s="329">
        <v>0</v>
      </c>
      <c r="P247" s="72">
        <f>SUM(D247:O247)</f>
        <v>0</v>
      </c>
    </row>
    <row r="248" spans="1:94" x14ac:dyDescent="0.25">
      <c r="A248" s="94">
        <f>A247+1</f>
        <v>24</v>
      </c>
      <c r="B248" s="53" t="str">
        <f>B244</f>
        <v xml:space="preserve">    Over 30,000 Mcf</v>
      </c>
      <c r="C248" s="143"/>
      <c r="D248" s="338">
        <v>0</v>
      </c>
      <c r="E248" s="338">
        <v>0</v>
      </c>
      <c r="F248" s="338">
        <v>0</v>
      </c>
      <c r="G248" s="338">
        <v>0</v>
      </c>
      <c r="H248" s="338">
        <v>0</v>
      </c>
      <c r="I248" s="338">
        <v>0</v>
      </c>
      <c r="J248" s="338">
        <v>0</v>
      </c>
      <c r="K248" s="338">
        <v>0</v>
      </c>
      <c r="L248" s="338">
        <v>0</v>
      </c>
      <c r="M248" s="338">
        <v>0</v>
      </c>
      <c r="N248" s="338">
        <v>0</v>
      </c>
      <c r="O248" s="338">
        <v>0</v>
      </c>
      <c r="P248" s="138">
        <f>SUM(D248:O248)</f>
        <v>0</v>
      </c>
    </row>
    <row r="249" spans="1:94" x14ac:dyDescent="0.25">
      <c r="A249" s="94"/>
      <c r="B249" s="53"/>
      <c r="C249" s="143"/>
      <c r="D249" s="72">
        <f t="shared" ref="D249:N249" si="51">SUM(D247:D248)</f>
        <v>0</v>
      </c>
      <c r="E249" s="72">
        <f t="shared" si="51"/>
        <v>0</v>
      </c>
      <c r="F249" s="72">
        <f t="shared" si="51"/>
        <v>0</v>
      </c>
      <c r="G249" s="72">
        <f t="shared" si="51"/>
        <v>0</v>
      </c>
      <c r="H249" s="72">
        <f t="shared" si="51"/>
        <v>0</v>
      </c>
      <c r="I249" s="72">
        <f t="shared" si="51"/>
        <v>0</v>
      </c>
      <c r="J249" s="72">
        <f t="shared" si="51"/>
        <v>0</v>
      </c>
      <c r="K249" s="72">
        <f t="shared" si="51"/>
        <v>0</v>
      </c>
      <c r="L249" s="72">
        <f t="shared" si="51"/>
        <v>0</v>
      </c>
      <c r="M249" s="72">
        <f t="shared" si="51"/>
        <v>0</v>
      </c>
      <c r="N249" s="72">
        <f t="shared" si="51"/>
        <v>0</v>
      </c>
      <c r="O249" s="72">
        <f>SUM(O247:O248)</f>
        <v>0</v>
      </c>
      <c r="P249" s="72">
        <f>SUM(D249:O249)</f>
        <v>0</v>
      </c>
    </row>
    <row r="250" spans="1:94" s="103" customFormat="1" ht="15.6" x14ac:dyDescent="0.3">
      <c r="A250" s="94">
        <f>A248+1</f>
        <v>25</v>
      </c>
      <c r="B250" s="53" t="s">
        <v>263</v>
      </c>
      <c r="C250" s="108"/>
      <c r="D250" s="105"/>
      <c r="E250" s="105"/>
      <c r="F250" s="105"/>
      <c r="G250" s="72"/>
      <c r="H250" s="72"/>
      <c r="I250" s="72"/>
      <c r="J250" s="72"/>
      <c r="K250" s="72"/>
      <c r="L250" s="72"/>
      <c r="M250" s="105"/>
      <c r="N250" s="105"/>
      <c r="O250" s="105"/>
      <c r="P250" s="106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  <c r="BF250" s="53"/>
      <c r="BG250" s="53"/>
      <c r="BH250" s="53"/>
      <c r="BI250" s="53"/>
      <c r="BJ250" s="53"/>
      <c r="BK250" s="53"/>
      <c r="BL250" s="53"/>
      <c r="BM250" s="53"/>
      <c r="BN250" s="53"/>
      <c r="BO250" s="53"/>
      <c r="BP250" s="53"/>
      <c r="BQ250" s="53"/>
      <c r="BR250" s="53"/>
      <c r="BS250" s="53"/>
      <c r="BT250" s="53"/>
      <c r="BU250" s="53"/>
      <c r="BV250" s="53"/>
      <c r="BW250" s="53"/>
      <c r="BX250" s="53"/>
      <c r="BY250" s="53"/>
      <c r="BZ250" s="53"/>
      <c r="CA250" s="53"/>
      <c r="CB250" s="53"/>
      <c r="CC250" s="53"/>
      <c r="CD250" s="53"/>
      <c r="CE250" s="53"/>
      <c r="CF250" s="53"/>
      <c r="CG250" s="53"/>
      <c r="CH250" s="53"/>
      <c r="CI250" s="53"/>
      <c r="CJ250" s="53"/>
      <c r="CK250" s="53"/>
      <c r="CL250" s="53"/>
      <c r="CM250" s="53"/>
      <c r="CN250" s="53"/>
      <c r="CO250" s="53"/>
      <c r="CP250" s="53"/>
    </row>
    <row r="251" spans="1:94" ht="15.6" x14ac:dyDescent="0.3">
      <c r="A251" s="94">
        <f>A250+1</f>
        <v>26</v>
      </c>
      <c r="B251" s="53" t="str">
        <f>B243</f>
        <v xml:space="preserve">    First 30,000 Mcf</v>
      </c>
      <c r="C251" s="131"/>
      <c r="D251" s="165">
        <f>D243+D247</f>
        <v>188859</v>
      </c>
      <c r="E251" s="165">
        <f t="shared" ref="E251:O251" si="52">E243+E247</f>
        <v>169110.1</v>
      </c>
      <c r="F251" s="165">
        <f t="shared" si="52"/>
        <v>147265.60000000001</v>
      </c>
      <c r="G251" s="165">
        <f t="shared" si="52"/>
        <v>103565.2</v>
      </c>
      <c r="H251" s="165">
        <f t="shared" si="52"/>
        <v>83423.100000000006</v>
      </c>
      <c r="I251" s="165">
        <f t="shared" si="52"/>
        <v>69626.2</v>
      </c>
      <c r="J251" s="165">
        <f t="shared" si="52"/>
        <v>68394.7</v>
      </c>
      <c r="K251" s="165">
        <f t="shared" si="52"/>
        <v>69858.100000000006</v>
      </c>
      <c r="L251" s="165">
        <f t="shared" si="52"/>
        <v>76451.3</v>
      </c>
      <c r="M251" s="165">
        <f t="shared" si="52"/>
        <v>101603.3</v>
      </c>
      <c r="N251" s="165">
        <f t="shared" si="52"/>
        <v>139898.5</v>
      </c>
      <c r="O251" s="165">
        <f t="shared" si="52"/>
        <v>162514.9</v>
      </c>
      <c r="P251" s="105">
        <f>SUM(D251:O251)</f>
        <v>1380569.9999999998</v>
      </c>
      <c r="S251" s="135"/>
    </row>
    <row r="252" spans="1:94" ht="15.6" x14ac:dyDescent="0.3">
      <c r="A252" s="94">
        <f>A251+1</f>
        <v>27</v>
      </c>
      <c r="B252" s="53" t="str">
        <f>B244</f>
        <v xml:space="preserve">    Over 30,000 Mcf</v>
      </c>
      <c r="C252" s="131"/>
      <c r="D252" s="140">
        <f>D244+D248</f>
        <v>0</v>
      </c>
      <c r="E252" s="140">
        <f t="shared" ref="E252:O252" si="53">E244+E248</f>
        <v>0</v>
      </c>
      <c r="F252" s="140">
        <f t="shared" si="53"/>
        <v>0</v>
      </c>
      <c r="G252" s="140">
        <f t="shared" si="53"/>
        <v>0</v>
      </c>
      <c r="H252" s="140">
        <f t="shared" si="53"/>
        <v>0</v>
      </c>
      <c r="I252" s="140">
        <f t="shared" si="53"/>
        <v>0</v>
      </c>
      <c r="J252" s="140">
        <f t="shared" si="53"/>
        <v>0</v>
      </c>
      <c r="K252" s="140">
        <f t="shared" si="53"/>
        <v>0</v>
      </c>
      <c r="L252" s="140">
        <f t="shared" si="53"/>
        <v>0</v>
      </c>
      <c r="M252" s="140">
        <f t="shared" si="53"/>
        <v>0</v>
      </c>
      <c r="N252" s="140">
        <f t="shared" si="53"/>
        <v>0</v>
      </c>
      <c r="O252" s="140">
        <f t="shared" si="53"/>
        <v>0</v>
      </c>
      <c r="P252" s="138">
        <f>SUM(D252:O252)</f>
        <v>0</v>
      </c>
      <c r="S252" s="135"/>
    </row>
    <row r="253" spans="1:94" ht="15.6" x14ac:dyDescent="0.3">
      <c r="A253" s="94">
        <f>A252+1</f>
        <v>28</v>
      </c>
      <c r="B253" s="53" t="s">
        <v>369</v>
      </c>
      <c r="C253" s="131"/>
      <c r="D253" s="165">
        <f>D245+D249</f>
        <v>188859</v>
      </c>
      <c r="E253" s="165">
        <f t="shared" ref="E253:O253" si="54">E245+E249</f>
        <v>169110.1</v>
      </c>
      <c r="F253" s="165">
        <f t="shared" si="54"/>
        <v>147265.60000000001</v>
      </c>
      <c r="G253" s="165">
        <f t="shared" si="54"/>
        <v>103565.2</v>
      </c>
      <c r="H253" s="165">
        <f t="shared" si="54"/>
        <v>83423.100000000006</v>
      </c>
      <c r="I253" s="165">
        <f t="shared" si="54"/>
        <v>69626.2</v>
      </c>
      <c r="J253" s="165">
        <f t="shared" si="54"/>
        <v>68394.7</v>
      </c>
      <c r="K253" s="165">
        <f t="shared" si="54"/>
        <v>69858.100000000006</v>
      </c>
      <c r="L253" s="165">
        <f t="shared" si="54"/>
        <v>76451.3</v>
      </c>
      <c r="M253" s="165">
        <f t="shared" si="54"/>
        <v>101603.3</v>
      </c>
      <c r="N253" s="165">
        <f t="shared" si="54"/>
        <v>139898.5</v>
      </c>
      <c r="O253" s="165">
        <f t="shared" si="54"/>
        <v>162514.9</v>
      </c>
      <c r="P253" s="72">
        <f>SUM(D253:O253)</f>
        <v>1380569.9999999998</v>
      </c>
      <c r="S253" s="135"/>
    </row>
    <row r="254" spans="1:94" ht="15.6" x14ac:dyDescent="0.3">
      <c r="A254" s="94"/>
      <c r="B254" s="53"/>
      <c r="C254" s="108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54"/>
    </row>
    <row r="255" spans="1:94" ht="15.6" x14ac:dyDescent="0.3">
      <c r="A255" s="94">
        <f>A253+1</f>
        <v>29</v>
      </c>
      <c r="B255" s="52" t="s">
        <v>262</v>
      </c>
      <c r="C255" s="108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54"/>
    </row>
    <row r="256" spans="1:94" x14ac:dyDescent="0.25">
      <c r="A256" s="94">
        <f>A255+1</f>
        <v>30</v>
      </c>
      <c r="B256" s="53" t="s">
        <v>368</v>
      </c>
      <c r="C256" s="133"/>
      <c r="D256" s="312"/>
      <c r="E256" s="312"/>
      <c r="F256" s="312"/>
      <c r="G256" s="329"/>
      <c r="H256" s="329"/>
      <c r="I256" s="329"/>
      <c r="J256" s="329"/>
      <c r="K256" s="329"/>
      <c r="L256" s="329"/>
      <c r="M256" s="312"/>
      <c r="N256" s="312"/>
      <c r="O256" s="312"/>
      <c r="P256" s="106"/>
    </row>
    <row r="257" spans="1:94" x14ac:dyDescent="0.25">
      <c r="A257" s="94">
        <f>A256+1</f>
        <v>31</v>
      </c>
      <c r="B257" s="336" t="s">
        <v>269</v>
      </c>
      <c r="C257" s="133"/>
      <c r="D257" s="329">
        <v>372633.5</v>
      </c>
      <c r="E257" s="312">
        <v>346268.5</v>
      </c>
      <c r="F257" s="312">
        <v>319008.7</v>
      </c>
      <c r="G257" s="329">
        <v>299709.59999999998</v>
      </c>
      <c r="H257" s="329">
        <v>285128.8</v>
      </c>
      <c r="I257" s="329">
        <v>278134.09999999998</v>
      </c>
      <c r="J257" s="329">
        <v>252645.5</v>
      </c>
      <c r="K257" s="329">
        <v>277869.2</v>
      </c>
      <c r="L257" s="329">
        <v>290511.7</v>
      </c>
      <c r="M257" s="312">
        <v>319636.40000000002</v>
      </c>
      <c r="N257" s="312">
        <v>337494</v>
      </c>
      <c r="O257" s="312">
        <v>344941.4</v>
      </c>
      <c r="P257" s="106">
        <f>SUM(D257:O257)</f>
        <v>3723981.4</v>
      </c>
    </row>
    <row r="258" spans="1:94" x14ac:dyDescent="0.25">
      <c r="A258" s="94">
        <f>A257+1</f>
        <v>32</v>
      </c>
      <c r="B258" s="336" t="s">
        <v>270</v>
      </c>
      <c r="C258" s="133"/>
      <c r="D258" s="338">
        <v>312276</v>
      </c>
      <c r="E258" s="338">
        <v>266310</v>
      </c>
      <c r="F258" s="338">
        <v>216432</v>
      </c>
      <c r="G258" s="338">
        <v>137874</v>
      </c>
      <c r="H258" s="338">
        <v>93864</v>
      </c>
      <c r="I258" s="338">
        <v>71370</v>
      </c>
      <c r="J258" s="338">
        <v>52470</v>
      </c>
      <c r="K258" s="338">
        <v>74304</v>
      </c>
      <c r="L258" s="338">
        <v>81150</v>
      </c>
      <c r="M258" s="338">
        <v>144720</v>
      </c>
      <c r="N258" s="338">
        <v>223938</v>
      </c>
      <c r="O258" s="338">
        <v>238608</v>
      </c>
      <c r="P258" s="138">
        <f>SUM(D258:O258)</f>
        <v>1913316</v>
      </c>
    </row>
    <row r="259" spans="1:94" x14ac:dyDescent="0.25">
      <c r="A259" s="94"/>
      <c r="B259" s="336"/>
      <c r="C259" s="133"/>
      <c r="D259" s="72">
        <f t="shared" ref="D259:N259" si="55">SUM(D257:D258)</f>
        <v>684909.5</v>
      </c>
      <c r="E259" s="72">
        <f t="shared" si="55"/>
        <v>612578.5</v>
      </c>
      <c r="F259" s="72">
        <f t="shared" si="55"/>
        <v>535440.69999999995</v>
      </c>
      <c r="G259" s="72">
        <f t="shared" si="55"/>
        <v>437583.6</v>
      </c>
      <c r="H259" s="72">
        <f t="shared" si="55"/>
        <v>378992.8</v>
      </c>
      <c r="I259" s="72">
        <f t="shared" si="55"/>
        <v>349504.1</v>
      </c>
      <c r="J259" s="72">
        <f t="shared" si="55"/>
        <v>305115.5</v>
      </c>
      <c r="K259" s="72">
        <f t="shared" si="55"/>
        <v>352173.2</v>
      </c>
      <c r="L259" s="72">
        <f t="shared" si="55"/>
        <v>371661.7</v>
      </c>
      <c r="M259" s="72">
        <f t="shared" si="55"/>
        <v>464356.4</v>
      </c>
      <c r="N259" s="72">
        <f t="shared" si="55"/>
        <v>561432</v>
      </c>
      <c r="O259" s="72">
        <f>SUM(O257:O258)</f>
        <v>583549.4</v>
      </c>
      <c r="P259" s="72">
        <f>SUM(D259:O259)</f>
        <v>5637297.4000000004</v>
      </c>
    </row>
    <row r="260" spans="1:94" x14ac:dyDescent="0.25">
      <c r="A260" s="94">
        <f>A258+1</f>
        <v>33</v>
      </c>
      <c r="B260" s="53" t="s">
        <v>244</v>
      </c>
      <c r="C260" s="143" t="s">
        <v>371</v>
      </c>
      <c r="D260" s="329"/>
      <c r="E260" s="329"/>
      <c r="F260" s="329"/>
      <c r="G260" s="329"/>
      <c r="H260" s="329"/>
      <c r="I260" s="329"/>
      <c r="J260" s="329"/>
      <c r="K260" s="329"/>
      <c r="L260" s="329"/>
      <c r="M260" s="329"/>
      <c r="N260" s="329"/>
      <c r="O260" s="329"/>
      <c r="P260" s="72"/>
    </row>
    <row r="261" spans="1:94" x14ac:dyDescent="0.25">
      <c r="A261" s="94">
        <f>A260+1</f>
        <v>34</v>
      </c>
      <c r="B261" s="53" t="str">
        <f>B257</f>
        <v xml:space="preserve">    First 30,000 Mcf</v>
      </c>
      <c r="C261" s="143"/>
      <c r="D261" s="72">
        <f>'D pg 1'!D57</f>
        <v>-10000</v>
      </c>
      <c r="E261" s="72">
        <f>'D pg 1'!E57</f>
        <v>-10000</v>
      </c>
      <c r="F261" s="72">
        <f>'D pg 1'!F57</f>
        <v>-10000</v>
      </c>
      <c r="G261" s="72">
        <f>'D pg 1'!G57</f>
        <v>-10000</v>
      </c>
      <c r="H261" s="72">
        <f>'D pg 1'!H57</f>
        <v>-10000</v>
      </c>
      <c r="I261" s="72">
        <f>'D pg 1'!I57</f>
        <v>-10000</v>
      </c>
      <c r="J261" s="72">
        <f>'D pg 1'!J57</f>
        <v>-10000</v>
      </c>
      <c r="K261" s="72">
        <f>'D pg 1'!K57</f>
        <v>-10000</v>
      </c>
      <c r="L261" s="72">
        <f>'D pg 1'!L57</f>
        <v>-10000</v>
      </c>
      <c r="M261" s="72">
        <f>'D pg 1'!M57</f>
        <v>-10000</v>
      </c>
      <c r="N261" s="72">
        <f>'D pg 1'!N57</f>
        <v>-10000</v>
      </c>
      <c r="O261" s="72">
        <f>'D pg 1'!O57</f>
        <v>-10000</v>
      </c>
      <c r="P261" s="72">
        <f>SUM(D261:O261)</f>
        <v>-120000</v>
      </c>
    </row>
    <row r="262" spans="1:94" x14ac:dyDescent="0.25">
      <c r="A262" s="94">
        <f>A261+1</f>
        <v>35</v>
      </c>
      <c r="B262" s="53" t="str">
        <f>B258</f>
        <v xml:space="preserve">    Over 30,000 Mcf</v>
      </c>
      <c r="C262" s="143"/>
      <c r="D262" s="138">
        <f>'D pg 1'!D58</f>
        <v>0</v>
      </c>
      <c r="E262" s="138">
        <f>'D pg 1'!E58</f>
        <v>0</v>
      </c>
      <c r="F262" s="138">
        <f>'D pg 1'!F58</f>
        <v>0</v>
      </c>
      <c r="G262" s="138">
        <f>'D pg 1'!G58</f>
        <v>0</v>
      </c>
      <c r="H262" s="138">
        <f>'D pg 1'!H58</f>
        <v>0</v>
      </c>
      <c r="I262" s="138">
        <f>'D pg 1'!I58</f>
        <v>0</v>
      </c>
      <c r="J262" s="138">
        <f>'D pg 1'!J58</f>
        <v>0</v>
      </c>
      <c r="K262" s="138">
        <f>'D pg 1'!K58</f>
        <v>0</v>
      </c>
      <c r="L262" s="138">
        <f>'D pg 1'!L58</f>
        <v>0</v>
      </c>
      <c r="M262" s="138">
        <f>'D pg 1'!M58</f>
        <v>0</v>
      </c>
      <c r="N262" s="138">
        <f>'D pg 1'!N58</f>
        <v>0</v>
      </c>
      <c r="O262" s="138">
        <f>'D pg 1'!O58</f>
        <v>0</v>
      </c>
      <c r="P262" s="138">
        <f>SUM(D262:O262)</f>
        <v>0</v>
      </c>
    </row>
    <row r="263" spans="1:94" x14ac:dyDescent="0.25">
      <c r="A263" s="94"/>
      <c r="B263" s="53"/>
      <c r="C263" s="143"/>
      <c r="D263" s="72">
        <f t="shared" ref="D263:N263" si="56">SUM(D261:D262)</f>
        <v>-10000</v>
      </c>
      <c r="E263" s="72">
        <f t="shared" si="56"/>
        <v>-10000</v>
      </c>
      <c r="F263" s="72">
        <f t="shared" si="56"/>
        <v>-10000</v>
      </c>
      <c r="G263" s="72">
        <f t="shared" si="56"/>
        <v>-10000</v>
      </c>
      <c r="H263" s="72">
        <f t="shared" si="56"/>
        <v>-10000</v>
      </c>
      <c r="I263" s="72">
        <f t="shared" si="56"/>
        <v>-10000</v>
      </c>
      <c r="J263" s="72">
        <f t="shared" si="56"/>
        <v>-10000</v>
      </c>
      <c r="K263" s="72">
        <f t="shared" si="56"/>
        <v>-10000</v>
      </c>
      <c r="L263" s="72">
        <f t="shared" si="56"/>
        <v>-10000</v>
      </c>
      <c r="M263" s="72">
        <f t="shared" si="56"/>
        <v>-10000</v>
      </c>
      <c r="N263" s="72">
        <f t="shared" si="56"/>
        <v>-10000</v>
      </c>
      <c r="O263" s="72">
        <f>SUM(O261:O262)</f>
        <v>-10000</v>
      </c>
      <c r="P263" s="72">
        <f>SUM(D263:O263)</f>
        <v>-120000</v>
      </c>
    </row>
    <row r="264" spans="1:94" s="103" customFormat="1" ht="15.6" x14ac:dyDescent="0.3">
      <c r="A264" s="94">
        <f>A262+1</f>
        <v>36</v>
      </c>
      <c r="B264" s="53" t="s">
        <v>263</v>
      </c>
      <c r="C264" s="108"/>
      <c r="D264" s="105"/>
      <c r="E264" s="105"/>
      <c r="F264" s="105"/>
      <c r="G264" s="105"/>
      <c r="H264" s="105"/>
      <c r="I264" s="105"/>
      <c r="J264" s="105"/>
      <c r="K264" s="105"/>
      <c r="L264" s="105"/>
      <c r="M264" s="105"/>
      <c r="N264" s="105"/>
      <c r="O264" s="105"/>
      <c r="P264" s="106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  <c r="BF264" s="53"/>
      <c r="BG264" s="53"/>
      <c r="BH264" s="53"/>
      <c r="BI264" s="53"/>
      <c r="BJ264" s="53"/>
      <c r="BK264" s="53"/>
      <c r="BL264" s="53"/>
      <c r="BM264" s="53"/>
      <c r="BN264" s="53"/>
      <c r="BO264" s="53"/>
      <c r="BP264" s="53"/>
      <c r="BQ264" s="53"/>
      <c r="BR264" s="53"/>
      <c r="BS264" s="53"/>
      <c r="BT264" s="53"/>
      <c r="BU264" s="53"/>
      <c r="BV264" s="53"/>
      <c r="BW264" s="53"/>
      <c r="BX264" s="53"/>
      <c r="BY264" s="53"/>
      <c r="BZ264" s="53"/>
      <c r="CA264" s="53"/>
      <c r="CB264" s="53"/>
      <c r="CC264" s="53"/>
      <c r="CD264" s="53"/>
      <c r="CE264" s="53"/>
      <c r="CF264" s="53"/>
      <c r="CG264" s="53"/>
      <c r="CH264" s="53"/>
      <c r="CI264" s="53"/>
      <c r="CJ264" s="53"/>
      <c r="CK264" s="53"/>
      <c r="CL264" s="53"/>
      <c r="CM264" s="53"/>
      <c r="CN264" s="53"/>
      <c r="CO264" s="53"/>
      <c r="CP264" s="53"/>
    </row>
    <row r="265" spans="1:94" ht="15.6" x14ac:dyDescent="0.3">
      <c r="A265" s="94">
        <f>A264+1</f>
        <v>37</v>
      </c>
      <c r="B265" s="53" t="str">
        <f>B257</f>
        <v xml:space="preserve">    First 30,000 Mcf</v>
      </c>
      <c r="C265" s="131"/>
      <c r="D265" s="165">
        <f>D257+D261</f>
        <v>362633.5</v>
      </c>
      <c r="E265" s="165">
        <f t="shared" ref="E265:O265" si="57">E257+E261</f>
        <v>336268.5</v>
      </c>
      <c r="F265" s="165">
        <f t="shared" si="57"/>
        <v>309008.7</v>
      </c>
      <c r="G265" s="165">
        <f t="shared" si="57"/>
        <v>289709.59999999998</v>
      </c>
      <c r="H265" s="165">
        <f>H257+H261</f>
        <v>275128.8</v>
      </c>
      <c r="I265" s="165">
        <f t="shared" si="57"/>
        <v>268134.09999999998</v>
      </c>
      <c r="J265" s="165">
        <f t="shared" si="57"/>
        <v>242645.5</v>
      </c>
      <c r="K265" s="165">
        <f t="shared" si="57"/>
        <v>267869.2</v>
      </c>
      <c r="L265" s="165">
        <f t="shared" si="57"/>
        <v>280511.7</v>
      </c>
      <c r="M265" s="165">
        <f t="shared" si="57"/>
        <v>309636.40000000002</v>
      </c>
      <c r="N265" s="165">
        <f t="shared" si="57"/>
        <v>327494</v>
      </c>
      <c r="O265" s="165">
        <f t="shared" si="57"/>
        <v>334941.40000000002</v>
      </c>
      <c r="P265" s="105">
        <f>SUM(D265:O265)</f>
        <v>3603981.4</v>
      </c>
      <c r="S265" s="135"/>
    </row>
    <row r="266" spans="1:94" ht="15.6" x14ac:dyDescent="0.3">
      <c r="A266" s="94">
        <f>A265+1</f>
        <v>38</v>
      </c>
      <c r="B266" s="53" t="str">
        <f>B258</f>
        <v xml:space="preserve">    Over 30,000 Mcf</v>
      </c>
      <c r="C266" s="131"/>
      <c r="D266" s="140">
        <f>D258+D262</f>
        <v>312276</v>
      </c>
      <c r="E266" s="140">
        <f t="shared" ref="E266:O266" si="58">E258+E262</f>
        <v>266310</v>
      </c>
      <c r="F266" s="140">
        <f t="shared" si="58"/>
        <v>216432</v>
      </c>
      <c r="G266" s="140">
        <f t="shared" si="58"/>
        <v>137874</v>
      </c>
      <c r="H266" s="140">
        <f t="shared" si="58"/>
        <v>93864</v>
      </c>
      <c r="I266" s="140">
        <f t="shared" si="58"/>
        <v>71370</v>
      </c>
      <c r="J266" s="140">
        <f t="shared" si="58"/>
        <v>52470</v>
      </c>
      <c r="K266" s="140">
        <f t="shared" si="58"/>
        <v>74304</v>
      </c>
      <c r="L266" s="140">
        <f t="shared" si="58"/>
        <v>81150</v>
      </c>
      <c r="M266" s="140">
        <f t="shared" si="58"/>
        <v>144720</v>
      </c>
      <c r="N266" s="140">
        <f t="shared" si="58"/>
        <v>223938</v>
      </c>
      <c r="O266" s="140">
        <f t="shared" si="58"/>
        <v>238608</v>
      </c>
      <c r="P266" s="138">
        <f>SUM(D266:O266)</f>
        <v>1913316</v>
      </c>
      <c r="S266" s="135"/>
    </row>
    <row r="267" spans="1:94" ht="15.6" x14ac:dyDescent="0.3">
      <c r="A267" s="94">
        <f>A266+1</f>
        <v>39</v>
      </c>
      <c r="B267" s="53" t="s">
        <v>369</v>
      </c>
      <c r="C267" s="108"/>
      <c r="D267" s="72">
        <f>D259+D263</f>
        <v>674909.5</v>
      </c>
      <c r="E267" s="72">
        <f t="shared" ref="E267:O267" si="59">E259+E263</f>
        <v>602578.5</v>
      </c>
      <c r="F267" s="72">
        <f t="shared" si="59"/>
        <v>525440.69999999995</v>
      </c>
      <c r="G267" s="72">
        <f t="shared" si="59"/>
        <v>427583.6</v>
      </c>
      <c r="H267" s="72">
        <f t="shared" si="59"/>
        <v>368992.8</v>
      </c>
      <c r="I267" s="72">
        <f t="shared" si="59"/>
        <v>339504.1</v>
      </c>
      <c r="J267" s="72">
        <f t="shared" si="59"/>
        <v>295115.5</v>
      </c>
      <c r="K267" s="72">
        <f t="shared" si="59"/>
        <v>342173.2</v>
      </c>
      <c r="L267" s="72">
        <f t="shared" si="59"/>
        <v>361661.7</v>
      </c>
      <c r="M267" s="72">
        <f t="shared" si="59"/>
        <v>454356.4</v>
      </c>
      <c r="N267" s="72">
        <f t="shared" si="59"/>
        <v>551432</v>
      </c>
      <c r="O267" s="72">
        <f t="shared" si="59"/>
        <v>573549.4</v>
      </c>
      <c r="P267" s="72">
        <f>SUM(D267:O267)</f>
        <v>5517297.4000000004</v>
      </c>
    </row>
    <row r="268" spans="1:94" ht="15.6" x14ac:dyDescent="0.3">
      <c r="A268" s="94"/>
      <c r="B268" s="53"/>
      <c r="C268" s="108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</row>
    <row r="269" spans="1:94" ht="15.6" x14ac:dyDescent="0.3">
      <c r="A269" s="880" t="str">
        <f>CONAME</f>
        <v>Columbia Gas of Kentucky, Inc.</v>
      </c>
      <c r="B269" s="880"/>
      <c r="C269" s="880"/>
      <c r="D269" s="880"/>
      <c r="E269" s="880"/>
      <c r="F269" s="880"/>
      <c r="G269" s="880"/>
      <c r="H269" s="880"/>
      <c r="I269" s="880"/>
      <c r="J269" s="880"/>
      <c r="K269" s="880"/>
      <c r="L269" s="880"/>
      <c r="M269" s="880"/>
      <c r="N269" s="880"/>
      <c r="O269" s="880"/>
      <c r="P269" s="880"/>
    </row>
    <row r="270" spans="1:94" ht="15.6" x14ac:dyDescent="0.3">
      <c r="A270" s="880" t="s">
        <v>197</v>
      </c>
      <c r="B270" s="880"/>
      <c r="C270" s="880"/>
      <c r="D270" s="880"/>
      <c r="E270" s="880"/>
      <c r="F270" s="880"/>
      <c r="G270" s="880"/>
      <c r="H270" s="880"/>
      <c r="I270" s="880"/>
      <c r="J270" s="880"/>
      <c r="K270" s="880"/>
      <c r="L270" s="880"/>
      <c r="M270" s="880"/>
      <c r="N270" s="880"/>
      <c r="O270" s="880"/>
      <c r="P270" s="880"/>
    </row>
    <row r="271" spans="1:94" ht="15.6" x14ac:dyDescent="0.3">
      <c r="A271" s="879" t="str">
        <f>TYDESC</f>
        <v>For the 12 Months Ended December 31, 2017</v>
      </c>
      <c r="B271" s="879"/>
      <c r="C271" s="879"/>
      <c r="D271" s="879"/>
      <c r="E271" s="879"/>
      <c r="F271" s="879"/>
      <c r="G271" s="879"/>
      <c r="H271" s="879"/>
      <c r="I271" s="879"/>
      <c r="J271" s="879"/>
      <c r="K271" s="879"/>
      <c r="L271" s="879"/>
      <c r="M271" s="879"/>
      <c r="N271" s="879"/>
      <c r="O271" s="879"/>
      <c r="P271" s="879"/>
    </row>
    <row r="272" spans="1:94" ht="15.6" x14ac:dyDescent="0.3">
      <c r="A272" s="108"/>
      <c r="B272" s="108"/>
      <c r="C272" s="108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8"/>
      <c r="O272" s="108"/>
      <c r="P272" s="108"/>
    </row>
    <row r="273" spans="1:16" ht="15.6" x14ac:dyDescent="0.3">
      <c r="A273" s="100" t="str">
        <f>$A$5</f>
        <v>Data: __ Base Period_X_Forecasted Period</v>
      </c>
      <c r="B273" s="53"/>
      <c r="C273" s="108"/>
      <c r="D273" s="108"/>
      <c r="E273" s="108"/>
      <c r="F273" s="108"/>
      <c r="G273" s="96"/>
      <c r="H273" s="96"/>
      <c r="I273" s="96"/>
      <c r="J273" s="96"/>
      <c r="K273" s="96"/>
      <c r="L273" s="96"/>
      <c r="M273" s="96"/>
      <c r="N273" s="96"/>
      <c r="O273" s="96"/>
      <c r="P273" s="330" t="str">
        <f>$P$5</f>
        <v>Workpaper WPM-C.2</v>
      </c>
    </row>
    <row r="274" spans="1:16" ht="15.6" x14ac:dyDescent="0.3">
      <c r="A274" s="100" t="str">
        <f>$A$6</f>
        <v>Type of Filing: X Original _ Update _ Revised</v>
      </c>
      <c r="B274" s="53"/>
      <c r="C274" s="108"/>
      <c r="D274" s="108"/>
      <c r="E274" s="108"/>
      <c r="F274" s="108"/>
      <c r="G274" s="96"/>
      <c r="H274" s="96"/>
      <c r="I274" s="96"/>
      <c r="J274" s="96"/>
      <c r="K274" s="96"/>
      <c r="L274" s="96"/>
      <c r="M274" s="96"/>
      <c r="N274" s="96"/>
      <c r="O274" s="96"/>
      <c r="P274" s="331" t="s">
        <v>635</v>
      </c>
    </row>
    <row r="275" spans="1:16" ht="15.6" x14ac:dyDescent="0.3">
      <c r="A275" s="100" t="str">
        <f>$A$7</f>
        <v>Work Paper Reference No(s):</v>
      </c>
      <c r="B275" s="53"/>
      <c r="C275" s="108"/>
      <c r="D275" s="108"/>
      <c r="E275" s="108"/>
      <c r="F275" s="108"/>
      <c r="G275" s="96"/>
      <c r="H275" s="96"/>
      <c r="I275" s="96"/>
      <c r="J275" s="96"/>
      <c r="K275" s="96"/>
      <c r="L275" s="96"/>
      <c r="M275" s="96"/>
      <c r="N275" s="96"/>
      <c r="O275" s="96"/>
      <c r="P275" s="331"/>
    </row>
    <row r="276" spans="1:16" ht="15.6" x14ac:dyDescent="0.3">
      <c r="A276" s="132" t="str">
        <f>$A$8</f>
        <v>12 Months Forecasted</v>
      </c>
      <c r="B276" s="124"/>
      <c r="C276" s="108"/>
      <c r="D276" s="332"/>
      <c r="E276" s="108"/>
      <c r="F276" s="333"/>
      <c r="G276" s="334"/>
      <c r="H276" s="333"/>
      <c r="I276" s="335"/>
      <c r="J276" s="333"/>
      <c r="K276" s="333"/>
      <c r="L276" s="333"/>
      <c r="M276" s="333"/>
      <c r="N276" s="333"/>
      <c r="O276" s="333"/>
      <c r="P276" s="314"/>
    </row>
    <row r="277" spans="1:16" ht="15.6" x14ac:dyDescent="0.3">
      <c r="A277" s="101"/>
      <c r="B277" s="124"/>
      <c r="C277" s="108"/>
      <c r="D277" s="332"/>
      <c r="E277" s="108"/>
      <c r="F277" s="333"/>
      <c r="G277" s="334"/>
      <c r="H277" s="333"/>
      <c r="I277" s="335"/>
      <c r="J277" s="333"/>
      <c r="K277" s="333"/>
      <c r="L277" s="333"/>
      <c r="M277" s="333"/>
      <c r="N277" s="333"/>
      <c r="O277" s="333"/>
      <c r="P277" s="314"/>
    </row>
    <row r="278" spans="1:16" ht="15.6" x14ac:dyDescent="0.3">
      <c r="A278" s="124" t="s">
        <v>1</v>
      </c>
      <c r="B278" s="124"/>
      <c r="C278" s="108"/>
      <c r="D278" s="332"/>
      <c r="E278" s="108"/>
      <c r="F278" s="333"/>
      <c r="G278" s="334"/>
      <c r="H278" s="333"/>
      <c r="I278" s="335"/>
      <c r="J278" s="333"/>
      <c r="K278" s="333"/>
      <c r="L278" s="333"/>
      <c r="M278" s="333"/>
      <c r="N278" s="333"/>
      <c r="O278" s="333"/>
      <c r="P278" s="314"/>
    </row>
    <row r="279" spans="1:16" ht="15.6" x14ac:dyDescent="0.3">
      <c r="A279" s="316" t="s">
        <v>3</v>
      </c>
      <c r="B279" s="316" t="s">
        <v>4</v>
      </c>
      <c r="C279" s="317" t="s">
        <v>186</v>
      </c>
      <c r="D279" s="318" t="str">
        <f>B!$D$11</f>
        <v>Jan-17</v>
      </c>
      <c r="E279" s="318" t="str">
        <f>B!$E$11</f>
        <v>Feb-17</v>
      </c>
      <c r="F279" s="318" t="str">
        <f>B!$F$11</f>
        <v>Mar-17</v>
      </c>
      <c r="G279" s="318" t="str">
        <f>B!$G$11</f>
        <v>Apr-17</v>
      </c>
      <c r="H279" s="318" t="str">
        <f>B!$H$11</f>
        <v>May-17</v>
      </c>
      <c r="I279" s="318" t="str">
        <f>B!$I$11</f>
        <v>Jun-17</v>
      </c>
      <c r="J279" s="318" t="str">
        <f>B!$J$11</f>
        <v>Jul-17</v>
      </c>
      <c r="K279" s="318" t="str">
        <f>B!$K$11</f>
        <v>Aug-17</v>
      </c>
      <c r="L279" s="318" t="str">
        <f>B!$L$11</f>
        <v>Sep-17</v>
      </c>
      <c r="M279" s="318" t="str">
        <f>B!$M$11</f>
        <v>Oct-17</v>
      </c>
      <c r="N279" s="318" t="str">
        <f>B!$N$11</f>
        <v>Nov-17</v>
      </c>
      <c r="O279" s="318" t="str">
        <f>B!$O$11</f>
        <v>Dec-17</v>
      </c>
      <c r="P279" s="218" t="s">
        <v>9</v>
      </c>
    </row>
    <row r="280" spans="1:16" ht="15.6" x14ac:dyDescent="0.3">
      <c r="A280" s="124"/>
      <c r="B280" s="135" t="s">
        <v>42</v>
      </c>
      <c r="C280" s="131" t="s">
        <v>43</v>
      </c>
      <c r="D280" s="313" t="s">
        <v>45</v>
      </c>
      <c r="E280" s="313" t="s">
        <v>46</v>
      </c>
      <c r="F280" s="313" t="s">
        <v>49</v>
      </c>
      <c r="G280" s="313" t="s">
        <v>50</v>
      </c>
      <c r="H280" s="313" t="s">
        <v>51</v>
      </c>
      <c r="I280" s="313" t="s">
        <v>52</v>
      </c>
      <c r="J280" s="313" t="s">
        <v>53</v>
      </c>
      <c r="K280" s="136" t="s">
        <v>54</v>
      </c>
      <c r="L280" s="136" t="s">
        <v>55</v>
      </c>
      <c r="M280" s="136" t="s">
        <v>56</v>
      </c>
      <c r="N280" s="136" t="s">
        <v>57</v>
      </c>
      <c r="O280" s="136" t="s">
        <v>58</v>
      </c>
      <c r="P280" s="136" t="s">
        <v>59</v>
      </c>
    </row>
    <row r="281" spans="1:16" ht="15.6" x14ac:dyDescent="0.3">
      <c r="A281" s="124"/>
      <c r="B281" s="135"/>
      <c r="C281" s="131"/>
      <c r="D281" s="313"/>
      <c r="E281" s="313"/>
      <c r="F281" s="313"/>
      <c r="G281" s="313"/>
      <c r="H281" s="313"/>
      <c r="I281" s="313"/>
      <c r="J281" s="313"/>
      <c r="K281" s="136"/>
      <c r="L281" s="136"/>
      <c r="M281" s="136"/>
      <c r="N281" s="136"/>
      <c r="O281" s="136"/>
      <c r="P281" s="136"/>
    </row>
    <row r="282" spans="1:16" ht="15.6" x14ac:dyDescent="0.3">
      <c r="A282" s="94">
        <v>1</v>
      </c>
      <c r="B282" s="52" t="s">
        <v>271</v>
      </c>
      <c r="C282" s="133"/>
      <c r="D282" s="96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53"/>
    </row>
    <row r="283" spans="1:16" x14ac:dyDescent="0.25">
      <c r="A283" s="94">
        <f>A282+1</f>
        <v>2</v>
      </c>
      <c r="B283" s="53" t="s">
        <v>368</v>
      </c>
      <c r="C283" s="133"/>
      <c r="D283" s="312"/>
      <c r="E283" s="312"/>
      <c r="F283" s="312"/>
      <c r="G283" s="329"/>
      <c r="H283" s="329"/>
      <c r="I283" s="329"/>
      <c r="J283" s="329"/>
      <c r="K283" s="329"/>
      <c r="L283" s="329"/>
      <c r="M283" s="312"/>
      <c r="N283" s="312"/>
      <c r="O283" s="312"/>
      <c r="P283" s="106"/>
    </row>
    <row r="284" spans="1:16" x14ac:dyDescent="0.25">
      <c r="A284" s="94">
        <f>A283+1</f>
        <v>3</v>
      </c>
      <c r="B284" s="336" t="s">
        <v>255</v>
      </c>
      <c r="C284" s="133"/>
      <c r="D284" s="329">
        <v>600</v>
      </c>
      <c r="E284" s="312">
        <v>600</v>
      </c>
      <c r="F284" s="312">
        <v>600</v>
      </c>
      <c r="G284" s="329">
        <v>600</v>
      </c>
      <c r="H284" s="329">
        <v>600</v>
      </c>
      <c r="I284" s="329">
        <v>600</v>
      </c>
      <c r="J284" s="329">
        <v>600</v>
      </c>
      <c r="K284" s="329">
        <v>600</v>
      </c>
      <c r="L284" s="329">
        <v>600</v>
      </c>
      <c r="M284" s="312">
        <v>600</v>
      </c>
      <c r="N284" s="312">
        <v>550</v>
      </c>
      <c r="O284" s="312">
        <v>600</v>
      </c>
      <c r="P284" s="106">
        <f>SUM(D284:O284)</f>
        <v>7150</v>
      </c>
    </row>
    <row r="285" spans="1:16" x14ac:dyDescent="0.25">
      <c r="A285" s="94">
        <f>A284+1</f>
        <v>4</v>
      </c>
      <c r="B285" s="336" t="s">
        <v>256</v>
      </c>
      <c r="C285" s="133"/>
      <c r="D285" s="329">
        <v>4200</v>
      </c>
      <c r="E285" s="312">
        <v>4200</v>
      </c>
      <c r="F285" s="312">
        <v>4200</v>
      </c>
      <c r="G285" s="329">
        <v>4182.5</v>
      </c>
      <c r="H285" s="329">
        <v>4127</v>
      </c>
      <c r="I285" s="329">
        <v>4044.2</v>
      </c>
      <c r="J285" s="329">
        <v>3998.9</v>
      </c>
      <c r="K285" s="329">
        <v>3891.4</v>
      </c>
      <c r="L285" s="329">
        <v>4069.2</v>
      </c>
      <c r="M285" s="312">
        <v>4045</v>
      </c>
      <c r="N285" s="312">
        <v>3850</v>
      </c>
      <c r="O285" s="312">
        <v>4200</v>
      </c>
      <c r="P285" s="106">
        <f>SUM(D285:O285)</f>
        <v>49008.2</v>
      </c>
    </row>
    <row r="286" spans="1:16" x14ac:dyDescent="0.25">
      <c r="A286" s="94">
        <f>A285+1</f>
        <v>5</v>
      </c>
      <c r="B286" s="336" t="s">
        <v>257</v>
      </c>
      <c r="C286" s="133"/>
      <c r="D286" s="329">
        <v>7070</v>
      </c>
      <c r="E286" s="312">
        <v>6882.7</v>
      </c>
      <c r="F286" s="312">
        <v>6964.3</v>
      </c>
      <c r="G286" s="329">
        <v>6167.1</v>
      </c>
      <c r="H286" s="329">
        <v>6270.1</v>
      </c>
      <c r="I286" s="329">
        <v>4699.5</v>
      </c>
      <c r="J286" s="329">
        <v>5144.3</v>
      </c>
      <c r="K286" s="329">
        <v>4257.5</v>
      </c>
      <c r="L286" s="329">
        <v>4801.3</v>
      </c>
      <c r="M286" s="312">
        <v>6031.9</v>
      </c>
      <c r="N286" s="312">
        <v>6494.6</v>
      </c>
      <c r="O286" s="312">
        <v>6960.4</v>
      </c>
      <c r="P286" s="106">
        <f>SUM(D286:O286)</f>
        <v>71743.7</v>
      </c>
    </row>
    <row r="287" spans="1:16" ht="16.8" x14ac:dyDescent="0.4">
      <c r="A287" s="94">
        <f>A286+1</f>
        <v>6</v>
      </c>
      <c r="B287" s="336" t="s">
        <v>258</v>
      </c>
      <c r="C287" s="133"/>
      <c r="D287" s="338">
        <v>13932.9</v>
      </c>
      <c r="E287" s="343">
        <v>13803.3</v>
      </c>
      <c r="F287" s="343">
        <v>10302.299999999999</v>
      </c>
      <c r="G287" s="338">
        <v>5333.3</v>
      </c>
      <c r="H287" s="338">
        <v>4075.8</v>
      </c>
      <c r="I287" s="338">
        <v>1525.9</v>
      </c>
      <c r="J287" s="338">
        <v>2402.3000000000002</v>
      </c>
      <c r="K287" s="338">
        <v>1889</v>
      </c>
      <c r="L287" s="338">
        <v>1772.2</v>
      </c>
      <c r="M287" s="343">
        <v>3743.8</v>
      </c>
      <c r="N287" s="343">
        <v>7560.9</v>
      </c>
      <c r="O287" s="343">
        <v>9386.9</v>
      </c>
      <c r="P287" s="342">
        <f>SUM(D287:O287)</f>
        <v>75728.600000000006</v>
      </c>
    </row>
    <row r="288" spans="1:16" x14ac:dyDescent="0.25">
      <c r="A288" s="94"/>
      <c r="B288" s="336"/>
      <c r="C288" s="133"/>
      <c r="D288" s="105">
        <f t="shared" ref="D288:N288" si="60">SUM(D284:D287)</f>
        <v>25802.9</v>
      </c>
      <c r="E288" s="105">
        <f t="shared" si="60"/>
        <v>25486</v>
      </c>
      <c r="F288" s="105">
        <f t="shared" si="60"/>
        <v>22066.6</v>
      </c>
      <c r="G288" s="105">
        <f t="shared" si="60"/>
        <v>16282.900000000001</v>
      </c>
      <c r="H288" s="105">
        <f t="shared" si="60"/>
        <v>15072.900000000001</v>
      </c>
      <c r="I288" s="105">
        <f t="shared" si="60"/>
        <v>10869.6</v>
      </c>
      <c r="J288" s="105">
        <f t="shared" si="60"/>
        <v>12145.5</v>
      </c>
      <c r="K288" s="105">
        <f t="shared" si="60"/>
        <v>10637.9</v>
      </c>
      <c r="L288" s="105">
        <f t="shared" si="60"/>
        <v>11242.7</v>
      </c>
      <c r="M288" s="105">
        <f t="shared" si="60"/>
        <v>14420.7</v>
      </c>
      <c r="N288" s="105">
        <f t="shared" si="60"/>
        <v>18455.5</v>
      </c>
      <c r="O288" s="105">
        <f>SUM(O284:O287)</f>
        <v>21147.3</v>
      </c>
      <c r="P288" s="106">
        <f>SUM(D288:O288)</f>
        <v>203630.5</v>
      </c>
    </row>
    <row r="289" spans="1:94" x14ac:dyDescent="0.25">
      <c r="A289" s="94">
        <f>A287+1</f>
        <v>7</v>
      </c>
      <c r="B289" s="53" t="s">
        <v>244</v>
      </c>
      <c r="C289" s="143" t="s">
        <v>371</v>
      </c>
      <c r="D289" s="329"/>
      <c r="E289" s="329"/>
      <c r="F289" s="329"/>
      <c r="G289" s="329"/>
      <c r="H289" s="329"/>
      <c r="I289" s="329"/>
      <c r="J289" s="329"/>
      <c r="K289" s="329"/>
      <c r="L289" s="329"/>
      <c r="M289" s="329"/>
      <c r="N289" s="329"/>
      <c r="O289" s="329"/>
      <c r="P289" s="72"/>
    </row>
    <row r="290" spans="1:94" x14ac:dyDescent="0.25">
      <c r="A290" s="94">
        <f>A289+1</f>
        <v>8</v>
      </c>
      <c r="B290" s="53" t="str">
        <f>B284</f>
        <v xml:space="preserve">    First 50 Mcf</v>
      </c>
      <c r="C290" s="143"/>
      <c r="D290" s="339">
        <f>'D pg 1'!D43</f>
        <v>0</v>
      </c>
      <c r="E290" s="339">
        <f>'D pg 1'!E43</f>
        <v>0</v>
      </c>
      <c r="F290" s="339">
        <f>'D pg 1'!F43</f>
        <v>0</v>
      </c>
      <c r="G290" s="339">
        <f>'D pg 1'!G43</f>
        <v>0</v>
      </c>
      <c r="H290" s="339">
        <f>'D pg 1'!H43</f>
        <v>0</v>
      </c>
      <c r="I290" s="339">
        <f>'D pg 1'!I43</f>
        <v>0</v>
      </c>
      <c r="J290" s="339">
        <f>'D pg 1'!J43</f>
        <v>0</v>
      </c>
      <c r="K290" s="339">
        <f>'D pg 1'!K43</f>
        <v>0</v>
      </c>
      <c r="L290" s="339">
        <f>'D pg 1'!L43</f>
        <v>0</v>
      </c>
      <c r="M290" s="339">
        <f>'D pg 1'!M43</f>
        <v>0</v>
      </c>
      <c r="N290" s="339">
        <f>'D pg 1'!N43</f>
        <v>0</v>
      </c>
      <c r="O290" s="339">
        <f>'D pg 1'!O43</f>
        <v>0</v>
      </c>
      <c r="P290" s="72">
        <f>SUM(D290:O290)</f>
        <v>0</v>
      </c>
    </row>
    <row r="291" spans="1:94" x14ac:dyDescent="0.25">
      <c r="A291" s="94">
        <f>A290+1</f>
        <v>9</v>
      </c>
      <c r="B291" s="53" t="str">
        <f>B285</f>
        <v xml:space="preserve">    Next 350 Mcf</v>
      </c>
      <c r="C291" s="143"/>
      <c r="D291" s="339">
        <f>'D pg 1'!D44</f>
        <v>0</v>
      </c>
      <c r="E291" s="339">
        <f>'D pg 1'!E44</f>
        <v>0</v>
      </c>
      <c r="F291" s="339">
        <f>'D pg 1'!F44</f>
        <v>0</v>
      </c>
      <c r="G291" s="339">
        <f>'D pg 1'!G44</f>
        <v>0</v>
      </c>
      <c r="H291" s="339">
        <f>'D pg 1'!H44</f>
        <v>0</v>
      </c>
      <c r="I291" s="339">
        <f>'D pg 1'!I44</f>
        <v>0</v>
      </c>
      <c r="J291" s="339">
        <f>'D pg 1'!J44</f>
        <v>0</v>
      </c>
      <c r="K291" s="339">
        <f>'D pg 1'!K44</f>
        <v>0</v>
      </c>
      <c r="L291" s="339">
        <f>'D pg 1'!L44</f>
        <v>0</v>
      </c>
      <c r="M291" s="339">
        <f>'D pg 1'!M44</f>
        <v>0</v>
      </c>
      <c r="N291" s="339">
        <f>'D pg 1'!N44</f>
        <v>0</v>
      </c>
      <c r="O291" s="339">
        <f>'D pg 1'!O44</f>
        <v>0</v>
      </c>
      <c r="P291" s="72">
        <f>SUM(D291:O291)</f>
        <v>0</v>
      </c>
    </row>
    <row r="292" spans="1:94" x14ac:dyDescent="0.25">
      <c r="A292" s="94">
        <f>A291+1</f>
        <v>10</v>
      </c>
      <c r="B292" s="53" t="str">
        <f>B286</f>
        <v xml:space="preserve">    Next 600 Mcf</v>
      </c>
      <c r="C292" s="143"/>
      <c r="D292" s="339">
        <f>'D pg 1'!D45</f>
        <v>0</v>
      </c>
      <c r="E292" s="339">
        <f>'D pg 1'!E45</f>
        <v>0</v>
      </c>
      <c r="F292" s="339">
        <f>'D pg 1'!F45</f>
        <v>0</v>
      </c>
      <c r="G292" s="339">
        <f>'D pg 1'!G45</f>
        <v>0</v>
      </c>
      <c r="H292" s="339">
        <f>'D pg 1'!H45</f>
        <v>0</v>
      </c>
      <c r="I292" s="339">
        <f>'D pg 1'!I45</f>
        <v>0</v>
      </c>
      <c r="J292" s="339">
        <f>'D pg 1'!J45</f>
        <v>0</v>
      </c>
      <c r="K292" s="339">
        <f>'D pg 1'!K45</f>
        <v>0</v>
      </c>
      <c r="L292" s="339">
        <f>'D pg 1'!L45</f>
        <v>0</v>
      </c>
      <c r="M292" s="339">
        <f>'D pg 1'!M45</f>
        <v>0</v>
      </c>
      <c r="N292" s="339">
        <f>'D pg 1'!N45</f>
        <v>0</v>
      </c>
      <c r="O292" s="339">
        <f>'D pg 1'!O45</f>
        <v>0</v>
      </c>
      <c r="P292" s="72">
        <f>SUM(D292:O292)</f>
        <v>0</v>
      </c>
    </row>
    <row r="293" spans="1:94" x14ac:dyDescent="0.25">
      <c r="A293" s="94">
        <f>A292+1</f>
        <v>11</v>
      </c>
      <c r="B293" s="53" t="str">
        <f>B287</f>
        <v xml:space="preserve">    Over 1,000 Mcf</v>
      </c>
      <c r="C293" s="143"/>
      <c r="D293" s="340">
        <f>'D pg 1'!D46</f>
        <v>0</v>
      </c>
      <c r="E293" s="340">
        <f>'D pg 1'!E46</f>
        <v>0</v>
      </c>
      <c r="F293" s="340">
        <f>'D pg 1'!F46</f>
        <v>0</v>
      </c>
      <c r="G293" s="340">
        <f>'D pg 1'!G46</f>
        <v>0</v>
      </c>
      <c r="H293" s="340">
        <f>'D pg 1'!H46</f>
        <v>0</v>
      </c>
      <c r="I293" s="340">
        <f>'D pg 1'!I46</f>
        <v>0</v>
      </c>
      <c r="J293" s="340">
        <f>'D pg 1'!J46</f>
        <v>0</v>
      </c>
      <c r="K293" s="340">
        <f>'D pg 1'!K46</f>
        <v>0</v>
      </c>
      <c r="L293" s="340">
        <f>'D pg 1'!L46</f>
        <v>0</v>
      </c>
      <c r="M293" s="340">
        <f>'D pg 1'!M46</f>
        <v>0</v>
      </c>
      <c r="N293" s="340">
        <f>'D pg 1'!N46</f>
        <v>0</v>
      </c>
      <c r="O293" s="340">
        <f>'D pg 1'!O46</f>
        <v>0</v>
      </c>
      <c r="P293" s="138">
        <f>SUM(D293:O293)</f>
        <v>0</v>
      </c>
    </row>
    <row r="294" spans="1:94" x14ac:dyDescent="0.25">
      <c r="A294" s="94"/>
      <c r="B294" s="53"/>
      <c r="C294" s="143"/>
      <c r="D294" s="72">
        <f t="shared" ref="D294:N294" si="61">SUM(D290:D293)</f>
        <v>0</v>
      </c>
      <c r="E294" s="72">
        <f t="shared" si="61"/>
        <v>0</v>
      </c>
      <c r="F294" s="72">
        <f t="shared" si="61"/>
        <v>0</v>
      </c>
      <c r="G294" s="72">
        <f t="shared" si="61"/>
        <v>0</v>
      </c>
      <c r="H294" s="72">
        <f t="shared" si="61"/>
        <v>0</v>
      </c>
      <c r="I294" s="72">
        <f t="shared" si="61"/>
        <v>0</v>
      </c>
      <c r="J294" s="72">
        <f t="shared" si="61"/>
        <v>0</v>
      </c>
      <c r="K294" s="72">
        <f t="shared" si="61"/>
        <v>0</v>
      </c>
      <c r="L294" s="72">
        <f t="shared" si="61"/>
        <v>0</v>
      </c>
      <c r="M294" s="72">
        <f t="shared" si="61"/>
        <v>0</v>
      </c>
      <c r="N294" s="72">
        <f t="shared" si="61"/>
        <v>0</v>
      </c>
      <c r="O294" s="72">
        <f>SUM(O290:O293)</f>
        <v>0</v>
      </c>
      <c r="P294" s="72">
        <f>SUM(D294:O294)</f>
        <v>0</v>
      </c>
    </row>
    <row r="295" spans="1:94" s="103" customFormat="1" ht="15.6" x14ac:dyDescent="0.3">
      <c r="A295" s="94">
        <f>A293+1</f>
        <v>12</v>
      </c>
      <c r="B295" s="53" t="s">
        <v>263</v>
      </c>
      <c r="C295" s="108"/>
      <c r="D295" s="105"/>
      <c r="E295" s="105"/>
      <c r="F295" s="105"/>
      <c r="G295" s="72"/>
      <c r="H295" s="72"/>
      <c r="I295" s="72"/>
      <c r="J295" s="72"/>
      <c r="K295" s="72"/>
      <c r="L295" s="72"/>
      <c r="M295" s="105"/>
      <c r="N295" s="105"/>
      <c r="O295" s="105"/>
      <c r="P295" s="106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  <c r="BF295" s="53"/>
      <c r="BG295" s="53"/>
      <c r="BH295" s="53"/>
      <c r="BI295" s="53"/>
      <c r="BJ295" s="53"/>
      <c r="BK295" s="53"/>
      <c r="BL295" s="53"/>
      <c r="BM295" s="53"/>
      <c r="BN295" s="53"/>
      <c r="BO295" s="53"/>
      <c r="BP295" s="53"/>
      <c r="BQ295" s="53"/>
      <c r="BR295" s="53"/>
      <c r="BS295" s="53"/>
      <c r="BT295" s="53"/>
      <c r="BU295" s="53"/>
      <c r="BV295" s="53"/>
      <c r="BW295" s="53"/>
      <c r="BX295" s="53"/>
      <c r="BY295" s="53"/>
      <c r="BZ295" s="53"/>
      <c r="CA295" s="53"/>
      <c r="CB295" s="53"/>
      <c r="CC295" s="53"/>
      <c r="CD295" s="53"/>
      <c r="CE295" s="53"/>
      <c r="CF295" s="53"/>
      <c r="CG295" s="53"/>
      <c r="CH295" s="53"/>
      <c r="CI295" s="53"/>
      <c r="CJ295" s="53"/>
      <c r="CK295" s="53"/>
      <c r="CL295" s="53"/>
      <c r="CM295" s="53"/>
      <c r="CN295" s="53"/>
      <c r="CO295" s="53"/>
      <c r="CP295" s="53"/>
    </row>
    <row r="296" spans="1:94" ht="15.6" x14ac:dyDescent="0.3">
      <c r="A296" s="94">
        <f>A295+1</f>
        <v>13</v>
      </c>
      <c r="B296" s="53" t="str">
        <f>B284</f>
        <v xml:space="preserve">    First 50 Mcf</v>
      </c>
      <c r="C296" s="131"/>
      <c r="D296" s="165">
        <f>D284+D290</f>
        <v>600</v>
      </c>
      <c r="E296" s="165">
        <f t="shared" ref="E296:O296" si="62">E284+E290</f>
        <v>600</v>
      </c>
      <c r="F296" s="165">
        <f t="shared" si="62"/>
        <v>600</v>
      </c>
      <c r="G296" s="165">
        <f t="shared" si="62"/>
        <v>600</v>
      </c>
      <c r="H296" s="165">
        <f t="shared" si="62"/>
        <v>600</v>
      </c>
      <c r="I296" s="165">
        <f t="shared" si="62"/>
        <v>600</v>
      </c>
      <c r="J296" s="165">
        <f t="shared" si="62"/>
        <v>600</v>
      </c>
      <c r="K296" s="165">
        <f t="shared" si="62"/>
        <v>600</v>
      </c>
      <c r="L296" s="165">
        <f t="shared" si="62"/>
        <v>600</v>
      </c>
      <c r="M296" s="165">
        <f t="shared" si="62"/>
        <v>600</v>
      </c>
      <c r="N296" s="165">
        <f t="shared" si="62"/>
        <v>550</v>
      </c>
      <c r="O296" s="165">
        <f t="shared" si="62"/>
        <v>600</v>
      </c>
      <c r="P296" s="105">
        <f>SUM(D296:O296)</f>
        <v>7150</v>
      </c>
      <c r="S296" s="135"/>
    </row>
    <row r="297" spans="1:94" ht="15.6" x14ac:dyDescent="0.3">
      <c r="A297" s="94">
        <f>A296+1</f>
        <v>14</v>
      </c>
      <c r="B297" s="53" t="str">
        <f>B285</f>
        <v xml:space="preserve">    Next 350 Mcf</v>
      </c>
      <c r="C297" s="131"/>
      <c r="D297" s="165">
        <f t="shared" ref="D297:O299" si="63">D285+D291</f>
        <v>4200</v>
      </c>
      <c r="E297" s="165">
        <f t="shared" si="63"/>
        <v>4200</v>
      </c>
      <c r="F297" s="165">
        <f t="shared" si="63"/>
        <v>4200</v>
      </c>
      <c r="G297" s="165">
        <f t="shared" si="63"/>
        <v>4182.5</v>
      </c>
      <c r="H297" s="165">
        <f t="shared" si="63"/>
        <v>4127</v>
      </c>
      <c r="I297" s="165">
        <f t="shared" si="63"/>
        <v>4044.2</v>
      </c>
      <c r="J297" s="165">
        <f t="shared" si="63"/>
        <v>3998.9</v>
      </c>
      <c r="K297" s="165">
        <f t="shared" si="63"/>
        <v>3891.4</v>
      </c>
      <c r="L297" s="165">
        <f t="shared" si="63"/>
        <v>4069.2</v>
      </c>
      <c r="M297" s="165">
        <f t="shared" si="63"/>
        <v>4045</v>
      </c>
      <c r="N297" s="165">
        <f t="shared" si="63"/>
        <v>3850</v>
      </c>
      <c r="O297" s="165">
        <f t="shared" si="63"/>
        <v>4200</v>
      </c>
      <c r="P297" s="105">
        <f>SUM(D297:O297)</f>
        <v>49008.2</v>
      </c>
      <c r="S297" s="135"/>
    </row>
    <row r="298" spans="1:94" ht="15.6" x14ac:dyDescent="0.3">
      <c r="A298" s="94">
        <f>A297+1</f>
        <v>15</v>
      </c>
      <c r="B298" s="53" t="str">
        <f>B286</f>
        <v xml:space="preserve">    Next 600 Mcf</v>
      </c>
      <c r="C298" s="131"/>
      <c r="D298" s="165">
        <f t="shared" si="63"/>
        <v>7070</v>
      </c>
      <c r="E298" s="165">
        <f t="shared" si="63"/>
        <v>6882.7</v>
      </c>
      <c r="F298" s="165">
        <f t="shared" si="63"/>
        <v>6964.3</v>
      </c>
      <c r="G298" s="165">
        <f t="shared" si="63"/>
        <v>6167.1</v>
      </c>
      <c r="H298" s="165">
        <f t="shared" si="63"/>
        <v>6270.1</v>
      </c>
      <c r="I298" s="165">
        <f t="shared" si="63"/>
        <v>4699.5</v>
      </c>
      <c r="J298" s="165">
        <f t="shared" si="63"/>
        <v>5144.3</v>
      </c>
      <c r="K298" s="165">
        <f t="shared" si="63"/>
        <v>4257.5</v>
      </c>
      <c r="L298" s="165">
        <f t="shared" si="63"/>
        <v>4801.3</v>
      </c>
      <c r="M298" s="165">
        <f t="shared" si="63"/>
        <v>6031.9</v>
      </c>
      <c r="N298" s="165">
        <f t="shared" si="63"/>
        <v>6494.6</v>
      </c>
      <c r="O298" s="165">
        <f t="shared" si="63"/>
        <v>6960.4</v>
      </c>
      <c r="P298" s="105">
        <f>SUM(D298:O298)</f>
        <v>71743.7</v>
      </c>
      <c r="S298" s="135"/>
    </row>
    <row r="299" spans="1:94" ht="15.6" x14ac:dyDescent="0.3">
      <c r="A299" s="94">
        <f>A298+1</f>
        <v>16</v>
      </c>
      <c r="B299" s="53" t="str">
        <f>B287</f>
        <v xml:space="preserve">    Over 1,000 Mcf</v>
      </c>
      <c r="C299" s="131"/>
      <c r="D299" s="140">
        <f t="shared" si="63"/>
        <v>13932.9</v>
      </c>
      <c r="E299" s="140">
        <f t="shared" si="63"/>
        <v>13803.3</v>
      </c>
      <c r="F299" s="140">
        <f t="shared" si="63"/>
        <v>10302.299999999999</v>
      </c>
      <c r="G299" s="140">
        <f t="shared" si="63"/>
        <v>5333.3</v>
      </c>
      <c r="H299" s="140">
        <f t="shared" si="63"/>
        <v>4075.8</v>
      </c>
      <c r="I299" s="140">
        <f t="shared" si="63"/>
        <v>1525.9</v>
      </c>
      <c r="J299" s="140">
        <f t="shared" si="63"/>
        <v>2402.3000000000002</v>
      </c>
      <c r="K299" s="140">
        <f t="shared" si="63"/>
        <v>1889</v>
      </c>
      <c r="L299" s="140">
        <f t="shared" si="63"/>
        <v>1772.2</v>
      </c>
      <c r="M299" s="140">
        <f t="shared" si="63"/>
        <v>3743.8</v>
      </c>
      <c r="N299" s="140">
        <f t="shared" si="63"/>
        <v>7560.9</v>
      </c>
      <c r="O299" s="140">
        <f t="shared" si="63"/>
        <v>9386.9</v>
      </c>
      <c r="P299" s="138">
        <f>SUM(D299:O299)</f>
        <v>75728.600000000006</v>
      </c>
      <c r="S299" s="135"/>
    </row>
    <row r="300" spans="1:94" ht="15.6" x14ac:dyDescent="0.3">
      <c r="A300" s="94">
        <f>A299+1</f>
        <v>17</v>
      </c>
      <c r="B300" s="53" t="s">
        <v>369</v>
      </c>
      <c r="C300" s="108"/>
      <c r="D300" s="165">
        <f>D288+D294</f>
        <v>25802.9</v>
      </c>
      <c r="E300" s="165">
        <f t="shared" ref="E300:O300" si="64">E288+E294</f>
        <v>25486</v>
      </c>
      <c r="F300" s="165">
        <f t="shared" si="64"/>
        <v>22066.6</v>
      </c>
      <c r="G300" s="165">
        <f t="shared" si="64"/>
        <v>16282.900000000001</v>
      </c>
      <c r="H300" s="165">
        <f t="shared" si="64"/>
        <v>15072.900000000001</v>
      </c>
      <c r="I300" s="165">
        <f t="shared" si="64"/>
        <v>10869.6</v>
      </c>
      <c r="J300" s="165">
        <f t="shared" si="64"/>
        <v>12145.5</v>
      </c>
      <c r="K300" s="165">
        <f t="shared" si="64"/>
        <v>10637.9</v>
      </c>
      <c r="L300" s="165">
        <f t="shared" si="64"/>
        <v>11242.7</v>
      </c>
      <c r="M300" s="165">
        <f t="shared" si="64"/>
        <v>14420.7</v>
      </c>
      <c r="N300" s="165">
        <f t="shared" si="64"/>
        <v>18455.5</v>
      </c>
      <c r="O300" s="165">
        <f t="shared" si="64"/>
        <v>21147.3</v>
      </c>
      <c r="P300" s="72">
        <f>SUM(D300:O300)</f>
        <v>203630.5</v>
      </c>
    </row>
    <row r="301" spans="1:94" ht="15.6" x14ac:dyDescent="0.3">
      <c r="A301" s="94"/>
      <c r="B301" s="53"/>
      <c r="C301" s="108"/>
      <c r="D301" s="165"/>
      <c r="E301" s="165"/>
      <c r="F301" s="165"/>
      <c r="G301" s="165"/>
      <c r="H301" s="165"/>
      <c r="I301" s="165"/>
      <c r="J301" s="165"/>
      <c r="K301" s="165"/>
      <c r="L301" s="165"/>
      <c r="M301" s="165"/>
      <c r="N301" s="165"/>
      <c r="O301" s="165"/>
      <c r="P301" s="72"/>
    </row>
    <row r="302" spans="1:94" ht="15.6" x14ac:dyDescent="0.3">
      <c r="A302" s="94">
        <f>A300+1</f>
        <v>18</v>
      </c>
      <c r="B302" s="52" t="s">
        <v>261</v>
      </c>
      <c r="C302" s="133"/>
      <c r="D302" s="96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  <c r="P302" s="53"/>
    </row>
    <row r="303" spans="1:94" x14ac:dyDescent="0.25">
      <c r="A303" s="94">
        <f>A302+1</f>
        <v>19</v>
      </c>
      <c r="B303" s="53" t="s">
        <v>368</v>
      </c>
      <c r="C303" s="133"/>
      <c r="D303" s="312"/>
      <c r="E303" s="312"/>
      <c r="F303" s="312"/>
      <c r="G303" s="329"/>
      <c r="H303" s="329"/>
      <c r="I303" s="329"/>
      <c r="J303" s="329"/>
      <c r="K303" s="329"/>
      <c r="L303" s="329"/>
      <c r="M303" s="312"/>
      <c r="N303" s="312"/>
      <c r="O303" s="312"/>
      <c r="P303" s="106"/>
    </row>
    <row r="304" spans="1:94" x14ac:dyDescent="0.25">
      <c r="A304" s="94">
        <f>A303+1</f>
        <v>20</v>
      </c>
      <c r="B304" s="336" t="s">
        <v>255</v>
      </c>
      <c r="C304" s="133"/>
      <c r="D304" s="329">
        <v>609.9</v>
      </c>
      <c r="E304" s="312">
        <v>622.4</v>
      </c>
      <c r="F304" s="312">
        <v>750</v>
      </c>
      <c r="G304" s="329">
        <v>735.6</v>
      </c>
      <c r="H304" s="329">
        <v>694.2</v>
      </c>
      <c r="I304" s="329">
        <v>473.6</v>
      </c>
      <c r="J304" s="329">
        <v>460</v>
      </c>
      <c r="K304" s="329">
        <v>510.6</v>
      </c>
      <c r="L304" s="329">
        <v>530.29999999999995</v>
      </c>
      <c r="M304" s="312">
        <v>604.5</v>
      </c>
      <c r="N304" s="312">
        <v>606.1</v>
      </c>
      <c r="O304" s="312">
        <v>666.9</v>
      </c>
      <c r="P304" s="106">
        <f>SUM(D304:O304)</f>
        <v>7264.1000000000013</v>
      </c>
    </row>
    <row r="305" spans="1:18" x14ac:dyDescent="0.25">
      <c r="A305" s="94">
        <f>A304+1</f>
        <v>21</v>
      </c>
      <c r="B305" s="336" t="s">
        <v>256</v>
      </c>
      <c r="C305" s="133"/>
      <c r="D305" s="329">
        <v>3896.3</v>
      </c>
      <c r="E305" s="312">
        <v>3965.4</v>
      </c>
      <c r="F305" s="312">
        <v>4483.7</v>
      </c>
      <c r="G305" s="329">
        <v>4484.3999999999996</v>
      </c>
      <c r="H305" s="329">
        <v>3857.7</v>
      </c>
      <c r="I305" s="329">
        <v>2799.5</v>
      </c>
      <c r="J305" s="329">
        <v>2736.4</v>
      </c>
      <c r="K305" s="329">
        <v>3003.2</v>
      </c>
      <c r="L305" s="329">
        <v>2907</v>
      </c>
      <c r="M305" s="312">
        <v>3132.7</v>
      </c>
      <c r="N305" s="312">
        <v>3912.5</v>
      </c>
      <c r="O305" s="312">
        <v>4183.5</v>
      </c>
      <c r="P305" s="106">
        <f>SUM(D305:O305)</f>
        <v>43362.3</v>
      </c>
    </row>
    <row r="306" spans="1:18" x14ac:dyDescent="0.25">
      <c r="A306" s="94">
        <f>A305+1</f>
        <v>22</v>
      </c>
      <c r="B306" s="336" t="s">
        <v>257</v>
      </c>
      <c r="C306" s="133"/>
      <c r="D306" s="329">
        <v>5621.7</v>
      </c>
      <c r="E306" s="312">
        <v>5802.3</v>
      </c>
      <c r="F306" s="312">
        <v>6622.1</v>
      </c>
      <c r="G306" s="329">
        <v>5166.3999999999996</v>
      </c>
      <c r="H306" s="329">
        <v>4115.7</v>
      </c>
      <c r="I306" s="329">
        <v>2754.1</v>
      </c>
      <c r="J306" s="329">
        <v>2958.6</v>
      </c>
      <c r="K306" s="329">
        <v>3457.3</v>
      </c>
      <c r="L306" s="329">
        <v>3411.2</v>
      </c>
      <c r="M306" s="312">
        <v>3405.2</v>
      </c>
      <c r="N306" s="312">
        <v>4279.3999999999996</v>
      </c>
      <c r="O306" s="312">
        <v>5280.7</v>
      </c>
      <c r="P306" s="106">
        <f>SUM(D306:O306)</f>
        <v>52874.7</v>
      </c>
    </row>
    <row r="307" spans="1:18" ht="16.8" x14ac:dyDescent="0.4">
      <c r="A307" s="94">
        <f>A306+1</f>
        <v>23</v>
      </c>
      <c r="B307" s="336" t="s">
        <v>258</v>
      </c>
      <c r="C307" s="133"/>
      <c r="D307" s="337">
        <v>7716.4</v>
      </c>
      <c r="E307" s="337">
        <v>6439.2</v>
      </c>
      <c r="F307" s="337">
        <v>7195.5</v>
      </c>
      <c r="G307" s="337">
        <v>3680.8</v>
      </c>
      <c r="H307" s="337">
        <v>4450.7</v>
      </c>
      <c r="I307" s="337">
        <v>2848.5</v>
      </c>
      <c r="J307" s="337">
        <v>1893.4</v>
      </c>
      <c r="K307" s="337">
        <v>2095.6999999999998</v>
      </c>
      <c r="L307" s="337">
        <v>2937.8</v>
      </c>
      <c r="M307" s="337">
        <v>2954.3</v>
      </c>
      <c r="N307" s="337">
        <v>3905</v>
      </c>
      <c r="O307" s="337">
        <v>4849.5</v>
      </c>
      <c r="P307" s="342">
        <f>SUM(D307:O307)</f>
        <v>50966.8</v>
      </c>
    </row>
    <row r="308" spans="1:18" x14ac:dyDescent="0.25">
      <c r="A308" s="94"/>
      <c r="B308" s="336"/>
      <c r="C308" s="133"/>
      <c r="D308" s="105">
        <f t="shared" ref="D308:N308" si="65">SUM(D304:D307)</f>
        <v>17844.3</v>
      </c>
      <c r="E308" s="105">
        <f t="shared" si="65"/>
        <v>16829.3</v>
      </c>
      <c r="F308" s="105">
        <f t="shared" si="65"/>
        <v>19051.3</v>
      </c>
      <c r="G308" s="105">
        <f t="shared" si="65"/>
        <v>14067.2</v>
      </c>
      <c r="H308" s="105">
        <f t="shared" si="65"/>
        <v>13118.3</v>
      </c>
      <c r="I308" s="105">
        <f t="shared" si="65"/>
        <v>8875.7000000000007</v>
      </c>
      <c r="J308" s="105">
        <f t="shared" si="65"/>
        <v>8048.4</v>
      </c>
      <c r="K308" s="105">
        <f t="shared" si="65"/>
        <v>9066.7999999999993</v>
      </c>
      <c r="L308" s="105">
        <f t="shared" si="65"/>
        <v>9786.2999999999993</v>
      </c>
      <c r="M308" s="105">
        <f t="shared" si="65"/>
        <v>10096.700000000001</v>
      </c>
      <c r="N308" s="105">
        <f t="shared" si="65"/>
        <v>12703</v>
      </c>
      <c r="O308" s="105">
        <f>SUM(O304:O307)</f>
        <v>14980.599999999999</v>
      </c>
      <c r="P308" s="106">
        <f>SUM(D308:O308)</f>
        <v>154467.9</v>
      </c>
    </row>
    <row r="309" spans="1:18" x14ac:dyDescent="0.25">
      <c r="A309" s="94">
        <f>A307+1</f>
        <v>24</v>
      </c>
      <c r="B309" s="53" t="s">
        <v>244</v>
      </c>
      <c r="C309" s="143" t="s">
        <v>371</v>
      </c>
      <c r="D309" s="329"/>
      <c r="E309" s="329"/>
      <c r="F309" s="329"/>
      <c r="G309" s="329"/>
      <c r="H309" s="329"/>
      <c r="I309" s="329"/>
      <c r="J309" s="329"/>
      <c r="K309" s="329"/>
      <c r="L309" s="329"/>
      <c r="M309" s="329"/>
      <c r="N309" s="329"/>
      <c r="O309" s="329"/>
      <c r="P309" s="72"/>
    </row>
    <row r="310" spans="1:18" x14ac:dyDescent="0.25">
      <c r="A310" s="94">
        <f>A309+1</f>
        <v>25</v>
      </c>
      <c r="B310" s="53" t="str">
        <f>B304</f>
        <v xml:space="preserve">    First 50 Mcf</v>
      </c>
      <c r="C310" s="143"/>
      <c r="D310" s="72">
        <f>'D pg 1'!D50</f>
        <v>0</v>
      </c>
      <c r="E310" s="72">
        <f>'D pg 1'!E50</f>
        <v>0</v>
      </c>
      <c r="F310" s="72">
        <f>'D pg 1'!F50</f>
        <v>0</v>
      </c>
      <c r="G310" s="72">
        <f>'D pg 1'!G50</f>
        <v>0</v>
      </c>
      <c r="H310" s="72">
        <f>'D pg 1'!H50</f>
        <v>0</v>
      </c>
      <c r="I310" s="72">
        <f>'D pg 1'!I50</f>
        <v>0</v>
      </c>
      <c r="J310" s="72">
        <f>'D pg 1'!J50</f>
        <v>0</v>
      </c>
      <c r="K310" s="72">
        <f>'D pg 1'!K50</f>
        <v>0</v>
      </c>
      <c r="L310" s="72">
        <f>'D pg 1'!L50</f>
        <v>0</v>
      </c>
      <c r="M310" s="72">
        <f>'D pg 1'!M50</f>
        <v>0</v>
      </c>
      <c r="N310" s="72">
        <f>'D pg 1'!N50</f>
        <v>0</v>
      </c>
      <c r="O310" s="72">
        <f>'D pg 1'!O50</f>
        <v>0</v>
      </c>
      <c r="P310" s="72">
        <f>SUM(D310:O310)</f>
        <v>0</v>
      </c>
    </row>
    <row r="311" spans="1:18" x14ac:dyDescent="0.25">
      <c r="A311" s="94">
        <f>A310+1</f>
        <v>26</v>
      </c>
      <c r="B311" s="53" t="str">
        <f>B305</f>
        <v xml:space="preserve">    Next 350 Mcf</v>
      </c>
      <c r="C311" s="143"/>
      <c r="D311" s="72">
        <f>'D pg 1'!D51</f>
        <v>0</v>
      </c>
      <c r="E311" s="72">
        <f>'D pg 1'!E51</f>
        <v>0</v>
      </c>
      <c r="F311" s="72">
        <f>'D pg 1'!F51</f>
        <v>0</v>
      </c>
      <c r="G311" s="72">
        <f>'D pg 1'!G51</f>
        <v>0</v>
      </c>
      <c r="H311" s="72">
        <f>'D pg 1'!H51</f>
        <v>0</v>
      </c>
      <c r="I311" s="72">
        <f>'D pg 1'!I51</f>
        <v>0</v>
      </c>
      <c r="J311" s="72">
        <f>'D pg 1'!J51</f>
        <v>0</v>
      </c>
      <c r="K311" s="72">
        <f>'D pg 1'!K51</f>
        <v>0</v>
      </c>
      <c r="L311" s="72">
        <f>'D pg 1'!L51</f>
        <v>0</v>
      </c>
      <c r="M311" s="72">
        <f>'D pg 1'!M51</f>
        <v>0</v>
      </c>
      <c r="N311" s="72">
        <f>'D pg 1'!N51</f>
        <v>0</v>
      </c>
      <c r="O311" s="72">
        <f>'D pg 1'!O51</f>
        <v>0</v>
      </c>
      <c r="P311" s="72">
        <f>SUM(D311:O311)</f>
        <v>0</v>
      </c>
    </row>
    <row r="312" spans="1:18" x14ac:dyDescent="0.25">
      <c r="A312" s="94">
        <f>A311+1</f>
        <v>27</v>
      </c>
      <c r="B312" s="53" t="str">
        <f>B306</f>
        <v xml:space="preserve">    Next 600 Mcf</v>
      </c>
      <c r="C312" s="143"/>
      <c r="D312" s="72">
        <f>'D pg 1'!D52</f>
        <v>0</v>
      </c>
      <c r="E312" s="72">
        <f>'D pg 1'!E52</f>
        <v>0</v>
      </c>
      <c r="F312" s="72">
        <f>'D pg 1'!F52</f>
        <v>0</v>
      </c>
      <c r="G312" s="72">
        <f>'D pg 1'!G52</f>
        <v>0</v>
      </c>
      <c r="H312" s="72">
        <f>'D pg 1'!H52</f>
        <v>0</v>
      </c>
      <c r="I312" s="72">
        <f>'D pg 1'!I52</f>
        <v>0</v>
      </c>
      <c r="J312" s="72">
        <f>'D pg 1'!J52</f>
        <v>0</v>
      </c>
      <c r="K312" s="72">
        <f>'D pg 1'!K52</f>
        <v>0</v>
      </c>
      <c r="L312" s="72">
        <f>'D pg 1'!L52</f>
        <v>0</v>
      </c>
      <c r="M312" s="72">
        <f>'D pg 1'!M52</f>
        <v>0</v>
      </c>
      <c r="N312" s="72">
        <f>'D pg 1'!N52</f>
        <v>0</v>
      </c>
      <c r="O312" s="72">
        <f>'D pg 1'!O52</f>
        <v>0</v>
      </c>
      <c r="P312" s="72">
        <f>SUM(D312:O312)</f>
        <v>0</v>
      </c>
    </row>
    <row r="313" spans="1:18" x14ac:dyDescent="0.25">
      <c r="A313" s="94">
        <f>A312+1</f>
        <v>28</v>
      </c>
      <c r="B313" s="53" t="str">
        <f>B307</f>
        <v xml:space="preserve">    Over 1,000 Mcf</v>
      </c>
      <c r="C313" s="143"/>
      <c r="D313" s="138">
        <f>'D pg 1'!D53</f>
        <v>0</v>
      </c>
      <c r="E313" s="138">
        <f>'D pg 1'!E53</f>
        <v>0</v>
      </c>
      <c r="F313" s="138">
        <f>'D pg 1'!F53</f>
        <v>0</v>
      </c>
      <c r="G313" s="138">
        <f>'D pg 1'!G53</f>
        <v>0</v>
      </c>
      <c r="H313" s="138">
        <f>'D pg 1'!H53</f>
        <v>0</v>
      </c>
      <c r="I313" s="138">
        <f>'D pg 1'!I53</f>
        <v>0</v>
      </c>
      <c r="J313" s="138">
        <f>'D pg 1'!J53</f>
        <v>0</v>
      </c>
      <c r="K313" s="138">
        <f>'D pg 1'!K53</f>
        <v>0</v>
      </c>
      <c r="L313" s="138">
        <f>'D pg 1'!L53</f>
        <v>0</v>
      </c>
      <c r="M313" s="138">
        <f>'D pg 1'!M53</f>
        <v>0</v>
      </c>
      <c r="N313" s="138">
        <f>'D pg 1'!N53</f>
        <v>0</v>
      </c>
      <c r="O313" s="138">
        <f>'D pg 1'!O53</f>
        <v>0</v>
      </c>
      <c r="P313" s="138">
        <f>SUM(D313:O313)</f>
        <v>0</v>
      </c>
    </row>
    <row r="314" spans="1:18" x14ac:dyDescent="0.25">
      <c r="A314" s="94"/>
      <c r="B314" s="53"/>
      <c r="C314" s="143"/>
      <c r="D314" s="72">
        <f t="shared" ref="D314:N314" si="66">SUM(D310:D313)</f>
        <v>0</v>
      </c>
      <c r="E314" s="72">
        <f t="shared" si="66"/>
        <v>0</v>
      </c>
      <c r="F314" s="72">
        <f t="shared" si="66"/>
        <v>0</v>
      </c>
      <c r="G314" s="72">
        <f t="shared" si="66"/>
        <v>0</v>
      </c>
      <c r="H314" s="72">
        <f t="shared" si="66"/>
        <v>0</v>
      </c>
      <c r="I314" s="72">
        <f t="shared" si="66"/>
        <v>0</v>
      </c>
      <c r="J314" s="72">
        <f t="shared" si="66"/>
        <v>0</v>
      </c>
      <c r="K314" s="72">
        <f t="shared" si="66"/>
        <v>0</v>
      </c>
      <c r="L314" s="72">
        <f t="shared" si="66"/>
        <v>0</v>
      </c>
      <c r="M314" s="72">
        <f t="shared" si="66"/>
        <v>0</v>
      </c>
      <c r="N314" s="72">
        <f t="shared" si="66"/>
        <v>0</v>
      </c>
      <c r="O314" s="72">
        <f>SUM(O310:O313)</f>
        <v>0</v>
      </c>
      <c r="P314" s="72">
        <f>SUM(D314:O314)</f>
        <v>0</v>
      </c>
    </row>
    <row r="315" spans="1:18" ht="15.6" x14ac:dyDescent="0.3">
      <c r="A315" s="94">
        <f>A313+1</f>
        <v>29</v>
      </c>
      <c r="B315" s="53" t="s">
        <v>263</v>
      </c>
      <c r="C315" s="108"/>
      <c r="D315" s="105"/>
      <c r="E315" s="105"/>
      <c r="F315" s="105"/>
      <c r="G315" s="72"/>
      <c r="H315" s="72"/>
      <c r="I315" s="72"/>
      <c r="J315" s="72"/>
      <c r="K315" s="72"/>
      <c r="L315" s="72"/>
      <c r="M315" s="105"/>
      <c r="N315" s="105"/>
      <c r="O315" s="105"/>
      <c r="P315" s="106"/>
    </row>
    <row r="316" spans="1:18" ht="15.6" x14ac:dyDescent="0.3">
      <c r="A316" s="94">
        <f>A315+1</f>
        <v>30</v>
      </c>
      <c r="B316" s="53" t="str">
        <f>B304</f>
        <v xml:space="preserve">    First 50 Mcf</v>
      </c>
      <c r="C316" s="131"/>
      <c r="D316" s="165">
        <f>D304+D310</f>
        <v>609.9</v>
      </c>
      <c r="E316" s="165">
        <f t="shared" ref="E316:O316" si="67">E304+E310</f>
        <v>622.4</v>
      </c>
      <c r="F316" s="165">
        <f t="shared" si="67"/>
        <v>750</v>
      </c>
      <c r="G316" s="165">
        <f t="shared" si="67"/>
        <v>735.6</v>
      </c>
      <c r="H316" s="165">
        <f t="shared" si="67"/>
        <v>694.2</v>
      </c>
      <c r="I316" s="165">
        <f t="shared" si="67"/>
        <v>473.6</v>
      </c>
      <c r="J316" s="165">
        <f t="shared" si="67"/>
        <v>460</v>
      </c>
      <c r="K316" s="165">
        <f t="shared" si="67"/>
        <v>510.6</v>
      </c>
      <c r="L316" s="165">
        <f t="shared" si="67"/>
        <v>530.29999999999995</v>
      </c>
      <c r="M316" s="165">
        <f t="shared" si="67"/>
        <v>604.5</v>
      </c>
      <c r="N316" s="165">
        <f t="shared" si="67"/>
        <v>606.1</v>
      </c>
      <c r="O316" s="165">
        <f t="shared" si="67"/>
        <v>666.9</v>
      </c>
      <c r="P316" s="105">
        <f>SUM(D316:O316)</f>
        <v>7264.1000000000013</v>
      </c>
    </row>
    <row r="317" spans="1:18" ht="15.6" x14ac:dyDescent="0.3">
      <c r="A317" s="94">
        <f>A316+1</f>
        <v>31</v>
      </c>
      <c r="B317" s="53" t="str">
        <f>B305</f>
        <v xml:space="preserve">    Next 350 Mcf</v>
      </c>
      <c r="C317" s="131"/>
      <c r="D317" s="165">
        <f t="shared" ref="D317:O319" si="68">D305+D311</f>
        <v>3896.3</v>
      </c>
      <c r="E317" s="165">
        <f t="shared" si="68"/>
        <v>3965.4</v>
      </c>
      <c r="F317" s="165">
        <f t="shared" si="68"/>
        <v>4483.7</v>
      </c>
      <c r="G317" s="165">
        <f t="shared" si="68"/>
        <v>4484.3999999999996</v>
      </c>
      <c r="H317" s="165">
        <f t="shared" si="68"/>
        <v>3857.7</v>
      </c>
      <c r="I317" s="165">
        <f t="shared" si="68"/>
        <v>2799.5</v>
      </c>
      <c r="J317" s="165">
        <f t="shared" si="68"/>
        <v>2736.4</v>
      </c>
      <c r="K317" s="165">
        <f t="shared" si="68"/>
        <v>3003.2</v>
      </c>
      <c r="L317" s="165">
        <f t="shared" si="68"/>
        <v>2907</v>
      </c>
      <c r="M317" s="165">
        <f t="shared" si="68"/>
        <v>3132.7</v>
      </c>
      <c r="N317" s="165">
        <f t="shared" si="68"/>
        <v>3912.5</v>
      </c>
      <c r="O317" s="165">
        <f t="shared" si="68"/>
        <v>4183.5</v>
      </c>
      <c r="P317" s="105">
        <f>SUM(D317:O317)</f>
        <v>43362.3</v>
      </c>
    </row>
    <row r="318" spans="1:18" ht="15.6" x14ac:dyDescent="0.3">
      <c r="A318" s="94">
        <f>A317+1</f>
        <v>32</v>
      </c>
      <c r="B318" s="53" t="str">
        <f>B306</f>
        <v xml:space="preserve">    Next 600 Mcf</v>
      </c>
      <c r="C318" s="131"/>
      <c r="D318" s="165">
        <f t="shared" si="68"/>
        <v>5621.7</v>
      </c>
      <c r="E318" s="165">
        <f t="shared" si="68"/>
        <v>5802.3</v>
      </c>
      <c r="F318" s="165">
        <f t="shared" si="68"/>
        <v>6622.1</v>
      </c>
      <c r="G318" s="165">
        <f t="shared" si="68"/>
        <v>5166.3999999999996</v>
      </c>
      <c r="H318" s="165">
        <f t="shared" si="68"/>
        <v>4115.7</v>
      </c>
      <c r="I318" s="165">
        <f t="shared" si="68"/>
        <v>2754.1</v>
      </c>
      <c r="J318" s="165">
        <f t="shared" si="68"/>
        <v>2958.6</v>
      </c>
      <c r="K318" s="165">
        <f t="shared" si="68"/>
        <v>3457.3</v>
      </c>
      <c r="L318" s="165">
        <f t="shared" si="68"/>
        <v>3411.2</v>
      </c>
      <c r="M318" s="165">
        <f t="shared" si="68"/>
        <v>3405.2</v>
      </c>
      <c r="N318" s="165">
        <f t="shared" si="68"/>
        <v>4279.3999999999996</v>
      </c>
      <c r="O318" s="165">
        <f t="shared" si="68"/>
        <v>5280.7</v>
      </c>
      <c r="P318" s="105">
        <f>SUM(D318:O318)</f>
        <v>52874.7</v>
      </c>
    </row>
    <row r="319" spans="1:18" ht="15.6" x14ac:dyDescent="0.3">
      <c r="A319" s="94">
        <f>A318+1</f>
        <v>33</v>
      </c>
      <c r="B319" s="53" t="str">
        <f>B307</f>
        <v xml:space="preserve">    Over 1,000 Mcf</v>
      </c>
      <c r="C319" s="131"/>
      <c r="D319" s="140">
        <f t="shared" si="68"/>
        <v>7716.4</v>
      </c>
      <c r="E319" s="140">
        <f t="shared" si="68"/>
        <v>6439.2</v>
      </c>
      <c r="F319" s="140">
        <f t="shared" si="68"/>
        <v>7195.5</v>
      </c>
      <c r="G319" s="140">
        <f t="shared" si="68"/>
        <v>3680.8</v>
      </c>
      <c r="H319" s="140">
        <f t="shared" si="68"/>
        <v>4450.7</v>
      </c>
      <c r="I319" s="140">
        <f t="shared" si="68"/>
        <v>2848.5</v>
      </c>
      <c r="J319" s="140">
        <f t="shared" si="68"/>
        <v>1893.4</v>
      </c>
      <c r="K319" s="140">
        <f t="shared" si="68"/>
        <v>2095.6999999999998</v>
      </c>
      <c r="L319" s="140">
        <f t="shared" si="68"/>
        <v>2937.8</v>
      </c>
      <c r="M319" s="140">
        <f t="shared" si="68"/>
        <v>2954.3</v>
      </c>
      <c r="N319" s="140">
        <f t="shared" si="68"/>
        <v>3905</v>
      </c>
      <c r="O319" s="140">
        <f t="shared" si="68"/>
        <v>4849.5</v>
      </c>
      <c r="P319" s="138">
        <f>SUM(D319:O319)</f>
        <v>50966.8</v>
      </c>
    </row>
    <row r="320" spans="1:18" ht="15.6" x14ac:dyDescent="0.3">
      <c r="A320" s="94">
        <f>A319+1</f>
        <v>34</v>
      </c>
      <c r="B320" s="75" t="s">
        <v>369</v>
      </c>
      <c r="C320" s="131"/>
      <c r="D320" s="165">
        <f>D308+D314</f>
        <v>17844.3</v>
      </c>
      <c r="E320" s="165">
        <f t="shared" ref="E320:O320" si="69">E308+E314</f>
        <v>16829.3</v>
      </c>
      <c r="F320" s="165">
        <f t="shared" si="69"/>
        <v>19051.3</v>
      </c>
      <c r="G320" s="165">
        <f t="shared" si="69"/>
        <v>14067.2</v>
      </c>
      <c r="H320" s="165">
        <f t="shared" si="69"/>
        <v>13118.3</v>
      </c>
      <c r="I320" s="165">
        <f t="shared" si="69"/>
        <v>8875.7000000000007</v>
      </c>
      <c r="J320" s="165">
        <f t="shared" si="69"/>
        <v>8048.4</v>
      </c>
      <c r="K320" s="165">
        <f t="shared" si="69"/>
        <v>9066.7999999999993</v>
      </c>
      <c r="L320" s="165">
        <f t="shared" si="69"/>
        <v>9786.2999999999993</v>
      </c>
      <c r="M320" s="165">
        <f t="shared" si="69"/>
        <v>10096.700000000001</v>
      </c>
      <c r="N320" s="165">
        <f t="shared" si="69"/>
        <v>12703</v>
      </c>
      <c r="O320" s="165">
        <f t="shared" si="69"/>
        <v>14980.599999999999</v>
      </c>
      <c r="P320" s="72">
        <f>SUM(D320:O320)</f>
        <v>154467.9</v>
      </c>
      <c r="R320" s="54"/>
    </row>
    <row r="321" spans="1:16" ht="15.6" x14ac:dyDescent="0.3">
      <c r="A321" s="94"/>
      <c r="B321" s="53"/>
      <c r="C321" s="108"/>
      <c r="D321" s="165"/>
      <c r="E321" s="165"/>
      <c r="F321" s="165"/>
      <c r="G321" s="165"/>
      <c r="H321" s="165"/>
      <c r="I321" s="165"/>
      <c r="J321" s="165"/>
      <c r="K321" s="165"/>
      <c r="L321" s="165"/>
      <c r="M321" s="165"/>
      <c r="N321" s="165"/>
      <c r="O321" s="165"/>
      <c r="P321" s="72"/>
    </row>
    <row r="322" spans="1:16" ht="15.6" x14ac:dyDescent="0.3">
      <c r="A322" s="94">
        <f>A320+1</f>
        <v>35</v>
      </c>
      <c r="B322" s="52" t="s">
        <v>272</v>
      </c>
      <c r="C322" s="131"/>
      <c r="D322" s="172"/>
      <c r="E322" s="172"/>
      <c r="F322" s="172"/>
      <c r="G322" s="172"/>
      <c r="H322" s="172"/>
      <c r="I322" s="172"/>
      <c r="J322" s="173"/>
      <c r="K322" s="173"/>
      <c r="L322" s="173"/>
      <c r="M322" s="173"/>
      <c r="N322" s="173"/>
      <c r="O322" s="173"/>
      <c r="P322" s="136"/>
    </row>
    <row r="323" spans="1:16" x14ac:dyDescent="0.25">
      <c r="A323" s="94">
        <f>A322+1</f>
        <v>36</v>
      </c>
      <c r="B323" s="53" t="s">
        <v>368</v>
      </c>
      <c r="C323" s="133"/>
      <c r="D323" s="329">
        <v>58289</v>
      </c>
      <c r="E323" s="329">
        <v>56724</v>
      </c>
      <c r="F323" s="329">
        <v>56724</v>
      </c>
      <c r="G323" s="329">
        <v>57213</v>
      </c>
      <c r="H323" s="329">
        <v>57995</v>
      </c>
      <c r="I323" s="329">
        <v>58484</v>
      </c>
      <c r="J323" s="329">
        <v>55942</v>
      </c>
      <c r="K323" s="329">
        <v>54866</v>
      </c>
      <c r="L323" s="329">
        <v>55746</v>
      </c>
      <c r="M323" s="329">
        <v>58093</v>
      </c>
      <c r="N323" s="329">
        <v>57604</v>
      </c>
      <c r="O323" s="329">
        <v>53301</v>
      </c>
      <c r="P323" s="72">
        <f>SUM(D323:O323)</f>
        <v>680981</v>
      </c>
    </row>
    <row r="324" spans="1:16" x14ac:dyDescent="0.25">
      <c r="A324" s="94">
        <f>A323+1</f>
        <v>37</v>
      </c>
      <c r="B324" s="53" t="s">
        <v>244</v>
      </c>
      <c r="C324" s="143" t="s">
        <v>371</v>
      </c>
      <c r="D324" s="338">
        <v>0</v>
      </c>
      <c r="E324" s="338">
        <v>0</v>
      </c>
      <c r="F324" s="338">
        <v>0</v>
      </c>
      <c r="G324" s="338">
        <v>0</v>
      </c>
      <c r="H324" s="338">
        <v>0</v>
      </c>
      <c r="I324" s="338">
        <v>0</v>
      </c>
      <c r="J324" s="338">
        <v>0</v>
      </c>
      <c r="K324" s="338">
        <v>0</v>
      </c>
      <c r="L324" s="338">
        <v>0</v>
      </c>
      <c r="M324" s="338">
        <v>0</v>
      </c>
      <c r="N324" s="338">
        <v>0</v>
      </c>
      <c r="O324" s="338">
        <v>0</v>
      </c>
      <c r="P324" s="138">
        <f>SUM(D324:O324)</f>
        <v>0</v>
      </c>
    </row>
    <row r="325" spans="1:16" ht="15.6" x14ac:dyDescent="0.3">
      <c r="A325" s="94">
        <f>A324+1</f>
        <v>38</v>
      </c>
      <c r="B325" s="53" t="s">
        <v>263</v>
      </c>
      <c r="C325" s="108"/>
      <c r="D325" s="72">
        <f t="shared" ref="D325:O325" si="70">SUM(D323:D324)</f>
        <v>58289</v>
      </c>
      <c r="E325" s="72">
        <f t="shared" si="70"/>
        <v>56724</v>
      </c>
      <c r="F325" s="72">
        <f t="shared" si="70"/>
        <v>56724</v>
      </c>
      <c r="G325" s="72">
        <f t="shared" si="70"/>
        <v>57213</v>
      </c>
      <c r="H325" s="72">
        <f t="shared" si="70"/>
        <v>57995</v>
      </c>
      <c r="I325" s="72">
        <f t="shared" si="70"/>
        <v>58484</v>
      </c>
      <c r="J325" s="72">
        <f t="shared" si="70"/>
        <v>55942</v>
      </c>
      <c r="K325" s="72">
        <f t="shared" si="70"/>
        <v>54866</v>
      </c>
      <c r="L325" s="72">
        <f t="shared" si="70"/>
        <v>55746</v>
      </c>
      <c r="M325" s="72">
        <f t="shared" si="70"/>
        <v>58093</v>
      </c>
      <c r="N325" s="72">
        <f t="shared" si="70"/>
        <v>57604</v>
      </c>
      <c r="O325" s="72">
        <f t="shared" si="70"/>
        <v>53301</v>
      </c>
      <c r="P325" s="72">
        <f>SUM(D325:O325)</f>
        <v>680981</v>
      </c>
    </row>
    <row r="326" spans="1:16" ht="15.6" x14ac:dyDescent="0.3">
      <c r="A326" s="94"/>
      <c r="B326" s="53"/>
      <c r="C326" s="108"/>
      <c r="D326" s="165"/>
      <c r="E326" s="165"/>
      <c r="F326" s="165"/>
      <c r="G326" s="165"/>
      <c r="H326" s="165"/>
      <c r="I326" s="165"/>
      <c r="J326" s="165"/>
      <c r="K326" s="165"/>
      <c r="L326" s="165"/>
      <c r="M326" s="165"/>
      <c r="N326" s="165"/>
      <c r="O326" s="165"/>
      <c r="P326" s="72"/>
    </row>
    <row r="327" spans="1:16" ht="15.6" x14ac:dyDescent="0.3">
      <c r="A327" s="94">
        <f>A325+1</f>
        <v>39</v>
      </c>
      <c r="B327" s="52" t="s">
        <v>273</v>
      </c>
      <c r="C327" s="131"/>
      <c r="D327" s="172"/>
      <c r="E327" s="172"/>
      <c r="F327" s="172"/>
      <c r="G327" s="172"/>
      <c r="H327" s="172"/>
      <c r="I327" s="172"/>
      <c r="J327" s="173"/>
      <c r="K327" s="173"/>
      <c r="L327" s="173"/>
      <c r="M327" s="173"/>
      <c r="N327" s="173"/>
      <c r="O327" s="173"/>
      <c r="P327" s="136"/>
    </row>
    <row r="328" spans="1:16" x14ac:dyDescent="0.25">
      <c r="A328" s="94">
        <f>A327+1</f>
        <v>40</v>
      </c>
      <c r="B328" s="53" t="s">
        <v>368</v>
      </c>
      <c r="C328" s="133"/>
      <c r="D328" s="329">
        <v>74328</v>
      </c>
      <c r="E328" s="329">
        <v>58680</v>
      </c>
      <c r="F328" s="329">
        <v>70416</v>
      </c>
      <c r="G328" s="329">
        <v>34230</v>
      </c>
      <c r="H328" s="329">
        <v>29340</v>
      </c>
      <c r="I328" s="329">
        <v>29340</v>
      </c>
      <c r="J328" s="329">
        <v>29340</v>
      </c>
      <c r="K328" s="329">
        <v>29340</v>
      </c>
      <c r="L328" s="329">
        <v>34230</v>
      </c>
      <c r="M328" s="329">
        <v>39120</v>
      </c>
      <c r="N328" s="329">
        <v>49878</v>
      </c>
      <c r="O328" s="329">
        <v>63570</v>
      </c>
      <c r="P328" s="72">
        <f>SUM(D328:O328)</f>
        <v>541812</v>
      </c>
    </row>
    <row r="329" spans="1:16" x14ac:dyDescent="0.25">
      <c r="A329" s="94">
        <f>A328+1</f>
        <v>41</v>
      </c>
      <c r="B329" s="53" t="s">
        <v>244</v>
      </c>
      <c r="C329" s="143" t="s">
        <v>371</v>
      </c>
      <c r="D329" s="338">
        <v>0</v>
      </c>
      <c r="E329" s="338">
        <v>0</v>
      </c>
      <c r="F329" s="338">
        <v>0</v>
      </c>
      <c r="G329" s="338">
        <v>0</v>
      </c>
      <c r="H329" s="338">
        <v>0</v>
      </c>
      <c r="I329" s="338">
        <v>0</v>
      </c>
      <c r="J329" s="338">
        <v>0</v>
      </c>
      <c r="K329" s="338">
        <v>0</v>
      </c>
      <c r="L329" s="338">
        <v>0</v>
      </c>
      <c r="M329" s="338">
        <v>0</v>
      </c>
      <c r="N329" s="338">
        <v>0</v>
      </c>
      <c r="O329" s="338">
        <v>0</v>
      </c>
      <c r="P329" s="138">
        <f>SUM(D329:O329)</f>
        <v>0</v>
      </c>
    </row>
    <row r="330" spans="1:16" ht="15.6" x14ac:dyDescent="0.3">
      <c r="A330" s="94">
        <f>A329+1</f>
        <v>42</v>
      </c>
      <c r="B330" s="53" t="s">
        <v>263</v>
      </c>
      <c r="C330" s="108"/>
      <c r="D330" s="72">
        <f t="shared" ref="D330:O330" si="71">SUM(D328:D329)</f>
        <v>74328</v>
      </c>
      <c r="E330" s="72">
        <f t="shared" si="71"/>
        <v>58680</v>
      </c>
      <c r="F330" s="72">
        <f t="shared" si="71"/>
        <v>70416</v>
      </c>
      <c r="G330" s="72">
        <f t="shared" si="71"/>
        <v>34230</v>
      </c>
      <c r="H330" s="72">
        <f t="shared" si="71"/>
        <v>29340</v>
      </c>
      <c r="I330" s="72">
        <f t="shared" si="71"/>
        <v>29340</v>
      </c>
      <c r="J330" s="72">
        <f t="shared" si="71"/>
        <v>29340</v>
      </c>
      <c r="K330" s="72">
        <f t="shared" si="71"/>
        <v>29340</v>
      </c>
      <c r="L330" s="72">
        <f t="shared" si="71"/>
        <v>34230</v>
      </c>
      <c r="M330" s="72">
        <f t="shared" si="71"/>
        <v>39120</v>
      </c>
      <c r="N330" s="72">
        <f t="shared" si="71"/>
        <v>49878</v>
      </c>
      <c r="O330" s="72">
        <f t="shared" si="71"/>
        <v>63570</v>
      </c>
      <c r="P330" s="72">
        <f>SUM(D330:O330)</f>
        <v>541812</v>
      </c>
    </row>
    <row r="331" spans="1:16" ht="15.6" x14ac:dyDescent="0.3">
      <c r="A331" s="94"/>
      <c r="B331" s="53"/>
      <c r="C331" s="108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54"/>
    </row>
    <row r="332" spans="1:16" ht="15.6" x14ac:dyDescent="0.3">
      <c r="A332" s="880" t="str">
        <f>CONAME</f>
        <v>Columbia Gas of Kentucky, Inc.</v>
      </c>
      <c r="B332" s="880"/>
      <c r="C332" s="880"/>
      <c r="D332" s="880"/>
      <c r="E332" s="880"/>
      <c r="F332" s="880"/>
      <c r="G332" s="880"/>
      <c r="H332" s="880"/>
      <c r="I332" s="880"/>
      <c r="J332" s="880"/>
      <c r="K332" s="880"/>
      <c r="L332" s="880"/>
      <c r="M332" s="880"/>
      <c r="N332" s="880"/>
      <c r="O332" s="880"/>
      <c r="P332" s="880"/>
    </row>
    <row r="333" spans="1:16" ht="15.6" x14ac:dyDescent="0.3">
      <c r="A333" s="880" t="s">
        <v>197</v>
      </c>
      <c r="B333" s="880"/>
      <c r="C333" s="880"/>
      <c r="D333" s="880"/>
      <c r="E333" s="880"/>
      <c r="F333" s="880"/>
      <c r="G333" s="880"/>
      <c r="H333" s="880"/>
      <c r="I333" s="880"/>
      <c r="J333" s="880"/>
      <c r="K333" s="880"/>
      <c r="L333" s="880"/>
      <c r="M333" s="880"/>
      <c r="N333" s="880"/>
      <c r="O333" s="880"/>
      <c r="P333" s="880"/>
    </row>
    <row r="334" spans="1:16" ht="15.6" x14ac:dyDescent="0.3">
      <c r="A334" s="879" t="str">
        <f>TYDESC</f>
        <v>For the 12 Months Ended December 31, 2017</v>
      </c>
      <c r="B334" s="879"/>
      <c r="C334" s="879"/>
      <c r="D334" s="879"/>
      <c r="E334" s="879"/>
      <c r="F334" s="879"/>
      <c r="G334" s="879"/>
      <c r="H334" s="879"/>
      <c r="I334" s="879"/>
      <c r="J334" s="879"/>
      <c r="K334" s="879"/>
      <c r="L334" s="879"/>
      <c r="M334" s="879"/>
      <c r="N334" s="879"/>
      <c r="O334" s="879"/>
      <c r="P334" s="879"/>
    </row>
    <row r="335" spans="1:16" ht="15.6" x14ac:dyDescent="0.3">
      <c r="A335" s="108"/>
      <c r="B335" s="108"/>
      <c r="C335" s="108"/>
      <c r="D335" s="108"/>
      <c r="E335" s="108"/>
      <c r="F335" s="108"/>
      <c r="G335" s="108"/>
      <c r="H335" s="108"/>
      <c r="I335" s="108"/>
      <c r="J335" s="108"/>
      <c r="K335" s="108"/>
      <c r="L335" s="108"/>
      <c r="M335" s="108"/>
      <c r="N335" s="108"/>
      <c r="O335" s="108"/>
      <c r="P335" s="108"/>
    </row>
    <row r="336" spans="1:16" ht="15.6" x14ac:dyDescent="0.3">
      <c r="A336" s="100" t="str">
        <f>$A$5</f>
        <v>Data: __ Base Period_X_Forecasted Period</v>
      </c>
      <c r="B336" s="53"/>
      <c r="C336" s="108"/>
      <c r="D336" s="108"/>
      <c r="E336" s="108"/>
      <c r="F336" s="108"/>
      <c r="G336" s="96"/>
      <c r="H336" s="96"/>
      <c r="I336" s="96"/>
      <c r="J336" s="96"/>
      <c r="K336" s="96"/>
      <c r="L336" s="96"/>
      <c r="M336" s="96"/>
      <c r="N336" s="96"/>
      <c r="O336" s="96"/>
      <c r="P336" s="330" t="str">
        <f>$P$5</f>
        <v>Workpaper WPM-C.2</v>
      </c>
    </row>
    <row r="337" spans="1:19" ht="15.6" x14ac:dyDescent="0.3">
      <c r="A337" s="100" t="str">
        <f>$A$6</f>
        <v>Type of Filing: X Original _ Update _ Revised</v>
      </c>
      <c r="B337" s="53"/>
      <c r="C337" s="108"/>
      <c r="D337" s="108"/>
      <c r="E337" s="108"/>
      <c r="F337" s="108"/>
      <c r="G337" s="96"/>
      <c r="H337" s="96"/>
      <c r="I337" s="96"/>
      <c r="J337" s="96"/>
      <c r="K337" s="96"/>
      <c r="L337" s="96"/>
      <c r="M337" s="96"/>
      <c r="N337" s="96"/>
      <c r="O337" s="96"/>
      <c r="P337" s="331" t="s">
        <v>377</v>
      </c>
    </row>
    <row r="338" spans="1:19" ht="15.6" x14ac:dyDescent="0.3">
      <c r="A338" s="100" t="str">
        <f>$A$7</f>
        <v>Work Paper Reference No(s):</v>
      </c>
      <c r="B338" s="53"/>
      <c r="C338" s="108"/>
      <c r="D338" s="108"/>
      <c r="E338" s="108"/>
      <c r="F338" s="108"/>
      <c r="G338" s="96"/>
      <c r="H338" s="96"/>
      <c r="I338" s="96"/>
      <c r="J338" s="96"/>
      <c r="K338" s="96"/>
      <c r="L338" s="96"/>
      <c r="M338" s="96"/>
      <c r="N338" s="96"/>
      <c r="O338" s="96"/>
      <c r="P338" s="331"/>
    </row>
    <row r="339" spans="1:19" ht="15.6" x14ac:dyDescent="0.3">
      <c r="A339" s="132" t="str">
        <f>$A$8</f>
        <v>12 Months Forecasted</v>
      </c>
      <c r="B339" s="124"/>
      <c r="C339" s="108"/>
      <c r="D339" s="332"/>
      <c r="E339" s="108"/>
      <c r="F339" s="333"/>
      <c r="G339" s="334"/>
      <c r="H339" s="333"/>
      <c r="I339" s="335"/>
      <c r="J339" s="333"/>
      <c r="K339" s="333"/>
      <c r="L339" s="333"/>
      <c r="M339" s="333"/>
      <c r="N339" s="333"/>
      <c r="O339" s="333"/>
      <c r="P339" s="314"/>
      <c r="Q339" s="124"/>
      <c r="R339" s="124"/>
    </row>
    <row r="340" spans="1:19" ht="15.6" x14ac:dyDescent="0.3">
      <c r="A340" s="101"/>
      <c r="B340" s="124"/>
      <c r="C340" s="108"/>
      <c r="D340" s="332"/>
      <c r="E340" s="108"/>
      <c r="F340" s="333"/>
      <c r="G340" s="334"/>
      <c r="H340" s="333"/>
      <c r="I340" s="335"/>
      <c r="J340" s="333"/>
      <c r="K340" s="333"/>
      <c r="L340" s="333"/>
      <c r="M340" s="333"/>
      <c r="N340" s="333"/>
      <c r="O340" s="333"/>
      <c r="P340" s="314"/>
      <c r="Q340" s="124"/>
      <c r="R340" s="124"/>
    </row>
    <row r="341" spans="1:19" ht="15.6" x14ac:dyDescent="0.3">
      <c r="A341" s="124" t="s">
        <v>1</v>
      </c>
      <c r="B341" s="124"/>
      <c r="C341" s="108"/>
      <c r="D341" s="332"/>
      <c r="E341" s="108"/>
      <c r="F341" s="333"/>
      <c r="G341" s="334"/>
      <c r="H341" s="333"/>
      <c r="I341" s="335"/>
      <c r="J341" s="333"/>
      <c r="K341" s="333"/>
      <c r="L341" s="333"/>
      <c r="M341" s="333"/>
      <c r="N341" s="333"/>
      <c r="O341" s="333"/>
      <c r="P341" s="314"/>
      <c r="Q341" s="135"/>
      <c r="R341" s="135"/>
    </row>
    <row r="342" spans="1:19" ht="15.6" x14ac:dyDescent="0.3">
      <c r="A342" s="316" t="s">
        <v>3</v>
      </c>
      <c r="B342" s="316" t="s">
        <v>4</v>
      </c>
      <c r="C342" s="317" t="s">
        <v>186</v>
      </c>
      <c r="D342" s="318" t="str">
        <f>B!$D$11</f>
        <v>Jan-17</v>
      </c>
      <c r="E342" s="318" t="str">
        <f>B!$E$11</f>
        <v>Feb-17</v>
      </c>
      <c r="F342" s="318" t="str">
        <f>B!$F$11</f>
        <v>Mar-17</v>
      </c>
      <c r="G342" s="318" t="str">
        <f>B!$G$11</f>
        <v>Apr-17</v>
      </c>
      <c r="H342" s="318" t="str">
        <f>B!$H$11</f>
        <v>May-17</v>
      </c>
      <c r="I342" s="318" t="str">
        <f>B!$I$11</f>
        <v>Jun-17</v>
      </c>
      <c r="J342" s="318" t="str">
        <f>B!$J$11</f>
        <v>Jul-17</v>
      </c>
      <c r="K342" s="318" t="str">
        <f>B!$K$11</f>
        <v>Aug-17</v>
      </c>
      <c r="L342" s="318" t="str">
        <f>B!$L$11</f>
        <v>Sep-17</v>
      </c>
      <c r="M342" s="318" t="str">
        <f>B!$M$11</f>
        <v>Oct-17</v>
      </c>
      <c r="N342" s="318" t="str">
        <f>B!$N$11</f>
        <v>Nov-17</v>
      </c>
      <c r="O342" s="318" t="str">
        <f>B!$O$11</f>
        <v>Dec-17</v>
      </c>
      <c r="P342" s="218" t="s">
        <v>9</v>
      </c>
      <c r="S342" s="215"/>
    </row>
    <row r="343" spans="1:19" ht="15.6" x14ac:dyDescent="0.3">
      <c r="A343" s="124"/>
      <c r="B343" s="135" t="s">
        <v>42</v>
      </c>
      <c r="C343" s="131" t="s">
        <v>43</v>
      </c>
      <c r="D343" s="313" t="s">
        <v>45</v>
      </c>
      <c r="E343" s="313" t="s">
        <v>46</v>
      </c>
      <c r="F343" s="313" t="s">
        <v>49</v>
      </c>
      <c r="G343" s="313" t="s">
        <v>50</v>
      </c>
      <c r="H343" s="313" t="s">
        <v>51</v>
      </c>
      <c r="I343" s="313" t="s">
        <v>52</v>
      </c>
      <c r="J343" s="313" t="s">
        <v>53</v>
      </c>
      <c r="K343" s="136" t="s">
        <v>54</v>
      </c>
      <c r="L343" s="136" t="s">
        <v>55</v>
      </c>
      <c r="M343" s="136" t="s">
        <v>56</v>
      </c>
      <c r="N343" s="136" t="s">
        <v>57</v>
      </c>
      <c r="O343" s="136" t="s">
        <v>58</v>
      </c>
      <c r="P343" s="136" t="s">
        <v>59</v>
      </c>
      <c r="S343" s="135"/>
    </row>
    <row r="344" spans="1:19" ht="15.6" x14ac:dyDescent="0.3">
      <c r="A344" s="94"/>
      <c r="B344" s="53"/>
      <c r="C344" s="108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54"/>
    </row>
    <row r="345" spans="1:19" ht="15.6" x14ac:dyDescent="0.3">
      <c r="A345" s="94">
        <v>1</v>
      </c>
      <c r="B345" s="52" t="s">
        <v>274</v>
      </c>
      <c r="C345" s="131"/>
      <c r="D345" s="172"/>
      <c r="E345" s="172"/>
      <c r="F345" s="172"/>
      <c r="G345" s="172"/>
      <c r="H345" s="172"/>
      <c r="I345" s="172"/>
      <c r="J345" s="173"/>
      <c r="K345" s="173"/>
      <c r="L345" s="173"/>
      <c r="M345" s="173"/>
      <c r="N345" s="173"/>
      <c r="O345" s="173"/>
      <c r="P345" s="136"/>
      <c r="S345" s="135"/>
    </row>
    <row r="346" spans="1:19" x14ac:dyDescent="0.25">
      <c r="A346" s="94">
        <f>A345+1</f>
        <v>2</v>
      </c>
      <c r="B346" s="53" t="s">
        <v>368</v>
      </c>
      <c r="C346" s="133"/>
      <c r="D346" s="329">
        <v>44010</v>
      </c>
      <c r="E346" s="329">
        <v>56724</v>
      </c>
      <c r="F346" s="329">
        <v>33252</v>
      </c>
      <c r="G346" s="329">
        <v>47922</v>
      </c>
      <c r="H346" s="329">
        <v>37164</v>
      </c>
      <c r="I346" s="329">
        <v>37164</v>
      </c>
      <c r="J346" s="329">
        <v>39120</v>
      </c>
      <c r="K346" s="329">
        <v>37164</v>
      </c>
      <c r="L346" s="329">
        <v>41076</v>
      </c>
      <c r="M346" s="329">
        <v>50856</v>
      </c>
      <c r="N346" s="329">
        <v>54768</v>
      </c>
      <c r="O346" s="329">
        <v>54768</v>
      </c>
      <c r="P346" s="72">
        <f>SUM(D346:O346)</f>
        <v>533988</v>
      </c>
    </row>
    <row r="347" spans="1:19" x14ac:dyDescent="0.25">
      <c r="A347" s="94">
        <f>A346+1</f>
        <v>3</v>
      </c>
      <c r="B347" s="53" t="s">
        <v>244</v>
      </c>
      <c r="C347" s="143" t="s">
        <v>371</v>
      </c>
      <c r="D347" s="338">
        <v>0</v>
      </c>
      <c r="E347" s="338">
        <v>0</v>
      </c>
      <c r="F347" s="338">
        <v>0</v>
      </c>
      <c r="G347" s="338">
        <v>0</v>
      </c>
      <c r="H347" s="338">
        <v>0</v>
      </c>
      <c r="I347" s="338">
        <v>0</v>
      </c>
      <c r="J347" s="338">
        <v>0</v>
      </c>
      <c r="K347" s="338">
        <v>0</v>
      </c>
      <c r="L347" s="338">
        <v>0</v>
      </c>
      <c r="M347" s="338">
        <v>0</v>
      </c>
      <c r="N347" s="338">
        <v>0</v>
      </c>
      <c r="O347" s="338">
        <v>0</v>
      </c>
      <c r="P347" s="138">
        <f>SUM(D347:O347)</f>
        <v>0</v>
      </c>
    </row>
    <row r="348" spans="1:19" ht="15.6" x14ac:dyDescent="0.3">
      <c r="A348" s="94">
        <f>A347+1</f>
        <v>4</v>
      </c>
      <c r="B348" s="53" t="s">
        <v>263</v>
      </c>
      <c r="C348" s="108"/>
      <c r="D348" s="72">
        <f t="shared" ref="D348:O348" si="72">SUM(D346:D347)</f>
        <v>44010</v>
      </c>
      <c r="E348" s="72">
        <f t="shared" si="72"/>
        <v>56724</v>
      </c>
      <c r="F348" s="72">
        <f t="shared" si="72"/>
        <v>33252</v>
      </c>
      <c r="G348" s="72">
        <f t="shared" si="72"/>
        <v>47922</v>
      </c>
      <c r="H348" s="72">
        <f t="shared" si="72"/>
        <v>37164</v>
      </c>
      <c r="I348" s="72">
        <f t="shared" si="72"/>
        <v>37164</v>
      </c>
      <c r="J348" s="72">
        <f t="shared" si="72"/>
        <v>39120</v>
      </c>
      <c r="K348" s="72">
        <f t="shared" si="72"/>
        <v>37164</v>
      </c>
      <c r="L348" s="72">
        <f t="shared" si="72"/>
        <v>41076</v>
      </c>
      <c r="M348" s="72">
        <f t="shared" si="72"/>
        <v>50856</v>
      </c>
      <c r="N348" s="72">
        <f t="shared" si="72"/>
        <v>54768</v>
      </c>
      <c r="O348" s="72">
        <f t="shared" si="72"/>
        <v>54768</v>
      </c>
      <c r="P348" s="72">
        <f>SUM(D348:O348)</f>
        <v>533988</v>
      </c>
    </row>
    <row r="349" spans="1:19" ht="15.6" x14ac:dyDescent="0.3">
      <c r="A349" s="94"/>
      <c r="B349" s="53"/>
      <c r="C349" s="108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54"/>
    </row>
    <row r="350" spans="1:19" ht="15.6" x14ac:dyDescent="0.3">
      <c r="A350" s="94">
        <f>A348+1</f>
        <v>5</v>
      </c>
      <c r="B350" s="52" t="s">
        <v>275</v>
      </c>
      <c r="C350" s="131"/>
      <c r="D350" s="172"/>
      <c r="E350" s="172"/>
      <c r="F350" s="172"/>
      <c r="G350" s="172"/>
      <c r="H350" s="172"/>
      <c r="I350" s="172"/>
      <c r="J350" s="173"/>
      <c r="K350" s="173"/>
      <c r="L350" s="173"/>
      <c r="M350" s="173"/>
      <c r="N350" s="173"/>
      <c r="O350" s="173"/>
      <c r="P350" s="136"/>
      <c r="S350" s="135"/>
    </row>
    <row r="351" spans="1:19" x14ac:dyDescent="0.25">
      <c r="A351" s="94">
        <f>A350+1</f>
        <v>6</v>
      </c>
      <c r="B351" s="53" t="s">
        <v>368</v>
      </c>
      <c r="C351" s="133"/>
      <c r="D351" s="329">
        <v>411738</v>
      </c>
      <c r="E351" s="329">
        <v>369684</v>
      </c>
      <c r="F351" s="329">
        <v>397068</v>
      </c>
      <c r="G351" s="329">
        <v>381420</v>
      </c>
      <c r="H351" s="329">
        <v>392178</v>
      </c>
      <c r="I351" s="329">
        <v>381420</v>
      </c>
      <c r="J351" s="329">
        <v>392178</v>
      </c>
      <c r="K351" s="329">
        <v>392178</v>
      </c>
      <c r="L351" s="329">
        <v>381420</v>
      </c>
      <c r="M351" s="329">
        <v>397068</v>
      </c>
      <c r="N351" s="329">
        <v>391200</v>
      </c>
      <c r="O351" s="329">
        <v>401958</v>
      </c>
      <c r="P351" s="72">
        <f>SUM(D351:O351)</f>
        <v>4689510</v>
      </c>
    </row>
    <row r="352" spans="1:19" x14ac:dyDescent="0.25">
      <c r="A352" s="94">
        <f>A351+1</f>
        <v>7</v>
      </c>
      <c r="B352" s="53" t="s">
        <v>244</v>
      </c>
      <c r="C352" s="143" t="s">
        <v>371</v>
      </c>
      <c r="D352" s="338">
        <v>0</v>
      </c>
      <c r="E352" s="338">
        <v>0</v>
      </c>
      <c r="F352" s="338">
        <v>0</v>
      </c>
      <c r="G352" s="338">
        <v>0</v>
      </c>
      <c r="H352" s="338">
        <v>0</v>
      </c>
      <c r="I352" s="338">
        <v>0</v>
      </c>
      <c r="J352" s="338">
        <v>0</v>
      </c>
      <c r="K352" s="338">
        <v>0</v>
      </c>
      <c r="L352" s="338">
        <v>0</v>
      </c>
      <c r="M352" s="338">
        <v>0</v>
      </c>
      <c r="N352" s="338">
        <v>0</v>
      </c>
      <c r="O352" s="338">
        <v>0</v>
      </c>
      <c r="P352" s="138">
        <f>SUM(D352:O352)</f>
        <v>0</v>
      </c>
    </row>
    <row r="353" spans="1:94" ht="15.6" x14ac:dyDescent="0.3">
      <c r="A353" s="94">
        <f>A352+1</f>
        <v>8</v>
      </c>
      <c r="B353" s="53" t="s">
        <v>263</v>
      </c>
      <c r="C353" s="108"/>
      <c r="D353" s="72">
        <f t="shared" ref="D353:O353" si="73">SUM(D351:D352)</f>
        <v>411738</v>
      </c>
      <c r="E353" s="72">
        <f t="shared" si="73"/>
        <v>369684</v>
      </c>
      <c r="F353" s="72">
        <f t="shared" si="73"/>
        <v>397068</v>
      </c>
      <c r="G353" s="72">
        <f t="shared" si="73"/>
        <v>381420</v>
      </c>
      <c r="H353" s="72">
        <f t="shared" si="73"/>
        <v>392178</v>
      </c>
      <c r="I353" s="72">
        <f t="shared" si="73"/>
        <v>381420</v>
      </c>
      <c r="J353" s="72">
        <f t="shared" si="73"/>
        <v>392178</v>
      </c>
      <c r="K353" s="72">
        <f t="shared" si="73"/>
        <v>392178</v>
      </c>
      <c r="L353" s="72">
        <f t="shared" si="73"/>
        <v>381420</v>
      </c>
      <c r="M353" s="72">
        <f t="shared" si="73"/>
        <v>397068</v>
      </c>
      <c r="N353" s="72">
        <f t="shared" si="73"/>
        <v>391200</v>
      </c>
      <c r="O353" s="72">
        <f t="shared" si="73"/>
        <v>401958</v>
      </c>
      <c r="P353" s="72">
        <f>SUM(D353:O353)</f>
        <v>4689510</v>
      </c>
    </row>
    <row r="354" spans="1:94" ht="15.6" x14ac:dyDescent="0.3">
      <c r="A354" s="94"/>
      <c r="B354" s="53"/>
      <c r="C354" s="108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54"/>
    </row>
    <row r="355" spans="1:94" ht="15.6" x14ac:dyDescent="0.3">
      <c r="A355" s="133">
        <f>A353+1</f>
        <v>9</v>
      </c>
      <c r="B355" s="52" t="s">
        <v>276</v>
      </c>
      <c r="C355" s="131"/>
      <c r="D355" s="172"/>
      <c r="E355" s="172"/>
      <c r="F355" s="172"/>
      <c r="G355" s="172"/>
      <c r="H355" s="172"/>
      <c r="I355" s="172"/>
      <c r="J355" s="173"/>
      <c r="K355" s="173"/>
      <c r="L355" s="173"/>
      <c r="M355" s="173"/>
      <c r="N355" s="173"/>
      <c r="O355" s="173"/>
      <c r="P355" s="136"/>
      <c r="S355" s="135"/>
    </row>
    <row r="356" spans="1:94" x14ac:dyDescent="0.25">
      <c r="A356" s="94">
        <f>A355+1</f>
        <v>10</v>
      </c>
      <c r="B356" s="53" t="s">
        <v>368</v>
      </c>
      <c r="C356" s="133"/>
      <c r="D356" s="312"/>
      <c r="E356" s="312"/>
      <c r="F356" s="312"/>
      <c r="G356" s="329"/>
      <c r="H356" s="329"/>
      <c r="I356" s="329"/>
      <c r="J356" s="329"/>
      <c r="K356" s="329"/>
      <c r="L356" s="329"/>
      <c r="M356" s="312"/>
      <c r="N356" s="312"/>
      <c r="O356" s="312"/>
      <c r="P356" s="106"/>
    </row>
    <row r="357" spans="1:94" x14ac:dyDescent="0.25">
      <c r="A357" s="94">
        <f>A356+1</f>
        <v>11</v>
      </c>
      <c r="B357" s="336" t="s">
        <v>277</v>
      </c>
      <c r="C357" s="133"/>
      <c r="D357" s="312">
        <v>25000</v>
      </c>
      <c r="E357" s="312">
        <v>25000</v>
      </c>
      <c r="F357" s="312">
        <v>25000</v>
      </c>
      <c r="G357" s="312">
        <v>25000</v>
      </c>
      <c r="H357" s="312">
        <v>25000</v>
      </c>
      <c r="I357" s="312">
        <v>25000</v>
      </c>
      <c r="J357" s="312">
        <v>25000</v>
      </c>
      <c r="K357" s="312">
        <v>25000</v>
      </c>
      <c r="L357" s="312">
        <v>25000</v>
      </c>
      <c r="M357" s="312">
        <v>25000</v>
      </c>
      <c r="N357" s="312">
        <v>25000</v>
      </c>
      <c r="O357" s="312">
        <v>25000</v>
      </c>
      <c r="P357" s="106">
        <f>SUM(D357:O357)</f>
        <v>300000</v>
      </c>
    </row>
    <row r="358" spans="1:94" x14ac:dyDescent="0.25">
      <c r="A358" s="94">
        <f>A357+1</f>
        <v>12</v>
      </c>
      <c r="B358" s="336" t="s">
        <v>278</v>
      </c>
      <c r="C358" s="133"/>
      <c r="D358" s="338">
        <v>18107</v>
      </c>
      <c r="E358" s="338">
        <v>808</v>
      </c>
      <c r="F358" s="338">
        <v>4340</v>
      </c>
      <c r="G358" s="338">
        <v>4340</v>
      </c>
      <c r="H358" s="338">
        <v>4340</v>
      </c>
      <c r="I358" s="338">
        <v>4340</v>
      </c>
      <c r="J358" s="338">
        <v>4340</v>
      </c>
      <c r="K358" s="338">
        <v>4340</v>
      </c>
      <c r="L358" s="338">
        <v>19010</v>
      </c>
      <c r="M358" s="338">
        <v>19010</v>
      </c>
      <c r="N358" s="338">
        <v>13685</v>
      </c>
      <c r="O358" s="338">
        <v>14099</v>
      </c>
      <c r="P358" s="138">
        <f>SUM(D358:O358)</f>
        <v>110759</v>
      </c>
    </row>
    <row r="359" spans="1:94" x14ac:dyDescent="0.25">
      <c r="A359" s="94"/>
      <c r="B359" s="336"/>
      <c r="C359" s="133"/>
      <c r="D359" s="72">
        <f t="shared" ref="D359:N359" si="74">SUM(D357:D358)</f>
        <v>43107</v>
      </c>
      <c r="E359" s="72">
        <f t="shared" si="74"/>
        <v>25808</v>
      </c>
      <c r="F359" s="72">
        <f t="shared" si="74"/>
        <v>29340</v>
      </c>
      <c r="G359" s="72">
        <f t="shared" si="74"/>
        <v>29340</v>
      </c>
      <c r="H359" s="72">
        <f t="shared" si="74"/>
        <v>29340</v>
      </c>
      <c r="I359" s="72">
        <f t="shared" si="74"/>
        <v>29340</v>
      </c>
      <c r="J359" s="72">
        <f t="shared" si="74"/>
        <v>29340</v>
      </c>
      <c r="K359" s="72">
        <f t="shared" si="74"/>
        <v>29340</v>
      </c>
      <c r="L359" s="72">
        <f t="shared" si="74"/>
        <v>44010</v>
      </c>
      <c r="M359" s="72">
        <f t="shared" si="74"/>
        <v>44010</v>
      </c>
      <c r="N359" s="72">
        <f t="shared" si="74"/>
        <v>38685</v>
      </c>
      <c r="O359" s="72">
        <f>SUM(O357:O358)</f>
        <v>39099</v>
      </c>
      <c r="P359" s="106">
        <f>SUM(D359:O359)</f>
        <v>410759</v>
      </c>
    </row>
    <row r="360" spans="1:94" x14ac:dyDescent="0.25">
      <c r="A360" s="94">
        <f>A358+1</f>
        <v>13</v>
      </c>
      <c r="B360" s="53" t="s">
        <v>244</v>
      </c>
      <c r="C360" s="143" t="s">
        <v>371</v>
      </c>
      <c r="D360" s="329"/>
      <c r="E360" s="329"/>
      <c r="F360" s="329"/>
      <c r="G360" s="329"/>
      <c r="H360" s="329"/>
      <c r="I360" s="329"/>
      <c r="J360" s="329"/>
      <c r="K360" s="329"/>
      <c r="L360" s="329"/>
      <c r="M360" s="329"/>
      <c r="N360" s="329"/>
      <c r="O360" s="329"/>
      <c r="P360" s="72"/>
    </row>
    <row r="361" spans="1:94" x14ac:dyDescent="0.25">
      <c r="A361" s="94">
        <f>A360+1</f>
        <v>14</v>
      </c>
      <c r="B361" s="53" t="str">
        <f>B357</f>
        <v xml:space="preserve">    First 25,000 Mcf</v>
      </c>
      <c r="C361" s="143"/>
      <c r="D361" s="329">
        <v>0</v>
      </c>
      <c r="E361" s="329">
        <v>0</v>
      </c>
      <c r="F361" s="329">
        <v>0</v>
      </c>
      <c r="G361" s="329">
        <v>0</v>
      </c>
      <c r="H361" s="329">
        <v>0</v>
      </c>
      <c r="I361" s="329">
        <v>0</v>
      </c>
      <c r="J361" s="329">
        <v>0</v>
      </c>
      <c r="K361" s="329">
        <v>0</v>
      </c>
      <c r="L361" s="329">
        <v>0</v>
      </c>
      <c r="M361" s="329">
        <v>0</v>
      </c>
      <c r="N361" s="329">
        <v>0</v>
      </c>
      <c r="O361" s="329">
        <v>0</v>
      </c>
      <c r="P361" s="72">
        <f>SUM(D361:O361)</f>
        <v>0</v>
      </c>
    </row>
    <row r="362" spans="1:94" x14ac:dyDescent="0.25">
      <c r="A362" s="94">
        <f>A361+1</f>
        <v>15</v>
      </c>
      <c r="B362" s="53" t="str">
        <f>B358</f>
        <v xml:space="preserve">    Over 25,000 Mcf</v>
      </c>
      <c r="C362" s="143"/>
      <c r="D362" s="338">
        <v>0</v>
      </c>
      <c r="E362" s="338">
        <v>0</v>
      </c>
      <c r="F362" s="338">
        <v>0</v>
      </c>
      <c r="G362" s="338">
        <v>0</v>
      </c>
      <c r="H362" s="338">
        <v>0</v>
      </c>
      <c r="I362" s="338">
        <v>0</v>
      </c>
      <c r="J362" s="338">
        <v>0</v>
      </c>
      <c r="K362" s="338">
        <v>0</v>
      </c>
      <c r="L362" s="338">
        <v>0</v>
      </c>
      <c r="M362" s="338">
        <v>0</v>
      </c>
      <c r="N362" s="338">
        <v>0</v>
      </c>
      <c r="O362" s="338">
        <v>0</v>
      </c>
      <c r="P362" s="138">
        <f>SUM(D362:O362)</f>
        <v>0</v>
      </c>
    </row>
    <row r="363" spans="1:94" x14ac:dyDescent="0.25">
      <c r="A363" s="94"/>
      <c r="B363" s="53"/>
      <c r="C363" s="143"/>
      <c r="D363" s="72">
        <f t="shared" ref="D363:N363" si="75">SUM(D361:D362)</f>
        <v>0</v>
      </c>
      <c r="E363" s="72">
        <f t="shared" si="75"/>
        <v>0</v>
      </c>
      <c r="F363" s="72">
        <f t="shared" si="75"/>
        <v>0</v>
      </c>
      <c r="G363" s="72">
        <f t="shared" si="75"/>
        <v>0</v>
      </c>
      <c r="H363" s="72">
        <f t="shared" si="75"/>
        <v>0</v>
      </c>
      <c r="I363" s="72">
        <f t="shared" si="75"/>
        <v>0</v>
      </c>
      <c r="J363" s="72">
        <f t="shared" si="75"/>
        <v>0</v>
      </c>
      <c r="K363" s="72">
        <f t="shared" si="75"/>
        <v>0</v>
      </c>
      <c r="L363" s="72">
        <f t="shared" si="75"/>
        <v>0</v>
      </c>
      <c r="M363" s="72">
        <f t="shared" si="75"/>
        <v>0</v>
      </c>
      <c r="N363" s="72">
        <f t="shared" si="75"/>
        <v>0</v>
      </c>
      <c r="O363" s="72">
        <f>SUM(O361:O362)</f>
        <v>0</v>
      </c>
      <c r="P363" s="72">
        <f>SUM(D363:O363)</f>
        <v>0</v>
      </c>
    </row>
    <row r="364" spans="1:94" s="103" customFormat="1" ht="15.6" x14ac:dyDescent="0.3">
      <c r="A364" s="94">
        <f>A362+1</f>
        <v>16</v>
      </c>
      <c r="B364" s="53" t="s">
        <v>263</v>
      </c>
      <c r="C364" s="108"/>
      <c r="D364" s="105"/>
      <c r="E364" s="105"/>
      <c r="F364" s="105"/>
      <c r="G364" s="72"/>
      <c r="H364" s="72"/>
      <c r="I364" s="72"/>
      <c r="J364" s="72"/>
      <c r="K364" s="72"/>
      <c r="L364" s="72"/>
      <c r="M364" s="105"/>
      <c r="N364" s="105"/>
      <c r="O364" s="105"/>
      <c r="P364" s="106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  <c r="BF364" s="53"/>
      <c r="BG364" s="53"/>
      <c r="BH364" s="53"/>
      <c r="BI364" s="53"/>
      <c r="BJ364" s="53"/>
      <c r="BK364" s="53"/>
      <c r="BL364" s="53"/>
      <c r="BM364" s="53"/>
      <c r="BN364" s="53"/>
      <c r="BO364" s="53"/>
      <c r="BP364" s="53"/>
      <c r="BQ364" s="53"/>
      <c r="BR364" s="53"/>
      <c r="BS364" s="53"/>
      <c r="BT364" s="53"/>
      <c r="BU364" s="53"/>
      <c r="BV364" s="53"/>
      <c r="BW364" s="53"/>
      <c r="BX364" s="53"/>
      <c r="BY364" s="53"/>
      <c r="BZ364" s="53"/>
      <c r="CA364" s="53"/>
      <c r="CB364" s="53"/>
      <c r="CC364" s="53"/>
      <c r="CD364" s="53"/>
      <c r="CE364" s="53"/>
      <c r="CF364" s="53"/>
      <c r="CG364" s="53"/>
      <c r="CH364" s="53"/>
      <c r="CI364" s="53"/>
      <c r="CJ364" s="53"/>
      <c r="CK364" s="53"/>
      <c r="CL364" s="53"/>
      <c r="CM364" s="53"/>
      <c r="CN364" s="53"/>
      <c r="CO364" s="53"/>
      <c r="CP364" s="53"/>
    </row>
    <row r="365" spans="1:94" ht="15.6" x14ac:dyDescent="0.3">
      <c r="A365" s="94">
        <f>A364+1</f>
        <v>17</v>
      </c>
      <c r="B365" s="53" t="str">
        <f>B357</f>
        <v xml:space="preserve">    First 25,000 Mcf</v>
      </c>
      <c r="C365" s="131"/>
      <c r="D365" s="165">
        <f>D357+D361</f>
        <v>25000</v>
      </c>
      <c r="E365" s="165">
        <f t="shared" ref="E365:O365" si="76">E357+E361</f>
        <v>25000</v>
      </c>
      <c r="F365" s="165">
        <f t="shared" si="76"/>
        <v>25000</v>
      </c>
      <c r="G365" s="165">
        <f t="shared" si="76"/>
        <v>25000</v>
      </c>
      <c r="H365" s="165">
        <f t="shared" si="76"/>
        <v>25000</v>
      </c>
      <c r="I365" s="165">
        <f t="shared" si="76"/>
        <v>25000</v>
      </c>
      <c r="J365" s="165">
        <f t="shared" si="76"/>
        <v>25000</v>
      </c>
      <c r="K365" s="165">
        <f t="shared" si="76"/>
        <v>25000</v>
      </c>
      <c r="L365" s="165">
        <f t="shared" si="76"/>
        <v>25000</v>
      </c>
      <c r="M365" s="165">
        <f t="shared" si="76"/>
        <v>25000</v>
      </c>
      <c r="N365" s="165">
        <f t="shared" si="76"/>
        <v>25000</v>
      </c>
      <c r="O365" s="165">
        <f t="shared" si="76"/>
        <v>25000</v>
      </c>
      <c r="P365" s="105">
        <f>SUM(D365:O365)</f>
        <v>300000</v>
      </c>
      <c r="S365" s="135"/>
    </row>
    <row r="366" spans="1:94" ht="15.6" x14ac:dyDescent="0.3">
      <c r="A366" s="94">
        <f>A365+1</f>
        <v>18</v>
      </c>
      <c r="B366" s="53" t="str">
        <f>B358</f>
        <v xml:space="preserve">    Over 25,000 Mcf</v>
      </c>
      <c r="C366" s="131"/>
      <c r="D366" s="140">
        <f>D358+D362</f>
        <v>18107</v>
      </c>
      <c r="E366" s="140">
        <f t="shared" ref="E366:O366" si="77">E358+E362</f>
        <v>808</v>
      </c>
      <c r="F366" s="140">
        <f t="shared" si="77"/>
        <v>4340</v>
      </c>
      <c r="G366" s="140">
        <f t="shared" si="77"/>
        <v>4340</v>
      </c>
      <c r="H366" s="140">
        <f t="shared" si="77"/>
        <v>4340</v>
      </c>
      <c r="I366" s="140">
        <f t="shared" si="77"/>
        <v>4340</v>
      </c>
      <c r="J366" s="140">
        <f t="shared" si="77"/>
        <v>4340</v>
      </c>
      <c r="K366" s="140">
        <f t="shared" si="77"/>
        <v>4340</v>
      </c>
      <c r="L366" s="140">
        <f t="shared" si="77"/>
        <v>19010</v>
      </c>
      <c r="M366" s="140">
        <f t="shared" si="77"/>
        <v>19010</v>
      </c>
      <c r="N366" s="140">
        <f t="shared" si="77"/>
        <v>13685</v>
      </c>
      <c r="O366" s="140">
        <f t="shared" si="77"/>
        <v>14099</v>
      </c>
      <c r="P366" s="138">
        <f>SUM(D366:O366)</f>
        <v>110759</v>
      </c>
      <c r="S366" s="135"/>
    </row>
    <row r="367" spans="1:94" s="53" customFormat="1" ht="15.6" x14ac:dyDescent="0.3">
      <c r="A367" s="94">
        <f>A366+1</f>
        <v>19</v>
      </c>
      <c r="B367" s="53" t="s">
        <v>369</v>
      </c>
      <c r="C367" s="131"/>
      <c r="D367" s="165">
        <f>D359+D363</f>
        <v>43107</v>
      </c>
      <c r="E367" s="165">
        <f t="shared" ref="E367:O367" si="78">E359+E363</f>
        <v>25808</v>
      </c>
      <c r="F367" s="165">
        <f t="shared" si="78"/>
        <v>29340</v>
      </c>
      <c r="G367" s="165">
        <f t="shared" si="78"/>
        <v>29340</v>
      </c>
      <c r="H367" s="165">
        <f t="shared" si="78"/>
        <v>29340</v>
      </c>
      <c r="I367" s="165">
        <f t="shared" si="78"/>
        <v>29340</v>
      </c>
      <c r="J367" s="165">
        <f t="shared" si="78"/>
        <v>29340</v>
      </c>
      <c r="K367" s="165">
        <f t="shared" si="78"/>
        <v>29340</v>
      </c>
      <c r="L367" s="165">
        <f t="shared" si="78"/>
        <v>44010</v>
      </c>
      <c r="M367" s="165">
        <f t="shared" si="78"/>
        <v>44010</v>
      </c>
      <c r="N367" s="165">
        <f t="shared" si="78"/>
        <v>38685</v>
      </c>
      <c r="O367" s="165">
        <f t="shared" si="78"/>
        <v>39099</v>
      </c>
      <c r="P367" s="105">
        <f>SUM(D367:O367)</f>
        <v>410759</v>
      </c>
      <c r="S367" s="135"/>
    </row>
    <row r="368" spans="1:94" ht="15.6" x14ac:dyDescent="0.3">
      <c r="A368" s="124"/>
      <c r="B368" s="53"/>
      <c r="C368" s="131"/>
      <c r="D368" s="165"/>
      <c r="E368" s="165"/>
      <c r="F368" s="165"/>
      <c r="G368" s="165"/>
      <c r="H368" s="165"/>
      <c r="I368" s="165"/>
      <c r="J368" s="165"/>
      <c r="K368" s="165"/>
      <c r="L368" s="165"/>
      <c r="M368" s="165"/>
      <c r="N368" s="165"/>
      <c r="O368" s="165"/>
      <c r="P368" s="72"/>
      <c r="S368" s="135"/>
    </row>
    <row r="369" spans="1:94" ht="15.6" x14ac:dyDescent="0.3">
      <c r="A369" s="94">
        <f>A367+1</f>
        <v>20</v>
      </c>
      <c r="B369" s="52" t="s">
        <v>279</v>
      </c>
      <c r="C369" s="131"/>
      <c r="D369" s="172"/>
      <c r="E369" s="172"/>
      <c r="F369" s="172"/>
      <c r="G369" s="172"/>
      <c r="H369" s="172"/>
      <c r="I369" s="172"/>
      <c r="J369" s="173"/>
      <c r="K369" s="173"/>
      <c r="L369" s="173"/>
      <c r="M369" s="173"/>
      <c r="N369" s="173"/>
      <c r="O369" s="173"/>
      <c r="P369" s="136"/>
      <c r="S369" s="135"/>
    </row>
    <row r="370" spans="1:94" x14ac:dyDescent="0.25">
      <c r="A370" s="94">
        <f>A369+1</f>
        <v>21</v>
      </c>
      <c r="B370" s="53" t="s">
        <v>368</v>
      </c>
      <c r="C370" s="133"/>
      <c r="D370" s="312"/>
      <c r="E370" s="312"/>
      <c r="F370" s="312"/>
      <c r="G370" s="329"/>
      <c r="H370" s="329"/>
      <c r="I370" s="329"/>
      <c r="J370" s="329"/>
      <c r="K370" s="329"/>
      <c r="L370" s="329"/>
      <c r="M370" s="312"/>
      <c r="N370" s="312"/>
      <c r="O370" s="312"/>
      <c r="P370" s="106"/>
    </row>
    <row r="371" spans="1:94" x14ac:dyDescent="0.25">
      <c r="A371" s="94">
        <f>A370+1</f>
        <v>22</v>
      </c>
      <c r="B371" s="336" t="s">
        <v>269</v>
      </c>
      <c r="C371" s="133"/>
      <c r="D371" s="329">
        <v>0</v>
      </c>
      <c r="E371" s="329">
        <v>0</v>
      </c>
      <c r="F371" s="329">
        <v>0</v>
      </c>
      <c r="G371" s="329">
        <v>0</v>
      </c>
      <c r="H371" s="329">
        <v>0</v>
      </c>
      <c r="I371" s="329">
        <v>0</v>
      </c>
      <c r="J371" s="329">
        <v>0</v>
      </c>
      <c r="K371" s="329">
        <v>0</v>
      </c>
      <c r="L371" s="329">
        <v>0</v>
      </c>
      <c r="M371" s="329">
        <v>0</v>
      </c>
      <c r="N371" s="329">
        <v>0</v>
      </c>
      <c r="O371" s="329">
        <v>0</v>
      </c>
      <c r="P371" s="72">
        <f>SUM(D371:O371)</f>
        <v>0</v>
      </c>
    </row>
    <row r="372" spans="1:94" x14ac:dyDescent="0.25">
      <c r="A372" s="94">
        <f>A371+1</f>
        <v>23</v>
      </c>
      <c r="B372" s="336" t="s">
        <v>270</v>
      </c>
      <c r="C372" s="133"/>
      <c r="D372" s="338">
        <v>0</v>
      </c>
      <c r="E372" s="338">
        <v>0</v>
      </c>
      <c r="F372" s="338">
        <v>0</v>
      </c>
      <c r="G372" s="338">
        <v>0</v>
      </c>
      <c r="H372" s="338">
        <v>0</v>
      </c>
      <c r="I372" s="338">
        <v>0</v>
      </c>
      <c r="J372" s="338">
        <v>0</v>
      </c>
      <c r="K372" s="338">
        <v>0</v>
      </c>
      <c r="L372" s="338">
        <v>0</v>
      </c>
      <c r="M372" s="338">
        <v>0</v>
      </c>
      <c r="N372" s="338">
        <v>0</v>
      </c>
      <c r="O372" s="338">
        <v>0</v>
      </c>
      <c r="P372" s="138">
        <f>SUM(D372:O372)</f>
        <v>0</v>
      </c>
    </row>
    <row r="373" spans="1:94" x14ac:dyDescent="0.25">
      <c r="A373" s="94"/>
      <c r="B373" s="336"/>
      <c r="C373" s="133"/>
      <c r="D373" s="72">
        <f t="shared" ref="D373:N373" si="79">SUM(D371:D372)</f>
        <v>0</v>
      </c>
      <c r="E373" s="72">
        <f t="shared" si="79"/>
        <v>0</v>
      </c>
      <c r="F373" s="72">
        <f t="shared" si="79"/>
        <v>0</v>
      </c>
      <c r="G373" s="72">
        <f t="shared" si="79"/>
        <v>0</v>
      </c>
      <c r="H373" s="72">
        <f t="shared" si="79"/>
        <v>0</v>
      </c>
      <c r="I373" s="72">
        <f t="shared" si="79"/>
        <v>0</v>
      </c>
      <c r="J373" s="72">
        <f t="shared" si="79"/>
        <v>0</v>
      </c>
      <c r="K373" s="72">
        <f t="shared" si="79"/>
        <v>0</v>
      </c>
      <c r="L373" s="72">
        <f t="shared" si="79"/>
        <v>0</v>
      </c>
      <c r="M373" s="72">
        <f t="shared" si="79"/>
        <v>0</v>
      </c>
      <c r="N373" s="72">
        <f t="shared" si="79"/>
        <v>0</v>
      </c>
      <c r="O373" s="72">
        <f>SUM(O371:O372)</f>
        <v>0</v>
      </c>
      <c r="P373" s="72">
        <f>SUM(D373:O373)</f>
        <v>0</v>
      </c>
    </row>
    <row r="374" spans="1:94" x14ac:dyDescent="0.25">
      <c r="A374" s="94">
        <f>A372+1</f>
        <v>24</v>
      </c>
      <c r="B374" s="53" t="s">
        <v>244</v>
      </c>
      <c r="C374" s="143" t="s">
        <v>371</v>
      </c>
      <c r="D374" s="329"/>
      <c r="E374" s="329"/>
      <c r="F374" s="329"/>
      <c r="G374" s="329"/>
      <c r="H374" s="329"/>
      <c r="I374" s="329"/>
      <c r="J374" s="329"/>
      <c r="K374" s="329"/>
      <c r="L374" s="329"/>
      <c r="M374" s="329"/>
      <c r="N374" s="329"/>
      <c r="O374" s="329"/>
      <c r="P374" s="72"/>
    </row>
    <row r="375" spans="1:94" x14ac:dyDescent="0.25">
      <c r="A375" s="94">
        <f>A374+1</f>
        <v>25</v>
      </c>
      <c r="B375" s="53" t="str">
        <f>B371</f>
        <v xml:space="preserve">    First 30,000 Mcf</v>
      </c>
      <c r="C375" s="143"/>
      <c r="D375" s="329">
        <v>0</v>
      </c>
      <c r="E375" s="329">
        <v>0</v>
      </c>
      <c r="F375" s="329">
        <v>0</v>
      </c>
      <c r="G375" s="329">
        <v>0</v>
      </c>
      <c r="H375" s="329">
        <v>0</v>
      </c>
      <c r="I375" s="329">
        <v>0</v>
      </c>
      <c r="J375" s="329">
        <v>0</v>
      </c>
      <c r="K375" s="329">
        <v>0</v>
      </c>
      <c r="L375" s="329">
        <v>0</v>
      </c>
      <c r="M375" s="329">
        <v>0</v>
      </c>
      <c r="N375" s="329">
        <v>0</v>
      </c>
      <c r="O375" s="329">
        <v>0</v>
      </c>
      <c r="P375" s="72">
        <f>SUM(D375:O375)</f>
        <v>0</v>
      </c>
    </row>
    <row r="376" spans="1:94" x14ac:dyDescent="0.25">
      <c r="A376" s="94">
        <f>A375+1</f>
        <v>26</v>
      </c>
      <c r="B376" s="53" t="str">
        <f>B372</f>
        <v xml:space="preserve">    Over 30,000 Mcf</v>
      </c>
      <c r="C376" s="143"/>
      <c r="D376" s="338">
        <v>0</v>
      </c>
      <c r="E376" s="338">
        <v>0</v>
      </c>
      <c r="F376" s="338">
        <v>0</v>
      </c>
      <c r="G376" s="338">
        <v>0</v>
      </c>
      <c r="H376" s="338">
        <v>0</v>
      </c>
      <c r="I376" s="338">
        <v>0</v>
      </c>
      <c r="J376" s="338">
        <v>0</v>
      </c>
      <c r="K376" s="338">
        <v>0</v>
      </c>
      <c r="L376" s="338">
        <v>0</v>
      </c>
      <c r="M376" s="338">
        <v>0</v>
      </c>
      <c r="N376" s="338">
        <v>0</v>
      </c>
      <c r="O376" s="338">
        <v>0</v>
      </c>
      <c r="P376" s="138">
        <f>SUM(D376:O376)</f>
        <v>0</v>
      </c>
    </row>
    <row r="377" spans="1:94" x14ac:dyDescent="0.25">
      <c r="A377" s="94"/>
      <c r="B377" s="53"/>
      <c r="C377" s="143"/>
      <c r="D377" s="72">
        <f t="shared" ref="D377:N377" si="80">SUM(D375:D376)</f>
        <v>0</v>
      </c>
      <c r="E377" s="72">
        <f t="shared" si="80"/>
        <v>0</v>
      </c>
      <c r="F377" s="72">
        <f t="shared" si="80"/>
        <v>0</v>
      </c>
      <c r="G377" s="72">
        <f t="shared" si="80"/>
        <v>0</v>
      </c>
      <c r="H377" s="72">
        <f t="shared" si="80"/>
        <v>0</v>
      </c>
      <c r="I377" s="72">
        <f t="shared" si="80"/>
        <v>0</v>
      </c>
      <c r="J377" s="72">
        <f t="shared" si="80"/>
        <v>0</v>
      </c>
      <c r="K377" s="72">
        <f t="shared" si="80"/>
        <v>0</v>
      </c>
      <c r="L377" s="72">
        <f t="shared" si="80"/>
        <v>0</v>
      </c>
      <c r="M377" s="72">
        <f t="shared" si="80"/>
        <v>0</v>
      </c>
      <c r="N377" s="72">
        <f t="shared" si="80"/>
        <v>0</v>
      </c>
      <c r="O377" s="72">
        <f>SUM(O375:O376)</f>
        <v>0</v>
      </c>
      <c r="P377" s="72">
        <f>SUM(D377:O377)</f>
        <v>0</v>
      </c>
    </row>
    <row r="378" spans="1:94" s="103" customFormat="1" ht="15.6" x14ac:dyDescent="0.3">
      <c r="A378" s="94">
        <f>A376+1</f>
        <v>27</v>
      </c>
      <c r="B378" s="53" t="s">
        <v>263</v>
      </c>
      <c r="C378" s="108"/>
      <c r="D378" s="105"/>
      <c r="E378" s="105"/>
      <c r="F378" s="105"/>
      <c r="G378" s="72"/>
      <c r="H378" s="72"/>
      <c r="I378" s="72"/>
      <c r="J378" s="72"/>
      <c r="K378" s="72"/>
      <c r="L378" s="72"/>
      <c r="M378" s="105"/>
      <c r="N378" s="105"/>
      <c r="O378" s="105"/>
      <c r="P378" s="106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  <c r="BF378" s="53"/>
      <c r="BG378" s="53"/>
      <c r="BH378" s="53"/>
      <c r="BI378" s="53"/>
      <c r="BJ378" s="53"/>
      <c r="BK378" s="53"/>
      <c r="BL378" s="53"/>
      <c r="BM378" s="53"/>
      <c r="BN378" s="53"/>
      <c r="BO378" s="53"/>
      <c r="BP378" s="53"/>
      <c r="BQ378" s="53"/>
      <c r="BR378" s="53"/>
      <c r="BS378" s="53"/>
      <c r="BT378" s="53"/>
      <c r="BU378" s="53"/>
      <c r="BV378" s="53"/>
      <c r="BW378" s="53"/>
      <c r="BX378" s="53"/>
      <c r="BY378" s="53"/>
      <c r="BZ378" s="53"/>
      <c r="CA378" s="53"/>
      <c r="CB378" s="53"/>
      <c r="CC378" s="53"/>
      <c r="CD378" s="53"/>
      <c r="CE378" s="53"/>
      <c r="CF378" s="53"/>
      <c r="CG378" s="53"/>
      <c r="CH378" s="53"/>
      <c r="CI378" s="53"/>
      <c r="CJ378" s="53"/>
      <c r="CK378" s="53"/>
      <c r="CL378" s="53"/>
      <c r="CM378" s="53"/>
      <c r="CN378" s="53"/>
      <c r="CO378" s="53"/>
      <c r="CP378" s="53"/>
    </row>
    <row r="379" spans="1:94" ht="15.6" x14ac:dyDescent="0.3">
      <c r="A379" s="94">
        <f>A378+1</f>
        <v>28</v>
      </c>
      <c r="B379" s="53" t="str">
        <f>B375</f>
        <v xml:space="preserve">    First 30,000 Mcf</v>
      </c>
      <c r="C379" s="131"/>
      <c r="D379" s="165">
        <f>D371+D375</f>
        <v>0</v>
      </c>
      <c r="E379" s="165">
        <f t="shared" ref="E379:O379" si="81">E371+E375</f>
        <v>0</v>
      </c>
      <c r="F379" s="165">
        <f t="shared" si="81"/>
        <v>0</v>
      </c>
      <c r="G379" s="165">
        <f t="shared" si="81"/>
        <v>0</v>
      </c>
      <c r="H379" s="165">
        <f t="shared" si="81"/>
        <v>0</v>
      </c>
      <c r="I379" s="165">
        <f t="shared" si="81"/>
        <v>0</v>
      </c>
      <c r="J379" s="165">
        <f t="shared" si="81"/>
        <v>0</v>
      </c>
      <c r="K379" s="165">
        <f t="shared" si="81"/>
        <v>0</v>
      </c>
      <c r="L379" s="165">
        <f t="shared" si="81"/>
        <v>0</v>
      </c>
      <c r="M379" s="165">
        <f t="shared" si="81"/>
        <v>0</v>
      </c>
      <c r="N379" s="165">
        <f t="shared" si="81"/>
        <v>0</v>
      </c>
      <c r="O379" s="165">
        <f t="shared" si="81"/>
        <v>0</v>
      </c>
      <c r="P379" s="72">
        <f>SUM(D379:O379)</f>
        <v>0</v>
      </c>
      <c r="S379" s="135"/>
    </row>
    <row r="380" spans="1:94" ht="15.6" x14ac:dyDescent="0.3">
      <c r="A380" s="94">
        <f>A379+1</f>
        <v>29</v>
      </c>
      <c r="B380" s="53" t="str">
        <f>B376</f>
        <v xml:space="preserve">    Over 30,000 Mcf</v>
      </c>
      <c r="C380" s="131"/>
      <c r="D380" s="140">
        <f>D372+D376</f>
        <v>0</v>
      </c>
      <c r="E380" s="140">
        <f t="shared" ref="E380:O380" si="82">E372+E376</f>
        <v>0</v>
      </c>
      <c r="F380" s="140">
        <f t="shared" si="82"/>
        <v>0</v>
      </c>
      <c r="G380" s="140">
        <f t="shared" si="82"/>
        <v>0</v>
      </c>
      <c r="H380" s="140">
        <f t="shared" si="82"/>
        <v>0</v>
      </c>
      <c r="I380" s="140">
        <f t="shared" si="82"/>
        <v>0</v>
      </c>
      <c r="J380" s="140">
        <f t="shared" si="82"/>
        <v>0</v>
      </c>
      <c r="K380" s="140">
        <f t="shared" si="82"/>
        <v>0</v>
      </c>
      <c r="L380" s="140">
        <f t="shared" si="82"/>
        <v>0</v>
      </c>
      <c r="M380" s="140">
        <f t="shared" si="82"/>
        <v>0</v>
      </c>
      <c r="N380" s="140">
        <f t="shared" si="82"/>
        <v>0</v>
      </c>
      <c r="O380" s="140">
        <f t="shared" si="82"/>
        <v>0</v>
      </c>
      <c r="P380" s="138">
        <f>SUM(D380:O380)</f>
        <v>0</v>
      </c>
      <c r="S380" s="135"/>
    </row>
    <row r="381" spans="1:94" ht="15.6" x14ac:dyDescent="0.3">
      <c r="A381" s="94">
        <f>A380+1</f>
        <v>30</v>
      </c>
      <c r="B381" s="53" t="s">
        <v>369</v>
      </c>
      <c r="C381" s="131"/>
      <c r="D381" s="165">
        <f>D373+D377</f>
        <v>0</v>
      </c>
      <c r="E381" s="165">
        <f t="shared" ref="E381:O381" si="83">E373+E377</f>
        <v>0</v>
      </c>
      <c r="F381" s="165">
        <f t="shared" si="83"/>
        <v>0</v>
      </c>
      <c r="G381" s="165">
        <f t="shared" si="83"/>
        <v>0</v>
      </c>
      <c r="H381" s="165">
        <f t="shared" si="83"/>
        <v>0</v>
      </c>
      <c r="I381" s="165">
        <f t="shared" si="83"/>
        <v>0</v>
      </c>
      <c r="J381" s="165">
        <f t="shared" si="83"/>
        <v>0</v>
      </c>
      <c r="K381" s="165">
        <f t="shared" si="83"/>
        <v>0</v>
      </c>
      <c r="L381" s="165">
        <f t="shared" si="83"/>
        <v>0</v>
      </c>
      <c r="M381" s="165">
        <f t="shared" si="83"/>
        <v>0</v>
      </c>
      <c r="N381" s="165">
        <f t="shared" si="83"/>
        <v>0</v>
      </c>
      <c r="O381" s="165">
        <f t="shared" si="83"/>
        <v>0</v>
      </c>
      <c r="P381" s="72">
        <f>SUM(D381:O381)</f>
        <v>0</v>
      </c>
      <c r="S381" s="135"/>
    </row>
    <row r="382" spans="1:94" ht="15.6" x14ac:dyDescent="0.3">
      <c r="A382" s="124"/>
      <c r="B382" s="53"/>
      <c r="C382" s="131"/>
      <c r="D382" s="165"/>
      <c r="E382" s="165"/>
      <c r="F382" s="165"/>
      <c r="G382" s="165"/>
      <c r="H382" s="165"/>
      <c r="I382" s="165"/>
      <c r="J382" s="165"/>
      <c r="K382" s="165"/>
      <c r="L382" s="165"/>
      <c r="M382" s="165"/>
      <c r="N382" s="165"/>
      <c r="O382" s="165"/>
      <c r="P382" s="72"/>
      <c r="S382" s="135"/>
    </row>
    <row r="383" spans="1:94" ht="15.6" x14ac:dyDescent="0.3">
      <c r="A383" s="94">
        <f>A381+1</f>
        <v>31</v>
      </c>
      <c r="B383" s="52" t="s">
        <v>280</v>
      </c>
      <c r="C383" s="131"/>
      <c r="D383" s="172"/>
      <c r="E383" s="172"/>
      <c r="F383" s="172"/>
      <c r="G383" s="172"/>
      <c r="H383" s="172"/>
      <c r="I383" s="172"/>
      <c r="J383" s="173"/>
      <c r="K383" s="173"/>
      <c r="L383" s="173"/>
      <c r="M383" s="173"/>
      <c r="N383" s="173"/>
      <c r="O383" s="173"/>
      <c r="P383" s="136"/>
      <c r="S383" s="135"/>
    </row>
    <row r="384" spans="1:94" x14ac:dyDescent="0.25">
      <c r="A384" s="94">
        <f>A383+1</f>
        <v>32</v>
      </c>
      <c r="B384" s="53" t="s">
        <v>368</v>
      </c>
      <c r="C384" s="133"/>
      <c r="D384" s="312"/>
      <c r="E384" s="312"/>
      <c r="F384" s="312"/>
      <c r="G384" s="329"/>
      <c r="H384" s="329"/>
      <c r="I384" s="329"/>
      <c r="J384" s="329"/>
      <c r="K384" s="329"/>
      <c r="L384" s="329"/>
      <c r="M384" s="312"/>
      <c r="N384" s="312"/>
      <c r="O384" s="312"/>
      <c r="P384" s="106"/>
    </row>
    <row r="385" spans="1:94" x14ac:dyDescent="0.25">
      <c r="A385" s="94">
        <f>A384+1</f>
        <v>33</v>
      </c>
      <c r="B385" s="336" t="s">
        <v>281</v>
      </c>
      <c r="C385" s="133"/>
      <c r="D385" s="312">
        <v>150000</v>
      </c>
      <c r="E385" s="312">
        <v>150000</v>
      </c>
      <c r="F385" s="312">
        <v>150000</v>
      </c>
      <c r="G385" s="312">
        <v>150000</v>
      </c>
      <c r="H385" s="312">
        <v>150000</v>
      </c>
      <c r="I385" s="312">
        <v>150000</v>
      </c>
      <c r="J385" s="312">
        <v>150000</v>
      </c>
      <c r="K385" s="312">
        <v>150000</v>
      </c>
      <c r="L385" s="312">
        <v>150000</v>
      </c>
      <c r="M385" s="312">
        <v>150000</v>
      </c>
      <c r="N385" s="312">
        <v>150000</v>
      </c>
      <c r="O385" s="312">
        <v>150000</v>
      </c>
      <c r="P385" s="72">
        <f>SUM(D385:O385)</f>
        <v>1800000</v>
      </c>
    </row>
    <row r="386" spans="1:94" x14ac:dyDescent="0.25">
      <c r="A386" s="94">
        <f>A385+1</f>
        <v>34</v>
      </c>
      <c r="B386" s="336" t="s">
        <v>282</v>
      </c>
      <c r="C386" s="133"/>
      <c r="D386" s="338">
        <v>245112</v>
      </c>
      <c r="E386" s="338">
        <v>233376</v>
      </c>
      <c r="F386" s="338">
        <v>233376</v>
      </c>
      <c r="G386" s="338">
        <v>233376</v>
      </c>
      <c r="H386" s="338">
        <v>233376</v>
      </c>
      <c r="I386" s="338">
        <v>233376</v>
      </c>
      <c r="J386" s="338">
        <v>233376</v>
      </c>
      <c r="K386" s="338">
        <v>233376</v>
      </c>
      <c r="L386" s="338">
        <v>233376</v>
      </c>
      <c r="M386" s="338">
        <v>233376</v>
      </c>
      <c r="N386" s="338">
        <v>233376</v>
      </c>
      <c r="O386" s="338">
        <v>245112</v>
      </c>
      <c r="P386" s="138">
        <f>SUM(D386:O386)</f>
        <v>2823984</v>
      </c>
    </row>
    <row r="387" spans="1:94" x14ac:dyDescent="0.25">
      <c r="A387" s="94"/>
      <c r="B387" s="336"/>
      <c r="C387" s="133"/>
      <c r="D387" s="72">
        <f t="shared" ref="D387:N387" si="84">SUM(D385:D386)</f>
        <v>395112</v>
      </c>
      <c r="E387" s="72">
        <f t="shared" si="84"/>
        <v>383376</v>
      </c>
      <c r="F387" s="72">
        <f t="shared" si="84"/>
        <v>383376</v>
      </c>
      <c r="G387" s="72">
        <f t="shared" si="84"/>
        <v>383376</v>
      </c>
      <c r="H387" s="72">
        <f t="shared" si="84"/>
        <v>383376</v>
      </c>
      <c r="I387" s="72">
        <f t="shared" si="84"/>
        <v>383376</v>
      </c>
      <c r="J387" s="72">
        <f t="shared" si="84"/>
        <v>383376</v>
      </c>
      <c r="K387" s="72">
        <f t="shared" si="84"/>
        <v>383376</v>
      </c>
      <c r="L387" s="72">
        <f t="shared" si="84"/>
        <v>383376</v>
      </c>
      <c r="M387" s="72">
        <f t="shared" si="84"/>
        <v>383376</v>
      </c>
      <c r="N387" s="72">
        <f t="shared" si="84"/>
        <v>383376</v>
      </c>
      <c r="O387" s="72">
        <f>SUM(O385:O386)</f>
        <v>395112</v>
      </c>
      <c r="P387" s="72">
        <f>SUM(D387:O387)</f>
        <v>4623984</v>
      </c>
    </row>
    <row r="388" spans="1:94" x14ac:dyDescent="0.25">
      <c r="A388" s="94">
        <f>A386+1</f>
        <v>35</v>
      </c>
      <c r="B388" s="53" t="s">
        <v>244</v>
      </c>
      <c r="C388" s="143" t="s">
        <v>371</v>
      </c>
      <c r="D388" s="329"/>
      <c r="E388" s="329"/>
      <c r="F388" s="329"/>
      <c r="G388" s="329"/>
      <c r="H388" s="329"/>
      <c r="I388" s="329"/>
      <c r="J388" s="329"/>
      <c r="K388" s="329"/>
      <c r="L388" s="329"/>
      <c r="M388" s="329"/>
      <c r="N388" s="329"/>
      <c r="O388" s="329"/>
      <c r="P388" s="72"/>
    </row>
    <row r="389" spans="1:94" x14ac:dyDescent="0.25">
      <c r="A389" s="94">
        <f>A388+1</f>
        <v>36</v>
      </c>
      <c r="B389" s="53" t="str">
        <f>B385</f>
        <v xml:space="preserve">    First 150,000 Mcf</v>
      </c>
      <c r="C389" s="143"/>
      <c r="D389" s="72">
        <f>'D pg 1'!D62</f>
        <v>0</v>
      </c>
      <c r="E389" s="72">
        <f>'D pg 1'!E62</f>
        <v>0</v>
      </c>
      <c r="F389" s="72">
        <f>'D pg 1'!F62</f>
        <v>-10000</v>
      </c>
      <c r="G389" s="72">
        <f>'D pg 1'!G62</f>
        <v>-10000</v>
      </c>
      <c r="H389" s="72">
        <f>'D pg 1'!H62</f>
        <v>-20000</v>
      </c>
      <c r="I389" s="72">
        <f>'D pg 1'!I62</f>
        <v>-20000</v>
      </c>
      <c r="J389" s="72">
        <f>'D pg 1'!J62</f>
        <v>-20000</v>
      </c>
      <c r="K389" s="72">
        <f>'D pg 1'!K62</f>
        <v>-20000</v>
      </c>
      <c r="L389" s="72">
        <f>'D pg 1'!L62</f>
        <v>-20000</v>
      </c>
      <c r="M389" s="72">
        <f>'D pg 1'!M62</f>
        <v>-20000</v>
      </c>
      <c r="N389" s="72">
        <f>'D pg 1'!N62</f>
        <v>-10000</v>
      </c>
      <c r="O389" s="72">
        <f>'D pg 1'!O62</f>
        <v>0</v>
      </c>
      <c r="P389" s="72">
        <f>SUM(D389:O389)</f>
        <v>-150000</v>
      </c>
    </row>
    <row r="390" spans="1:94" x14ac:dyDescent="0.25">
      <c r="A390" s="94">
        <f>A389+1</f>
        <v>37</v>
      </c>
      <c r="B390" s="53" t="str">
        <f>B386</f>
        <v xml:space="preserve">    Over 150,000 Mcf</v>
      </c>
      <c r="C390" s="143"/>
      <c r="D390" s="138">
        <f>'D pg 1'!D63</f>
        <v>-225112</v>
      </c>
      <c r="E390" s="138">
        <f>'D pg 1'!E63</f>
        <v>-213376</v>
      </c>
      <c r="F390" s="138">
        <f>'D pg 1'!F63</f>
        <v>-233376</v>
      </c>
      <c r="G390" s="138">
        <f>'D pg 1'!G63</f>
        <v>-233376</v>
      </c>
      <c r="H390" s="138">
        <f>'D pg 1'!H63</f>
        <v>-233376</v>
      </c>
      <c r="I390" s="138">
        <f>'D pg 1'!I63</f>
        <v>-233376</v>
      </c>
      <c r="J390" s="138">
        <f>'D pg 1'!J63</f>
        <v>-233376</v>
      </c>
      <c r="K390" s="138">
        <f>'D pg 1'!K63</f>
        <v>-233376</v>
      </c>
      <c r="L390" s="138">
        <f>'D pg 1'!L63</f>
        <v>-233376</v>
      </c>
      <c r="M390" s="138">
        <f>'D pg 1'!M63</f>
        <v>-233376</v>
      </c>
      <c r="N390" s="138">
        <f>'D pg 1'!N63</f>
        <v>-233376</v>
      </c>
      <c r="O390" s="138">
        <f>'D pg 1'!O63</f>
        <v>-225112</v>
      </c>
      <c r="P390" s="138">
        <f>SUM(D390:O390)</f>
        <v>-2763984</v>
      </c>
    </row>
    <row r="391" spans="1:94" x14ac:dyDescent="0.25">
      <c r="A391" s="94"/>
      <c r="B391" s="53"/>
      <c r="C391" s="143"/>
      <c r="D391" s="72">
        <f t="shared" ref="D391:N391" si="85">SUM(D389:D390)</f>
        <v>-225112</v>
      </c>
      <c r="E391" s="72">
        <f t="shared" si="85"/>
        <v>-213376</v>
      </c>
      <c r="F391" s="72">
        <f t="shared" si="85"/>
        <v>-243376</v>
      </c>
      <c r="G391" s="72">
        <f t="shared" si="85"/>
        <v>-243376</v>
      </c>
      <c r="H391" s="72">
        <f t="shared" si="85"/>
        <v>-253376</v>
      </c>
      <c r="I391" s="72">
        <f t="shared" si="85"/>
        <v>-253376</v>
      </c>
      <c r="J391" s="72">
        <f t="shared" si="85"/>
        <v>-253376</v>
      </c>
      <c r="K391" s="72">
        <f t="shared" si="85"/>
        <v>-253376</v>
      </c>
      <c r="L391" s="72">
        <f t="shared" si="85"/>
        <v>-253376</v>
      </c>
      <c r="M391" s="72">
        <f t="shared" si="85"/>
        <v>-253376</v>
      </c>
      <c r="N391" s="72">
        <f t="shared" si="85"/>
        <v>-243376</v>
      </c>
      <c r="O391" s="72">
        <f>SUM(O389:O390)</f>
        <v>-225112</v>
      </c>
      <c r="P391" s="72">
        <f>SUM(D391:O391)</f>
        <v>-2913984</v>
      </c>
    </row>
    <row r="392" spans="1:94" s="103" customFormat="1" ht="15.6" x14ac:dyDescent="0.3">
      <c r="A392" s="94">
        <f>A390+1</f>
        <v>38</v>
      </c>
      <c r="B392" s="53" t="s">
        <v>263</v>
      </c>
      <c r="C392" s="108"/>
      <c r="D392" s="105"/>
      <c r="E392" s="105"/>
      <c r="F392" s="105"/>
      <c r="G392" s="72"/>
      <c r="H392" s="72"/>
      <c r="I392" s="72"/>
      <c r="J392" s="72"/>
      <c r="K392" s="72"/>
      <c r="L392" s="72"/>
      <c r="M392" s="105"/>
      <c r="N392" s="105"/>
      <c r="O392" s="105"/>
      <c r="P392" s="106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  <c r="BF392" s="53"/>
      <c r="BG392" s="53"/>
      <c r="BH392" s="53"/>
      <c r="BI392" s="53"/>
      <c r="BJ392" s="53"/>
      <c r="BK392" s="53"/>
      <c r="BL392" s="53"/>
      <c r="BM392" s="53"/>
      <c r="BN392" s="53"/>
      <c r="BO392" s="53"/>
      <c r="BP392" s="53"/>
      <c r="BQ392" s="53"/>
      <c r="BR392" s="53"/>
      <c r="BS392" s="53"/>
      <c r="BT392" s="53"/>
      <c r="BU392" s="53"/>
      <c r="BV392" s="53"/>
      <c r="BW392" s="53"/>
      <c r="BX392" s="53"/>
      <c r="BY392" s="53"/>
      <c r="BZ392" s="53"/>
      <c r="CA392" s="53"/>
      <c r="CB392" s="53"/>
      <c r="CC392" s="53"/>
      <c r="CD392" s="53"/>
      <c r="CE392" s="53"/>
      <c r="CF392" s="53"/>
      <c r="CG392" s="53"/>
      <c r="CH392" s="53"/>
      <c r="CI392" s="53"/>
      <c r="CJ392" s="53"/>
      <c r="CK392" s="53"/>
      <c r="CL392" s="53"/>
      <c r="CM392" s="53"/>
      <c r="CN392" s="53"/>
      <c r="CO392" s="53"/>
      <c r="CP392" s="53"/>
    </row>
    <row r="393" spans="1:94" ht="15.6" x14ac:dyDescent="0.3">
      <c r="A393" s="94">
        <f>A392+1</f>
        <v>39</v>
      </c>
      <c r="B393" s="53" t="str">
        <f>B389</f>
        <v xml:space="preserve">    First 150,000 Mcf</v>
      </c>
      <c r="C393" s="131"/>
      <c r="D393" s="165">
        <f>D385+D389</f>
        <v>150000</v>
      </c>
      <c r="E393" s="165">
        <f t="shared" ref="E393:O393" si="86">E385+E389</f>
        <v>150000</v>
      </c>
      <c r="F393" s="165">
        <f t="shared" si="86"/>
        <v>140000</v>
      </c>
      <c r="G393" s="165">
        <f t="shared" si="86"/>
        <v>140000</v>
      </c>
      <c r="H393" s="165">
        <f t="shared" si="86"/>
        <v>130000</v>
      </c>
      <c r="I393" s="165">
        <f t="shared" si="86"/>
        <v>130000</v>
      </c>
      <c r="J393" s="165">
        <f t="shared" si="86"/>
        <v>130000</v>
      </c>
      <c r="K393" s="165">
        <f t="shared" si="86"/>
        <v>130000</v>
      </c>
      <c r="L393" s="165">
        <f t="shared" si="86"/>
        <v>130000</v>
      </c>
      <c r="M393" s="165">
        <f t="shared" si="86"/>
        <v>130000</v>
      </c>
      <c r="N393" s="165">
        <f t="shared" si="86"/>
        <v>140000</v>
      </c>
      <c r="O393" s="165">
        <f t="shared" si="86"/>
        <v>150000</v>
      </c>
      <c r="P393" s="105">
        <f>SUM(D393:O393)</f>
        <v>1650000</v>
      </c>
      <c r="S393" s="135"/>
    </row>
    <row r="394" spans="1:94" ht="15.6" x14ac:dyDescent="0.3">
      <c r="A394" s="94">
        <f>A393+1</f>
        <v>40</v>
      </c>
      <c r="B394" s="53" t="str">
        <f>B390</f>
        <v xml:space="preserve">    Over 150,000 Mcf</v>
      </c>
      <c r="C394" s="131"/>
      <c r="D394" s="140">
        <f>D386+D390</f>
        <v>20000</v>
      </c>
      <c r="E394" s="140">
        <f>E386+E390</f>
        <v>20000</v>
      </c>
      <c r="F394" s="140">
        <f>F386+F390</f>
        <v>0</v>
      </c>
      <c r="G394" s="140">
        <f t="shared" ref="G394:O394" si="87">G386+G390</f>
        <v>0</v>
      </c>
      <c r="H394" s="140">
        <f t="shared" si="87"/>
        <v>0</v>
      </c>
      <c r="I394" s="140">
        <f t="shared" si="87"/>
        <v>0</v>
      </c>
      <c r="J394" s="140">
        <f t="shared" si="87"/>
        <v>0</v>
      </c>
      <c r="K394" s="140">
        <f t="shared" si="87"/>
        <v>0</v>
      </c>
      <c r="L394" s="140">
        <f t="shared" si="87"/>
        <v>0</v>
      </c>
      <c r="M394" s="140">
        <f t="shared" si="87"/>
        <v>0</v>
      </c>
      <c r="N394" s="140">
        <f t="shared" si="87"/>
        <v>0</v>
      </c>
      <c r="O394" s="140">
        <f t="shared" si="87"/>
        <v>20000</v>
      </c>
      <c r="P394" s="140">
        <f>SUM(D394:O394)</f>
        <v>60000</v>
      </c>
      <c r="S394" s="135"/>
    </row>
    <row r="395" spans="1:94" s="53" customFormat="1" ht="15.6" x14ac:dyDescent="0.3">
      <c r="A395" s="94">
        <f>A394+1</f>
        <v>41</v>
      </c>
      <c r="B395" s="53" t="s">
        <v>369</v>
      </c>
      <c r="C395" s="131"/>
      <c r="D395" s="165">
        <f>D387+D391</f>
        <v>170000</v>
      </c>
      <c r="E395" s="165">
        <f t="shared" ref="E395:O395" si="88">E387+E391</f>
        <v>170000</v>
      </c>
      <c r="F395" s="165">
        <f t="shared" si="88"/>
        <v>140000</v>
      </c>
      <c r="G395" s="165">
        <f t="shared" si="88"/>
        <v>140000</v>
      </c>
      <c r="H395" s="165">
        <f t="shared" si="88"/>
        <v>130000</v>
      </c>
      <c r="I395" s="165">
        <f t="shared" si="88"/>
        <v>130000</v>
      </c>
      <c r="J395" s="165">
        <f t="shared" si="88"/>
        <v>130000</v>
      </c>
      <c r="K395" s="165">
        <f t="shared" si="88"/>
        <v>130000</v>
      </c>
      <c r="L395" s="165">
        <f t="shared" si="88"/>
        <v>130000</v>
      </c>
      <c r="M395" s="165">
        <f t="shared" si="88"/>
        <v>130000</v>
      </c>
      <c r="N395" s="165">
        <f t="shared" si="88"/>
        <v>140000</v>
      </c>
      <c r="O395" s="165">
        <f t="shared" si="88"/>
        <v>170000</v>
      </c>
      <c r="P395" s="105">
        <f>SUM(D395:O395)</f>
        <v>1710000</v>
      </c>
      <c r="S395" s="135"/>
    </row>
    <row r="396" spans="1:94" s="53" customFormat="1" ht="15.6" x14ac:dyDescent="0.3">
      <c r="A396" s="94"/>
      <c r="C396" s="131"/>
      <c r="D396" s="387"/>
      <c r="E396" s="387"/>
      <c r="F396" s="387"/>
      <c r="G396" s="387"/>
      <c r="H396" s="387"/>
      <c r="I396" s="387"/>
      <c r="J396" s="387"/>
      <c r="K396" s="387"/>
      <c r="L396" s="387"/>
      <c r="M396" s="387"/>
      <c r="N396" s="387"/>
      <c r="O396" s="387"/>
      <c r="P396" s="105"/>
      <c r="S396" s="135"/>
    </row>
    <row r="397" spans="1:94" s="53" customFormat="1" ht="15.6" x14ac:dyDescent="0.3">
      <c r="A397" s="880" t="str">
        <f>CONAME</f>
        <v>Columbia Gas of Kentucky, Inc.</v>
      </c>
      <c r="B397" s="880"/>
      <c r="C397" s="880"/>
      <c r="D397" s="880"/>
      <c r="E397" s="880"/>
      <c r="F397" s="880"/>
      <c r="G397" s="880"/>
      <c r="H397" s="880"/>
      <c r="I397" s="880"/>
      <c r="J397" s="880"/>
      <c r="K397" s="880"/>
      <c r="L397" s="880"/>
      <c r="M397" s="880"/>
      <c r="N397" s="880"/>
      <c r="O397" s="880"/>
      <c r="P397" s="880"/>
      <c r="S397" s="135"/>
    </row>
    <row r="398" spans="1:94" s="53" customFormat="1" ht="15.6" x14ac:dyDescent="0.3">
      <c r="A398" s="880" t="s">
        <v>197</v>
      </c>
      <c r="B398" s="880"/>
      <c r="C398" s="880"/>
      <c r="D398" s="880"/>
      <c r="E398" s="880"/>
      <c r="F398" s="880"/>
      <c r="G398" s="880"/>
      <c r="H398" s="880"/>
      <c r="I398" s="880"/>
      <c r="J398" s="880"/>
      <c r="K398" s="880"/>
      <c r="L398" s="880"/>
      <c r="M398" s="880"/>
      <c r="N398" s="880"/>
      <c r="O398" s="880"/>
      <c r="P398" s="880"/>
      <c r="S398" s="135"/>
    </row>
    <row r="399" spans="1:94" s="53" customFormat="1" ht="15.6" x14ac:dyDescent="0.3">
      <c r="A399" s="879" t="str">
        <f>TYDESC</f>
        <v>For the 12 Months Ended December 31, 2017</v>
      </c>
      <c r="B399" s="879"/>
      <c r="C399" s="879"/>
      <c r="D399" s="879"/>
      <c r="E399" s="879"/>
      <c r="F399" s="879"/>
      <c r="G399" s="879"/>
      <c r="H399" s="879"/>
      <c r="I399" s="879"/>
      <c r="J399" s="879"/>
      <c r="K399" s="879"/>
      <c r="L399" s="879"/>
      <c r="M399" s="879"/>
      <c r="N399" s="879"/>
      <c r="O399" s="879"/>
      <c r="P399" s="879"/>
      <c r="S399" s="135"/>
    </row>
    <row r="400" spans="1:94" s="53" customFormat="1" ht="15.6" x14ac:dyDescent="0.3">
      <c r="A400" s="100" t="str">
        <f>$A$5</f>
        <v>Data: __ Base Period_X_Forecasted Period</v>
      </c>
      <c r="C400" s="108"/>
      <c r="D400" s="108"/>
      <c r="E400" s="108"/>
      <c r="F400" s="108"/>
      <c r="G400" s="96"/>
      <c r="H400" s="96"/>
      <c r="I400" s="96"/>
      <c r="J400" s="96"/>
      <c r="K400" s="96"/>
      <c r="L400" s="96"/>
      <c r="M400" s="96"/>
      <c r="N400" s="96"/>
      <c r="O400" s="96"/>
      <c r="P400" s="330" t="str">
        <f>$P$5</f>
        <v>Workpaper WPM-C.2</v>
      </c>
      <c r="S400" s="135"/>
    </row>
    <row r="401" spans="1:19" s="53" customFormat="1" ht="15.6" x14ac:dyDescent="0.3">
      <c r="A401" s="100" t="str">
        <f>$A$6</f>
        <v>Type of Filing: X Original _ Update _ Revised</v>
      </c>
      <c r="C401" s="108"/>
      <c r="D401" s="108"/>
      <c r="E401" s="108"/>
      <c r="F401" s="108"/>
      <c r="G401" s="96"/>
      <c r="H401" s="96"/>
      <c r="I401" s="96"/>
      <c r="J401" s="96"/>
      <c r="K401" s="96"/>
      <c r="L401" s="96"/>
      <c r="M401" s="96"/>
      <c r="N401" s="96"/>
      <c r="O401" s="96"/>
      <c r="P401" s="331" t="s">
        <v>378</v>
      </c>
      <c r="S401" s="135"/>
    </row>
    <row r="402" spans="1:19" s="53" customFormat="1" ht="15.6" x14ac:dyDescent="0.3">
      <c r="A402" s="100" t="str">
        <f>$A$7</f>
        <v>Work Paper Reference No(s):</v>
      </c>
      <c r="C402" s="108"/>
      <c r="D402" s="108"/>
      <c r="E402" s="108"/>
      <c r="F402" s="108"/>
      <c r="G402" s="96"/>
      <c r="H402" s="96"/>
      <c r="I402" s="96"/>
      <c r="J402" s="96"/>
      <c r="K402" s="96"/>
      <c r="L402" s="96"/>
      <c r="M402" s="96"/>
      <c r="N402" s="96"/>
      <c r="O402" s="96"/>
      <c r="P402" s="331"/>
      <c r="S402" s="135"/>
    </row>
    <row r="403" spans="1:19" s="53" customFormat="1" ht="15.6" x14ac:dyDescent="0.3">
      <c r="A403" s="132" t="str">
        <f>$A$8</f>
        <v>12 Months Forecasted</v>
      </c>
      <c r="B403" s="124"/>
      <c r="C403" s="108"/>
      <c r="D403" s="332"/>
      <c r="E403" s="108"/>
      <c r="F403" s="333"/>
      <c r="G403" s="334"/>
      <c r="H403" s="333"/>
      <c r="I403" s="335"/>
      <c r="J403" s="333"/>
      <c r="K403" s="333"/>
      <c r="L403" s="333"/>
      <c r="M403" s="333"/>
      <c r="N403" s="333"/>
      <c r="O403" s="333"/>
      <c r="P403" s="314"/>
      <c r="S403" s="135"/>
    </row>
    <row r="404" spans="1:19" s="53" customFormat="1" ht="15.6" x14ac:dyDescent="0.3">
      <c r="A404" s="101"/>
      <c r="B404" s="124"/>
      <c r="C404" s="108"/>
      <c r="D404" s="332"/>
      <c r="E404" s="108"/>
      <c r="F404" s="333"/>
      <c r="G404" s="334"/>
      <c r="H404" s="333"/>
      <c r="I404" s="335"/>
      <c r="J404" s="333"/>
      <c r="K404" s="333"/>
      <c r="L404" s="333"/>
      <c r="M404" s="333"/>
      <c r="N404" s="333"/>
      <c r="O404" s="333"/>
      <c r="P404" s="314"/>
      <c r="S404" s="135"/>
    </row>
    <row r="405" spans="1:19" s="53" customFormat="1" ht="15.6" x14ac:dyDescent="0.3">
      <c r="A405" s="124" t="s">
        <v>1</v>
      </c>
      <c r="B405" s="124"/>
      <c r="C405" s="108"/>
      <c r="D405" s="332"/>
      <c r="E405" s="108"/>
      <c r="F405" s="333"/>
      <c r="G405" s="334"/>
      <c r="H405" s="333"/>
      <c r="I405" s="335"/>
      <c r="J405" s="333"/>
      <c r="K405" s="333"/>
      <c r="L405" s="333"/>
      <c r="M405" s="333"/>
      <c r="N405" s="333"/>
      <c r="O405" s="333"/>
      <c r="P405" s="314"/>
      <c r="S405" s="135"/>
    </row>
    <row r="406" spans="1:19" s="53" customFormat="1" ht="15.6" x14ac:dyDescent="0.3">
      <c r="A406" s="316" t="s">
        <v>3</v>
      </c>
      <c r="B406" s="316" t="s">
        <v>4</v>
      </c>
      <c r="C406" s="317" t="s">
        <v>186</v>
      </c>
      <c r="D406" s="318" t="str">
        <f>B!$D$11</f>
        <v>Jan-17</v>
      </c>
      <c r="E406" s="318" t="str">
        <f>B!$E$11</f>
        <v>Feb-17</v>
      </c>
      <c r="F406" s="318" t="str">
        <f>B!$F$11</f>
        <v>Mar-17</v>
      </c>
      <c r="G406" s="318" t="str">
        <f>B!$G$11</f>
        <v>Apr-17</v>
      </c>
      <c r="H406" s="318" t="str">
        <f>B!$H$11</f>
        <v>May-17</v>
      </c>
      <c r="I406" s="318" t="str">
        <f>B!$I$11</f>
        <v>Jun-17</v>
      </c>
      <c r="J406" s="318" t="str">
        <f>B!$J$11</f>
        <v>Jul-17</v>
      </c>
      <c r="K406" s="318" t="str">
        <f>B!$K$11</f>
        <v>Aug-17</v>
      </c>
      <c r="L406" s="318" t="str">
        <f>B!$L$11</f>
        <v>Sep-17</v>
      </c>
      <c r="M406" s="318" t="str">
        <f>B!$M$11</f>
        <v>Oct-17</v>
      </c>
      <c r="N406" s="318" t="str">
        <f>B!$N$11</f>
        <v>Nov-17</v>
      </c>
      <c r="O406" s="318" t="str">
        <f>B!$O$11</f>
        <v>Dec-17</v>
      </c>
      <c r="P406" s="218" t="s">
        <v>9</v>
      </c>
      <c r="S406" s="135"/>
    </row>
    <row r="407" spans="1:19" s="53" customFormat="1" ht="15.6" x14ac:dyDescent="0.3">
      <c r="A407" s="124"/>
      <c r="B407" s="135" t="s">
        <v>42</v>
      </c>
      <c r="C407" s="131" t="s">
        <v>43</v>
      </c>
      <c r="D407" s="313" t="s">
        <v>45</v>
      </c>
      <c r="E407" s="313" t="s">
        <v>46</v>
      </c>
      <c r="F407" s="313" t="s">
        <v>49</v>
      </c>
      <c r="G407" s="313" t="s">
        <v>50</v>
      </c>
      <c r="H407" s="313" t="s">
        <v>51</v>
      </c>
      <c r="I407" s="313" t="s">
        <v>52</v>
      </c>
      <c r="J407" s="313" t="s">
        <v>53</v>
      </c>
      <c r="K407" s="136" t="s">
        <v>54</v>
      </c>
      <c r="L407" s="136" t="s">
        <v>55</v>
      </c>
      <c r="M407" s="136" t="s">
        <v>56</v>
      </c>
      <c r="N407" s="136" t="s">
        <v>57</v>
      </c>
      <c r="O407" s="136" t="s">
        <v>58</v>
      </c>
      <c r="P407" s="136" t="s">
        <v>59</v>
      </c>
      <c r="S407" s="135"/>
    </row>
    <row r="408" spans="1:19" ht="16.2" thickBot="1" x14ac:dyDescent="0.35">
      <c r="A408" s="124"/>
      <c r="B408" s="124"/>
      <c r="C408" s="108"/>
      <c r="D408" s="108"/>
      <c r="E408" s="108"/>
      <c r="F408" s="108"/>
      <c r="G408" s="108"/>
      <c r="H408" s="108"/>
      <c r="I408" s="108"/>
      <c r="J408" s="108"/>
      <c r="K408" s="108"/>
      <c r="L408" s="108"/>
      <c r="M408" s="108"/>
      <c r="N408" s="108"/>
      <c r="O408" s="108"/>
      <c r="P408" s="124"/>
      <c r="S408" s="135"/>
    </row>
    <row r="409" spans="1:19" ht="15.6" x14ac:dyDescent="0.3">
      <c r="A409" s="141">
        <v>1</v>
      </c>
      <c r="B409" s="125" t="s">
        <v>15</v>
      </c>
      <c r="C409" s="126"/>
      <c r="D409" s="126"/>
      <c r="E409" s="126"/>
      <c r="F409" s="126"/>
      <c r="G409" s="126"/>
      <c r="H409" s="126"/>
      <c r="I409" s="126"/>
      <c r="J409" s="126"/>
      <c r="K409" s="148"/>
      <c r="L409" s="148"/>
      <c r="M409" s="148"/>
      <c r="N409" s="148"/>
      <c r="O409" s="148"/>
      <c r="P409" s="142"/>
    </row>
    <row r="410" spans="1:19" x14ac:dyDescent="0.25">
      <c r="A410" s="129"/>
      <c r="B410" s="53"/>
      <c r="C410" s="88"/>
      <c r="D410" s="88"/>
      <c r="E410" s="88"/>
      <c r="F410" s="88"/>
      <c r="G410" s="88"/>
      <c r="H410" s="88"/>
      <c r="I410" s="88"/>
      <c r="J410" s="88"/>
      <c r="K410" s="96"/>
      <c r="L410" s="96"/>
      <c r="M410" s="96"/>
      <c r="N410" s="96"/>
      <c r="O410" s="96"/>
      <c r="P410" s="128"/>
    </row>
    <row r="411" spans="1:19" x14ac:dyDescent="0.25">
      <c r="A411" s="129">
        <f>A409+1</f>
        <v>2</v>
      </c>
      <c r="B411" s="53" t="s">
        <v>35</v>
      </c>
      <c r="C411" s="88"/>
      <c r="D411" s="88"/>
      <c r="E411" s="88"/>
      <c r="F411" s="88"/>
      <c r="G411" s="88"/>
      <c r="H411" s="88"/>
      <c r="I411" s="88"/>
      <c r="J411" s="88"/>
      <c r="K411" s="96"/>
      <c r="L411" s="96"/>
      <c r="M411" s="96"/>
      <c r="N411" s="96"/>
      <c r="O411" s="96"/>
      <c r="P411" s="128"/>
    </row>
    <row r="412" spans="1:19" x14ac:dyDescent="0.25">
      <c r="A412" s="129">
        <f>A411+1</f>
        <v>3</v>
      </c>
      <c r="B412" s="53" t="s">
        <v>368</v>
      </c>
      <c r="C412" s="88"/>
      <c r="D412" s="88">
        <f t="shared" ref="D412:O412" si="89">D184</f>
        <v>364000</v>
      </c>
      <c r="E412" s="88">
        <f t="shared" si="89"/>
        <v>353000</v>
      </c>
      <c r="F412" s="88">
        <f t="shared" si="89"/>
        <v>265000</v>
      </c>
      <c r="G412" s="88">
        <f t="shared" si="89"/>
        <v>151000</v>
      </c>
      <c r="H412" s="88">
        <f t="shared" si="89"/>
        <v>71000</v>
      </c>
      <c r="I412" s="88">
        <f t="shared" si="89"/>
        <v>34000</v>
      </c>
      <c r="J412" s="88">
        <f t="shared" si="89"/>
        <v>24000</v>
      </c>
      <c r="K412" s="88">
        <f t="shared" si="89"/>
        <v>23000</v>
      </c>
      <c r="L412" s="88">
        <f t="shared" si="89"/>
        <v>25000</v>
      </c>
      <c r="M412" s="88">
        <f t="shared" si="89"/>
        <v>39000</v>
      </c>
      <c r="N412" s="88">
        <f t="shared" si="89"/>
        <v>111000</v>
      </c>
      <c r="O412" s="88">
        <f t="shared" si="89"/>
        <v>247000</v>
      </c>
      <c r="P412" s="149">
        <f>SUM(D412:O412)</f>
        <v>1707000</v>
      </c>
    </row>
    <row r="413" spans="1:19" x14ac:dyDescent="0.25">
      <c r="A413" s="129">
        <f>A412+1</f>
        <v>4</v>
      </c>
      <c r="B413" s="53" t="s">
        <v>244</v>
      </c>
      <c r="C413" s="88"/>
      <c r="D413" s="123">
        <f t="shared" ref="D413:O413" si="90">D185</f>
        <v>0</v>
      </c>
      <c r="E413" s="123">
        <f t="shared" si="90"/>
        <v>0</v>
      </c>
      <c r="F413" s="123">
        <f t="shared" si="90"/>
        <v>0</v>
      </c>
      <c r="G413" s="123">
        <f t="shared" si="90"/>
        <v>0</v>
      </c>
      <c r="H413" s="123">
        <f t="shared" si="90"/>
        <v>0</v>
      </c>
      <c r="I413" s="123">
        <f t="shared" si="90"/>
        <v>0</v>
      </c>
      <c r="J413" s="123">
        <f t="shared" si="90"/>
        <v>0</v>
      </c>
      <c r="K413" s="123">
        <f t="shared" si="90"/>
        <v>0</v>
      </c>
      <c r="L413" s="123">
        <f t="shared" si="90"/>
        <v>0</v>
      </c>
      <c r="M413" s="123">
        <f t="shared" si="90"/>
        <v>0</v>
      </c>
      <c r="N413" s="123">
        <f t="shared" si="90"/>
        <v>0</v>
      </c>
      <c r="O413" s="123">
        <f t="shared" si="90"/>
        <v>0</v>
      </c>
      <c r="P413" s="356">
        <f>SUM(D413:O413)</f>
        <v>0</v>
      </c>
    </row>
    <row r="414" spans="1:19" x14ac:dyDescent="0.25">
      <c r="A414" s="129">
        <f>A413+1</f>
        <v>5</v>
      </c>
      <c r="B414" s="53" t="s">
        <v>263</v>
      </c>
      <c r="C414" s="88"/>
      <c r="D414" s="88">
        <f t="shared" ref="D414:O414" si="91">SUM(D412:D413)</f>
        <v>364000</v>
      </c>
      <c r="E414" s="88">
        <f t="shared" si="91"/>
        <v>353000</v>
      </c>
      <c r="F414" s="88">
        <f t="shared" si="91"/>
        <v>265000</v>
      </c>
      <c r="G414" s="88">
        <f t="shared" si="91"/>
        <v>151000</v>
      </c>
      <c r="H414" s="88">
        <f t="shared" si="91"/>
        <v>71000</v>
      </c>
      <c r="I414" s="88">
        <f t="shared" si="91"/>
        <v>34000</v>
      </c>
      <c r="J414" s="88">
        <f t="shared" si="91"/>
        <v>24000</v>
      </c>
      <c r="K414" s="88">
        <f t="shared" si="91"/>
        <v>23000</v>
      </c>
      <c r="L414" s="88">
        <f t="shared" si="91"/>
        <v>25000</v>
      </c>
      <c r="M414" s="88">
        <f t="shared" si="91"/>
        <v>39000</v>
      </c>
      <c r="N414" s="88">
        <f t="shared" si="91"/>
        <v>111000</v>
      </c>
      <c r="O414" s="88">
        <f t="shared" si="91"/>
        <v>247000</v>
      </c>
      <c r="P414" s="149">
        <f>SUM(D414:O414)</f>
        <v>1707000</v>
      </c>
    </row>
    <row r="415" spans="1:19" x14ac:dyDescent="0.25">
      <c r="A415" s="129"/>
      <c r="B415" s="53"/>
      <c r="C415" s="88"/>
      <c r="D415" s="88"/>
      <c r="E415" s="88"/>
      <c r="F415" s="88"/>
      <c r="G415" s="88"/>
      <c r="H415" s="88"/>
      <c r="I415" s="88"/>
      <c r="J415" s="88"/>
      <c r="K415" s="96"/>
      <c r="L415" s="96"/>
      <c r="M415" s="96"/>
      <c r="N415" s="96"/>
      <c r="O415" s="96"/>
      <c r="P415" s="127"/>
    </row>
    <row r="416" spans="1:19" x14ac:dyDescent="0.25">
      <c r="A416" s="129">
        <f>A414+1</f>
        <v>6</v>
      </c>
      <c r="B416" s="53" t="s">
        <v>16</v>
      </c>
      <c r="C416" s="88"/>
      <c r="D416" s="88"/>
      <c r="E416" s="88"/>
      <c r="F416" s="88"/>
      <c r="G416" s="88"/>
      <c r="H416" s="88"/>
      <c r="I416" s="88"/>
      <c r="J416" s="88"/>
      <c r="K416" s="96"/>
      <c r="L416" s="96"/>
      <c r="M416" s="96"/>
      <c r="N416" s="96"/>
      <c r="O416" s="96"/>
      <c r="P416" s="128"/>
    </row>
    <row r="417" spans="1:16" x14ac:dyDescent="0.25">
      <c r="A417" s="129">
        <f>A416+1</f>
        <v>7</v>
      </c>
      <c r="B417" s="53" t="s">
        <v>368</v>
      </c>
      <c r="C417" s="88"/>
      <c r="D417" s="88">
        <f t="shared" ref="D417:O417" si="92">D194+D245+D288+D328+D346+D373</f>
        <v>655000.69999999995</v>
      </c>
      <c r="E417" s="88">
        <f t="shared" si="92"/>
        <v>622002.5</v>
      </c>
      <c r="F417" s="88">
        <f t="shared" si="92"/>
        <v>509001.3</v>
      </c>
      <c r="G417" s="88">
        <f t="shared" si="92"/>
        <v>357004</v>
      </c>
      <c r="H417" s="88">
        <f t="shared" si="92"/>
        <v>261998.6</v>
      </c>
      <c r="I417" s="88">
        <f t="shared" si="92"/>
        <v>220999.9</v>
      </c>
      <c r="J417" s="88">
        <f t="shared" si="92"/>
        <v>214999.2</v>
      </c>
      <c r="K417" s="88">
        <f t="shared" si="92"/>
        <v>211001.1</v>
      </c>
      <c r="L417" s="88">
        <f t="shared" si="92"/>
        <v>231998</v>
      </c>
      <c r="M417" s="88">
        <f t="shared" si="92"/>
        <v>296994.60000000003</v>
      </c>
      <c r="N417" s="88">
        <f t="shared" si="92"/>
        <v>402994.69999999995</v>
      </c>
      <c r="O417" s="88">
        <f t="shared" si="92"/>
        <v>535996.69999999995</v>
      </c>
      <c r="P417" s="149">
        <f>SUM(D417:O417)</f>
        <v>4519991.3000000007</v>
      </c>
    </row>
    <row r="418" spans="1:16" x14ac:dyDescent="0.25">
      <c r="A418" s="129">
        <f>A417+1</f>
        <v>8</v>
      </c>
      <c r="B418" s="53" t="s">
        <v>244</v>
      </c>
      <c r="C418" s="88"/>
      <c r="D418" s="123">
        <f t="shared" ref="D418:O418" si="93">D200+D249+D294+D329+D347+D377</f>
        <v>0</v>
      </c>
      <c r="E418" s="123">
        <f t="shared" si="93"/>
        <v>0</v>
      </c>
      <c r="F418" s="123">
        <f t="shared" si="93"/>
        <v>0</v>
      </c>
      <c r="G418" s="123">
        <f t="shared" si="93"/>
        <v>0</v>
      </c>
      <c r="H418" s="123">
        <f t="shared" si="93"/>
        <v>0</v>
      </c>
      <c r="I418" s="123">
        <f t="shared" si="93"/>
        <v>0</v>
      </c>
      <c r="J418" s="123">
        <f t="shared" si="93"/>
        <v>0</v>
      </c>
      <c r="K418" s="123">
        <f t="shared" si="93"/>
        <v>0</v>
      </c>
      <c r="L418" s="123">
        <f t="shared" si="93"/>
        <v>0</v>
      </c>
      <c r="M418" s="123">
        <f t="shared" si="93"/>
        <v>0</v>
      </c>
      <c r="N418" s="123">
        <f t="shared" si="93"/>
        <v>0</v>
      </c>
      <c r="O418" s="123">
        <f t="shared" si="93"/>
        <v>0</v>
      </c>
      <c r="P418" s="356">
        <f>SUM(D418:O418)</f>
        <v>0</v>
      </c>
    </row>
    <row r="419" spans="1:16" x14ac:dyDescent="0.25">
      <c r="A419" s="129">
        <f>A418+1</f>
        <v>9</v>
      </c>
      <c r="B419" s="53" t="s">
        <v>263</v>
      </c>
      <c r="C419" s="88"/>
      <c r="D419" s="88">
        <f t="shared" ref="D419:O419" si="94">SUM(D417:D418)</f>
        <v>655000.69999999995</v>
      </c>
      <c r="E419" s="88">
        <f t="shared" si="94"/>
        <v>622002.5</v>
      </c>
      <c r="F419" s="88">
        <f t="shared" si="94"/>
        <v>509001.3</v>
      </c>
      <c r="G419" s="88">
        <f t="shared" si="94"/>
        <v>357004</v>
      </c>
      <c r="H419" s="88">
        <f t="shared" si="94"/>
        <v>261998.6</v>
      </c>
      <c r="I419" s="88">
        <f t="shared" si="94"/>
        <v>220999.9</v>
      </c>
      <c r="J419" s="88">
        <f t="shared" si="94"/>
        <v>214999.2</v>
      </c>
      <c r="K419" s="88">
        <f t="shared" si="94"/>
        <v>211001.1</v>
      </c>
      <c r="L419" s="88">
        <f t="shared" si="94"/>
        <v>231998</v>
      </c>
      <c r="M419" s="88">
        <f t="shared" si="94"/>
        <v>296994.60000000003</v>
      </c>
      <c r="N419" s="88">
        <f t="shared" si="94"/>
        <v>402994.69999999995</v>
      </c>
      <c r="O419" s="88">
        <f t="shared" si="94"/>
        <v>535996.69999999995</v>
      </c>
      <c r="P419" s="149">
        <f>SUM(D419:O419)</f>
        <v>4519991.3000000007</v>
      </c>
    </row>
    <row r="420" spans="1:16" x14ac:dyDescent="0.25">
      <c r="A420" s="129"/>
      <c r="B420" s="53"/>
      <c r="C420" s="88"/>
      <c r="D420" s="88"/>
      <c r="E420" s="88"/>
      <c r="F420" s="88"/>
      <c r="G420" s="88"/>
      <c r="H420" s="88"/>
      <c r="I420" s="88"/>
      <c r="J420" s="88"/>
      <c r="K420" s="96"/>
      <c r="L420" s="96"/>
      <c r="M420" s="96"/>
      <c r="N420" s="96"/>
      <c r="O420" s="96"/>
      <c r="P420" s="127"/>
    </row>
    <row r="421" spans="1:16" x14ac:dyDescent="0.25">
      <c r="A421" s="129">
        <f>A419+1</f>
        <v>10</v>
      </c>
      <c r="B421" s="96" t="s">
        <v>17</v>
      </c>
      <c r="C421" s="123"/>
      <c r="D421" s="123"/>
      <c r="E421" s="123"/>
      <c r="F421" s="123"/>
      <c r="G421" s="123"/>
      <c r="H421" s="123"/>
      <c r="I421" s="123"/>
      <c r="J421" s="123"/>
      <c r="K421" s="96"/>
      <c r="L421" s="96"/>
      <c r="M421" s="96"/>
      <c r="N421" s="96"/>
      <c r="O421" s="96"/>
      <c r="P421" s="128"/>
    </row>
    <row r="422" spans="1:16" x14ac:dyDescent="0.25">
      <c r="A422" s="129">
        <f>A421+1</f>
        <v>11</v>
      </c>
      <c r="B422" s="53" t="s">
        <v>368</v>
      </c>
      <c r="C422" s="123"/>
      <c r="D422" s="88">
        <f>D227+D259+D308+D323+D351+D359++D387</f>
        <v>1616999.9</v>
      </c>
      <c r="E422" s="88">
        <f t="shared" ref="E422:O422" si="95">E227+E259+E308+E323+E351+E359++E387</f>
        <v>1470999.7000000002</v>
      </c>
      <c r="F422" s="88">
        <f t="shared" si="95"/>
        <v>1426999.9</v>
      </c>
      <c r="G422" s="88">
        <f t="shared" si="95"/>
        <v>1308999.7</v>
      </c>
      <c r="H422" s="88">
        <f t="shared" si="95"/>
        <v>1261000.1000000001</v>
      </c>
      <c r="I422" s="88">
        <f t="shared" si="95"/>
        <v>1216999.8999999999</v>
      </c>
      <c r="J422" s="88">
        <f t="shared" si="95"/>
        <v>1179999.8</v>
      </c>
      <c r="K422" s="88">
        <f t="shared" si="95"/>
        <v>1227000</v>
      </c>
      <c r="L422" s="88">
        <f t="shared" si="95"/>
        <v>1252000</v>
      </c>
      <c r="M422" s="88">
        <f t="shared" si="95"/>
        <v>1363000.2</v>
      </c>
      <c r="N422" s="88">
        <f t="shared" si="95"/>
        <v>1451000</v>
      </c>
      <c r="O422" s="88">
        <f t="shared" si="95"/>
        <v>1494000</v>
      </c>
      <c r="P422" s="149">
        <f>SUM(D422:O422)</f>
        <v>16268999.200000001</v>
      </c>
    </row>
    <row r="423" spans="1:16" x14ac:dyDescent="0.25">
      <c r="A423" s="129">
        <f>A422+1</f>
        <v>12</v>
      </c>
      <c r="B423" s="53" t="s">
        <v>244</v>
      </c>
      <c r="C423" s="123"/>
      <c r="D423" s="123">
        <f>D233+D263+D314+D324+D352+D363+D391</f>
        <v>-235112</v>
      </c>
      <c r="E423" s="123">
        <f t="shared" ref="E423:O423" si="96">E233+E263+E314+E324+E352+E363+E391</f>
        <v>-223376</v>
      </c>
      <c r="F423" s="123">
        <f t="shared" si="96"/>
        <v>-253376</v>
      </c>
      <c r="G423" s="123">
        <f t="shared" si="96"/>
        <v>-253376</v>
      </c>
      <c r="H423" s="123">
        <f t="shared" si="96"/>
        <v>-263376</v>
      </c>
      <c r="I423" s="123">
        <f t="shared" si="96"/>
        <v>-263376</v>
      </c>
      <c r="J423" s="123">
        <f t="shared" si="96"/>
        <v>-263376</v>
      </c>
      <c r="K423" s="123">
        <f t="shared" si="96"/>
        <v>-263376</v>
      </c>
      <c r="L423" s="123">
        <f t="shared" si="96"/>
        <v>-263376</v>
      </c>
      <c r="M423" s="123">
        <f t="shared" si="96"/>
        <v>-263376</v>
      </c>
      <c r="N423" s="123">
        <f t="shared" si="96"/>
        <v>-253376</v>
      </c>
      <c r="O423" s="123">
        <f t="shared" si="96"/>
        <v>-235112</v>
      </c>
      <c r="P423" s="356">
        <f>SUM(D423:O423)</f>
        <v>-3033984</v>
      </c>
    </row>
    <row r="424" spans="1:16" x14ac:dyDescent="0.25">
      <c r="A424" s="129">
        <f>A423+1</f>
        <v>13</v>
      </c>
      <c r="B424" s="53" t="s">
        <v>263</v>
      </c>
      <c r="C424" s="123"/>
      <c r="D424" s="88">
        <f t="shared" ref="D424:O424" si="97">SUM(D422:D423)</f>
        <v>1381887.9</v>
      </c>
      <c r="E424" s="88">
        <f t="shared" si="97"/>
        <v>1247623.7000000002</v>
      </c>
      <c r="F424" s="88">
        <f t="shared" si="97"/>
        <v>1173623.8999999999</v>
      </c>
      <c r="G424" s="88">
        <f t="shared" si="97"/>
        <v>1055623.7</v>
      </c>
      <c r="H424" s="88">
        <f t="shared" si="97"/>
        <v>997624.10000000009</v>
      </c>
      <c r="I424" s="88">
        <f t="shared" si="97"/>
        <v>953623.89999999991</v>
      </c>
      <c r="J424" s="88">
        <f t="shared" si="97"/>
        <v>916623.8</v>
      </c>
      <c r="K424" s="88">
        <f t="shared" si="97"/>
        <v>963624</v>
      </c>
      <c r="L424" s="88">
        <f t="shared" si="97"/>
        <v>988624</v>
      </c>
      <c r="M424" s="88">
        <f t="shared" si="97"/>
        <v>1099624.2</v>
      </c>
      <c r="N424" s="88">
        <f t="shared" si="97"/>
        <v>1197624</v>
      </c>
      <c r="O424" s="88">
        <f t="shared" si="97"/>
        <v>1258888</v>
      </c>
      <c r="P424" s="149">
        <f>SUM(D424:O424)</f>
        <v>13235015.199999999</v>
      </c>
    </row>
    <row r="425" spans="1:16" x14ac:dyDescent="0.25">
      <c r="A425" s="213"/>
      <c r="B425" s="96"/>
      <c r="C425" s="123"/>
      <c r="D425" s="123"/>
      <c r="E425" s="123"/>
      <c r="F425" s="123"/>
      <c r="G425" s="123"/>
      <c r="H425" s="123"/>
      <c r="I425" s="123"/>
      <c r="J425" s="123"/>
      <c r="K425" s="96"/>
      <c r="L425" s="96"/>
      <c r="M425" s="96"/>
      <c r="N425" s="96"/>
      <c r="O425" s="96"/>
      <c r="P425" s="127"/>
    </row>
    <row r="426" spans="1:16" ht="15.6" x14ac:dyDescent="0.3">
      <c r="A426" s="129">
        <f>A424+1</f>
        <v>14</v>
      </c>
      <c r="B426" s="52" t="s">
        <v>18</v>
      </c>
      <c r="C426" s="88"/>
      <c r="D426" s="88"/>
      <c r="E426" s="88"/>
      <c r="F426" s="88"/>
      <c r="G426" s="88"/>
      <c r="H426" s="88"/>
      <c r="I426" s="88"/>
      <c r="J426" s="88"/>
      <c r="K426" s="96"/>
      <c r="L426" s="96"/>
      <c r="M426" s="96"/>
      <c r="N426" s="96"/>
      <c r="O426" s="96"/>
      <c r="P426" s="128"/>
    </row>
    <row r="427" spans="1:16" x14ac:dyDescent="0.25">
      <c r="A427" s="129">
        <f>A426+1</f>
        <v>15</v>
      </c>
      <c r="B427" s="53" t="s">
        <v>368</v>
      </c>
      <c r="C427" s="88"/>
      <c r="D427" s="88">
        <f t="shared" ref="D427:O427" si="98">D412+D417+D422</f>
        <v>2636000.5999999996</v>
      </c>
      <c r="E427" s="88">
        <f t="shared" si="98"/>
        <v>2446002.2000000002</v>
      </c>
      <c r="F427" s="88">
        <f t="shared" si="98"/>
        <v>2201001.2000000002</v>
      </c>
      <c r="G427" s="88">
        <f t="shared" si="98"/>
        <v>1817003.7</v>
      </c>
      <c r="H427" s="88">
        <f t="shared" si="98"/>
        <v>1593998.7000000002</v>
      </c>
      <c r="I427" s="88">
        <f t="shared" si="98"/>
        <v>1471999.7999999998</v>
      </c>
      <c r="J427" s="88">
        <f t="shared" si="98"/>
        <v>1418999</v>
      </c>
      <c r="K427" s="88">
        <f t="shared" si="98"/>
        <v>1461001.1</v>
      </c>
      <c r="L427" s="88">
        <f t="shared" si="98"/>
        <v>1508998</v>
      </c>
      <c r="M427" s="88">
        <f t="shared" si="98"/>
        <v>1698994.8</v>
      </c>
      <c r="N427" s="88">
        <f t="shared" si="98"/>
        <v>1964994.7</v>
      </c>
      <c r="O427" s="88">
        <f t="shared" si="98"/>
        <v>2276996.7000000002</v>
      </c>
      <c r="P427" s="149">
        <f>SUM(D427:O427)</f>
        <v>22495990.499999996</v>
      </c>
    </row>
    <row r="428" spans="1:16" x14ac:dyDescent="0.25">
      <c r="A428" s="129">
        <f>A427+1</f>
        <v>16</v>
      </c>
      <c r="B428" s="53" t="s">
        <v>244</v>
      </c>
      <c r="C428" s="88"/>
      <c r="D428" s="123">
        <f t="shared" ref="D428:O428" si="99">D413+D418+D423</f>
        <v>-235112</v>
      </c>
      <c r="E428" s="123">
        <f t="shared" si="99"/>
        <v>-223376</v>
      </c>
      <c r="F428" s="123">
        <f t="shared" si="99"/>
        <v>-253376</v>
      </c>
      <c r="G428" s="123">
        <f t="shared" si="99"/>
        <v>-253376</v>
      </c>
      <c r="H428" s="123">
        <f t="shared" si="99"/>
        <v>-263376</v>
      </c>
      <c r="I428" s="123">
        <f t="shared" si="99"/>
        <v>-263376</v>
      </c>
      <c r="J428" s="123">
        <f t="shared" si="99"/>
        <v>-263376</v>
      </c>
      <c r="K428" s="123">
        <f t="shared" si="99"/>
        <v>-263376</v>
      </c>
      <c r="L428" s="123">
        <f t="shared" si="99"/>
        <v>-263376</v>
      </c>
      <c r="M428" s="123">
        <f t="shared" si="99"/>
        <v>-263376</v>
      </c>
      <c r="N428" s="123">
        <f t="shared" si="99"/>
        <v>-253376</v>
      </c>
      <c r="O428" s="123">
        <f t="shared" si="99"/>
        <v>-235112</v>
      </c>
      <c r="P428" s="356">
        <f>SUM(D428:O428)</f>
        <v>-3033984</v>
      </c>
    </row>
    <row r="429" spans="1:16" ht="15.6" thickBot="1" x14ac:dyDescent="0.3">
      <c r="A429" s="130">
        <f>A428+1</f>
        <v>17</v>
      </c>
      <c r="B429" s="144" t="s">
        <v>263</v>
      </c>
      <c r="C429" s="214"/>
      <c r="D429" s="214">
        <f t="shared" ref="D429:O429" si="100">SUM(D427:D428)</f>
        <v>2400888.5999999996</v>
      </c>
      <c r="E429" s="214">
        <f t="shared" si="100"/>
        <v>2222626.2000000002</v>
      </c>
      <c r="F429" s="214">
        <f t="shared" si="100"/>
        <v>1947625.2000000002</v>
      </c>
      <c r="G429" s="214">
        <f t="shared" si="100"/>
        <v>1563627.7</v>
      </c>
      <c r="H429" s="214">
        <f t="shared" si="100"/>
        <v>1330622.7000000002</v>
      </c>
      <c r="I429" s="214">
        <f t="shared" si="100"/>
        <v>1208623.7999999998</v>
      </c>
      <c r="J429" s="214">
        <f t="shared" si="100"/>
        <v>1155623</v>
      </c>
      <c r="K429" s="214">
        <f t="shared" si="100"/>
        <v>1197625.1000000001</v>
      </c>
      <c r="L429" s="214">
        <f t="shared" si="100"/>
        <v>1245622</v>
      </c>
      <c r="M429" s="214">
        <f t="shared" si="100"/>
        <v>1435618.8</v>
      </c>
      <c r="N429" s="214">
        <f t="shared" si="100"/>
        <v>1711618.7</v>
      </c>
      <c r="O429" s="214">
        <f t="shared" si="100"/>
        <v>2041884.7000000002</v>
      </c>
      <c r="P429" s="147">
        <f>SUM(D429:O429)</f>
        <v>19462006.5</v>
      </c>
    </row>
    <row r="430" spans="1:16" x14ac:dyDescent="0.25">
      <c r="A430" s="94"/>
      <c r="B430" s="53"/>
      <c r="C430" s="88"/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72"/>
    </row>
    <row r="431" spans="1:16" x14ac:dyDescent="0.25">
      <c r="A431" s="94"/>
      <c r="B431" s="53"/>
      <c r="C431" s="88"/>
      <c r="D431" s="88"/>
      <c r="E431" s="88"/>
      <c r="F431" s="88"/>
      <c r="G431" s="88"/>
      <c r="H431" s="88"/>
      <c r="I431" s="88"/>
      <c r="J431" s="88"/>
      <c r="K431" s="96"/>
      <c r="L431" s="96"/>
      <c r="M431" s="96"/>
      <c r="N431" s="96"/>
      <c r="O431" s="96"/>
      <c r="P431" s="54"/>
    </row>
    <row r="432" spans="1:16" ht="15.6" thickBot="1" x14ac:dyDescent="0.3">
      <c r="A432" s="94"/>
      <c r="B432" s="53"/>
      <c r="C432" s="88"/>
      <c r="D432" s="88"/>
      <c r="E432" s="88"/>
      <c r="F432" s="88"/>
      <c r="G432" s="88"/>
      <c r="H432" s="88"/>
      <c r="I432" s="88"/>
      <c r="J432" s="88"/>
      <c r="K432" s="96"/>
      <c r="L432" s="96"/>
      <c r="M432" s="96"/>
      <c r="N432" s="96"/>
      <c r="O432" s="96"/>
      <c r="P432" s="53"/>
    </row>
    <row r="433" spans="1:94" ht="15.6" x14ac:dyDescent="0.3">
      <c r="A433" s="141">
        <f>A429+1</f>
        <v>18</v>
      </c>
      <c r="B433" s="125" t="s">
        <v>19</v>
      </c>
      <c r="C433" s="126"/>
      <c r="D433" s="126"/>
      <c r="E433" s="126"/>
      <c r="F433" s="126"/>
      <c r="G433" s="126"/>
      <c r="H433" s="126"/>
      <c r="I433" s="126"/>
      <c r="J433" s="126"/>
      <c r="K433" s="148"/>
      <c r="L433" s="148"/>
      <c r="M433" s="148"/>
      <c r="N433" s="148"/>
      <c r="O433" s="148"/>
      <c r="P433" s="142"/>
    </row>
    <row r="434" spans="1:94" x14ac:dyDescent="0.25">
      <c r="A434" s="129">
        <f>A433+1</f>
        <v>19</v>
      </c>
      <c r="B434" s="53" t="s">
        <v>368</v>
      </c>
      <c r="C434" s="88"/>
      <c r="D434" s="88">
        <f t="shared" ref="D434:O434" si="101">D178+D427</f>
        <v>4648999.3</v>
      </c>
      <c r="E434" s="88">
        <f t="shared" si="101"/>
        <v>4410008.8</v>
      </c>
      <c r="F434" s="88">
        <f t="shared" si="101"/>
        <v>3641008.7</v>
      </c>
      <c r="G434" s="88">
        <f t="shared" si="101"/>
        <v>2658974.4</v>
      </c>
      <c r="H434" s="88">
        <f t="shared" si="101"/>
        <v>1998031.1</v>
      </c>
      <c r="I434" s="88">
        <f t="shared" si="101"/>
        <v>1685014.9999999998</v>
      </c>
      <c r="J434" s="88">
        <f t="shared" si="101"/>
        <v>1573009.5</v>
      </c>
      <c r="K434" s="88">
        <f t="shared" si="101"/>
        <v>1609006.8</v>
      </c>
      <c r="L434" s="88">
        <f t="shared" si="101"/>
        <v>1659011.5</v>
      </c>
      <c r="M434" s="88">
        <f t="shared" si="101"/>
        <v>1929981</v>
      </c>
      <c r="N434" s="88">
        <f t="shared" si="101"/>
        <v>2557969.7000000002</v>
      </c>
      <c r="O434" s="88">
        <f t="shared" si="101"/>
        <v>3621988.6000000006</v>
      </c>
      <c r="P434" s="127">
        <f>SUM(D434:O434)</f>
        <v>31993004.400000002</v>
      </c>
    </row>
    <row r="435" spans="1:94" ht="15.6" x14ac:dyDescent="0.3">
      <c r="A435" s="129">
        <f>A434+1</f>
        <v>20</v>
      </c>
      <c r="B435" s="53" t="s">
        <v>244</v>
      </c>
      <c r="C435" s="131"/>
      <c r="D435" s="123">
        <f t="shared" ref="D435:O435" si="102">D179+D428</f>
        <v>-217734.8</v>
      </c>
      <c r="E435" s="123">
        <f t="shared" si="102"/>
        <v>-205472</v>
      </c>
      <c r="F435" s="123">
        <f t="shared" si="102"/>
        <v>-235076</v>
      </c>
      <c r="G435" s="123">
        <f t="shared" si="102"/>
        <v>-234376</v>
      </c>
      <c r="H435" s="123">
        <f t="shared" si="102"/>
        <v>-243676</v>
      </c>
      <c r="I435" s="123">
        <f t="shared" si="102"/>
        <v>-243676</v>
      </c>
      <c r="J435" s="123">
        <f t="shared" si="102"/>
        <v>-243626</v>
      </c>
      <c r="K435" s="123">
        <f t="shared" si="102"/>
        <v>-243626</v>
      </c>
      <c r="L435" s="123">
        <f t="shared" si="102"/>
        <v>-243626</v>
      </c>
      <c r="M435" s="123">
        <f t="shared" si="102"/>
        <v>-243626</v>
      </c>
      <c r="N435" s="123">
        <f t="shared" si="102"/>
        <v>-234276</v>
      </c>
      <c r="O435" s="123">
        <f t="shared" si="102"/>
        <v>-217012</v>
      </c>
      <c r="P435" s="415">
        <f>SUM(D435:O435)</f>
        <v>-2805802.8</v>
      </c>
      <c r="S435" s="135"/>
    </row>
    <row r="436" spans="1:94" ht="15.6" thickBot="1" x14ac:dyDescent="0.3">
      <c r="A436" s="130">
        <f>A435+1</f>
        <v>21</v>
      </c>
      <c r="B436" s="144" t="s">
        <v>263</v>
      </c>
      <c r="C436" s="145"/>
      <c r="D436" s="146">
        <f t="shared" ref="D436:O436" si="103">SUM(D434:D435)</f>
        <v>4431264.5</v>
      </c>
      <c r="E436" s="146">
        <f t="shared" si="103"/>
        <v>4204536.8</v>
      </c>
      <c r="F436" s="146">
        <f t="shared" si="103"/>
        <v>3405932.7</v>
      </c>
      <c r="G436" s="146">
        <f t="shared" si="103"/>
        <v>2424598.4</v>
      </c>
      <c r="H436" s="146">
        <f t="shared" si="103"/>
        <v>1754355.1</v>
      </c>
      <c r="I436" s="146">
        <f t="shared" si="103"/>
        <v>1441338.9999999998</v>
      </c>
      <c r="J436" s="146">
        <f t="shared" si="103"/>
        <v>1329383.5</v>
      </c>
      <c r="K436" s="146">
        <f t="shared" si="103"/>
        <v>1365380.8</v>
      </c>
      <c r="L436" s="146">
        <f t="shared" si="103"/>
        <v>1415385.5</v>
      </c>
      <c r="M436" s="146">
        <f t="shared" si="103"/>
        <v>1686355</v>
      </c>
      <c r="N436" s="146">
        <f t="shared" si="103"/>
        <v>2323693.7000000002</v>
      </c>
      <c r="O436" s="146">
        <f t="shared" si="103"/>
        <v>3404976.6000000006</v>
      </c>
      <c r="P436" s="354">
        <f>SUM(D436:O436)</f>
        <v>29187201.600000001</v>
      </c>
    </row>
    <row r="437" spans="1:94" x14ac:dyDescent="0.25">
      <c r="A437" s="94"/>
      <c r="B437" s="53"/>
      <c r="C437" s="143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</row>
    <row r="438" spans="1:94" x14ac:dyDescent="0.25">
      <c r="A438" s="94"/>
      <c r="B438" s="53"/>
      <c r="C438" s="143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2"/>
    </row>
    <row r="439" spans="1:94" s="53" customFormat="1" ht="15.6" x14ac:dyDescent="0.3">
      <c r="A439" s="94"/>
      <c r="C439" s="108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</row>
    <row r="440" spans="1:94" s="53" customFormat="1" ht="15.6" x14ac:dyDescent="0.3">
      <c r="A440" s="94"/>
      <c r="C440" s="108"/>
      <c r="D440" s="72"/>
      <c r="E440" s="72"/>
      <c r="F440" s="72"/>
      <c r="G440" s="72"/>
      <c r="H440" s="72"/>
      <c r="I440" s="72"/>
      <c r="J440" s="72"/>
      <c r="K440" s="96"/>
      <c r="L440" s="96"/>
      <c r="M440" s="96"/>
      <c r="N440" s="96"/>
      <c r="O440" s="96"/>
      <c r="P440" s="54"/>
    </row>
    <row r="441" spans="1:94" s="64" customFormat="1" ht="15.6" thickBot="1" x14ac:dyDescent="0.3">
      <c r="A441" s="76"/>
      <c r="Q441" s="96"/>
      <c r="R441" s="96"/>
      <c r="S441" s="96"/>
      <c r="T441" s="96"/>
      <c r="U441" s="96"/>
      <c r="V441" s="96"/>
      <c r="W441" s="96"/>
      <c r="X441" s="96"/>
      <c r="Y441" s="96"/>
      <c r="Z441" s="96"/>
      <c r="AA441" s="96"/>
      <c r="AB441" s="96"/>
      <c r="AC441" s="96"/>
      <c r="AD441" s="96"/>
      <c r="AE441" s="96"/>
      <c r="AF441" s="96"/>
      <c r="AG441" s="96"/>
      <c r="AH441" s="96"/>
      <c r="AI441" s="96"/>
      <c r="AJ441" s="96"/>
      <c r="AK441" s="96"/>
      <c r="AL441" s="96"/>
      <c r="AM441" s="96"/>
      <c r="AN441" s="96"/>
      <c r="AO441" s="96"/>
      <c r="AP441" s="96"/>
      <c r="AQ441" s="96"/>
      <c r="AR441" s="96"/>
      <c r="AS441" s="96"/>
      <c r="AT441" s="96"/>
      <c r="AU441" s="96"/>
      <c r="AV441" s="96"/>
      <c r="AW441" s="96"/>
      <c r="AX441" s="96"/>
      <c r="AY441" s="96"/>
      <c r="AZ441" s="96"/>
      <c r="BA441" s="96"/>
      <c r="BB441" s="96"/>
      <c r="BC441" s="96"/>
      <c r="BD441" s="96"/>
      <c r="BE441" s="96"/>
      <c r="BF441" s="96"/>
      <c r="BG441" s="96"/>
      <c r="BH441" s="96"/>
      <c r="BI441" s="96"/>
      <c r="BJ441" s="96"/>
      <c r="BK441" s="96"/>
      <c r="BL441" s="96"/>
      <c r="BM441" s="96"/>
      <c r="BN441" s="96"/>
      <c r="BO441" s="96"/>
      <c r="BP441" s="96"/>
      <c r="BQ441" s="96"/>
      <c r="BR441" s="96"/>
      <c r="BS441" s="96"/>
      <c r="BT441" s="96"/>
      <c r="BU441" s="96"/>
      <c r="BV441" s="96"/>
      <c r="BW441" s="96"/>
      <c r="BX441" s="96"/>
      <c r="BY441" s="96"/>
      <c r="BZ441" s="96"/>
      <c r="CA441" s="96"/>
      <c r="CB441" s="96"/>
      <c r="CC441" s="96"/>
      <c r="CD441" s="96"/>
      <c r="CE441" s="96"/>
      <c r="CF441" s="96"/>
      <c r="CG441" s="96"/>
      <c r="CH441" s="96"/>
      <c r="CI441" s="96"/>
      <c r="CJ441" s="96"/>
      <c r="CK441" s="96"/>
      <c r="CL441" s="96"/>
      <c r="CM441" s="96"/>
      <c r="CN441" s="96"/>
      <c r="CO441" s="96"/>
      <c r="CP441" s="96"/>
    </row>
    <row r="442" spans="1:94" s="64" customFormat="1" ht="15.6" x14ac:dyDescent="0.3">
      <c r="A442" s="76"/>
      <c r="B442" s="319" t="s">
        <v>472</v>
      </c>
      <c r="C442" s="320"/>
      <c r="D442" s="320"/>
      <c r="E442" s="321"/>
      <c r="Q442" s="96"/>
      <c r="R442" s="96"/>
      <c r="S442" s="96"/>
      <c r="T442" s="96"/>
      <c r="U442" s="96"/>
      <c r="V442" s="96"/>
      <c r="W442" s="96"/>
      <c r="X442" s="96"/>
      <c r="Y442" s="96"/>
      <c r="Z442" s="96"/>
      <c r="AA442" s="96"/>
      <c r="AB442" s="96"/>
      <c r="AC442" s="96"/>
      <c r="AD442" s="96"/>
      <c r="AE442" s="96"/>
      <c r="AF442" s="96"/>
      <c r="AG442" s="96"/>
      <c r="AH442" s="96"/>
      <c r="AI442" s="96"/>
      <c r="AJ442" s="96"/>
      <c r="AK442" s="96"/>
      <c r="AL442" s="96"/>
      <c r="AM442" s="96"/>
      <c r="AN442" s="96"/>
      <c r="AO442" s="96"/>
      <c r="AP442" s="96"/>
      <c r="AQ442" s="96"/>
      <c r="AR442" s="96"/>
      <c r="AS442" s="96"/>
      <c r="AT442" s="96"/>
      <c r="AU442" s="96"/>
      <c r="AV442" s="96"/>
      <c r="AW442" s="96"/>
      <c r="AX442" s="96"/>
      <c r="AY442" s="96"/>
      <c r="AZ442" s="96"/>
      <c r="BA442" s="96"/>
      <c r="BB442" s="96"/>
      <c r="BC442" s="96"/>
      <c r="BD442" s="96"/>
      <c r="BE442" s="96"/>
      <c r="BF442" s="96"/>
      <c r="BG442" s="96"/>
      <c r="BH442" s="96"/>
      <c r="BI442" s="96"/>
      <c r="BJ442" s="96"/>
      <c r="BK442" s="96"/>
      <c r="BL442" s="96"/>
      <c r="BM442" s="96"/>
      <c r="BN442" s="96"/>
      <c r="BO442" s="96"/>
      <c r="BP442" s="96"/>
      <c r="BQ442" s="96"/>
      <c r="BR442" s="96"/>
      <c r="BS442" s="96"/>
      <c r="BT442" s="96"/>
      <c r="BU442" s="96"/>
      <c r="BV442" s="96"/>
      <c r="BW442" s="96"/>
      <c r="BX442" s="96"/>
      <c r="BY442" s="96"/>
      <c r="BZ442" s="96"/>
      <c r="CA442" s="96"/>
      <c r="CB442" s="96"/>
      <c r="CC442" s="96"/>
      <c r="CD442" s="96"/>
      <c r="CE442" s="96"/>
      <c r="CF442" s="96"/>
      <c r="CG442" s="96"/>
      <c r="CH442" s="96"/>
      <c r="CI442" s="96"/>
      <c r="CJ442" s="96"/>
      <c r="CK442" s="96"/>
      <c r="CL442" s="96"/>
      <c r="CM442" s="96"/>
      <c r="CN442" s="96"/>
      <c r="CO442" s="96"/>
      <c r="CP442" s="96"/>
    </row>
    <row r="443" spans="1:94" s="64" customFormat="1" ht="15.6" x14ac:dyDescent="0.3">
      <c r="A443" s="76"/>
      <c r="B443" s="322"/>
      <c r="C443" s="323" t="s">
        <v>473</v>
      </c>
      <c r="D443" s="323" t="s">
        <v>474</v>
      </c>
      <c r="E443" s="324" t="s">
        <v>475</v>
      </c>
      <c r="F443" s="172"/>
      <c r="G443" s="172"/>
      <c r="H443" s="172"/>
      <c r="I443" s="172"/>
      <c r="J443" s="172"/>
      <c r="Q443" s="96"/>
      <c r="R443" s="96"/>
      <c r="S443" s="96"/>
      <c r="T443" s="96"/>
      <c r="U443" s="96"/>
      <c r="V443" s="96"/>
      <c r="W443" s="96"/>
      <c r="X443" s="96"/>
      <c r="Y443" s="96"/>
      <c r="Z443" s="96"/>
      <c r="AA443" s="96"/>
      <c r="AB443" s="96"/>
      <c r="AC443" s="96"/>
      <c r="AD443" s="96"/>
      <c r="AE443" s="96"/>
      <c r="AF443" s="96"/>
      <c r="AG443" s="96"/>
      <c r="AH443" s="96"/>
      <c r="AI443" s="96"/>
      <c r="AJ443" s="96"/>
      <c r="AK443" s="96"/>
      <c r="AL443" s="96"/>
      <c r="AM443" s="96"/>
      <c r="AN443" s="96"/>
      <c r="AO443" s="96"/>
      <c r="AP443" s="96"/>
      <c r="AQ443" s="96"/>
      <c r="AR443" s="96"/>
      <c r="AS443" s="96"/>
      <c r="AT443" s="96"/>
      <c r="AU443" s="96"/>
      <c r="AV443" s="96"/>
      <c r="AW443" s="96"/>
      <c r="AX443" s="96"/>
      <c r="AY443" s="96"/>
      <c r="AZ443" s="96"/>
      <c r="BA443" s="96"/>
      <c r="BB443" s="96"/>
      <c r="BC443" s="96"/>
      <c r="BD443" s="96"/>
      <c r="BE443" s="96"/>
      <c r="BF443" s="96"/>
      <c r="BG443" s="96"/>
      <c r="BH443" s="96"/>
      <c r="BI443" s="96"/>
      <c r="BJ443" s="96"/>
      <c r="BK443" s="96"/>
      <c r="BL443" s="96"/>
      <c r="BM443" s="96"/>
      <c r="BN443" s="96"/>
      <c r="BO443" s="96"/>
      <c r="BP443" s="96"/>
      <c r="BQ443" s="96"/>
      <c r="BR443" s="96"/>
      <c r="BS443" s="96"/>
      <c r="BT443" s="96"/>
      <c r="BU443" s="96"/>
      <c r="BV443" s="96"/>
      <c r="BW443" s="96"/>
      <c r="BX443" s="96"/>
      <c r="BY443" s="96"/>
      <c r="BZ443" s="96"/>
      <c r="CA443" s="96"/>
      <c r="CB443" s="96"/>
      <c r="CC443" s="96"/>
      <c r="CD443" s="96"/>
      <c r="CE443" s="96"/>
      <c r="CF443" s="96"/>
      <c r="CG443" s="96"/>
      <c r="CH443" s="96"/>
      <c r="CI443" s="96"/>
      <c r="CJ443" s="96"/>
      <c r="CK443" s="96"/>
      <c r="CL443" s="96"/>
      <c r="CM443" s="96"/>
      <c r="CN443" s="96"/>
      <c r="CO443" s="96"/>
      <c r="CP443" s="96"/>
    </row>
    <row r="444" spans="1:94" s="64" customFormat="1" x14ac:dyDescent="0.25">
      <c r="A444" s="76"/>
      <c r="B444" s="325" t="s">
        <v>476</v>
      </c>
      <c r="C444" s="353">
        <f>P15+P25+P30+P35+P40+P45+P71+P74</f>
        <v>6253000.1000000006</v>
      </c>
      <c r="D444" s="344">
        <v>6253000.0999999996</v>
      </c>
      <c r="E444" s="345">
        <f>C444-D444</f>
        <v>0</v>
      </c>
      <c r="F444" s="96"/>
      <c r="G444" s="96"/>
      <c r="H444" s="96"/>
      <c r="I444" s="96"/>
      <c r="J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  <c r="AB444" s="96"/>
      <c r="AC444" s="96"/>
      <c r="AD444" s="96"/>
      <c r="AE444" s="96"/>
      <c r="AF444" s="96"/>
      <c r="AG444" s="96"/>
      <c r="AH444" s="96"/>
      <c r="AI444" s="96"/>
      <c r="AJ444" s="96"/>
      <c r="AK444" s="96"/>
      <c r="AL444" s="96"/>
      <c r="AM444" s="96"/>
      <c r="AN444" s="96"/>
      <c r="AO444" s="96"/>
      <c r="AP444" s="96"/>
      <c r="AQ444" s="96"/>
      <c r="AR444" s="96"/>
      <c r="AS444" s="96"/>
      <c r="AT444" s="96"/>
      <c r="AU444" s="96"/>
      <c r="AV444" s="96"/>
      <c r="AW444" s="96"/>
      <c r="AX444" s="96"/>
      <c r="AY444" s="96"/>
      <c r="AZ444" s="96"/>
      <c r="BA444" s="96"/>
      <c r="BB444" s="96"/>
      <c r="BC444" s="96"/>
      <c r="BD444" s="96"/>
      <c r="BE444" s="96"/>
      <c r="BF444" s="96"/>
      <c r="BG444" s="96"/>
      <c r="BH444" s="96"/>
      <c r="BI444" s="96"/>
      <c r="BJ444" s="96"/>
      <c r="BK444" s="96"/>
      <c r="BL444" s="96"/>
      <c r="BM444" s="96"/>
      <c r="BN444" s="96"/>
      <c r="BO444" s="96"/>
      <c r="BP444" s="96"/>
      <c r="BQ444" s="96"/>
      <c r="BR444" s="96"/>
      <c r="BS444" s="96"/>
      <c r="BT444" s="96"/>
      <c r="BU444" s="96"/>
      <c r="BV444" s="96"/>
      <c r="BW444" s="96"/>
      <c r="BX444" s="96"/>
      <c r="BY444" s="96"/>
      <c r="BZ444" s="96"/>
      <c r="CA444" s="96"/>
      <c r="CB444" s="96"/>
      <c r="CC444" s="96"/>
      <c r="CD444" s="96"/>
      <c r="CE444" s="96"/>
      <c r="CF444" s="96"/>
      <c r="CG444" s="96"/>
      <c r="CH444" s="96"/>
      <c r="CI444" s="96"/>
      <c r="CJ444" s="96"/>
      <c r="CK444" s="96"/>
      <c r="CL444" s="96"/>
      <c r="CM444" s="96"/>
      <c r="CN444" s="96"/>
      <c r="CO444" s="96"/>
      <c r="CP444" s="96"/>
    </row>
    <row r="445" spans="1:94" s="64" customFormat="1" x14ac:dyDescent="0.25">
      <c r="A445" s="76"/>
      <c r="B445" s="326" t="s">
        <v>477</v>
      </c>
      <c r="C445" s="346">
        <f>P184</f>
        <v>1707000</v>
      </c>
      <c r="D445" s="344">
        <v>1707000</v>
      </c>
      <c r="E445" s="345">
        <f t="shared" ref="E445" si="104">C445-D445</f>
        <v>0</v>
      </c>
      <c r="F445" s="217"/>
      <c r="G445" s="217"/>
      <c r="H445" s="96"/>
      <c r="I445" s="96"/>
      <c r="J445" s="96"/>
      <c r="Q445" s="96"/>
      <c r="R445" s="96"/>
      <c r="S445" s="96"/>
      <c r="T445" s="96"/>
      <c r="U445" s="96"/>
      <c r="V445" s="96"/>
      <c r="W445" s="96"/>
      <c r="X445" s="96"/>
      <c r="Y445" s="96"/>
      <c r="Z445" s="96"/>
      <c r="AA445" s="96"/>
      <c r="AB445" s="96"/>
      <c r="AC445" s="96"/>
      <c r="AD445" s="96"/>
      <c r="AE445" s="96"/>
      <c r="AF445" s="96"/>
      <c r="AG445" s="96"/>
      <c r="AH445" s="96"/>
      <c r="AI445" s="96"/>
      <c r="AJ445" s="96"/>
      <c r="AK445" s="96"/>
      <c r="AL445" s="96"/>
      <c r="AM445" s="96"/>
      <c r="AN445" s="96"/>
      <c r="AO445" s="96"/>
      <c r="AP445" s="96"/>
      <c r="AQ445" s="96"/>
      <c r="AR445" s="96"/>
      <c r="AS445" s="96"/>
      <c r="AT445" s="96"/>
      <c r="AU445" s="96"/>
      <c r="AV445" s="96"/>
      <c r="AW445" s="96"/>
      <c r="AX445" s="96"/>
      <c r="AY445" s="96"/>
      <c r="AZ445" s="96"/>
      <c r="BA445" s="96"/>
      <c r="BB445" s="96"/>
      <c r="BC445" s="96"/>
      <c r="BD445" s="96"/>
      <c r="BE445" s="96"/>
      <c r="BF445" s="96"/>
      <c r="BG445" s="96"/>
      <c r="BH445" s="96"/>
      <c r="BI445" s="96"/>
      <c r="BJ445" s="96"/>
      <c r="BK445" s="96"/>
      <c r="BL445" s="96"/>
      <c r="BM445" s="96"/>
      <c r="BN445" s="96"/>
      <c r="BO445" s="96"/>
      <c r="BP445" s="96"/>
      <c r="BQ445" s="96"/>
      <c r="BR445" s="96"/>
      <c r="BS445" s="96"/>
      <c r="BT445" s="96"/>
      <c r="BU445" s="96"/>
      <c r="BV445" s="96"/>
      <c r="BW445" s="96"/>
      <c r="BX445" s="96"/>
      <c r="BY445" s="96"/>
      <c r="BZ445" s="96"/>
      <c r="CA445" s="96"/>
      <c r="CB445" s="96"/>
      <c r="CC445" s="96"/>
      <c r="CD445" s="96"/>
      <c r="CE445" s="96"/>
      <c r="CF445" s="96"/>
      <c r="CG445" s="96"/>
      <c r="CH445" s="96"/>
      <c r="CI445" s="96"/>
      <c r="CJ445" s="96"/>
      <c r="CK445" s="96"/>
      <c r="CL445" s="96"/>
      <c r="CM445" s="96"/>
      <c r="CN445" s="96"/>
      <c r="CO445" s="96"/>
      <c r="CP445" s="96"/>
    </row>
    <row r="446" spans="1:94" x14ac:dyDescent="0.25">
      <c r="B446" s="326" t="s">
        <v>478</v>
      </c>
      <c r="C446" s="347" t="e">
        <f>P20+#REF!+P50++P84+P117+P135+P140</f>
        <v>#REF!</v>
      </c>
      <c r="D446" s="344">
        <v>3244013.8</v>
      </c>
      <c r="E446" s="345" t="e">
        <f>C446-D446</f>
        <v>#REF!</v>
      </c>
      <c r="F446" s="217"/>
      <c r="G446" s="217"/>
      <c r="H446" s="96"/>
      <c r="I446" s="96"/>
      <c r="J446" s="96"/>
      <c r="P446" s="64"/>
    </row>
    <row r="447" spans="1:94" x14ac:dyDescent="0.25">
      <c r="B447" s="326" t="s">
        <v>479</v>
      </c>
      <c r="C447" s="353">
        <f>P194+P227</f>
        <v>1931990.7000000002</v>
      </c>
      <c r="D447" s="344">
        <v>1931990.7</v>
      </c>
      <c r="E447" s="345">
        <f t="shared" ref="E447:E448" si="105">C447-D447</f>
        <v>0</v>
      </c>
      <c r="F447" s="217"/>
      <c r="G447" s="217"/>
      <c r="H447" s="96"/>
      <c r="I447" s="96"/>
      <c r="J447" s="96"/>
      <c r="P447" s="64"/>
    </row>
    <row r="448" spans="1:94" ht="16.8" x14ac:dyDescent="0.4">
      <c r="B448" s="326" t="s">
        <v>311</v>
      </c>
      <c r="C448" s="348">
        <f>P245+P259+P288+P308+P323+P328+P346+P351+P359+P373+P387</f>
        <v>18856999.800000001</v>
      </c>
      <c r="D448" s="349">
        <v>18856999.800000001</v>
      </c>
      <c r="E448" s="350">
        <f t="shared" si="105"/>
        <v>0</v>
      </c>
      <c r="F448" s="217"/>
      <c r="G448" s="217"/>
      <c r="H448" s="96"/>
      <c r="I448" s="96"/>
      <c r="J448" s="96"/>
      <c r="P448" s="64"/>
    </row>
    <row r="449" spans="2:16" ht="15.6" thickBot="1" x14ac:dyDescent="0.3">
      <c r="B449" s="327"/>
      <c r="C449" s="351" t="e">
        <f>SUM(C444:C448)</f>
        <v>#REF!</v>
      </c>
      <c r="D449" s="351">
        <f>SUM(D444:D448)</f>
        <v>31993004.399999999</v>
      </c>
      <c r="E449" s="352" t="e">
        <f>SUM(E444:E448)</f>
        <v>#REF!</v>
      </c>
      <c r="F449" s="96"/>
      <c r="G449" s="96"/>
      <c r="H449" s="96"/>
      <c r="I449" s="96"/>
      <c r="J449" s="96"/>
      <c r="P449" s="64"/>
    </row>
    <row r="450" spans="2:16" x14ac:dyDescent="0.25">
      <c r="B450" s="96"/>
      <c r="C450" s="96"/>
      <c r="D450" s="96"/>
      <c r="E450" s="96"/>
      <c r="F450" s="96"/>
      <c r="G450" s="96"/>
      <c r="H450" s="72"/>
      <c r="I450" s="72"/>
      <c r="J450" s="96"/>
      <c r="P450" s="64"/>
    </row>
    <row r="451" spans="2:16" x14ac:dyDescent="0.25">
      <c r="B451" s="96"/>
      <c r="C451" s="96"/>
      <c r="D451" s="96"/>
      <c r="E451" s="96"/>
      <c r="F451" s="96"/>
      <c r="G451" s="96"/>
      <c r="H451" s="96"/>
      <c r="I451" s="96"/>
      <c r="J451" s="96"/>
      <c r="P451" s="64"/>
    </row>
    <row r="452" spans="2:16" x14ac:dyDescent="0.25">
      <c r="B452" s="96"/>
      <c r="C452" s="96"/>
      <c r="D452" s="96"/>
      <c r="E452" s="96"/>
      <c r="F452" s="96"/>
      <c r="G452" s="96"/>
      <c r="H452" s="152"/>
      <c r="I452" s="96"/>
      <c r="J452" s="96"/>
      <c r="P452" s="64"/>
    </row>
  </sheetData>
  <mergeCells count="24">
    <mergeCell ref="A399:P399"/>
    <mergeCell ref="A398:P398"/>
    <mergeCell ref="A397:P397"/>
    <mergeCell ref="A334:P334"/>
    <mergeCell ref="A333:P333"/>
    <mergeCell ref="A332:P332"/>
    <mergeCell ref="A209:P209"/>
    <mergeCell ref="A208:P208"/>
    <mergeCell ref="A100:P100"/>
    <mergeCell ref="A269:P269"/>
    <mergeCell ref="A270:P270"/>
    <mergeCell ref="A271:P271"/>
    <mergeCell ref="A99:P99"/>
    <mergeCell ref="A98:P98"/>
    <mergeCell ref="A210:P210"/>
    <mergeCell ref="A144:P144"/>
    <mergeCell ref="A143:P143"/>
    <mergeCell ref="A142:P142"/>
    <mergeCell ref="A3:P3"/>
    <mergeCell ref="A2:P2"/>
    <mergeCell ref="A1:P1"/>
    <mergeCell ref="A56:P56"/>
    <mergeCell ref="A55:P55"/>
    <mergeCell ref="A54:P54"/>
  </mergeCells>
  <phoneticPr fontId="0" type="noConversion"/>
  <printOptions horizontalCentered="1"/>
  <pageMargins left="0.5" right="0.25" top="0.5" bottom="0.25" header="0.25" footer="0.5"/>
  <pageSetup scale="68" orientation="landscape" r:id="rId1"/>
  <headerFooter alignWithMargins="0">
    <oddHeader>&amp;RKY PSC Case No. 2016-00162
Attachment B to PSC 2-65</oddHeader>
  </headerFooter>
  <rowBreaks count="7" manualBreakCount="7">
    <brk id="53" max="15" man="1"/>
    <brk id="97" max="15" man="1"/>
    <brk id="141" max="15" man="1"/>
    <brk id="207" max="15" man="1"/>
    <brk id="268" max="15" man="1"/>
    <brk id="331" max="15" man="1"/>
    <brk id="396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5"/>
  <dimension ref="A1:Q229"/>
  <sheetViews>
    <sheetView zoomScale="70" zoomScaleNormal="70" zoomScaleSheetLayoutView="70" workbookViewId="0">
      <selection activeCell="C18" sqref="C18"/>
    </sheetView>
  </sheetViews>
  <sheetFormatPr defaultColWidth="10" defaultRowHeight="15" x14ac:dyDescent="0.25"/>
  <cols>
    <col min="1" max="1" width="8.83203125" style="90" customWidth="1"/>
    <col min="2" max="2" width="55" style="46" customWidth="1"/>
    <col min="3" max="3" width="18.6640625" style="64" customWidth="1"/>
    <col min="4" max="15" width="19.33203125" style="64" bestFit="1" customWidth="1"/>
    <col min="16" max="16" width="26.6640625" style="64" customWidth="1"/>
    <col min="17" max="16384" width="10" style="46"/>
  </cols>
  <sheetData>
    <row r="1" spans="1:17" ht="15.6" x14ac:dyDescent="0.3">
      <c r="A1" s="881" t="str">
        <f>CONAME</f>
        <v>Columbia Gas of Kentucky, Inc.</v>
      </c>
      <c r="B1" s="881"/>
      <c r="C1" s="881"/>
      <c r="D1" s="881"/>
      <c r="E1" s="881"/>
      <c r="F1" s="881"/>
      <c r="G1" s="881"/>
      <c r="H1" s="881"/>
      <c r="I1" s="881"/>
      <c r="J1" s="881"/>
      <c r="K1" s="881"/>
      <c r="L1" s="881"/>
      <c r="M1" s="881"/>
      <c r="N1" s="881"/>
      <c r="O1" s="881"/>
      <c r="P1" s="881"/>
    </row>
    <row r="2" spans="1:17" ht="15.6" x14ac:dyDescent="0.3">
      <c r="A2" s="881" t="s">
        <v>198</v>
      </c>
      <c r="B2" s="881"/>
      <c r="C2" s="881"/>
      <c r="D2" s="881"/>
      <c r="E2" s="881"/>
      <c r="F2" s="881"/>
      <c r="G2" s="881"/>
      <c r="H2" s="881"/>
      <c r="I2" s="881"/>
      <c r="J2" s="881"/>
      <c r="K2" s="881"/>
      <c r="L2" s="881"/>
      <c r="M2" s="881"/>
      <c r="N2" s="881"/>
      <c r="O2" s="881"/>
      <c r="P2" s="881"/>
    </row>
    <row r="3" spans="1:17" ht="15.6" x14ac:dyDescent="0.3">
      <c r="A3" s="881" t="str">
        <f>TYDESC</f>
        <v>For the 12 Months Ended December 31, 2017</v>
      </c>
      <c r="B3" s="881"/>
      <c r="C3" s="881"/>
      <c r="D3" s="881"/>
      <c r="E3" s="881"/>
      <c r="F3" s="881"/>
      <c r="G3" s="881"/>
      <c r="H3" s="881"/>
      <c r="I3" s="881"/>
      <c r="J3" s="881"/>
      <c r="K3" s="881"/>
      <c r="L3" s="881"/>
      <c r="M3" s="881"/>
      <c r="N3" s="881"/>
      <c r="O3" s="881"/>
      <c r="P3" s="881"/>
    </row>
    <row r="5" spans="1:17" ht="15.6" x14ac:dyDescent="0.3">
      <c r="A5" s="99" t="s">
        <v>349</v>
      </c>
    </row>
    <row r="6" spans="1:17" ht="15.6" x14ac:dyDescent="0.3">
      <c r="A6" s="99" t="s">
        <v>223</v>
      </c>
    </row>
    <row r="7" spans="1:17" ht="15.6" x14ac:dyDescent="0.3">
      <c r="A7" s="100" t="s">
        <v>63</v>
      </c>
      <c r="P7" s="150" t="s">
        <v>370</v>
      </c>
    </row>
    <row r="8" spans="1:17" ht="15.6" x14ac:dyDescent="0.3">
      <c r="A8" s="101" t="s">
        <v>303</v>
      </c>
      <c r="H8" s="111"/>
      <c r="P8" s="151" t="s">
        <v>500</v>
      </c>
    </row>
    <row r="9" spans="1:17" ht="15.6" x14ac:dyDescent="0.3">
      <c r="A9" s="101"/>
      <c r="H9" s="111"/>
    </row>
    <row r="10" spans="1:17" ht="15.6" x14ac:dyDescent="0.3">
      <c r="A10" s="47" t="s">
        <v>1</v>
      </c>
      <c r="B10" s="47"/>
      <c r="C10" s="77"/>
      <c r="D10" s="168"/>
      <c r="E10" s="169"/>
      <c r="F10" s="168"/>
      <c r="G10" s="170"/>
      <c r="H10" s="168"/>
      <c r="I10" s="168"/>
      <c r="J10" s="168"/>
      <c r="K10" s="168"/>
      <c r="L10" s="168"/>
      <c r="M10" s="168"/>
      <c r="N10" s="80"/>
      <c r="O10" s="80"/>
      <c r="P10" s="80"/>
    </row>
    <row r="11" spans="1:17" ht="15.6" x14ac:dyDescent="0.3">
      <c r="A11" s="57" t="s">
        <v>3</v>
      </c>
      <c r="B11" s="57" t="s">
        <v>4</v>
      </c>
      <c r="C11" s="79" t="s">
        <v>186</v>
      </c>
      <c r="D11" s="161" t="str">
        <f>B!$D$11</f>
        <v>Jan-17</v>
      </c>
      <c r="E11" s="161" t="str">
        <f>B!$E$11</f>
        <v>Feb-17</v>
      </c>
      <c r="F11" s="161" t="str">
        <f>B!$F$11</f>
        <v>Mar-17</v>
      </c>
      <c r="G11" s="161" t="str">
        <f>B!$G$11</f>
        <v>Apr-17</v>
      </c>
      <c r="H11" s="161" t="str">
        <f>B!$H$11</f>
        <v>May-17</v>
      </c>
      <c r="I11" s="161" t="str">
        <f>B!$I$11</f>
        <v>Jun-17</v>
      </c>
      <c r="J11" s="161" t="str">
        <f>B!$J$11</f>
        <v>Jul-17</v>
      </c>
      <c r="K11" s="161" t="str">
        <f>B!$K$11</f>
        <v>Aug-17</v>
      </c>
      <c r="L11" s="161" t="str">
        <f>B!$L$11</f>
        <v>Sep-17</v>
      </c>
      <c r="M11" s="161" t="str">
        <f>B!$M$11</f>
        <v>Oct-17</v>
      </c>
      <c r="N11" s="161" t="str">
        <f>B!$N$11</f>
        <v>Nov-17</v>
      </c>
      <c r="O11" s="161" t="str">
        <f>B!$O$11</f>
        <v>Dec-17</v>
      </c>
      <c r="P11" s="161" t="s">
        <v>9</v>
      </c>
      <c r="Q11" s="59"/>
    </row>
    <row r="12" spans="1:17" ht="15.6" x14ac:dyDescent="0.3">
      <c r="A12" s="47"/>
      <c r="B12" s="48" t="s">
        <v>42</v>
      </c>
      <c r="C12" s="80" t="s">
        <v>43</v>
      </c>
      <c r="D12" s="164" t="s">
        <v>45</v>
      </c>
      <c r="E12" s="164" t="s">
        <v>46</v>
      </c>
      <c r="F12" s="164" t="s">
        <v>49</v>
      </c>
      <c r="G12" s="164" t="s">
        <v>50</v>
      </c>
      <c r="H12" s="164" t="s">
        <v>51</v>
      </c>
      <c r="I12" s="164" t="s">
        <v>52</v>
      </c>
      <c r="J12" s="164" t="s">
        <v>53</v>
      </c>
      <c r="K12" s="162" t="s">
        <v>54</v>
      </c>
      <c r="L12" s="162" t="s">
        <v>55</v>
      </c>
      <c r="M12" s="162" t="s">
        <v>56</v>
      </c>
      <c r="N12" s="162" t="s">
        <v>57</v>
      </c>
      <c r="O12" s="162" t="s">
        <v>58</v>
      </c>
      <c r="P12" s="162" t="s">
        <v>59</v>
      </c>
      <c r="Q12" s="48"/>
    </row>
    <row r="13" spans="1:17" x14ac:dyDescent="0.25">
      <c r="H13" s="111"/>
    </row>
    <row r="14" spans="1:17" ht="15.6" x14ac:dyDescent="0.3">
      <c r="A14" s="122">
        <v>1</v>
      </c>
      <c r="B14" s="49" t="s">
        <v>379</v>
      </c>
      <c r="C14" s="76"/>
      <c r="H14" s="111"/>
    </row>
    <row r="15" spans="1:17" ht="15.6" x14ac:dyDescent="0.3">
      <c r="A15" s="122"/>
      <c r="B15" s="49"/>
      <c r="C15" s="76"/>
      <c r="H15" s="111"/>
    </row>
    <row r="16" spans="1:17" x14ac:dyDescent="0.25">
      <c r="A16" s="122">
        <f>A14+1</f>
        <v>2</v>
      </c>
      <c r="B16" s="46" t="s">
        <v>254</v>
      </c>
      <c r="C16" s="109"/>
      <c r="D16" s="163">
        <v>-1</v>
      </c>
      <c r="E16" s="163">
        <v>-1</v>
      </c>
      <c r="F16" s="163">
        <v>-1</v>
      </c>
      <c r="G16" s="163">
        <v>-1</v>
      </c>
      <c r="H16" s="163">
        <v>-1</v>
      </c>
      <c r="I16" s="163">
        <v>-1</v>
      </c>
      <c r="J16" s="163">
        <v>-1</v>
      </c>
      <c r="K16" s="163">
        <v>-1</v>
      </c>
      <c r="L16" s="163">
        <v>-1</v>
      </c>
      <c r="M16" s="163">
        <v>-1</v>
      </c>
      <c r="N16" s="163">
        <v>-1</v>
      </c>
      <c r="O16" s="163">
        <v>-1</v>
      </c>
      <c r="P16" s="62">
        <f t="shared" ref="P16:P21" si="0">SUM(D16:O16)</f>
        <v>-12</v>
      </c>
    </row>
    <row r="17" spans="1:16" x14ac:dyDescent="0.25">
      <c r="A17" s="122">
        <f t="shared" ref="A17:A22" si="1">A16+1</f>
        <v>3</v>
      </c>
      <c r="B17" s="46" t="s">
        <v>264</v>
      </c>
      <c r="C17" s="109"/>
      <c r="D17" s="163">
        <v>2</v>
      </c>
      <c r="E17" s="163">
        <v>2</v>
      </c>
      <c r="F17" s="163">
        <v>2</v>
      </c>
      <c r="G17" s="163">
        <v>2</v>
      </c>
      <c r="H17" s="163">
        <v>2</v>
      </c>
      <c r="I17" s="163">
        <v>2</v>
      </c>
      <c r="J17" s="163">
        <v>3</v>
      </c>
      <c r="K17" s="163">
        <v>3</v>
      </c>
      <c r="L17" s="163">
        <v>3</v>
      </c>
      <c r="M17" s="163">
        <v>3</v>
      </c>
      <c r="N17" s="163">
        <v>3</v>
      </c>
      <c r="O17" s="163">
        <v>3</v>
      </c>
      <c r="P17" s="62">
        <f t="shared" si="0"/>
        <v>30</v>
      </c>
    </row>
    <row r="18" spans="1:16" x14ac:dyDescent="0.25">
      <c r="A18" s="122">
        <f t="shared" si="1"/>
        <v>4</v>
      </c>
      <c r="B18" s="46" t="s">
        <v>271</v>
      </c>
      <c r="C18" s="109"/>
      <c r="D18" s="163">
        <v>0</v>
      </c>
      <c r="E18" s="163">
        <v>0</v>
      </c>
      <c r="F18" s="163">
        <v>0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  <c r="P18" s="62">
        <f t="shared" si="0"/>
        <v>0</v>
      </c>
    </row>
    <row r="19" spans="1:16" x14ac:dyDescent="0.25">
      <c r="A19" s="122">
        <f t="shared" si="1"/>
        <v>5</v>
      </c>
      <c r="B19" s="46" t="s">
        <v>261</v>
      </c>
      <c r="C19" s="109"/>
      <c r="D19" s="163">
        <v>0</v>
      </c>
      <c r="E19" s="163">
        <v>0</v>
      </c>
      <c r="F19" s="163">
        <v>0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  <c r="P19" s="62">
        <f t="shared" si="0"/>
        <v>0</v>
      </c>
    </row>
    <row r="20" spans="1:16" x14ac:dyDescent="0.25">
      <c r="A20" s="122">
        <f t="shared" si="1"/>
        <v>6</v>
      </c>
      <c r="B20" s="46" t="s">
        <v>262</v>
      </c>
      <c r="C20" s="109"/>
      <c r="D20" s="163">
        <v>0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  <c r="P20" s="62">
        <f t="shared" si="0"/>
        <v>0</v>
      </c>
    </row>
    <row r="21" spans="1:16" x14ac:dyDescent="0.25">
      <c r="A21" s="122">
        <f t="shared" si="1"/>
        <v>7</v>
      </c>
      <c r="B21" s="46" t="s">
        <v>279</v>
      </c>
      <c r="C21" s="109"/>
      <c r="D21" s="357">
        <v>0</v>
      </c>
      <c r="E21" s="357">
        <v>0</v>
      </c>
      <c r="F21" s="357">
        <v>0</v>
      </c>
      <c r="G21" s="357">
        <v>0</v>
      </c>
      <c r="H21" s="357">
        <v>0</v>
      </c>
      <c r="I21" s="357">
        <v>0</v>
      </c>
      <c r="J21" s="357">
        <v>0</v>
      </c>
      <c r="K21" s="357">
        <v>0</v>
      </c>
      <c r="L21" s="357">
        <v>0</v>
      </c>
      <c r="M21" s="357">
        <v>0</v>
      </c>
      <c r="N21" s="357">
        <v>0</v>
      </c>
      <c r="O21" s="357">
        <v>0</v>
      </c>
      <c r="P21" s="212">
        <f t="shared" si="0"/>
        <v>0</v>
      </c>
    </row>
    <row r="22" spans="1:16" x14ac:dyDescent="0.25">
      <c r="A22" s="110">
        <f t="shared" si="1"/>
        <v>8</v>
      </c>
      <c r="B22" s="107" t="s">
        <v>259</v>
      </c>
      <c r="C22" s="133"/>
      <c r="D22" s="153">
        <f t="shared" ref="D22:P22" si="2">SUM(D16:D21)</f>
        <v>1</v>
      </c>
      <c r="E22" s="153">
        <f t="shared" si="2"/>
        <v>1</v>
      </c>
      <c r="F22" s="153">
        <f t="shared" si="2"/>
        <v>1</v>
      </c>
      <c r="G22" s="153">
        <f t="shared" si="2"/>
        <v>1</v>
      </c>
      <c r="H22" s="153">
        <f t="shared" si="2"/>
        <v>1</v>
      </c>
      <c r="I22" s="153">
        <f t="shared" si="2"/>
        <v>1</v>
      </c>
      <c r="J22" s="153">
        <f t="shared" si="2"/>
        <v>2</v>
      </c>
      <c r="K22" s="153">
        <f t="shared" si="2"/>
        <v>2</v>
      </c>
      <c r="L22" s="153">
        <f t="shared" si="2"/>
        <v>2</v>
      </c>
      <c r="M22" s="153">
        <f t="shared" si="2"/>
        <v>2</v>
      </c>
      <c r="N22" s="153">
        <f t="shared" si="2"/>
        <v>2</v>
      </c>
      <c r="O22" s="153">
        <f t="shared" si="2"/>
        <v>2</v>
      </c>
      <c r="P22" s="153">
        <f t="shared" si="2"/>
        <v>18</v>
      </c>
    </row>
    <row r="23" spans="1:16" x14ac:dyDescent="0.25">
      <c r="A23" s="94"/>
      <c r="B23" s="53"/>
      <c r="C23" s="96"/>
      <c r="D23" s="96"/>
      <c r="E23" s="96"/>
      <c r="F23" s="96"/>
      <c r="G23" s="96"/>
      <c r="H23" s="328"/>
      <c r="I23" s="96"/>
      <c r="J23" s="96"/>
      <c r="K23" s="96"/>
      <c r="L23" s="96"/>
      <c r="M23" s="96"/>
      <c r="N23" s="96"/>
      <c r="O23" s="96"/>
      <c r="P23" s="96"/>
    </row>
    <row r="24" spans="1:16" ht="15.6" x14ac:dyDescent="0.3">
      <c r="A24" s="94">
        <f>A22+1</f>
        <v>9</v>
      </c>
      <c r="B24" s="52" t="s">
        <v>287</v>
      </c>
      <c r="C24" s="96"/>
      <c r="D24" s="155">
        <f t="shared" ref="D24:P24" si="3">D22</f>
        <v>1</v>
      </c>
      <c r="E24" s="155">
        <f t="shared" si="3"/>
        <v>1</v>
      </c>
      <c r="F24" s="155">
        <f t="shared" si="3"/>
        <v>1</v>
      </c>
      <c r="G24" s="155">
        <f t="shared" si="3"/>
        <v>1</v>
      </c>
      <c r="H24" s="155">
        <f t="shared" si="3"/>
        <v>1</v>
      </c>
      <c r="I24" s="155">
        <f t="shared" si="3"/>
        <v>1</v>
      </c>
      <c r="J24" s="155">
        <f t="shared" si="3"/>
        <v>2</v>
      </c>
      <c r="K24" s="155">
        <f t="shared" si="3"/>
        <v>2</v>
      </c>
      <c r="L24" s="155">
        <f t="shared" si="3"/>
        <v>2</v>
      </c>
      <c r="M24" s="155">
        <f t="shared" si="3"/>
        <v>2</v>
      </c>
      <c r="N24" s="155">
        <f t="shared" si="3"/>
        <v>2</v>
      </c>
      <c r="O24" s="155">
        <f t="shared" si="3"/>
        <v>2</v>
      </c>
      <c r="P24" s="155">
        <f t="shared" si="3"/>
        <v>18</v>
      </c>
    </row>
    <row r="25" spans="1:16" x14ac:dyDescent="0.25">
      <c r="A25" s="94"/>
      <c r="B25" s="53"/>
      <c r="C25" s="96"/>
      <c r="D25" s="96"/>
      <c r="E25" s="96"/>
      <c r="F25" s="96"/>
      <c r="G25" s="96"/>
      <c r="H25" s="328"/>
      <c r="I25" s="96"/>
      <c r="J25" s="96"/>
      <c r="K25" s="96"/>
      <c r="L25" s="96"/>
      <c r="M25" s="96"/>
      <c r="N25" s="96"/>
      <c r="O25" s="96"/>
      <c r="P25" s="96"/>
    </row>
    <row r="26" spans="1:16" ht="15.6" x14ac:dyDescent="0.3">
      <c r="A26" s="90">
        <f>A24+1</f>
        <v>10</v>
      </c>
      <c r="B26" s="49" t="s">
        <v>380</v>
      </c>
      <c r="P26" s="151"/>
    </row>
    <row r="27" spans="1:16" ht="15.6" x14ac:dyDescent="0.3">
      <c r="P27" s="151"/>
    </row>
    <row r="28" spans="1:16" ht="15.6" x14ac:dyDescent="0.3">
      <c r="A28" s="122">
        <f>A26+1</f>
        <v>11</v>
      </c>
      <c r="B28" s="49" t="s">
        <v>254</v>
      </c>
      <c r="C28" s="109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63"/>
    </row>
    <row r="29" spans="1:16" x14ac:dyDescent="0.25">
      <c r="A29" s="122">
        <f>A28+1</f>
        <v>12</v>
      </c>
      <c r="B29" s="46" t="str">
        <f>'C'!B80</f>
        <v xml:space="preserve">    First 50 Mcf</v>
      </c>
      <c r="C29" s="109"/>
      <c r="D29" s="63">
        <f>'D pg 2'!F43</f>
        <v>-50</v>
      </c>
      <c r="E29" s="63">
        <f>'D pg 2'!G43</f>
        <v>-50</v>
      </c>
      <c r="F29" s="63">
        <f>'D pg 2'!H43</f>
        <v>-50</v>
      </c>
      <c r="G29" s="63">
        <f>'D pg 2'!I43</f>
        <v>-50</v>
      </c>
      <c r="H29" s="63">
        <f>'D pg 2'!J43</f>
        <v>-50</v>
      </c>
      <c r="I29" s="63">
        <f>'D pg 2'!K43</f>
        <v>-50</v>
      </c>
      <c r="J29" s="63">
        <f>'D pg 2'!L43</f>
        <v>0</v>
      </c>
      <c r="K29" s="63">
        <f>'D pg 2'!M43</f>
        <v>0</v>
      </c>
      <c r="L29" s="63">
        <f>'D pg 2'!N43</f>
        <v>0</v>
      </c>
      <c r="M29" s="63">
        <f>'D pg 2'!O43</f>
        <v>-50</v>
      </c>
      <c r="N29" s="63">
        <f>'D pg 2'!P43</f>
        <v>-50</v>
      </c>
      <c r="O29" s="63">
        <f>'D pg 2'!Q43</f>
        <v>-50</v>
      </c>
      <c r="P29" s="63">
        <f>SUM(D29:O29)</f>
        <v>-450</v>
      </c>
    </row>
    <row r="30" spans="1:16" x14ac:dyDescent="0.25">
      <c r="A30" s="122">
        <f>A29+1</f>
        <v>13</v>
      </c>
      <c r="B30" s="46" t="str">
        <f>'C'!B81</f>
        <v xml:space="preserve">    Next 350 Mcf</v>
      </c>
      <c r="C30" s="109"/>
      <c r="D30" s="63">
        <f>'D pg 2'!F44</f>
        <v>-350</v>
      </c>
      <c r="E30" s="63">
        <f>'D pg 2'!G44</f>
        <v>-350</v>
      </c>
      <c r="F30" s="63">
        <f>'D pg 2'!H44</f>
        <v>-350</v>
      </c>
      <c r="G30" s="63">
        <f>'D pg 2'!I44</f>
        <v>-350</v>
      </c>
      <c r="H30" s="63">
        <f>'D pg 2'!J44</f>
        <v>-50</v>
      </c>
      <c r="I30" s="63">
        <f>'D pg 2'!K44</f>
        <v>0</v>
      </c>
      <c r="J30" s="63">
        <f>'D pg 2'!L44</f>
        <v>0</v>
      </c>
      <c r="K30" s="63">
        <f>'D pg 2'!M44</f>
        <v>0</v>
      </c>
      <c r="L30" s="63">
        <f>'D pg 2'!N44</f>
        <v>0</v>
      </c>
      <c r="M30" s="63">
        <f>'D pg 2'!O44</f>
        <v>-50</v>
      </c>
      <c r="N30" s="63">
        <f>'D pg 2'!P44</f>
        <v>-350</v>
      </c>
      <c r="O30" s="63">
        <f>'D pg 2'!Q44</f>
        <v>-350</v>
      </c>
      <c r="P30" s="63">
        <f>SUM(D30:O30)</f>
        <v>-2200</v>
      </c>
    </row>
    <row r="31" spans="1:16" x14ac:dyDescent="0.25">
      <c r="A31" s="122">
        <f>A30+1</f>
        <v>14</v>
      </c>
      <c r="B31" s="46" t="str">
        <f>'C'!B82</f>
        <v xml:space="preserve">    Next 600 Mcf</v>
      </c>
      <c r="C31" s="109"/>
      <c r="D31" s="63">
        <f>'D pg 2'!F45</f>
        <v>-600</v>
      </c>
      <c r="E31" s="63">
        <f>'D pg 2'!G45</f>
        <v>-600</v>
      </c>
      <c r="F31" s="63">
        <f>'D pg 2'!H45</f>
        <v>-600</v>
      </c>
      <c r="G31" s="63">
        <f>'D pg 2'!I45</f>
        <v>-400</v>
      </c>
      <c r="H31" s="63">
        <f>'D pg 2'!J45</f>
        <v>0</v>
      </c>
      <c r="I31" s="63">
        <f>'D pg 2'!K45</f>
        <v>0</v>
      </c>
      <c r="J31" s="63">
        <f>'D pg 2'!L45</f>
        <v>0</v>
      </c>
      <c r="K31" s="63">
        <f>'D pg 2'!M45</f>
        <v>0</v>
      </c>
      <c r="L31" s="63">
        <f>'D pg 2'!N45</f>
        <v>0</v>
      </c>
      <c r="M31" s="63">
        <f>'D pg 2'!O45</f>
        <v>0</v>
      </c>
      <c r="N31" s="63">
        <f>'D pg 2'!P45</f>
        <v>-400</v>
      </c>
      <c r="O31" s="63">
        <f>'D pg 2'!Q45</f>
        <v>-600</v>
      </c>
      <c r="P31" s="63">
        <f>SUM(D31:O31)</f>
        <v>-3200</v>
      </c>
    </row>
    <row r="32" spans="1:16" x14ac:dyDescent="0.25">
      <c r="A32" s="122">
        <f>A31+1</f>
        <v>15</v>
      </c>
      <c r="B32" s="46" t="str">
        <f>'C'!B83</f>
        <v xml:space="preserve">    Over 1,000 Mcf</v>
      </c>
      <c r="C32" s="109"/>
      <c r="D32" s="70">
        <f>'D pg 2'!F46</f>
        <v>-1622.8</v>
      </c>
      <c r="E32" s="70">
        <f>'D pg 2'!G46</f>
        <v>-1096</v>
      </c>
      <c r="F32" s="70">
        <f>'D pg 2'!H46</f>
        <v>-600</v>
      </c>
      <c r="G32" s="70">
        <f>'D pg 2'!I46</f>
        <v>0</v>
      </c>
      <c r="H32" s="70">
        <f>'D pg 2'!J46</f>
        <v>0</v>
      </c>
      <c r="I32" s="70">
        <f>'D pg 2'!K46</f>
        <v>0</v>
      </c>
      <c r="J32" s="70">
        <f>'D pg 2'!L46</f>
        <v>0</v>
      </c>
      <c r="K32" s="70">
        <f>'D pg 2'!M46</f>
        <v>0</v>
      </c>
      <c r="L32" s="70">
        <f>'D pg 2'!N46</f>
        <v>0</v>
      </c>
      <c r="M32" s="70">
        <f>'D pg 2'!O46</f>
        <v>0</v>
      </c>
      <c r="N32" s="70">
        <f>'D pg 2'!P46</f>
        <v>0</v>
      </c>
      <c r="O32" s="70">
        <f>'D pg 2'!Q46</f>
        <v>-900</v>
      </c>
      <c r="P32" s="70">
        <f>SUM(D32:O32)</f>
        <v>-4218.8</v>
      </c>
    </row>
    <row r="33" spans="1:16" x14ac:dyDescent="0.25">
      <c r="A33" s="110">
        <f>A32+1</f>
        <v>16</v>
      </c>
      <c r="B33" s="107" t="s">
        <v>369</v>
      </c>
      <c r="C33" s="143"/>
      <c r="D33" s="72">
        <f t="shared" ref="D33:N33" si="4">SUM(D29:D32)</f>
        <v>-2622.8</v>
      </c>
      <c r="E33" s="72">
        <f t="shared" si="4"/>
        <v>-2096</v>
      </c>
      <c r="F33" s="72">
        <f t="shared" si="4"/>
        <v>-1600</v>
      </c>
      <c r="G33" s="72">
        <f t="shared" si="4"/>
        <v>-800</v>
      </c>
      <c r="H33" s="72">
        <f t="shared" si="4"/>
        <v>-100</v>
      </c>
      <c r="I33" s="72">
        <f t="shared" si="4"/>
        <v>-50</v>
      </c>
      <c r="J33" s="72">
        <f t="shared" si="4"/>
        <v>0</v>
      </c>
      <c r="K33" s="72">
        <f t="shared" si="4"/>
        <v>0</v>
      </c>
      <c r="L33" s="72">
        <f t="shared" si="4"/>
        <v>0</v>
      </c>
      <c r="M33" s="72">
        <f t="shared" si="4"/>
        <v>-100</v>
      </c>
      <c r="N33" s="72">
        <f t="shared" si="4"/>
        <v>-800</v>
      </c>
      <c r="O33" s="72">
        <f>SUM(O29:O32)</f>
        <v>-1900</v>
      </c>
      <c r="P33" s="72">
        <f>SUM(D33:O33)</f>
        <v>-10068.799999999999</v>
      </c>
    </row>
    <row r="34" spans="1:16" x14ac:dyDescent="0.25">
      <c r="A34" s="110"/>
      <c r="B34" s="107"/>
      <c r="C34" s="13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</row>
    <row r="35" spans="1:16" ht="15.6" x14ac:dyDescent="0.3">
      <c r="A35" s="110">
        <f>A33+1</f>
        <v>17</v>
      </c>
      <c r="B35" s="52" t="s">
        <v>264</v>
      </c>
      <c r="C35" s="143"/>
      <c r="D35" s="329"/>
      <c r="E35" s="329"/>
      <c r="F35" s="329"/>
      <c r="G35" s="329"/>
      <c r="H35" s="329"/>
      <c r="I35" s="329"/>
      <c r="J35" s="329"/>
      <c r="K35" s="329"/>
      <c r="L35" s="329"/>
      <c r="M35" s="329"/>
      <c r="N35" s="329"/>
      <c r="O35" s="329"/>
      <c r="P35" s="72"/>
    </row>
    <row r="36" spans="1:16" x14ac:dyDescent="0.25">
      <c r="A36" s="110">
        <f>A35+1</f>
        <v>18</v>
      </c>
      <c r="B36" s="53" t="str">
        <f>'C'!B113</f>
        <v xml:space="preserve">    First 50 Mcf</v>
      </c>
      <c r="C36" s="143"/>
      <c r="D36" s="72">
        <f>'D pg 2'!F17+'D pg 2'!F25+'D pg 2'!F33</f>
        <v>150</v>
      </c>
      <c r="E36" s="72">
        <f>'D pg 2'!G17+'D pg 2'!G25+'D pg 2'!G33</f>
        <v>150</v>
      </c>
      <c r="F36" s="72">
        <f>'D pg 2'!H17+'D pg 2'!H25+'D pg 2'!H33</f>
        <v>150</v>
      </c>
      <c r="G36" s="72">
        <f>'D pg 2'!I17+'D pg 2'!I25+'D pg 2'!I33</f>
        <v>150</v>
      </c>
      <c r="H36" s="72">
        <f>'D pg 2'!J17+'D pg 2'!J25+'D pg 2'!J33</f>
        <v>150</v>
      </c>
      <c r="I36" s="72">
        <f>'D pg 2'!K17+'D pg 2'!K25+'D pg 2'!K33</f>
        <v>150</v>
      </c>
      <c r="J36" s="72">
        <f>'D pg 2'!L17+'D pg 2'!L25+'D pg 2'!L33</f>
        <v>150</v>
      </c>
      <c r="K36" s="72">
        <f>'D pg 2'!M17+'D pg 2'!M25+'D pg 2'!M33</f>
        <v>150</v>
      </c>
      <c r="L36" s="72">
        <f>'D pg 2'!N17+'D pg 2'!N25+'D pg 2'!N33</f>
        <v>150</v>
      </c>
      <c r="M36" s="72">
        <f>'D pg 2'!O17+'D pg 2'!O25+'D pg 2'!O33</f>
        <v>150</v>
      </c>
      <c r="N36" s="72">
        <f>'D pg 2'!P17+'D pg 2'!P25+'D pg 2'!P33</f>
        <v>150</v>
      </c>
      <c r="O36" s="72">
        <f>'D pg 2'!Q17+'D pg 2'!Q25+'D pg 2'!Q33</f>
        <v>150</v>
      </c>
      <c r="P36" s="72">
        <f>SUM(D36:O36)</f>
        <v>1800</v>
      </c>
    </row>
    <row r="37" spans="1:16" x14ac:dyDescent="0.25">
      <c r="A37" s="110">
        <f>A36+1</f>
        <v>19</v>
      </c>
      <c r="B37" s="53" t="str">
        <f>'C'!B114</f>
        <v xml:space="preserve">    Next 350 Mcf</v>
      </c>
      <c r="C37" s="143"/>
      <c r="D37" s="72">
        <f>'D pg 2'!F18+'D pg 2'!F26+'D pg 2'!F34</f>
        <v>1050</v>
      </c>
      <c r="E37" s="72">
        <f>'D pg 2'!G18+'D pg 2'!G26+'D pg 2'!G34</f>
        <v>1050</v>
      </c>
      <c r="F37" s="72">
        <f>'D pg 2'!H18+'D pg 2'!H26+'D pg 2'!H34</f>
        <v>1050</v>
      </c>
      <c r="G37" s="72">
        <f>'D pg 2'!I18+'D pg 2'!I26+'D pg 2'!I34</f>
        <v>1050</v>
      </c>
      <c r="H37" s="72">
        <f>'D pg 2'!J18+'D pg 2'!J26+'D pg 2'!J34</f>
        <v>1050</v>
      </c>
      <c r="I37" s="72">
        <f>'D pg 2'!K18+'D pg 2'!K26+'D pg 2'!K34</f>
        <v>1050</v>
      </c>
      <c r="J37" s="72">
        <f>'D pg 2'!L18+'D pg 2'!L26+'D pg 2'!L34</f>
        <v>1050</v>
      </c>
      <c r="K37" s="72">
        <f>'D pg 2'!M18+'D pg 2'!M26+'D pg 2'!M34</f>
        <v>1050</v>
      </c>
      <c r="L37" s="72">
        <f>'D pg 2'!N18+'D pg 2'!N26+'D pg 2'!N34</f>
        <v>1050</v>
      </c>
      <c r="M37" s="72">
        <f>'D pg 2'!O18+'D pg 2'!O26+'D pg 2'!O34</f>
        <v>1050</v>
      </c>
      <c r="N37" s="72">
        <f>'D pg 2'!P18+'D pg 2'!P26+'D pg 2'!P34</f>
        <v>1050</v>
      </c>
      <c r="O37" s="72">
        <f>'D pg 2'!Q18+'D pg 2'!Q26+'D pg 2'!Q34</f>
        <v>1050</v>
      </c>
      <c r="P37" s="72">
        <f>SUM(D37:O37)</f>
        <v>12600</v>
      </c>
    </row>
    <row r="38" spans="1:16" x14ac:dyDescent="0.25">
      <c r="A38" s="110">
        <f>A37+1</f>
        <v>20</v>
      </c>
      <c r="B38" s="53" t="str">
        <f>'C'!B115</f>
        <v xml:space="preserve">    Next 600 Mcf</v>
      </c>
      <c r="C38" s="143"/>
      <c r="D38" s="72">
        <f>'D pg 2'!F19+'D pg 2'!F27+'D pg 2'!F35</f>
        <v>1800</v>
      </c>
      <c r="E38" s="72">
        <f>'D pg 2'!G19+'D pg 2'!G27+'D pg 2'!G35</f>
        <v>1800</v>
      </c>
      <c r="F38" s="72">
        <f>'D pg 2'!H19+'D pg 2'!H27+'D pg 2'!H35</f>
        <v>1700</v>
      </c>
      <c r="G38" s="72">
        <f>'D pg 2'!I19+'D pg 2'!I27+'D pg 2'!I35</f>
        <v>1600</v>
      </c>
      <c r="H38" s="72">
        <f>'D pg 2'!J19+'D pg 2'!J27+'D pg 2'!J35</f>
        <v>1600</v>
      </c>
      <c r="I38" s="72">
        <f>'D pg 2'!K19+'D pg 2'!K27+'D pg 2'!K35</f>
        <v>1550</v>
      </c>
      <c r="J38" s="72">
        <f>'D pg 2'!L19+'D pg 2'!L27+'D pg 2'!L35</f>
        <v>1550</v>
      </c>
      <c r="K38" s="72">
        <f>'D pg 2'!M19+'D pg 2'!M27+'D pg 2'!M35</f>
        <v>1550</v>
      </c>
      <c r="L38" s="72">
        <f>'D pg 2'!N19+'D pg 2'!N27+'D pg 2'!N35</f>
        <v>1550</v>
      </c>
      <c r="M38" s="72">
        <f>'D pg 2'!O19+'D pg 2'!O27+'D pg 2'!O35</f>
        <v>1650</v>
      </c>
      <c r="N38" s="72">
        <f>'D pg 2'!P19+'D pg 2'!P27+'D pg 2'!P35</f>
        <v>1700</v>
      </c>
      <c r="O38" s="72">
        <f>'D pg 2'!Q19+'D pg 2'!Q27+'D pg 2'!Q35</f>
        <v>1800</v>
      </c>
      <c r="P38" s="72">
        <f>SUM(D38:O38)</f>
        <v>19850</v>
      </c>
    </row>
    <row r="39" spans="1:16" x14ac:dyDescent="0.25">
      <c r="A39" s="110">
        <f>A38+1</f>
        <v>21</v>
      </c>
      <c r="B39" s="53" t="str">
        <f>'C'!B116</f>
        <v xml:space="preserve">    Over 1,000 Mcf</v>
      </c>
      <c r="C39" s="143"/>
      <c r="D39" s="138">
        <f>'D pg 2'!F20+'D pg 2'!F28+'D pg 2'!F36</f>
        <v>17000</v>
      </c>
      <c r="E39" s="138">
        <f>'D pg 2'!G20+'D pg 2'!G28+'D pg 2'!G36</f>
        <v>17000</v>
      </c>
      <c r="F39" s="138">
        <f>'D pg 2'!H20+'D pg 2'!H28+'D pg 2'!H36</f>
        <v>17000</v>
      </c>
      <c r="G39" s="138">
        <f>'D pg 2'!I20+'D pg 2'!I28+'D pg 2'!I36</f>
        <v>17000</v>
      </c>
      <c r="H39" s="138">
        <f>'D pg 2'!J20+'D pg 2'!J28+'D pg 2'!J36</f>
        <v>17000</v>
      </c>
      <c r="I39" s="138">
        <f>'D pg 2'!K20+'D pg 2'!K28+'D pg 2'!K36</f>
        <v>17000</v>
      </c>
      <c r="J39" s="138">
        <f>'D pg 2'!L20+'D pg 2'!L28+'D pg 2'!L36</f>
        <v>17000</v>
      </c>
      <c r="K39" s="138">
        <f>'D pg 2'!M20+'D pg 2'!M28+'D pg 2'!M36</f>
        <v>17000</v>
      </c>
      <c r="L39" s="138">
        <f>'D pg 2'!N20+'D pg 2'!N28+'D pg 2'!N36</f>
        <v>17000</v>
      </c>
      <c r="M39" s="138">
        <f>'D pg 2'!O20+'D pg 2'!O28+'D pg 2'!O36</f>
        <v>17000</v>
      </c>
      <c r="N39" s="138">
        <f>'D pg 2'!P20+'D pg 2'!P28+'D pg 2'!P36</f>
        <v>17000</v>
      </c>
      <c r="O39" s="138">
        <f>'D pg 2'!Q20+'D pg 2'!Q28+'D pg 2'!Q36</f>
        <v>17000</v>
      </c>
      <c r="P39" s="138">
        <f>SUM(D39:O39)</f>
        <v>204000</v>
      </c>
    </row>
    <row r="40" spans="1:16" x14ac:dyDescent="0.25">
      <c r="A40" s="110">
        <f>A39+1</f>
        <v>22</v>
      </c>
      <c r="B40" s="107" t="s">
        <v>369</v>
      </c>
      <c r="C40" s="143"/>
      <c r="D40" s="72">
        <f t="shared" ref="D40:N40" si="5">SUM(D36:D39)</f>
        <v>20000</v>
      </c>
      <c r="E40" s="72">
        <f t="shared" si="5"/>
        <v>20000</v>
      </c>
      <c r="F40" s="72">
        <f t="shared" si="5"/>
        <v>19900</v>
      </c>
      <c r="G40" s="72">
        <f t="shared" si="5"/>
        <v>19800</v>
      </c>
      <c r="H40" s="72">
        <f t="shared" si="5"/>
        <v>19800</v>
      </c>
      <c r="I40" s="72">
        <f t="shared" si="5"/>
        <v>19750</v>
      </c>
      <c r="J40" s="72">
        <f t="shared" si="5"/>
        <v>19750</v>
      </c>
      <c r="K40" s="72">
        <f t="shared" si="5"/>
        <v>19750</v>
      </c>
      <c r="L40" s="72">
        <f t="shared" si="5"/>
        <v>19750</v>
      </c>
      <c r="M40" s="72">
        <f t="shared" si="5"/>
        <v>19850</v>
      </c>
      <c r="N40" s="72">
        <f t="shared" si="5"/>
        <v>19900</v>
      </c>
      <c r="O40" s="72">
        <f>SUM(O36:O39)</f>
        <v>20000</v>
      </c>
      <c r="P40" s="72">
        <f>SUM(D40:O40)</f>
        <v>238250</v>
      </c>
    </row>
    <row r="41" spans="1:16" ht="15.6" x14ac:dyDescent="0.3">
      <c r="A41" s="94"/>
      <c r="B41" s="53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315"/>
    </row>
    <row r="42" spans="1:16" ht="15.6" x14ac:dyDescent="0.3">
      <c r="A42" s="110">
        <f>A40+1</f>
        <v>23</v>
      </c>
      <c r="B42" s="52" t="s">
        <v>271</v>
      </c>
      <c r="C42" s="143"/>
      <c r="D42" s="329"/>
      <c r="E42" s="329"/>
      <c r="F42" s="329"/>
      <c r="G42" s="329"/>
      <c r="H42" s="329"/>
      <c r="I42" s="329"/>
      <c r="J42" s="329"/>
      <c r="K42" s="329"/>
      <c r="L42" s="329"/>
      <c r="M42" s="329"/>
      <c r="N42" s="329"/>
      <c r="O42" s="329"/>
      <c r="P42" s="72"/>
    </row>
    <row r="43" spans="1:16" x14ac:dyDescent="0.25">
      <c r="A43" s="110">
        <f>A42+1</f>
        <v>24</v>
      </c>
      <c r="B43" s="53" t="str">
        <f>'C'!B284</f>
        <v xml:space="preserve">    First 50 Mcf</v>
      </c>
      <c r="C43" s="143"/>
      <c r="D43" s="329">
        <v>0</v>
      </c>
      <c r="E43" s="329">
        <v>0</v>
      </c>
      <c r="F43" s="329">
        <v>0</v>
      </c>
      <c r="G43" s="329">
        <v>0</v>
      </c>
      <c r="H43" s="329">
        <v>0</v>
      </c>
      <c r="I43" s="329">
        <v>0</v>
      </c>
      <c r="J43" s="329">
        <v>0</v>
      </c>
      <c r="K43" s="329">
        <v>0</v>
      </c>
      <c r="L43" s="329">
        <v>0</v>
      </c>
      <c r="M43" s="329">
        <v>0</v>
      </c>
      <c r="N43" s="329">
        <v>0</v>
      </c>
      <c r="O43" s="329">
        <v>0</v>
      </c>
      <c r="P43" s="72">
        <f>SUM(D43:O43)</f>
        <v>0</v>
      </c>
    </row>
    <row r="44" spans="1:16" x14ac:dyDescent="0.25">
      <c r="A44" s="110">
        <f>A43+1</f>
        <v>25</v>
      </c>
      <c r="B44" s="53" t="str">
        <f>'C'!B285</f>
        <v xml:space="preserve">    Next 350 Mcf</v>
      </c>
      <c r="C44" s="143"/>
      <c r="D44" s="329">
        <v>0</v>
      </c>
      <c r="E44" s="329">
        <v>0</v>
      </c>
      <c r="F44" s="329">
        <v>0</v>
      </c>
      <c r="G44" s="329">
        <v>0</v>
      </c>
      <c r="H44" s="329">
        <v>0</v>
      </c>
      <c r="I44" s="329">
        <v>0</v>
      </c>
      <c r="J44" s="329">
        <v>0</v>
      </c>
      <c r="K44" s="329">
        <v>0</v>
      </c>
      <c r="L44" s="329">
        <v>0</v>
      </c>
      <c r="M44" s="329">
        <v>0</v>
      </c>
      <c r="N44" s="329">
        <v>0</v>
      </c>
      <c r="O44" s="329">
        <v>0</v>
      </c>
      <c r="P44" s="72">
        <f>SUM(D44:O44)</f>
        <v>0</v>
      </c>
    </row>
    <row r="45" spans="1:16" x14ac:dyDescent="0.25">
      <c r="A45" s="110">
        <f>A44+1</f>
        <v>26</v>
      </c>
      <c r="B45" s="53" t="str">
        <f>'C'!B286</f>
        <v xml:space="preserve">    Next 600 Mcf</v>
      </c>
      <c r="C45" s="143"/>
      <c r="D45" s="329">
        <v>0</v>
      </c>
      <c r="E45" s="329">
        <v>0</v>
      </c>
      <c r="F45" s="329">
        <v>0</v>
      </c>
      <c r="G45" s="329">
        <v>0</v>
      </c>
      <c r="H45" s="329">
        <v>0</v>
      </c>
      <c r="I45" s="329">
        <v>0</v>
      </c>
      <c r="J45" s="329">
        <v>0</v>
      </c>
      <c r="K45" s="329">
        <v>0</v>
      </c>
      <c r="L45" s="329">
        <v>0</v>
      </c>
      <c r="M45" s="329">
        <v>0</v>
      </c>
      <c r="N45" s="329">
        <v>0</v>
      </c>
      <c r="O45" s="329">
        <v>0</v>
      </c>
      <c r="P45" s="72">
        <f>SUM(D45:O45)</f>
        <v>0</v>
      </c>
    </row>
    <row r="46" spans="1:16" x14ac:dyDescent="0.25">
      <c r="A46" s="110">
        <f>A45+1</f>
        <v>27</v>
      </c>
      <c r="B46" s="53" t="str">
        <f>'C'!B287</f>
        <v xml:space="preserve">    Over 1,000 Mcf</v>
      </c>
      <c r="C46" s="143"/>
      <c r="D46" s="338">
        <v>0</v>
      </c>
      <c r="E46" s="338">
        <v>0</v>
      </c>
      <c r="F46" s="338">
        <v>0</v>
      </c>
      <c r="G46" s="338">
        <v>0</v>
      </c>
      <c r="H46" s="338">
        <v>0</v>
      </c>
      <c r="I46" s="338">
        <v>0</v>
      </c>
      <c r="J46" s="338">
        <v>0</v>
      </c>
      <c r="K46" s="338">
        <v>0</v>
      </c>
      <c r="L46" s="338">
        <v>0</v>
      </c>
      <c r="M46" s="338">
        <v>0</v>
      </c>
      <c r="N46" s="338">
        <v>0</v>
      </c>
      <c r="O46" s="338">
        <v>0</v>
      </c>
      <c r="P46" s="138">
        <f>SUM(D46:O46)</f>
        <v>0</v>
      </c>
    </row>
    <row r="47" spans="1:16" x14ac:dyDescent="0.25">
      <c r="A47" s="110">
        <f>A46+1</f>
        <v>28</v>
      </c>
      <c r="B47" s="107" t="s">
        <v>369</v>
      </c>
      <c r="C47" s="143"/>
      <c r="D47" s="72">
        <f t="shared" ref="D47:N47" si="6">SUM(D43:D46)</f>
        <v>0</v>
      </c>
      <c r="E47" s="72">
        <f t="shared" si="6"/>
        <v>0</v>
      </c>
      <c r="F47" s="72">
        <f t="shared" si="6"/>
        <v>0</v>
      </c>
      <c r="G47" s="72">
        <f t="shared" si="6"/>
        <v>0</v>
      </c>
      <c r="H47" s="72">
        <f t="shared" si="6"/>
        <v>0</v>
      </c>
      <c r="I47" s="72">
        <f t="shared" si="6"/>
        <v>0</v>
      </c>
      <c r="J47" s="72">
        <f t="shared" si="6"/>
        <v>0</v>
      </c>
      <c r="K47" s="72">
        <f t="shared" si="6"/>
        <v>0</v>
      </c>
      <c r="L47" s="72">
        <f t="shared" si="6"/>
        <v>0</v>
      </c>
      <c r="M47" s="72">
        <f t="shared" si="6"/>
        <v>0</v>
      </c>
      <c r="N47" s="72">
        <f t="shared" si="6"/>
        <v>0</v>
      </c>
      <c r="O47" s="72">
        <f>SUM(O43:O46)</f>
        <v>0</v>
      </c>
      <c r="P47" s="72">
        <f>SUM(D47:O47)</f>
        <v>0</v>
      </c>
    </row>
    <row r="48" spans="1:16" x14ac:dyDescent="0.25">
      <c r="A48" s="110"/>
      <c r="B48" s="107"/>
      <c r="C48" s="13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</row>
    <row r="49" spans="1:16" ht="15.6" x14ac:dyDescent="0.3">
      <c r="A49" s="110">
        <f>A47+1</f>
        <v>29</v>
      </c>
      <c r="B49" s="52" t="s">
        <v>261</v>
      </c>
      <c r="C49" s="143"/>
      <c r="D49" s="329"/>
      <c r="E49" s="329"/>
      <c r="F49" s="329"/>
      <c r="G49" s="329"/>
      <c r="H49" s="329"/>
      <c r="I49" s="329"/>
      <c r="J49" s="329"/>
      <c r="K49" s="329"/>
      <c r="L49" s="329"/>
      <c r="M49" s="329"/>
      <c r="N49" s="329"/>
      <c r="O49" s="329"/>
      <c r="P49" s="72"/>
    </row>
    <row r="50" spans="1:16" x14ac:dyDescent="0.25">
      <c r="A50" s="110">
        <f>A49+1</f>
        <v>30</v>
      </c>
      <c r="B50" s="53" t="str">
        <f>'C'!B304</f>
        <v xml:space="preserve">    First 50 Mcf</v>
      </c>
      <c r="C50" s="143"/>
      <c r="D50" s="329">
        <v>0</v>
      </c>
      <c r="E50" s="329">
        <v>0</v>
      </c>
      <c r="F50" s="329">
        <v>0</v>
      </c>
      <c r="G50" s="329">
        <v>0</v>
      </c>
      <c r="H50" s="329">
        <v>0</v>
      </c>
      <c r="I50" s="329">
        <v>0</v>
      </c>
      <c r="J50" s="329">
        <v>0</v>
      </c>
      <c r="K50" s="329">
        <v>0</v>
      </c>
      <c r="L50" s="329">
        <v>0</v>
      </c>
      <c r="M50" s="329">
        <v>0</v>
      </c>
      <c r="N50" s="329">
        <v>0</v>
      </c>
      <c r="O50" s="329">
        <v>0</v>
      </c>
      <c r="P50" s="72">
        <f>SUM(D50:O50)</f>
        <v>0</v>
      </c>
    </row>
    <row r="51" spans="1:16" x14ac:dyDescent="0.25">
      <c r="A51" s="110">
        <f>A50+1</f>
        <v>31</v>
      </c>
      <c r="B51" s="53" t="str">
        <f>'C'!B305</f>
        <v xml:space="preserve">    Next 350 Mcf</v>
      </c>
      <c r="C51" s="143"/>
      <c r="D51" s="329">
        <v>0</v>
      </c>
      <c r="E51" s="329">
        <v>0</v>
      </c>
      <c r="F51" s="329">
        <v>0</v>
      </c>
      <c r="G51" s="329">
        <v>0</v>
      </c>
      <c r="H51" s="329">
        <v>0</v>
      </c>
      <c r="I51" s="329">
        <v>0</v>
      </c>
      <c r="J51" s="329">
        <v>0</v>
      </c>
      <c r="K51" s="329">
        <v>0</v>
      </c>
      <c r="L51" s="329">
        <v>0</v>
      </c>
      <c r="M51" s="329">
        <v>0</v>
      </c>
      <c r="N51" s="329">
        <v>0</v>
      </c>
      <c r="O51" s="329">
        <v>0</v>
      </c>
      <c r="P51" s="72">
        <f>SUM(D51:O51)</f>
        <v>0</v>
      </c>
    </row>
    <row r="52" spans="1:16" x14ac:dyDescent="0.25">
      <c r="A52" s="110">
        <f>A51+1</f>
        <v>32</v>
      </c>
      <c r="B52" s="53" t="str">
        <f>'C'!B306</f>
        <v xml:space="preserve">    Next 600 Mcf</v>
      </c>
      <c r="C52" s="143"/>
      <c r="D52" s="329">
        <v>0</v>
      </c>
      <c r="E52" s="329">
        <v>0</v>
      </c>
      <c r="F52" s="329">
        <v>0</v>
      </c>
      <c r="G52" s="329">
        <v>0</v>
      </c>
      <c r="H52" s="329">
        <v>0</v>
      </c>
      <c r="I52" s="329">
        <v>0</v>
      </c>
      <c r="J52" s="329">
        <v>0</v>
      </c>
      <c r="K52" s="329">
        <v>0</v>
      </c>
      <c r="L52" s="329">
        <v>0</v>
      </c>
      <c r="M52" s="329">
        <v>0</v>
      </c>
      <c r="N52" s="329">
        <v>0</v>
      </c>
      <c r="O52" s="329">
        <v>0</v>
      </c>
      <c r="P52" s="72">
        <f>SUM(D52:O52)</f>
        <v>0</v>
      </c>
    </row>
    <row r="53" spans="1:16" x14ac:dyDescent="0.25">
      <c r="A53" s="110">
        <f>A52+1</f>
        <v>33</v>
      </c>
      <c r="B53" s="53" t="str">
        <f>'C'!B307</f>
        <v xml:space="preserve">    Over 1,000 Mcf</v>
      </c>
      <c r="C53" s="143"/>
      <c r="D53" s="338">
        <v>0</v>
      </c>
      <c r="E53" s="338">
        <v>0</v>
      </c>
      <c r="F53" s="338">
        <v>0</v>
      </c>
      <c r="G53" s="338">
        <v>0</v>
      </c>
      <c r="H53" s="338">
        <v>0</v>
      </c>
      <c r="I53" s="338">
        <v>0</v>
      </c>
      <c r="J53" s="338">
        <v>0</v>
      </c>
      <c r="K53" s="338">
        <v>0</v>
      </c>
      <c r="L53" s="338">
        <v>0</v>
      </c>
      <c r="M53" s="338">
        <v>0</v>
      </c>
      <c r="N53" s="338">
        <v>0</v>
      </c>
      <c r="O53" s="338">
        <v>0</v>
      </c>
      <c r="P53" s="138">
        <f>SUM(D53:O53)</f>
        <v>0</v>
      </c>
    </row>
    <row r="54" spans="1:16" x14ac:dyDescent="0.25">
      <c r="A54" s="110">
        <f>A53+1</f>
        <v>34</v>
      </c>
      <c r="B54" s="107" t="s">
        <v>369</v>
      </c>
      <c r="C54" s="143"/>
      <c r="D54" s="72">
        <f t="shared" ref="D54:N54" si="7">SUM(D50:D53)</f>
        <v>0</v>
      </c>
      <c r="E54" s="72">
        <f t="shared" si="7"/>
        <v>0</v>
      </c>
      <c r="F54" s="72">
        <f t="shared" si="7"/>
        <v>0</v>
      </c>
      <c r="G54" s="72">
        <f t="shared" si="7"/>
        <v>0</v>
      </c>
      <c r="H54" s="72">
        <f t="shared" si="7"/>
        <v>0</v>
      </c>
      <c r="I54" s="72">
        <f t="shared" si="7"/>
        <v>0</v>
      </c>
      <c r="J54" s="72">
        <f t="shared" si="7"/>
        <v>0</v>
      </c>
      <c r="K54" s="72">
        <f t="shared" si="7"/>
        <v>0</v>
      </c>
      <c r="L54" s="72">
        <f t="shared" si="7"/>
        <v>0</v>
      </c>
      <c r="M54" s="72">
        <f t="shared" si="7"/>
        <v>0</v>
      </c>
      <c r="N54" s="72">
        <f t="shared" si="7"/>
        <v>0</v>
      </c>
      <c r="O54" s="72">
        <f>SUM(O50:O53)</f>
        <v>0</v>
      </c>
      <c r="P54" s="72">
        <f>SUM(D54:O54)</f>
        <v>0</v>
      </c>
    </row>
    <row r="55" spans="1:16" x14ac:dyDescent="0.25">
      <c r="A55" s="110"/>
      <c r="B55" s="107"/>
      <c r="C55" s="143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</row>
    <row r="56" spans="1:16" ht="15.6" x14ac:dyDescent="0.3">
      <c r="A56" s="110">
        <f>A54+1</f>
        <v>35</v>
      </c>
      <c r="B56" s="52" t="s">
        <v>262</v>
      </c>
      <c r="C56" s="143"/>
      <c r="D56" s="329"/>
      <c r="E56" s="329"/>
      <c r="F56" s="329"/>
      <c r="G56" s="329"/>
      <c r="H56" s="329"/>
      <c r="I56" s="329"/>
      <c r="J56" s="329"/>
      <c r="K56" s="329"/>
      <c r="L56" s="329"/>
      <c r="M56" s="329"/>
      <c r="N56" s="329"/>
      <c r="O56" s="329"/>
      <c r="P56" s="72"/>
    </row>
    <row r="57" spans="1:16" x14ac:dyDescent="0.25">
      <c r="A57" s="110">
        <f>A56+1</f>
        <v>36</v>
      </c>
      <c r="B57" s="53" t="str">
        <f>'C'!B257</f>
        <v xml:space="preserve">    First 30,000 Mcf</v>
      </c>
      <c r="C57" s="143"/>
      <c r="D57" s="72">
        <f>'D pg 2'!F59</f>
        <v>-10000</v>
      </c>
      <c r="E57" s="72">
        <f>'D pg 2'!G59</f>
        <v>-10000</v>
      </c>
      <c r="F57" s="72">
        <f>'D pg 2'!H59</f>
        <v>-10000</v>
      </c>
      <c r="G57" s="72">
        <f>'D pg 2'!I59</f>
        <v>-10000</v>
      </c>
      <c r="H57" s="72">
        <f>'D pg 2'!J59</f>
        <v>-10000</v>
      </c>
      <c r="I57" s="72">
        <f>'D pg 2'!K59</f>
        <v>-10000</v>
      </c>
      <c r="J57" s="72">
        <f>'D pg 2'!L59</f>
        <v>-10000</v>
      </c>
      <c r="K57" s="72">
        <f>'D pg 2'!M59</f>
        <v>-10000</v>
      </c>
      <c r="L57" s="72">
        <f>'D pg 2'!N59</f>
        <v>-10000</v>
      </c>
      <c r="M57" s="72">
        <f>'D pg 2'!O59</f>
        <v>-10000</v>
      </c>
      <c r="N57" s="72">
        <f>'D pg 2'!P59</f>
        <v>-10000</v>
      </c>
      <c r="O57" s="72">
        <f>'D pg 2'!Q59</f>
        <v>-10000</v>
      </c>
      <c r="P57" s="72">
        <f>SUM(D57:O57)</f>
        <v>-120000</v>
      </c>
    </row>
    <row r="58" spans="1:16" x14ac:dyDescent="0.25">
      <c r="A58" s="110">
        <f>A57+1</f>
        <v>37</v>
      </c>
      <c r="B58" s="53" t="str">
        <f>'C'!B258</f>
        <v xml:space="preserve">    Over 30,000 Mcf</v>
      </c>
      <c r="C58" s="143"/>
      <c r="D58" s="138">
        <f>'D pg 2'!F60</f>
        <v>0</v>
      </c>
      <c r="E58" s="138">
        <f>'D pg 2'!G60</f>
        <v>0</v>
      </c>
      <c r="F58" s="138">
        <f>'D pg 2'!H60</f>
        <v>0</v>
      </c>
      <c r="G58" s="138">
        <f>'D pg 2'!I60</f>
        <v>0</v>
      </c>
      <c r="H58" s="138">
        <f>'D pg 2'!J60</f>
        <v>0</v>
      </c>
      <c r="I58" s="138">
        <f>'D pg 2'!K60</f>
        <v>0</v>
      </c>
      <c r="J58" s="138">
        <f>'D pg 2'!L60</f>
        <v>0</v>
      </c>
      <c r="K58" s="138">
        <f>'D pg 2'!M60</f>
        <v>0</v>
      </c>
      <c r="L58" s="138">
        <f>'D pg 2'!N60</f>
        <v>0</v>
      </c>
      <c r="M58" s="138">
        <f>'D pg 2'!O60</f>
        <v>0</v>
      </c>
      <c r="N58" s="138">
        <f>'D pg 2'!P60</f>
        <v>0</v>
      </c>
      <c r="O58" s="138">
        <f>'D pg 2'!Q60</f>
        <v>0</v>
      </c>
      <c r="P58" s="138">
        <f>SUM(D58:O58)</f>
        <v>0</v>
      </c>
    </row>
    <row r="59" spans="1:16" x14ac:dyDescent="0.25">
      <c r="A59" s="110">
        <f>A58+1</f>
        <v>38</v>
      </c>
      <c r="B59" s="107" t="s">
        <v>369</v>
      </c>
      <c r="C59" s="143"/>
      <c r="D59" s="72">
        <f t="shared" ref="D59:N59" si="8">SUM(D57:D58)</f>
        <v>-10000</v>
      </c>
      <c r="E59" s="72">
        <f t="shared" si="8"/>
        <v>-10000</v>
      </c>
      <c r="F59" s="72">
        <f t="shared" si="8"/>
        <v>-10000</v>
      </c>
      <c r="G59" s="72">
        <f t="shared" si="8"/>
        <v>-10000</v>
      </c>
      <c r="H59" s="72">
        <f t="shared" si="8"/>
        <v>-10000</v>
      </c>
      <c r="I59" s="72">
        <f t="shared" si="8"/>
        <v>-10000</v>
      </c>
      <c r="J59" s="72">
        <f t="shared" si="8"/>
        <v>-10000</v>
      </c>
      <c r="K59" s="72">
        <f t="shared" si="8"/>
        <v>-10000</v>
      </c>
      <c r="L59" s="72">
        <f t="shared" si="8"/>
        <v>-10000</v>
      </c>
      <c r="M59" s="72">
        <f t="shared" si="8"/>
        <v>-10000</v>
      </c>
      <c r="N59" s="72">
        <f t="shared" si="8"/>
        <v>-10000</v>
      </c>
      <c r="O59" s="72">
        <f>SUM(O57:O58)</f>
        <v>-10000</v>
      </c>
      <c r="P59" s="72">
        <f>SUM(D59:O59)</f>
        <v>-120000</v>
      </c>
    </row>
    <row r="60" spans="1:16" x14ac:dyDescent="0.25">
      <c r="A60" s="110"/>
      <c r="B60" s="107"/>
      <c r="C60" s="143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</row>
    <row r="61" spans="1:16" ht="15.6" x14ac:dyDescent="0.3">
      <c r="A61" s="110">
        <f>A59+1</f>
        <v>39</v>
      </c>
      <c r="B61" s="78" t="s">
        <v>280</v>
      </c>
      <c r="C61" s="143"/>
      <c r="D61" s="329"/>
      <c r="E61" s="329"/>
      <c r="F61" s="329"/>
      <c r="G61" s="329"/>
      <c r="H61" s="329"/>
      <c r="I61" s="329"/>
      <c r="J61" s="329"/>
      <c r="K61" s="329"/>
      <c r="L61" s="329"/>
      <c r="M61" s="329"/>
      <c r="N61" s="329"/>
      <c r="O61" s="329"/>
      <c r="P61" s="72"/>
    </row>
    <row r="62" spans="1:16" x14ac:dyDescent="0.25">
      <c r="A62" s="110">
        <f>A61+1</f>
        <v>40</v>
      </c>
      <c r="B62" s="64" t="s">
        <v>501</v>
      </c>
      <c r="C62" s="143"/>
      <c r="D62" s="72">
        <f>'D pg 2'!F53</f>
        <v>0</v>
      </c>
      <c r="E62" s="72">
        <f>'D pg 2'!G53</f>
        <v>0</v>
      </c>
      <c r="F62" s="72">
        <f>'D pg 2'!H53</f>
        <v>-10000</v>
      </c>
      <c r="G62" s="72">
        <f>'D pg 2'!I53</f>
        <v>-10000</v>
      </c>
      <c r="H62" s="72">
        <f>'D pg 2'!J53</f>
        <v>-20000</v>
      </c>
      <c r="I62" s="72">
        <f>'D pg 2'!K53</f>
        <v>-20000</v>
      </c>
      <c r="J62" s="72">
        <f>'D pg 2'!L53</f>
        <v>-20000</v>
      </c>
      <c r="K62" s="72">
        <f>'D pg 2'!M53</f>
        <v>-20000</v>
      </c>
      <c r="L62" s="72">
        <f>'D pg 2'!N53</f>
        <v>-20000</v>
      </c>
      <c r="M62" s="72">
        <f>'D pg 2'!O53</f>
        <v>-20000</v>
      </c>
      <c r="N62" s="72">
        <f>'D pg 2'!P53</f>
        <v>-10000</v>
      </c>
      <c r="O62" s="72">
        <f>'D pg 2'!Q53</f>
        <v>0</v>
      </c>
      <c r="P62" s="72">
        <f>SUM(D62:O62)</f>
        <v>-150000</v>
      </c>
    </row>
    <row r="63" spans="1:16" x14ac:dyDescent="0.25">
      <c r="A63" s="110">
        <f>A62+1</f>
        <v>41</v>
      </c>
      <c r="B63" s="64" t="s">
        <v>282</v>
      </c>
      <c r="C63" s="143"/>
      <c r="D63" s="138">
        <f>'D pg 2'!F54</f>
        <v>-225112</v>
      </c>
      <c r="E63" s="138">
        <f>'D pg 2'!G54</f>
        <v>-213376</v>
      </c>
      <c r="F63" s="138">
        <f>'D pg 2'!H54</f>
        <v>-233376</v>
      </c>
      <c r="G63" s="138">
        <f>'D pg 2'!I54</f>
        <v>-233376</v>
      </c>
      <c r="H63" s="138">
        <f>'D pg 2'!J54</f>
        <v>-233376</v>
      </c>
      <c r="I63" s="138">
        <f>'D pg 2'!K54</f>
        <v>-233376</v>
      </c>
      <c r="J63" s="138">
        <f>'D pg 2'!L54</f>
        <v>-233376</v>
      </c>
      <c r="K63" s="138">
        <f>'D pg 2'!M54</f>
        <v>-233376</v>
      </c>
      <c r="L63" s="138">
        <f>'D pg 2'!N54</f>
        <v>-233376</v>
      </c>
      <c r="M63" s="138">
        <f>'D pg 2'!O54</f>
        <v>-233376</v>
      </c>
      <c r="N63" s="138">
        <f>'D pg 2'!P54</f>
        <v>-233376</v>
      </c>
      <c r="O63" s="138">
        <f>'D pg 2'!Q54</f>
        <v>-225112</v>
      </c>
      <c r="P63" s="138">
        <f>SUM(D63:O63)</f>
        <v>-2763984</v>
      </c>
    </row>
    <row r="64" spans="1:16" x14ac:dyDescent="0.25">
      <c r="A64" s="110">
        <f>A63+1</f>
        <v>42</v>
      </c>
      <c r="B64" s="107" t="s">
        <v>369</v>
      </c>
      <c r="C64" s="143"/>
      <c r="D64" s="72">
        <f t="shared" ref="D64:N64" si="9">SUM(D62:D63)</f>
        <v>-225112</v>
      </c>
      <c r="E64" s="72">
        <f t="shared" si="9"/>
        <v>-213376</v>
      </c>
      <c r="F64" s="72">
        <f t="shared" si="9"/>
        <v>-243376</v>
      </c>
      <c r="G64" s="72">
        <f t="shared" si="9"/>
        <v>-243376</v>
      </c>
      <c r="H64" s="72">
        <f t="shared" si="9"/>
        <v>-253376</v>
      </c>
      <c r="I64" s="72">
        <f t="shared" si="9"/>
        <v>-253376</v>
      </c>
      <c r="J64" s="72">
        <f t="shared" si="9"/>
        <v>-253376</v>
      </c>
      <c r="K64" s="72">
        <f t="shared" si="9"/>
        <v>-253376</v>
      </c>
      <c r="L64" s="72">
        <f t="shared" si="9"/>
        <v>-253376</v>
      </c>
      <c r="M64" s="72">
        <f t="shared" si="9"/>
        <v>-253376</v>
      </c>
      <c r="N64" s="72">
        <f t="shared" si="9"/>
        <v>-243376</v>
      </c>
      <c r="O64" s="72">
        <f>SUM(O62:O63)</f>
        <v>-225112</v>
      </c>
      <c r="P64" s="72">
        <f>SUM(D64:O64)</f>
        <v>-2913984</v>
      </c>
    </row>
    <row r="65" spans="1:16" x14ac:dyDescent="0.25">
      <c r="A65" s="110"/>
      <c r="B65" s="107"/>
      <c r="C65" s="133"/>
      <c r="P65" s="153"/>
    </row>
    <row r="66" spans="1:16" ht="15.6" x14ac:dyDescent="0.3">
      <c r="A66" s="110">
        <f>A64+1</f>
        <v>43</v>
      </c>
      <c r="B66" s="134" t="s">
        <v>288</v>
      </c>
      <c r="C66" s="133"/>
      <c r="D66" s="72">
        <f>D33+D40+D59+D47+D64+D54</f>
        <v>-217734.8</v>
      </c>
      <c r="E66" s="72">
        <f t="shared" ref="E66:O66" si="10">E33+E40+E59+E47+E64+E54</f>
        <v>-205472</v>
      </c>
      <c r="F66" s="72">
        <f t="shared" si="10"/>
        <v>-235076</v>
      </c>
      <c r="G66" s="72">
        <f t="shared" si="10"/>
        <v>-234376</v>
      </c>
      <c r="H66" s="72">
        <f t="shared" si="10"/>
        <v>-243676</v>
      </c>
      <c r="I66" s="72">
        <f t="shared" si="10"/>
        <v>-243676</v>
      </c>
      <c r="J66" s="72">
        <f t="shared" si="10"/>
        <v>-243626</v>
      </c>
      <c r="K66" s="72">
        <f t="shared" si="10"/>
        <v>-243626</v>
      </c>
      <c r="L66" s="72">
        <f t="shared" si="10"/>
        <v>-243626</v>
      </c>
      <c r="M66" s="72">
        <f t="shared" si="10"/>
        <v>-243626</v>
      </c>
      <c r="N66" s="72">
        <f t="shared" si="10"/>
        <v>-234276</v>
      </c>
      <c r="O66" s="72">
        <f t="shared" si="10"/>
        <v>-217012</v>
      </c>
      <c r="P66" s="72">
        <f>SUM(D66:O66)</f>
        <v>-2805802.8</v>
      </c>
    </row>
    <row r="67" spans="1:16" x14ac:dyDescent="0.25">
      <c r="A67" s="110"/>
      <c r="B67" s="107"/>
      <c r="C67" s="13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</row>
    <row r="68" spans="1:16" x14ac:dyDescent="0.25">
      <c r="A68" s="110"/>
      <c r="B68" s="107"/>
      <c r="C68" s="13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</row>
    <row r="69" spans="1:16" x14ac:dyDescent="0.25">
      <c r="A69" s="110"/>
      <c r="B69" s="107"/>
      <c r="C69" s="133"/>
      <c r="D69" s="153"/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</row>
    <row r="70" spans="1:16" x14ac:dyDescent="0.25">
      <c r="A70" s="110"/>
      <c r="B70" s="107"/>
      <c r="C70" s="133"/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</row>
    <row r="71" spans="1:16" x14ac:dyDescent="0.25">
      <c r="A71" s="110"/>
      <c r="B71" s="107"/>
      <c r="C71" s="13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</row>
    <row r="72" spans="1:16" x14ac:dyDescent="0.25">
      <c r="A72" s="110"/>
      <c r="B72" s="107"/>
      <c r="C72" s="133"/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</row>
    <row r="73" spans="1:16" x14ac:dyDescent="0.25">
      <c r="A73" s="110"/>
      <c r="B73" s="107"/>
      <c r="C73" s="13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</row>
    <row r="74" spans="1:16" x14ac:dyDescent="0.25">
      <c r="A74" s="110"/>
      <c r="B74" s="107"/>
      <c r="C74" s="13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</row>
    <row r="75" spans="1:16" x14ac:dyDescent="0.25">
      <c r="A75" s="110"/>
      <c r="B75" s="107"/>
      <c r="C75" s="13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</row>
    <row r="76" spans="1:16" x14ac:dyDescent="0.25">
      <c r="A76" s="110"/>
      <c r="B76" s="107"/>
      <c r="C76" s="133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</row>
    <row r="77" spans="1:16" x14ac:dyDescent="0.25">
      <c r="A77" s="110"/>
      <c r="B77" s="107"/>
      <c r="C77" s="13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</row>
    <row r="78" spans="1:16" x14ac:dyDescent="0.25">
      <c r="A78" s="110"/>
      <c r="B78" s="107"/>
      <c r="C78" s="133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</row>
    <row r="79" spans="1:16" x14ac:dyDescent="0.25">
      <c r="A79" s="110"/>
      <c r="B79" s="107"/>
      <c r="C79" s="13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</row>
    <row r="80" spans="1:16" x14ac:dyDescent="0.25">
      <c r="A80" s="110"/>
      <c r="B80" s="107"/>
      <c r="C80" s="133"/>
      <c r="D80" s="153"/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</row>
    <row r="81" spans="1:16" x14ac:dyDescent="0.25">
      <c r="A81" s="110"/>
      <c r="B81" s="107"/>
      <c r="C81" s="133"/>
      <c r="D81" s="153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</row>
    <row r="82" spans="1:16" x14ac:dyDescent="0.25">
      <c r="A82" s="110"/>
      <c r="B82" s="107"/>
      <c r="C82" s="13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</row>
    <row r="83" spans="1:16" x14ac:dyDescent="0.25">
      <c r="A83" s="110"/>
      <c r="B83" s="107"/>
      <c r="C83" s="13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</row>
    <row r="84" spans="1:16" x14ac:dyDescent="0.25">
      <c r="A84" s="110"/>
      <c r="B84" s="107"/>
      <c r="C84" s="133"/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</row>
    <row r="85" spans="1:16" x14ac:dyDescent="0.25">
      <c r="A85" s="110"/>
      <c r="B85" s="107"/>
      <c r="C85" s="13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</row>
    <row r="86" spans="1:16" x14ac:dyDescent="0.25">
      <c r="A86" s="110"/>
      <c r="B86" s="107"/>
      <c r="C86" s="133"/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</row>
    <row r="87" spans="1:16" x14ac:dyDescent="0.25">
      <c r="A87" s="110"/>
      <c r="B87" s="107"/>
      <c r="C87" s="13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</row>
    <row r="88" spans="1:16" x14ac:dyDescent="0.25">
      <c r="A88" s="94"/>
      <c r="B88" s="53"/>
      <c r="C88" s="96"/>
      <c r="D88" s="96"/>
      <c r="E88" s="96"/>
      <c r="F88" s="154"/>
      <c r="G88" s="96"/>
      <c r="H88" s="96"/>
      <c r="I88" s="96"/>
      <c r="J88" s="96"/>
      <c r="K88" s="96"/>
      <c r="L88" s="96"/>
      <c r="M88" s="96"/>
      <c r="N88" s="96"/>
      <c r="O88" s="96"/>
      <c r="P88" s="96"/>
    </row>
    <row r="89" spans="1:16" x14ac:dyDescent="0.25">
      <c r="A89" s="94"/>
      <c r="B89" s="53"/>
      <c r="C89" s="96"/>
      <c r="D89" s="96"/>
      <c r="E89" s="96"/>
      <c r="F89" s="154"/>
      <c r="G89" s="96"/>
      <c r="H89" s="96"/>
      <c r="I89" s="96"/>
      <c r="J89" s="96"/>
      <c r="K89" s="96"/>
      <c r="L89" s="96"/>
      <c r="M89" s="96"/>
      <c r="N89" s="96"/>
      <c r="O89" s="96"/>
      <c r="P89" s="96"/>
    </row>
    <row r="90" spans="1:16" x14ac:dyDescent="0.25">
      <c r="A90" s="94"/>
      <c r="B90" s="53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</row>
    <row r="91" spans="1:16" ht="15.6" x14ac:dyDescent="0.3">
      <c r="A91" s="94"/>
      <c r="B91" s="53"/>
      <c r="C91" s="108"/>
      <c r="D91" s="108"/>
      <c r="E91" s="108"/>
      <c r="F91" s="108"/>
      <c r="G91" s="96"/>
      <c r="H91" s="96"/>
      <c r="I91" s="96"/>
      <c r="J91" s="96"/>
      <c r="K91" s="96"/>
      <c r="L91" s="96"/>
      <c r="M91" s="96"/>
      <c r="N91" s="96"/>
      <c r="O91" s="96"/>
      <c r="P91" s="96"/>
    </row>
    <row r="92" spans="1:16" ht="15.6" x14ac:dyDescent="0.3">
      <c r="A92" s="124"/>
      <c r="B92" s="53"/>
      <c r="C92" s="108"/>
      <c r="D92" s="108"/>
      <c r="E92" s="108"/>
      <c r="F92" s="108"/>
      <c r="G92" s="108"/>
      <c r="H92" s="96"/>
      <c r="I92" s="96"/>
      <c r="J92" s="96"/>
      <c r="K92" s="96"/>
      <c r="L92" s="96"/>
      <c r="M92" s="96"/>
      <c r="N92" s="96"/>
      <c r="O92" s="96"/>
      <c r="P92" s="96"/>
    </row>
    <row r="93" spans="1:16" ht="15.6" x14ac:dyDescent="0.3">
      <c r="A93" s="316"/>
      <c r="B93" s="53"/>
      <c r="C93" s="317"/>
      <c r="D93" s="317"/>
      <c r="E93" s="317"/>
      <c r="F93" s="317"/>
      <c r="G93" s="317"/>
      <c r="H93" s="96"/>
      <c r="I93" s="96"/>
      <c r="J93" s="96"/>
      <c r="K93" s="96"/>
      <c r="L93" s="96"/>
      <c r="M93" s="96"/>
      <c r="N93" s="96"/>
      <c r="O93" s="96"/>
      <c r="P93" s="96"/>
    </row>
    <row r="94" spans="1:16" ht="15.6" x14ac:dyDescent="0.3">
      <c r="A94" s="94"/>
      <c r="B94" s="53"/>
      <c r="C94" s="108"/>
      <c r="D94" s="108"/>
      <c r="E94" s="108"/>
      <c r="F94" s="108"/>
      <c r="G94" s="108"/>
      <c r="H94" s="96"/>
      <c r="I94" s="96"/>
      <c r="J94" s="96"/>
      <c r="K94" s="96"/>
      <c r="L94" s="96"/>
      <c r="M94" s="96"/>
      <c r="N94" s="96"/>
      <c r="O94" s="96"/>
      <c r="P94" s="96"/>
    </row>
    <row r="95" spans="1:16" ht="15.6" x14ac:dyDescent="0.3">
      <c r="A95" s="94"/>
      <c r="B95" s="53"/>
      <c r="C95" s="358"/>
      <c r="D95" s="104"/>
      <c r="E95" s="104"/>
      <c r="F95" s="358"/>
      <c r="G95" s="104"/>
      <c r="H95" s="96"/>
      <c r="I95" s="96"/>
      <c r="J95" s="96"/>
      <c r="K95" s="96"/>
      <c r="L95" s="96"/>
      <c r="M95" s="96"/>
      <c r="N95" s="96"/>
      <c r="O95" s="96"/>
      <c r="P95" s="96"/>
    </row>
    <row r="96" spans="1:16" ht="15.6" x14ac:dyDescent="0.3">
      <c r="A96" s="94"/>
      <c r="B96" s="52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</row>
    <row r="97" spans="1:16" x14ac:dyDescent="0.25">
      <c r="A97" s="94"/>
      <c r="B97" s="53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</row>
    <row r="98" spans="1:16" ht="15.6" x14ac:dyDescent="0.3">
      <c r="B98" s="49"/>
      <c r="C98" s="85"/>
      <c r="D98" s="85"/>
      <c r="E98" s="85"/>
      <c r="F98" s="86"/>
      <c r="G98" s="85"/>
    </row>
    <row r="99" spans="1:16" x14ac:dyDescent="0.25">
      <c r="C99" s="85"/>
      <c r="D99" s="85"/>
      <c r="E99" s="174"/>
      <c r="G99" s="85"/>
    </row>
    <row r="100" spans="1:16" ht="15.6" x14ac:dyDescent="0.3">
      <c r="B100" s="49"/>
      <c r="E100" s="175"/>
    </row>
    <row r="101" spans="1:16" x14ac:dyDescent="0.25">
      <c r="E101" s="175"/>
    </row>
    <row r="102" spans="1:16" ht="15.6" x14ac:dyDescent="0.3">
      <c r="B102" s="49"/>
      <c r="C102" s="85"/>
      <c r="D102" s="85"/>
      <c r="E102" s="85"/>
      <c r="F102" s="86"/>
      <c r="G102" s="85"/>
    </row>
    <row r="104" spans="1:16" ht="15.6" x14ac:dyDescent="0.3">
      <c r="B104" s="49"/>
      <c r="C104" s="86"/>
      <c r="D104" s="85"/>
      <c r="E104" s="86"/>
      <c r="F104" s="86"/>
      <c r="G104" s="85"/>
    </row>
    <row r="106" spans="1:16" ht="15.6" x14ac:dyDescent="0.3">
      <c r="B106" s="49"/>
      <c r="C106" s="86"/>
      <c r="D106" s="85"/>
      <c r="E106" s="86"/>
      <c r="F106" s="86"/>
      <c r="G106" s="85"/>
    </row>
    <row r="108" spans="1:16" ht="15.6" x14ac:dyDescent="0.3">
      <c r="B108" s="49"/>
    </row>
    <row r="110" spans="1:16" ht="15.6" x14ac:dyDescent="0.3">
      <c r="B110" s="49"/>
      <c r="C110" s="86"/>
      <c r="D110" s="85"/>
      <c r="E110" s="86"/>
      <c r="F110" s="115"/>
      <c r="G110" s="85"/>
    </row>
    <row r="112" spans="1:16" ht="15.6" x14ac:dyDescent="0.3">
      <c r="B112" s="49"/>
      <c r="C112" s="86"/>
      <c r="D112" s="85"/>
      <c r="E112" s="86"/>
      <c r="F112" s="115"/>
      <c r="G112" s="85"/>
    </row>
    <row r="114" spans="2:8" ht="15.6" x14ac:dyDescent="0.3">
      <c r="B114" s="49"/>
      <c r="C114" s="86"/>
      <c r="D114" s="85"/>
      <c r="E114" s="86"/>
      <c r="F114" s="115"/>
      <c r="G114" s="85"/>
    </row>
    <row r="116" spans="2:8" ht="15.6" x14ac:dyDescent="0.3">
      <c r="B116" s="49"/>
      <c r="C116" s="86"/>
      <c r="D116" s="85"/>
      <c r="E116" s="86"/>
      <c r="F116" s="86"/>
      <c r="G116" s="85"/>
    </row>
    <row r="118" spans="2:8" ht="15.6" x14ac:dyDescent="0.3">
      <c r="B118" s="49"/>
      <c r="C118" s="176"/>
      <c r="D118" s="112"/>
      <c r="E118" s="176"/>
      <c r="F118" s="114"/>
      <c r="G118" s="112"/>
    </row>
    <row r="120" spans="2:8" x14ac:dyDescent="0.25">
      <c r="C120" s="85"/>
      <c r="D120" s="85"/>
      <c r="E120" s="85"/>
      <c r="F120" s="85"/>
      <c r="G120" s="85"/>
    </row>
    <row r="128" spans="2:8" ht="15.6" x14ac:dyDescent="0.3">
      <c r="C128" s="78"/>
      <c r="H128" s="113"/>
    </row>
    <row r="129" spans="1:7" ht="15.6" x14ac:dyDescent="0.3">
      <c r="C129" s="177"/>
    </row>
    <row r="133" spans="1:7" ht="15.6" x14ac:dyDescent="0.3">
      <c r="C133" s="77"/>
      <c r="D133" s="77"/>
      <c r="E133" s="77"/>
      <c r="F133" s="77"/>
      <c r="G133" s="78"/>
    </row>
    <row r="134" spans="1:7" ht="15.6" x14ac:dyDescent="0.3">
      <c r="A134" s="47"/>
      <c r="C134" s="77"/>
      <c r="D134" s="77"/>
      <c r="E134" s="77"/>
      <c r="F134" s="77"/>
      <c r="G134" s="77"/>
    </row>
    <row r="135" spans="1:7" ht="15.6" x14ac:dyDescent="0.3">
      <c r="A135" s="57"/>
      <c r="C135" s="79"/>
      <c r="D135" s="79"/>
      <c r="E135" s="79"/>
      <c r="F135" s="79"/>
      <c r="G135" s="79"/>
    </row>
    <row r="136" spans="1:7" ht="15.6" x14ac:dyDescent="0.3">
      <c r="C136" s="77"/>
      <c r="D136" s="77"/>
      <c r="E136" s="77"/>
      <c r="F136" s="77"/>
      <c r="G136" s="77"/>
    </row>
    <row r="137" spans="1:7" ht="15.6" x14ac:dyDescent="0.3">
      <c r="C137" s="77"/>
      <c r="D137" s="77"/>
      <c r="E137" s="77"/>
      <c r="F137" s="77"/>
      <c r="G137" s="77"/>
    </row>
    <row r="138" spans="1:7" ht="15.6" x14ac:dyDescent="0.3">
      <c r="B138" s="49"/>
      <c r="C138" s="118"/>
      <c r="D138" s="78"/>
      <c r="E138" s="78"/>
      <c r="F138" s="118"/>
    </row>
    <row r="140" spans="1:7" ht="15.6" x14ac:dyDescent="0.3">
      <c r="B140" s="49"/>
      <c r="C140" s="81"/>
      <c r="D140" s="81"/>
      <c r="E140" s="81"/>
      <c r="G140" s="81"/>
    </row>
    <row r="141" spans="1:7" x14ac:dyDescent="0.25">
      <c r="C141" s="81"/>
      <c r="D141" s="81"/>
      <c r="E141" s="81"/>
      <c r="F141" s="83"/>
      <c r="G141" s="81"/>
    </row>
    <row r="142" spans="1:7" x14ac:dyDescent="0.25">
      <c r="C142" s="81"/>
      <c r="D142" s="81"/>
      <c r="E142" s="81"/>
      <c r="F142" s="83"/>
      <c r="G142" s="81"/>
    </row>
    <row r="143" spans="1:7" x14ac:dyDescent="0.25">
      <c r="C143" s="98"/>
      <c r="D143" s="84"/>
      <c r="E143" s="120"/>
      <c r="F143" s="120"/>
      <c r="G143" s="84"/>
    </row>
    <row r="144" spans="1:7" x14ac:dyDescent="0.25">
      <c r="C144" s="81"/>
      <c r="D144" s="81"/>
      <c r="E144" s="81"/>
      <c r="F144" s="81"/>
      <c r="G144" s="81"/>
    </row>
    <row r="145" spans="2:7" x14ac:dyDescent="0.25">
      <c r="C145" s="81"/>
      <c r="D145" s="81"/>
      <c r="E145" s="81"/>
      <c r="F145" s="81"/>
      <c r="G145" s="81"/>
    </row>
    <row r="146" spans="2:7" ht="15.6" x14ac:dyDescent="0.3">
      <c r="B146" s="47"/>
      <c r="C146" s="81"/>
      <c r="D146" s="81"/>
      <c r="E146" s="81"/>
      <c r="F146" s="81"/>
      <c r="G146" s="81"/>
    </row>
    <row r="147" spans="2:7" x14ac:dyDescent="0.25">
      <c r="C147" s="81"/>
      <c r="D147" s="81"/>
      <c r="E147" s="81"/>
      <c r="F147" s="81"/>
      <c r="G147" s="81"/>
    </row>
    <row r="148" spans="2:7" ht="15.6" x14ac:dyDescent="0.3">
      <c r="B148" s="49"/>
      <c r="C148" s="81"/>
      <c r="D148" s="81"/>
      <c r="E148" s="81"/>
      <c r="F148" s="81"/>
      <c r="G148" s="81"/>
    </row>
    <row r="149" spans="2:7" x14ac:dyDescent="0.25">
      <c r="C149" s="81"/>
      <c r="D149" s="81"/>
      <c r="E149" s="81"/>
      <c r="F149" s="81"/>
      <c r="G149" s="81"/>
    </row>
    <row r="150" spans="2:7" x14ac:dyDescent="0.25">
      <c r="C150" s="81"/>
      <c r="D150" s="81"/>
      <c r="E150" s="81"/>
      <c r="F150" s="83"/>
      <c r="G150" s="81"/>
    </row>
    <row r="151" spans="2:7" x14ac:dyDescent="0.25">
      <c r="C151" s="81"/>
      <c r="D151" s="81"/>
      <c r="E151" s="81"/>
      <c r="F151" s="83"/>
      <c r="G151" s="81"/>
    </row>
    <row r="152" spans="2:7" x14ac:dyDescent="0.25">
      <c r="C152" s="83"/>
      <c r="D152" s="81"/>
      <c r="E152" s="83"/>
      <c r="F152" s="83"/>
      <c r="G152" s="81"/>
    </row>
    <row r="153" spans="2:7" x14ac:dyDescent="0.25">
      <c r="C153" s="83"/>
      <c r="D153" s="81"/>
      <c r="E153" s="83"/>
      <c r="F153" s="83"/>
      <c r="G153" s="81"/>
    </row>
    <row r="154" spans="2:7" x14ac:dyDescent="0.25">
      <c r="C154" s="120"/>
      <c r="D154" s="84"/>
      <c r="E154" s="120"/>
      <c r="F154" s="121"/>
      <c r="G154" s="84"/>
    </row>
    <row r="155" spans="2:7" x14ac:dyDescent="0.25">
      <c r="C155" s="81"/>
      <c r="D155" s="81"/>
      <c r="E155" s="81"/>
      <c r="F155" s="81"/>
      <c r="G155" s="81"/>
    </row>
    <row r="156" spans="2:7" x14ac:dyDescent="0.25">
      <c r="C156" s="81"/>
      <c r="D156" s="81"/>
      <c r="E156" s="81"/>
      <c r="F156" s="81"/>
      <c r="G156" s="81"/>
    </row>
    <row r="157" spans="2:7" ht="15.6" x14ac:dyDescent="0.3">
      <c r="B157" s="49"/>
      <c r="C157" s="81"/>
      <c r="D157" s="81"/>
      <c r="E157" s="81"/>
      <c r="F157" s="81"/>
      <c r="G157" s="81"/>
    </row>
    <row r="158" spans="2:7" x14ac:dyDescent="0.25">
      <c r="C158" s="81"/>
      <c r="D158" s="81"/>
      <c r="E158" s="81"/>
      <c r="F158" s="81"/>
      <c r="G158" s="81"/>
    </row>
    <row r="159" spans="2:7" x14ac:dyDescent="0.25">
      <c r="C159" s="83"/>
      <c r="D159" s="81"/>
      <c r="E159" s="83"/>
      <c r="F159" s="83"/>
      <c r="G159" s="81"/>
    </row>
    <row r="160" spans="2:7" x14ac:dyDescent="0.25">
      <c r="C160" s="83"/>
      <c r="D160" s="81"/>
      <c r="E160" s="83"/>
      <c r="F160" s="83"/>
      <c r="G160" s="81"/>
    </row>
    <row r="161" spans="2:7" x14ac:dyDescent="0.25">
      <c r="C161" s="83"/>
      <c r="D161" s="81"/>
      <c r="E161" s="83"/>
      <c r="F161" s="83"/>
      <c r="G161" s="81"/>
    </row>
    <row r="162" spans="2:7" x14ac:dyDescent="0.25">
      <c r="C162" s="120"/>
      <c r="D162" s="84"/>
      <c r="E162" s="120"/>
      <c r="F162" s="120"/>
      <c r="G162" s="84"/>
    </row>
    <row r="163" spans="2:7" x14ac:dyDescent="0.25">
      <c r="C163" s="81"/>
      <c r="D163" s="81"/>
      <c r="E163" s="81"/>
      <c r="F163" s="81"/>
      <c r="G163" s="81"/>
    </row>
    <row r="165" spans="2:7" ht="15.6" x14ac:dyDescent="0.3">
      <c r="B165" s="49"/>
      <c r="C165" s="81"/>
      <c r="D165" s="81"/>
      <c r="E165" s="81"/>
      <c r="F165" s="81"/>
      <c r="G165" s="81"/>
    </row>
    <row r="166" spans="2:7" x14ac:dyDescent="0.25">
      <c r="C166" s="81"/>
      <c r="D166" s="81"/>
      <c r="E166" s="81"/>
      <c r="F166" s="81"/>
      <c r="G166" s="81"/>
    </row>
    <row r="167" spans="2:7" x14ac:dyDescent="0.25">
      <c r="C167" s="83"/>
      <c r="D167" s="81"/>
      <c r="E167" s="83"/>
      <c r="F167" s="83"/>
      <c r="G167" s="81"/>
    </row>
    <row r="168" spans="2:7" x14ac:dyDescent="0.25">
      <c r="C168" s="83"/>
      <c r="D168" s="81"/>
      <c r="E168" s="83"/>
      <c r="F168" s="83"/>
      <c r="G168" s="81"/>
    </row>
    <row r="169" spans="2:7" x14ac:dyDescent="0.25">
      <c r="C169" s="83"/>
      <c r="D169" s="81"/>
      <c r="E169" s="83"/>
      <c r="F169" s="83"/>
      <c r="G169" s="81"/>
    </row>
    <row r="170" spans="2:7" x14ac:dyDescent="0.25">
      <c r="C170" s="120"/>
      <c r="D170" s="84"/>
      <c r="E170" s="120"/>
      <c r="F170" s="120"/>
      <c r="G170" s="84"/>
    </row>
    <row r="171" spans="2:7" x14ac:dyDescent="0.25">
      <c r="C171" s="81"/>
      <c r="D171" s="81"/>
      <c r="E171" s="81"/>
      <c r="F171" s="81"/>
      <c r="G171" s="81"/>
    </row>
    <row r="172" spans="2:7" x14ac:dyDescent="0.25">
      <c r="C172" s="114"/>
      <c r="D172" s="112"/>
      <c r="E172" s="114"/>
      <c r="F172" s="114"/>
      <c r="G172" s="112"/>
    </row>
    <row r="173" spans="2:7" x14ac:dyDescent="0.25">
      <c r="C173" s="114"/>
      <c r="D173" s="112"/>
      <c r="E173" s="114"/>
      <c r="F173" s="114"/>
      <c r="G173" s="112"/>
    </row>
    <row r="174" spans="2:7" x14ac:dyDescent="0.25">
      <c r="C174" s="114"/>
      <c r="D174" s="112"/>
      <c r="E174" s="114"/>
      <c r="F174" s="114"/>
      <c r="G174" s="112"/>
    </row>
    <row r="175" spans="2:7" x14ac:dyDescent="0.25">
      <c r="C175" s="114"/>
      <c r="D175" s="112"/>
      <c r="E175" s="114"/>
      <c r="F175" s="114"/>
      <c r="G175" s="112"/>
    </row>
    <row r="176" spans="2:7" x14ac:dyDescent="0.25">
      <c r="C176" s="114"/>
      <c r="D176" s="112"/>
      <c r="E176" s="114"/>
      <c r="F176" s="114"/>
      <c r="G176" s="112"/>
    </row>
    <row r="177" spans="1:8" x14ac:dyDescent="0.25">
      <c r="C177" s="114"/>
      <c r="D177" s="112"/>
      <c r="E177" s="114"/>
      <c r="F177" s="114"/>
      <c r="G177" s="112"/>
    </row>
    <row r="178" spans="1:8" x14ac:dyDescent="0.25">
      <c r="C178" s="114"/>
      <c r="D178" s="112"/>
      <c r="E178" s="114"/>
      <c r="F178" s="114"/>
      <c r="G178" s="112"/>
    </row>
    <row r="179" spans="1:8" x14ac:dyDescent="0.25">
      <c r="C179" s="114"/>
      <c r="D179" s="112"/>
      <c r="E179" s="114"/>
      <c r="F179" s="114"/>
      <c r="G179" s="112"/>
    </row>
    <row r="180" spans="1:8" x14ac:dyDescent="0.25">
      <c r="C180" s="114"/>
      <c r="D180" s="112"/>
      <c r="E180" s="114"/>
      <c r="F180" s="114"/>
      <c r="G180" s="112"/>
    </row>
    <row r="181" spans="1:8" x14ac:dyDescent="0.25">
      <c r="C181" s="114"/>
      <c r="D181" s="112"/>
      <c r="E181" s="114"/>
      <c r="F181" s="114"/>
      <c r="G181" s="112"/>
    </row>
    <row r="182" spans="1:8" x14ac:dyDescent="0.25">
      <c r="C182" s="85"/>
      <c r="D182" s="85"/>
      <c r="E182" s="85"/>
      <c r="F182" s="85"/>
      <c r="G182" s="85"/>
    </row>
    <row r="183" spans="1:8" ht="15.6" x14ac:dyDescent="0.3">
      <c r="C183" s="78"/>
      <c r="H183" s="113"/>
    </row>
    <row r="184" spans="1:8" ht="15.6" x14ac:dyDescent="0.3">
      <c r="C184" s="137"/>
    </row>
    <row r="186" spans="1:8" ht="15.6" x14ac:dyDescent="0.3">
      <c r="C186" s="77"/>
      <c r="D186" s="77"/>
      <c r="E186" s="77"/>
      <c r="F186" s="77"/>
      <c r="G186" s="78"/>
    </row>
    <row r="187" spans="1:8" ht="15.6" x14ac:dyDescent="0.3">
      <c r="A187" s="47"/>
      <c r="C187" s="77"/>
      <c r="D187" s="77"/>
      <c r="E187" s="77"/>
      <c r="F187" s="77"/>
      <c r="G187" s="77"/>
    </row>
    <row r="188" spans="1:8" ht="15.6" x14ac:dyDescent="0.3">
      <c r="A188" s="57"/>
      <c r="C188" s="79"/>
      <c r="D188" s="79"/>
      <c r="E188" s="79"/>
      <c r="F188" s="79"/>
      <c r="G188" s="79"/>
    </row>
    <row r="189" spans="1:8" ht="15.6" x14ac:dyDescent="0.3">
      <c r="C189" s="77"/>
      <c r="D189" s="77"/>
      <c r="E189" s="77"/>
      <c r="F189" s="77"/>
      <c r="G189" s="77"/>
    </row>
    <row r="190" spans="1:8" ht="15.6" x14ac:dyDescent="0.3">
      <c r="C190" s="77"/>
      <c r="D190" s="77"/>
      <c r="E190" s="77"/>
      <c r="F190" s="77"/>
      <c r="G190" s="77"/>
    </row>
    <row r="191" spans="1:8" ht="15.6" x14ac:dyDescent="0.3">
      <c r="C191" s="118"/>
      <c r="D191" s="78"/>
      <c r="E191" s="78"/>
      <c r="F191" s="118"/>
    </row>
    <row r="192" spans="1:8" ht="15.6" x14ac:dyDescent="0.3">
      <c r="B192" s="49"/>
    </row>
    <row r="194" spans="2:7" ht="15.6" x14ac:dyDescent="0.3">
      <c r="B194" s="49"/>
      <c r="C194" s="85"/>
      <c r="D194" s="85"/>
      <c r="E194" s="85"/>
      <c r="G194" s="85"/>
    </row>
    <row r="196" spans="2:7" x14ac:dyDescent="0.25">
      <c r="C196" s="83"/>
      <c r="D196" s="81"/>
      <c r="E196" s="83"/>
      <c r="F196" s="89"/>
      <c r="G196" s="81"/>
    </row>
    <row r="197" spans="2:7" x14ac:dyDescent="0.25">
      <c r="C197" s="83"/>
      <c r="D197" s="81"/>
      <c r="E197" s="83"/>
      <c r="F197" s="89"/>
      <c r="G197" s="81"/>
    </row>
    <row r="198" spans="2:7" x14ac:dyDescent="0.25">
      <c r="C198" s="83"/>
      <c r="D198" s="81"/>
      <c r="E198" s="83"/>
      <c r="F198" s="89"/>
      <c r="G198" s="81"/>
    </row>
    <row r="199" spans="2:7" x14ac:dyDescent="0.25">
      <c r="C199" s="83"/>
      <c r="D199" s="81"/>
      <c r="E199" s="83"/>
      <c r="F199" s="89"/>
      <c r="G199" s="81"/>
    </row>
    <row r="200" spans="2:7" x14ac:dyDescent="0.25">
      <c r="C200" s="120"/>
      <c r="D200" s="84"/>
      <c r="E200" s="120"/>
      <c r="F200" s="98"/>
      <c r="G200" s="84"/>
    </row>
    <row r="201" spans="2:7" x14ac:dyDescent="0.25">
      <c r="C201" s="81"/>
      <c r="D201" s="81"/>
      <c r="E201" s="81"/>
      <c r="F201" s="81"/>
      <c r="G201" s="81"/>
    </row>
    <row r="203" spans="2:7" ht="15.6" x14ac:dyDescent="0.3">
      <c r="B203" s="49"/>
      <c r="C203" s="81"/>
      <c r="D203" s="81"/>
      <c r="E203" s="81"/>
      <c r="F203" s="81"/>
      <c r="G203" s="81"/>
    </row>
    <row r="205" spans="2:7" x14ac:dyDescent="0.25">
      <c r="C205" s="83"/>
      <c r="D205" s="81"/>
      <c r="E205" s="83"/>
      <c r="F205" s="89"/>
      <c r="G205" s="81"/>
    </row>
    <row r="206" spans="2:7" x14ac:dyDescent="0.25">
      <c r="C206" s="83"/>
      <c r="D206" s="81"/>
      <c r="E206" s="83"/>
      <c r="F206" s="89"/>
      <c r="G206" s="81"/>
    </row>
    <row r="207" spans="2:7" x14ac:dyDescent="0.25">
      <c r="C207" s="83"/>
      <c r="D207" s="81"/>
      <c r="E207" s="83"/>
      <c r="F207" s="89"/>
      <c r="G207" s="81"/>
    </row>
    <row r="208" spans="2:7" x14ac:dyDescent="0.25">
      <c r="C208" s="120"/>
      <c r="D208" s="84"/>
      <c r="E208" s="120"/>
      <c r="F208" s="98"/>
      <c r="G208" s="84"/>
    </row>
    <row r="209" spans="2:7" x14ac:dyDescent="0.25">
      <c r="C209" s="81"/>
      <c r="D209" s="81"/>
      <c r="E209" s="81"/>
      <c r="F209" s="81"/>
      <c r="G209" s="81"/>
    </row>
    <row r="210" spans="2:7" x14ac:dyDescent="0.25">
      <c r="C210" s="81"/>
      <c r="D210" s="81"/>
      <c r="E210" s="81"/>
      <c r="F210" s="81"/>
      <c r="G210" s="81"/>
    </row>
    <row r="211" spans="2:7" ht="15.6" x14ac:dyDescent="0.3">
      <c r="B211" s="49"/>
      <c r="C211" s="81"/>
      <c r="D211" s="81"/>
      <c r="E211" s="81"/>
      <c r="F211" s="81"/>
      <c r="G211" s="81"/>
    </row>
    <row r="213" spans="2:7" x14ac:dyDescent="0.25">
      <c r="C213" s="83"/>
      <c r="D213" s="81"/>
      <c r="E213" s="83"/>
      <c r="F213" s="81"/>
      <c r="G213" s="81"/>
    </row>
    <row r="214" spans="2:7" x14ac:dyDescent="0.25">
      <c r="C214" s="83"/>
      <c r="D214" s="81"/>
      <c r="E214" s="83"/>
      <c r="F214" s="81"/>
      <c r="G214" s="81"/>
    </row>
    <row r="215" spans="2:7" x14ac:dyDescent="0.25">
      <c r="C215" s="83"/>
      <c r="D215" s="81"/>
      <c r="E215" s="83"/>
      <c r="F215" s="81"/>
      <c r="G215" s="81"/>
    </row>
    <row r="216" spans="2:7" x14ac:dyDescent="0.25">
      <c r="C216" s="120"/>
      <c r="D216" s="84"/>
      <c r="E216" s="120"/>
      <c r="F216" s="84"/>
      <c r="G216" s="84"/>
    </row>
    <row r="217" spans="2:7" x14ac:dyDescent="0.25">
      <c r="C217" s="81"/>
      <c r="D217" s="81"/>
      <c r="E217" s="81"/>
      <c r="F217" s="81"/>
      <c r="G217" s="81"/>
    </row>
    <row r="219" spans="2:7" ht="15.6" x14ac:dyDescent="0.3">
      <c r="B219" s="49"/>
      <c r="C219" s="81"/>
      <c r="D219" s="81"/>
      <c r="E219" s="81"/>
      <c r="F219" s="81"/>
      <c r="G219" s="81"/>
    </row>
    <row r="221" spans="2:7" x14ac:dyDescent="0.25">
      <c r="C221" s="83"/>
      <c r="D221" s="81"/>
      <c r="E221" s="83"/>
      <c r="F221" s="83"/>
      <c r="G221" s="81"/>
    </row>
    <row r="222" spans="2:7" x14ac:dyDescent="0.25">
      <c r="C222" s="83"/>
      <c r="D222" s="81"/>
      <c r="E222" s="83"/>
      <c r="F222" s="83"/>
      <c r="G222" s="81"/>
    </row>
    <row r="223" spans="2:7" x14ac:dyDescent="0.25">
      <c r="C223" s="83"/>
      <c r="D223" s="81"/>
      <c r="E223" s="83"/>
      <c r="F223" s="83"/>
      <c r="G223" s="81"/>
    </row>
    <row r="224" spans="2:7" x14ac:dyDescent="0.25">
      <c r="C224" s="120"/>
      <c r="D224" s="84"/>
      <c r="E224" s="120"/>
      <c r="F224" s="120"/>
      <c r="G224" s="84"/>
    </row>
    <row r="225" spans="2:7" x14ac:dyDescent="0.25">
      <c r="C225" s="81"/>
      <c r="D225" s="81"/>
      <c r="E225" s="81"/>
      <c r="F225" s="81"/>
      <c r="G225" s="81"/>
    </row>
    <row r="226" spans="2:7" x14ac:dyDescent="0.25">
      <c r="C226" s="81"/>
      <c r="D226" s="81"/>
      <c r="E226" s="81"/>
      <c r="F226" s="81"/>
      <c r="G226" s="81"/>
    </row>
    <row r="227" spans="2:7" ht="15.6" x14ac:dyDescent="0.3">
      <c r="B227" s="49"/>
      <c r="C227" s="81"/>
      <c r="D227" s="81"/>
      <c r="E227" s="81"/>
      <c r="F227" s="81"/>
      <c r="G227" s="81"/>
    </row>
    <row r="229" spans="2:7" x14ac:dyDescent="0.25">
      <c r="C229" s="83"/>
      <c r="D229" s="81"/>
      <c r="E229" s="83"/>
      <c r="F229" s="89"/>
      <c r="G229" s="81"/>
    </row>
  </sheetData>
  <mergeCells count="3">
    <mergeCell ref="A3:P3"/>
    <mergeCell ref="A2:P2"/>
    <mergeCell ref="A1:P1"/>
  </mergeCells>
  <phoneticPr fontId="0" type="noConversion"/>
  <printOptions horizontalCentered="1"/>
  <pageMargins left="0.5" right="0.25" top="0.5" bottom="0.25" header="0.25" footer="0.5"/>
  <pageSetup scale="68" orientation="landscape" r:id="rId1"/>
  <headerFooter alignWithMargins="0">
    <oddHeader>&amp;RKY PSC Case No. 2016-00162
Attachment B to PSC 2-65</oddHeader>
  </headerFooter>
  <rowBreaks count="3" manualBreakCount="3">
    <brk id="69" max="15" man="1"/>
    <brk id="71" max="15" man="1"/>
    <brk id="125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5"/>
  <dimension ref="A1:S243"/>
  <sheetViews>
    <sheetView topLeftCell="D1" zoomScale="70" zoomScaleNormal="70" zoomScaleSheetLayoutView="90" workbookViewId="0">
      <selection activeCell="C18" sqref="C18"/>
    </sheetView>
  </sheetViews>
  <sheetFormatPr defaultColWidth="10" defaultRowHeight="13.8" x14ac:dyDescent="0.25"/>
  <cols>
    <col min="1" max="1" width="6.6640625" style="359" customWidth="1"/>
    <col min="2" max="2" width="30.33203125" style="359" customWidth="1"/>
    <col min="3" max="3" width="16.33203125" style="359" customWidth="1"/>
    <col min="4" max="4" width="14.1640625" style="359" customWidth="1"/>
    <col min="5" max="5" width="11.33203125" style="359" customWidth="1"/>
    <col min="6" max="10" width="19.33203125" style="359" bestFit="1" customWidth="1"/>
    <col min="11" max="16" width="17" style="359" bestFit="1" customWidth="1"/>
    <col min="17" max="17" width="19.33203125" style="359" bestFit="1" customWidth="1"/>
    <col min="18" max="18" width="21.83203125" style="359" customWidth="1"/>
    <col min="19" max="19" width="34" style="359" customWidth="1"/>
    <col min="20" max="20" width="10" style="359"/>
    <col min="21" max="22" width="2.33203125" style="359" customWidth="1"/>
    <col min="23" max="16384" width="10" style="359"/>
  </cols>
  <sheetData>
    <row r="1" spans="1:19" x14ac:dyDescent="0.25">
      <c r="A1" s="882" t="str">
        <f>CONAME</f>
        <v>Columbia Gas of Kentucky, Inc.</v>
      </c>
      <c r="B1" s="882"/>
      <c r="C1" s="882"/>
      <c r="D1" s="882"/>
      <c r="E1" s="882"/>
      <c r="F1" s="882"/>
      <c r="G1" s="882"/>
      <c r="H1" s="882"/>
      <c r="I1" s="882"/>
      <c r="J1" s="882"/>
      <c r="K1" s="882"/>
      <c r="L1" s="882"/>
      <c r="M1" s="882"/>
      <c r="N1" s="882"/>
      <c r="O1" s="882"/>
      <c r="P1" s="882"/>
      <c r="Q1" s="882"/>
      <c r="R1" s="882"/>
    </row>
    <row r="2" spans="1:19" x14ac:dyDescent="0.25">
      <c r="A2" s="882" t="s">
        <v>199</v>
      </c>
      <c r="B2" s="882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  <c r="O2" s="882"/>
      <c r="P2" s="882"/>
      <c r="Q2" s="882"/>
      <c r="R2" s="882"/>
    </row>
    <row r="3" spans="1:19" x14ac:dyDescent="0.25">
      <c r="A3" s="882" t="str">
        <f>TYDESC</f>
        <v>For the 12 Months Ended December 31, 2017</v>
      </c>
      <c r="B3" s="882"/>
      <c r="C3" s="882"/>
      <c r="D3" s="882"/>
      <c r="E3" s="882"/>
      <c r="F3" s="882"/>
      <c r="G3" s="882"/>
      <c r="H3" s="882"/>
      <c r="I3" s="882"/>
      <c r="J3" s="882"/>
      <c r="K3" s="882"/>
      <c r="L3" s="882"/>
      <c r="M3" s="882"/>
      <c r="N3" s="882"/>
      <c r="O3" s="882"/>
      <c r="P3" s="882"/>
      <c r="Q3" s="882"/>
      <c r="R3" s="882"/>
    </row>
    <row r="4" spans="1:19" x14ac:dyDescent="0.25"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</row>
    <row r="5" spans="1:19" x14ac:dyDescent="0.25"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R5" s="361" t="str">
        <f>'D pg 1'!$P$7</f>
        <v>Workpaper WPM-D.2</v>
      </c>
    </row>
    <row r="6" spans="1:19" x14ac:dyDescent="0.25">
      <c r="A6" s="362"/>
      <c r="B6" s="362"/>
      <c r="C6" s="362"/>
      <c r="D6" s="363" t="s">
        <v>29</v>
      </c>
      <c r="E6" s="362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5" t="s">
        <v>499</v>
      </c>
      <c r="S6" s="364"/>
    </row>
    <row r="7" spans="1:19" x14ac:dyDescent="0.25">
      <c r="A7" s="362"/>
      <c r="B7" s="362"/>
      <c r="C7" s="362"/>
      <c r="D7" s="363" t="s">
        <v>31</v>
      </c>
      <c r="E7" s="362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</row>
    <row r="8" spans="1:19" x14ac:dyDescent="0.25">
      <c r="A8" s="363" t="s">
        <v>1</v>
      </c>
      <c r="B8" s="362"/>
      <c r="C8" s="363" t="s">
        <v>0</v>
      </c>
      <c r="D8" s="363" t="s">
        <v>32</v>
      </c>
      <c r="E8" s="366" t="s">
        <v>27</v>
      </c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</row>
    <row r="9" spans="1:19" x14ac:dyDescent="0.25">
      <c r="A9" s="367" t="s">
        <v>3</v>
      </c>
      <c r="B9" s="367" t="s">
        <v>33</v>
      </c>
      <c r="C9" s="367" t="s">
        <v>2</v>
      </c>
      <c r="D9" s="367" t="s">
        <v>34</v>
      </c>
      <c r="E9" s="367" t="s">
        <v>25</v>
      </c>
      <c r="F9" s="368" t="str">
        <f>B!$D$11</f>
        <v>Jan-17</v>
      </c>
      <c r="G9" s="368" t="str">
        <f>B!$E$11</f>
        <v>Feb-17</v>
      </c>
      <c r="H9" s="368" t="str">
        <f>B!$F$11</f>
        <v>Mar-17</v>
      </c>
      <c r="I9" s="368" t="str">
        <f>B!$G$11</f>
        <v>Apr-17</v>
      </c>
      <c r="J9" s="368" t="str">
        <f>B!$H$11</f>
        <v>May-17</v>
      </c>
      <c r="K9" s="368" t="str">
        <f>B!$I$11</f>
        <v>Jun-17</v>
      </c>
      <c r="L9" s="368" t="str">
        <f>B!$J$11</f>
        <v>Jul-17</v>
      </c>
      <c r="M9" s="368" t="str">
        <f>B!$K$11</f>
        <v>Aug-17</v>
      </c>
      <c r="N9" s="368" t="str">
        <f>B!$L$11</f>
        <v>Sep-17</v>
      </c>
      <c r="O9" s="368" t="str">
        <f>B!$M$11</f>
        <v>Oct-17</v>
      </c>
      <c r="P9" s="368" t="str">
        <f>B!$N$11</f>
        <v>Nov-17</v>
      </c>
      <c r="Q9" s="368" t="str">
        <f>B!$O$11</f>
        <v>Dec-17</v>
      </c>
      <c r="R9" s="367" t="s">
        <v>9</v>
      </c>
      <c r="S9" s="364"/>
    </row>
    <row r="10" spans="1:19" x14ac:dyDescent="0.25">
      <c r="A10" s="362"/>
      <c r="B10" s="362"/>
      <c r="C10" s="362"/>
      <c r="D10" s="362"/>
      <c r="E10" s="362"/>
      <c r="F10" s="369" t="s">
        <v>28</v>
      </c>
      <c r="G10" s="369" t="s">
        <v>28</v>
      </c>
      <c r="H10" s="369" t="s">
        <v>28</v>
      </c>
      <c r="I10" s="369" t="s">
        <v>28</v>
      </c>
      <c r="J10" s="369" t="s">
        <v>28</v>
      </c>
      <c r="K10" s="369" t="s">
        <v>28</v>
      </c>
      <c r="L10" s="369" t="s">
        <v>28</v>
      </c>
      <c r="M10" s="369" t="s">
        <v>28</v>
      </c>
      <c r="N10" s="369" t="s">
        <v>28</v>
      </c>
      <c r="O10" s="369" t="s">
        <v>28</v>
      </c>
      <c r="P10" s="369" t="s">
        <v>28</v>
      </c>
      <c r="Q10" s="369" t="s">
        <v>28</v>
      </c>
      <c r="R10" s="369" t="s">
        <v>28</v>
      </c>
      <c r="S10" s="364"/>
    </row>
    <row r="11" spans="1:19" x14ac:dyDescent="0.25">
      <c r="A11" s="364"/>
      <c r="B11" s="364"/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4"/>
      <c r="P11" s="364"/>
      <c r="Q11" s="364"/>
      <c r="R11" s="364"/>
      <c r="S11" s="364"/>
    </row>
    <row r="12" spans="1:19" x14ac:dyDescent="0.25">
      <c r="A12" s="370">
        <v>1</v>
      </c>
      <c r="B12" s="371" t="s">
        <v>482</v>
      </c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</row>
    <row r="13" spans="1:19" x14ac:dyDescent="0.25">
      <c r="A13" s="370"/>
      <c r="B13" s="372"/>
      <c r="C13" s="372"/>
      <c r="D13" s="372"/>
      <c r="E13" s="364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4"/>
      <c r="S13" s="364"/>
    </row>
    <row r="14" spans="1:19" x14ac:dyDescent="0.25">
      <c r="A14" s="370">
        <f>A12+1</f>
        <v>2</v>
      </c>
      <c r="B14" s="375" t="s">
        <v>483</v>
      </c>
      <c r="C14" s="372" t="s">
        <v>486</v>
      </c>
      <c r="D14" s="376" t="s">
        <v>484</v>
      </c>
      <c r="E14" s="377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64"/>
    </row>
    <row r="15" spans="1:19" x14ac:dyDescent="0.25">
      <c r="A15" s="370">
        <f>A14+1</f>
        <v>3</v>
      </c>
      <c r="B15" s="378" t="s">
        <v>167</v>
      </c>
      <c r="C15" s="372"/>
      <c r="D15" s="372"/>
      <c r="E15" s="370"/>
      <c r="F15" s="373">
        <v>0</v>
      </c>
      <c r="G15" s="373">
        <v>0</v>
      </c>
      <c r="H15" s="373">
        <v>0</v>
      </c>
      <c r="I15" s="373">
        <v>0</v>
      </c>
      <c r="J15" s="373">
        <v>0</v>
      </c>
      <c r="K15" s="373">
        <v>0</v>
      </c>
      <c r="L15" s="373">
        <v>0</v>
      </c>
      <c r="M15" s="373">
        <v>0</v>
      </c>
      <c r="N15" s="373">
        <v>0</v>
      </c>
      <c r="O15" s="373">
        <v>0</v>
      </c>
      <c r="P15" s="373">
        <v>0</v>
      </c>
      <c r="Q15" s="373">
        <v>0</v>
      </c>
      <c r="R15" s="374">
        <f>SUM(F15:Q15)</f>
        <v>0</v>
      </c>
      <c r="S15" s="364"/>
    </row>
    <row r="16" spans="1:19" x14ac:dyDescent="0.25">
      <c r="A16" s="370"/>
      <c r="B16" s="372"/>
      <c r="C16" s="372"/>
      <c r="D16" s="372"/>
      <c r="E16" s="370"/>
      <c r="F16" s="374"/>
      <c r="G16" s="374"/>
      <c r="H16" s="374"/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64"/>
    </row>
    <row r="17" spans="1:19" x14ac:dyDescent="0.25">
      <c r="A17" s="370">
        <f>A15+1</f>
        <v>4</v>
      </c>
      <c r="B17" s="372" t="s">
        <v>169</v>
      </c>
      <c r="C17" s="372"/>
      <c r="D17" s="372"/>
      <c r="E17" s="379">
        <v>12</v>
      </c>
      <c r="F17" s="373">
        <v>50</v>
      </c>
      <c r="G17" s="373">
        <v>50</v>
      </c>
      <c r="H17" s="373">
        <v>50</v>
      </c>
      <c r="I17" s="373">
        <v>50</v>
      </c>
      <c r="J17" s="373">
        <v>50</v>
      </c>
      <c r="K17" s="373">
        <v>50</v>
      </c>
      <c r="L17" s="373">
        <v>50</v>
      </c>
      <c r="M17" s="373">
        <v>50</v>
      </c>
      <c r="N17" s="373">
        <v>50</v>
      </c>
      <c r="O17" s="373">
        <v>50</v>
      </c>
      <c r="P17" s="373">
        <v>50</v>
      </c>
      <c r="Q17" s="373">
        <v>50</v>
      </c>
      <c r="R17" s="374">
        <f>SUM(F17:Q17)</f>
        <v>600</v>
      </c>
      <c r="S17" s="380"/>
    </row>
    <row r="18" spans="1:19" x14ac:dyDescent="0.25">
      <c r="A18" s="370">
        <f>A17+1</f>
        <v>5</v>
      </c>
      <c r="B18" s="372" t="s">
        <v>170</v>
      </c>
      <c r="C18" s="372"/>
      <c r="D18" s="372"/>
      <c r="E18" s="381"/>
      <c r="F18" s="373">
        <v>350</v>
      </c>
      <c r="G18" s="373">
        <v>350</v>
      </c>
      <c r="H18" s="373">
        <v>350</v>
      </c>
      <c r="I18" s="373">
        <v>350</v>
      </c>
      <c r="J18" s="373">
        <v>350</v>
      </c>
      <c r="K18" s="373">
        <v>350</v>
      </c>
      <c r="L18" s="373">
        <v>350</v>
      </c>
      <c r="M18" s="373">
        <v>350</v>
      </c>
      <c r="N18" s="373">
        <v>350</v>
      </c>
      <c r="O18" s="373">
        <v>350</v>
      </c>
      <c r="P18" s="373">
        <v>350</v>
      </c>
      <c r="Q18" s="373">
        <v>350</v>
      </c>
      <c r="R18" s="374">
        <f>SUM(F18:Q18)</f>
        <v>4200</v>
      </c>
      <c r="S18" s="380"/>
    </row>
    <row r="19" spans="1:19" x14ac:dyDescent="0.25">
      <c r="A19" s="370">
        <f>A18+1</f>
        <v>6</v>
      </c>
      <c r="B19" s="372" t="s">
        <v>171</v>
      </c>
      <c r="C19" s="372"/>
      <c r="D19" s="372"/>
      <c r="E19" s="381"/>
      <c r="F19" s="373">
        <v>600</v>
      </c>
      <c r="G19" s="373">
        <v>600</v>
      </c>
      <c r="H19" s="373">
        <v>600</v>
      </c>
      <c r="I19" s="373">
        <v>600</v>
      </c>
      <c r="J19" s="373">
        <v>600</v>
      </c>
      <c r="K19" s="373">
        <v>600</v>
      </c>
      <c r="L19" s="373">
        <v>600</v>
      </c>
      <c r="M19" s="373">
        <v>600</v>
      </c>
      <c r="N19" s="373">
        <v>600</v>
      </c>
      <c r="O19" s="373">
        <v>600</v>
      </c>
      <c r="P19" s="373">
        <v>600</v>
      </c>
      <c r="Q19" s="373">
        <v>600</v>
      </c>
      <c r="R19" s="374">
        <f>SUM(F19:Q19)</f>
        <v>7200</v>
      </c>
      <c r="S19" s="380"/>
    </row>
    <row r="20" spans="1:19" x14ac:dyDescent="0.25">
      <c r="A20" s="370">
        <f>A19+1</f>
        <v>7</v>
      </c>
      <c r="B20" s="372" t="s">
        <v>172</v>
      </c>
      <c r="C20" s="372"/>
      <c r="D20" s="372"/>
      <c r="E20" s="381"/>
      <c r="F20" s="373">
        <v>14000</v>
      </c>
      <c r="G20" s="373">
        <v>14000</v>
      </c>
      <c r="H20" s="373">
        <v>14000</v>
      </c>
      <c r="I20" s="373">
        <v>14000</v>
      </c>
      <c r="J20" s="373">
        <v>14000</v>
      </c>
      <c r="K20" s="373">
        <v>14000</v>
      </c>
      <c r="L20" s="373">
        <v>14000</v>
      </c>
      <c r="M20" s="373">
        <v>14000</v>
      </c>
      <c r="N20" s="373">
        <v>14000</v>
      </c>
      <c r="O20" s="373">
        <v>14000</v>
      </c>
      <c r="P20" s="373">
        <v>14000</v>
      </c>
      <c r="Q20" s="373">
        <v>14000</v>
      </c>
      <c r="R20" s="374">
        <f>SUM(F20:Q20)</f>
        <v>168000</v>
      </c>
      <c r="S20" s="380"/>
    </row>
    <row r="21" spans="1:19" x14ac:dyDescent="0.25">
      <c r="A21" s="370"/>
      <c r="B21" s="372"/>
      <c r="C21" s="372"/>
      <c r="D21" s="372"/>
      <c r="E21" s="381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4"/>
      <c r="S21" s="364"/>
    </row>
    <row r="22" spans="1:19" x14ac:dyDescent="0.25">
      <c r="A22" s="370">
        <f>A20+1</f>
        <v>8</v>
      </c>
      <c r="B22" s="375" t="s">
        <v>485</v>
      </c>
      <c r="C22" s="372" t="s">
        <v>486</v>
      </c>
      <c r="D22" s="376" t="s">
        <v>484</v>
      </c>
      <c r="E22" s="382"/>
      <c r="F22" s="374"/>
      <c r="G22" s="374"/>
      <c r="H22" s="374"/>
      <c r="I22" s="374"/>
      <c r="J22" s="374"/>
      <c r="K22" s="374"/>
      <c r="L22" s="374"/>
      <c r="M22" s="374"/>
      <c r="N22" s="374"/>
      <c r="O22" s="374"/>
      <c r="P22" s="374"/>
      <c r="Q22" s="374"/>
      <c r="R22" s="374"/>
      <c r="S22" s="364"/>
    </row>
    <row r="23" spans="1:19" x14ac:dyDescent="0.25">
      <c r="A23" s="370">
        <f>A22+1</f>
        <v>9</v>
      </c>
      <c r="B23" s="378" t="s">
        <v>167</v>
      </c>
      <c r="C23" s="372"/>
      <c r="D23" s="372"/>
      <c r="E23" s="364"/>
      <c r="F23" s="373">
        <v>0</v>
      </c>
      <c r="G23" s="373">
        <v>0</v>
      </c>
      <c r="H23" s="373">
        <v>0</v>
      </c>
      <c r="I23" s="373">
        <v>0</v>
      </c>
      <c r="J23" s="373">
        <v>0</v>
      </c>
      <c r="K23" s="373">
        <v>0</v>
      </c>
      <c r="L23" s="373">
        <v>0</v>
      </c>
      <c r="M23" s="373">
        <v>0</v>
      </c>
      <c r="N23" s="373">
        <v>0</v>
      </c>
      <c r="O23" s="373">
        <v>0</v>
      </c>
      <c r="P23" s="373">
        <v>0</v>
      </c>
      <c r="Q23" s="373">
        <v>0</v>
      </c>
      <c r="R23" s="374">
        <f>SUM(F23:Q23)</f>
        <v>0</v>
      </c>
      <c r="S23" s="364"/>
    </row>
    <row r="24" spans="1:19" x14ac:dyDescent="0.25">
      <c r="A24" s="370"/>
      <c r="B24" s="378"/>
      <c r="C24" s="372"/>
      <c r="D24" s="372"/>
      <c r="E24" s="364"/>
      <c r="F24" s="373"/>
      <c r="G24" s="373"/>
      <c r="H24" s="373"/>
      <c r="I24" s="373"/>
      <c r="J24" s="373"/>
      <c r="K24" s="373"/>
      <c r="L24" s="373"/>
      <c r="M24" s="373"/>
      <c r="N24" s="373"/>
      <c r="O24" s="373"/>
      <c r="P24" s="373"/>
      <c r="Q24" s="373"/>
      <c r="R24" s="374"/>
      <c r="S24" s="364"/>
    </row>
    <row r="25" spans="1:19" x14ac:dyDescent="0.25">
      <c r="A25" s="370">
        <f>A23+1</f>
        <v>10</v>
      </c>
      <c r="B25" s="372" t="s">
        <v>169</v>
      </c>
      <c r="C25" s="372"/>
      <c r="D25" s="372"/>
      <c r="E25" s="364"/>
      <c r="F25" s="373">
        <v>50</v>
      </c>
      <c r="G25" s="373">
        <v>50</v>
      </c>
      <c r="H25" s="373">
        <v>50</v>
      </c>
      <c r="I25" s="373">
        <v>50</v>
      </c>
      <c r="J25" s="373">
        <v>50</v>
      </c>
      <c r="K25" s="373">
        <v>50</v>
      </c>
      <c r="L25" s="373">
        <v>50</v>
      </c>
      <c r="M25" s="373">
        <v>50</v>
      </c>
      <c r="N25" s="373">
        <v>50</v>
      </c>
      <c r="O25" s="373">
        <v>50</v>
      </c>
      <c r="P25" s="373">
        <v>50</v>
      </c>
      <c r="Q25" s="373">
        <v>50</v>
      </c>
      <c r="R25" s="374">
        <f>SUM(F25:Q25)</f>
        <v>600</v>
      </c>
      <c r="S25" s="364"/>
    </row>
    <row r="26" spans="1:19" x14ac:dyDescent="0.25">
      <c r="A26" s="370">
        <f>A25+1</f>
        <v>11</v>
      </c>
      <c r="B26" s="372" t="s">
        <v>170</v>
      </c>
      <c r="C26" s="372"/>
      <c r="D26" s="372"/>
      <c r="E26" s="364"/>
      <c r="F26" s="373">
        <v>350</v>
      </c>
      <c r="G26" s="373">
        <v>350</v>
      </c>
      <c r="H26" s="373">
        <v>350</v>
      </c>
      <c r="I26" s="373">
        <v>350</v>
      </c>
      <c r="J26" s="373">
        <v>350</v>
      </c>
      <c r="K26" s="373">
        <v>350</v>
      </c>
      <c r="L26" s="373">
        <v>350</v>
      </c>
      <c r="M26" s="373">
        <v>350</v>
      </c>
      <c r="N26" s="373">
        <v>350</v>
      </c>
      <c r="O26" s="373">
        <v>350</v>
      </c>
      <c r="P26" s="373">
        <v>350</v>
      </c>
      <c r="Q26" s="373">
        <v>350</v>
      </c>
      <c r="R26" s="374">
        <f>SUM(F26:Q26)</f>
        <v>4200</v>
      </c>
      <c r="S26" s="364"/>
    </row>
    <row r="27" spans="1:19" x14ac:dyDescent="0.25">
      <c r="A27" s="370">
        <f>A26+1</f>
        <v>12</v>
      </c>
      <c r="B27" s="372" t="s">
        <v>171</v>
      </c>
      <c r="C27" s="372"/>
      <c r="D27" s="372"/>
      <c r="E27" s="364"/>
      <c r="F27" s="373">
        <v>600</v>
      </c>
      <c r="G27" s="373">
        <v>600</v>
      </c>
      <c r="H27" s="373">
        <v>500</v>
      </c>
      <c r="I27" s="373">
        <v>400</v>
      </c>
      <c r="J27" s="373">
        <v>400</v>
      </c>
      <c r="K27" s="373">
        <v>350</v>
      </c>
      <c r="L27" s="373">
        <v>350</v>
      </c>
      <c r="M27" s="373">
        <v>350</v>
      </c>
      <c r="N27" s="373">
        <v>350</v>
      </c>
      <c r="O27" s="373">
        <v>450</v>
      </c>
      <c r="P27" s="373">
        <v>500</v>
      </c>
      <c r="Q27" s="373">
        <v>600</v>
      </c>
      <c r="R27" s="374">
        <f>SUM(F27:Q27)</f>
        <v>5450</v>
      </c>
      <c r="S27" s="364"/>
    </row>
    <row r="28" spans="1:19" x14ac:dyDescent="0.25">
      <c r="A28" s="370">
        <f>A27+1</f>
        <v>13</v>
      </c>
      <c r="B28" s="372" t="s">
        <v>172</v>
      </c>
      <c r="C28" s="372"/>
      <c r="D28" s="372"/>
      <c r="E28" s="364"/>
      <c r="F28" s="373">
        <v>0</v>
      </c>
      <c r="G28" s="373">
        <v>0</v>
      </c>
      <c r="H28" s="373">
        <v>0</v>
      </c>
      <c r="I28" s="373">
        <v>0</v>
      </c>
      <c r="J28" s="373">
        <v>0</v>
      </c>
      <c r="K28" s="373">
        <v>0</v>
      </c>
      <c r="L28" s="373">
        <v>0</v>
      </c>
      <c r="M28" s="373">
        <v>0</v>
      </c>
      <c r="N28" s="373">
        <v>0</v>
      </c>
      <c r="O28" s="373">
        <v>0</v>
      </c>
      <c r="P28" s="373">
        <v>0</v>
      </c>
      <c r="Q28" s="373">
        <v>0</v>
      </c>
      <c r="R28" s="374">
        <f>SUM(F28:Q28)</f>
        <v>0</v>
      </c>
      <c r="S28" s="364"/>
    </row>
    <row r="29" spans="1:19" x14ac:dyDescent="0.25">
      <c r="A29" s="370"/>
      <c r="B29" s="372"/>
      <c r="C29" s="372"/>
      <c r="D29" s="372"/>
      <c r="E29" s="370"/>
      <c r="F29" s="374"/>
      <c r="G29" s="374"/>
      <c r="H29" s="374"/>
      <c r="I29" s="374"/>
      <c r="J29" s="374"/>
      <c r="K29" s="374"/>
      <c r="L29" s="374"/>
      <c r="M29" s="374"/>
      <c r="N29" s="374"/>
      <c r="O29" s="374"/>
      <c r="P29" s="374"/>
      <c r="Q29" s="374"/>
      <c r="R29" s="374"/>
      <c r="S29" s="364"/>
    </row>
    <row r="30" spans="1:19" x14ac:dyDescent="0.25">
      <c r="A30" s="370">
        <f>A28+1</f>
        <v>14</v>
      </c>
      <c r="B30" s="375" t="s">
        <v>485</v>
      </c>
      <c r="C30" s="372" t="s">
        <v>486</v>
      </c>
      <c r="D30" s="376" t="s">
        <v>484</v>
      </c>
      <c r="E30" s="382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64"/>
    </row>
    <row r="31" spans="1:19" x14ac:dyDescent="0.25">
      <c r="A31" s="370">
        <f>A30+1</f>
        <v>15</v>
      </c>
      <c r="B31" s="378" t="s">
        <v>167</v>
      </c>
      <c r="C31" s="372"/>
      <c r="D31" s="372"/>
      <c r="E31" s="364"/>
      <c r="F31" s="373">
        <v>0</v>
      </c>
      <c r="G31" s="373">
        <v>0</v>
      </c>
      <c r="H31" s="373">
        <v>0</v>
      </c>
      <c r="I31" s="373">
        <v>0</v>
      </c>
      <c r="J31" s="373">
        <v>0</v>
      </c>
      <c r="K31" s="373">
        <v>0</v>
      </c>
      <c r="L31" s="373">
        <v>0</v>
      </c>
      <c r="M31" s="373">
        <v>0</v>
      </c>
      <c r="N31" s="373">
        <v>0</v>
      </c>
      <c r="O31" s="373">
        <v>0</v>
      </c>
      <c r="P31" s="373">
        <v>0</v>
      </c>
      <c r="Q31" s="373">
        <v>0</v>
      </c>
      <c r="R31" s="374">
        <f>SUM(F31:Q31)</f>
        <v>0</v>
      </c>
      <c r="S31" s="364"/>
    </row>
    <row r="32" spans="1:19" x14ac:dyDescent="0.25">
      <c r="A32" s="370"/>
      <c r="B32" s="378"/>
      <c r="C32" s="372"/>
      <c r="D32" s="372"/>
      <c r="E32" s="364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4"/>
      <c r="S32" s="364"/>
    </row>
    <row r="33" spans="1:19" x14ac:dyDescent="0.25">
      <c r="A33" s="370">
        <f>A31+1</f>
        <v>16</v>
      </c>
      <c r="B33" s="372" t="s">
        <v>169</v>
      </c>
      <c r="C33" s="372"/>
      <c r="D33" s="372"/>
      <c r="E33" s="379">
        <v>12</v>
      </c>
      <c r="F33" s="373">
        <v>50</v>
      </c>
      <c r="G33" s="373">
        <v>50</v>
      </c>
      <c r="H33" s="373">
        <v>50</v>
      </c>
      <c r="I33" s="373">
        <v>50</v>
      </c>
      <c r="J33" s="373">
        <v>50</v>
      </c>
      <c r="K33" s="373">
        <v>50</v>
      </c>
      <c r="L33" s="373">
        <v>50</v>
      </c>
      <c r="M33" s="373">
        <v>50</v>
      </c>
      <c r="N33" s="373">
        <v>50</v>
      </c>
      <c r="O33" s="373">
        <v>50</v>
      </c>
      <c r="P33" s="373">
        <v>50</v>
      </c>
      <c r="Q33" s="373">
        <v>50</v>
      </c>
      <c r="R33" s="374">
        <f>SUM(F33:Q33)</f>
        <v>600</v>
      </c>
      <c r="S33" s="364"/>
    </row>
    <row r="34" spans="1:19" x14ac:dyDescent="0.25">
      <c r="A34" s="370">
        <f>A33+1</f>
        <v>17</v>
      </c>
      <c r="B34" s="372" t="s">
        <v>170</v>
      </c>
      <c r="C34" s="372"/>
      <c r="D34" s="372"/>
      <c r="E34" s="364"/>
      <c r="F34" s="373">
        <v>350</v>
      </c>
      <c r="G34" s="373">
        <v>350</v>
      </c>
      <c r="H34" s="373">
        <v>350</v>
      </c>
      <c r="I34" s="373">
        <v>350</v>
      </c>
      <c r="J34" s="373">
        <v>350</v>
      </c>
      <c r="K34" s="373">
        <v>350</v>
      </c>
      <c r="L34" s="373">
        <v>350</v>
      </c>
      <c r="M34" s="373">
        <v>350</v>
      </c>
      <c r="N34" s="373">
        <v>350</v>
      </c>
      <c r="O34" s="373">
        <v>350</v>
      </c>
      <c r="P34" s="373">
        <v>350</v>
      </c>
      <c r="Q34" s="373">
        <v>350</v>
      </c>
      <c r="R34" s="374">
        <f>SUM(F34:Q34)</f>
        <v>4200</v>
      </c>
      <c r="S34" s="364"/>
    </row>
    <row r="35" spans="1:19" x14ac:dyDescent="0.25">
      <c r="A35" s="370">
        <f>A34+1</f>
        <v>18</v>
      </c>
      <c r="B35" s="372" t="s">
        <v>171</v>
      </c>
      <c r="C35" s="372"/>
      <c r="D35" s="372"/>
      <c r="E35" s="364"/>
      <c r="F35" s="373">
        <v>600</v>
      </c>
      <c r="G35" s="373">
        <v>600</v>
      </c>
      <c r="H35" s="373">
        <v>600</v>
      </c>
      <c r="I35" s="373">
        <v>600</v>
      </c>
      <c r="J35" s="373">
        <v>600</v>
      </c>
      <c r="K35" s="373">
        <v>600</v>
      </c>
      <c r="L35" s="373">
        <v>600</v>
      </c>
      <c r="M35" s="373">
        <v>600</v>
      </c>
      <c r="N35" s="373">
        <v>600</v>
      </c>
      <c r="O35" s="373">
        <v>600</v>
      </c>
      <c r="P35" s="373">
        <v>600</v>
      </c>
      <c r="Q35" s="373">
        <v>600</v>
      </c>
      <c r="R35" s="374">
        <f>SUM(F35:Q35)</f>
        <v>7200</v>
      </c>
      <c r="S35" s="364"/>
    </row>
    <row r="36" spans="1:19" x14ac:dyDescent="0.25">
      <c r="A36" s="370">
        <f>A35+1</f>
        <v>19</v>
      </c>
      <c r="B36" s="372" t="s">
        <v>172</v>
      </c>
      <c r="C36" s="372"/>
      <c r="D36" s="372"/>
      <c r="E36" s="364"/>
      <c r="F36" s="373">
        <v>3000</v>
      </c>
      <c r="G36" s="373">
        <v>3000</v>
      </c>
      <c r="H36" s="373">
        <v>3000</v>
      </c>
      <c r="I36" s="373">
        <v>3000</v>
      </c>
      <c r="J36" s="373">
        <v>3000</v>
      </c>
      <c r="K36" s="373">
        <v>3000</v>
      </c>
      <c r="L36" s="373">
        <v>3000</v>
      </c>
      <c r="M36" s="373">
        <v>3000</v>
      </c>
      <c r="N36" s="373">
        <v>3000</v>
      </c>
      <c r="O36" s="373">
        <v>3000</v>
      </c>
      <c r="P36" s="373">
        <v>3000</v>
      </c>
      <c r="Q36" s="373">
        <v>3000</v>
      </c>
      <c r="R36" s="374">
        <f>SUM(F36:Q36)</f>
        <v>36000</v>
      </c>
      <c r="S36" s="364"/>
    </row>
    <row r="37" spans="1:19" x14ac:dyDescent="0.25">
      <c r="A37" s="370"/>
      <c r="B37" s="372"/>
      <c r="C37" s="372"/>
      <c r="D37" s="372"/>
      <c r="E37" s="370"/>
      <c r="F37" s="374"/>
      <c r="G37" s="374"/>
      <c r="H37" s="374"/>
      <c r="I37" s="374"/>
      <c r="J37" s="374"/>
      <c r="K37" s="374"/>
      <c r="L37" s="374"/>
      <c r="M37" s="374"/>
      <c r="N37" s="374"/>
      <c r="O37" s="374"/>
      <c r="P37" s="374"/>
      <c r="Q37" s="374"/>
      <c r="R37" s="374"/>
      <c r="S37" s="364"/>
    </row>
    <row r="38" spans="1:19" x14ac:dyDescent="0.25">
      <c r="A38" s="370">
        <f>A28+1</f>
        <v>14</v>
      </c>
      <c r="B38" s="371" t="s">
        <v>487</v>
      </c>
      <c r="C38" s="372"/>
      <c r="D38" s="372"/>
      <c r="E38" s="364"/>
      <c r="F38" s="374"/>
      <c r="G38" s="374"/>
      <c r="H38" s="374"/>
      <c r="I38" s="374"/>
      <c r="J38" s="374"/>
      <c r="K38" s="374"/>
      <c r="L38" s="374"/>
      <c r="M38" s="374"/>
      <c r="N38" s="374"/>
      <c r="O38" s="374"/>
      <c r="P38" s="374"/>
      <c r="Q38" s="374"/>
      <c r="R38" s="374"/>
      <c r="S38" s="364"/>
    </row>
    <row r="39" spans="1:19" x14ac:dyDescent="0.25">
      <c r="A39" s="370"/>
      <c r="B39" s="383"/>
      <c r="C39" s="372"/>
      <c r="D39" s="372"/>
      <c r="E39" s="364"/>
      <c r="F39" s="374"/>
      <c r="G39" s="374"/>
      <c r="H39" s="374"/>
      <c r="I39" s="374"/>
      <c r="J39" s="374"/>
      <c r="K39" s="374"/>
      <c r="L39" s="374"/>
      <c r="M39" s="374"/>
      <c r="N39" s="374"/>
      <c r="O39" s="374"/>
      <c r="P39" s="374"/>
      <c r="Q39" s="374"/>
      <c r="R39" s="374"/>
      <c r="S39" s="364"/>
    </row>
    <row r="40" spans="1:19" x14ac:dyDescent="0.25">
      <c r="A40" s="370">
        <f>A38+1</f>
        <v>15</v>
      </c>
      <c r="B40" s="375" t="s">
        <v>490</v>
      </c>
      <c r="C40" s="372" t="s">
        <v>491</v>
      </c>
      <c r="D40" s="376" t="s">
        <v>492</v>
      </c>
      <c r="E40" s="382"/>
      <c r="F40" s="374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64"/>
    </row>
    <row r="41" spans="1:19" x14ac:dyDescent="0.25">
      <c r="A41" s="370">
        <f>A40+1</f>
        <v>16</v>
      </c>
      <c r="B41" s="378" t="s">
        <v>167</v>
      </c>
      <c r="C41" s="372"/>
      <c r="D41" s="372"/>
      <c r="E41" s="364"/>
      <c r="F41" s="373">
        <v>2622.8</v>
      </c>
      <c r="G41" s="373">
        <v>2096</v>
      </c>
      <c r="H41" s="373">
        <v>1600</v>
      </c>
      <c r="I41" s="373">
        <v>800</v>
      </c>
      <c r="J41" s="373">
        <v>100</v>
      </c>
      <c r="K41" s="373">
        <v>50</v>
      </c>
      <c r="L41" s="373">
        <v>0</v>
      </c>
      <c r="M41" s="373">
        <v>0</v>
      </c>
      <c r="N41" s="373">
        <v>0</v>
      </c>
      <c r="O41" s="373">
        <v>100</v>
      </c>
      <c r="P41" s="373">
        <v>800</v>
      </c>
      <c r="Q41" s="373">
        <v>1900</v>
      </c>
      <c r="R41" s="374">
        <f>SUM(F41:Q41)</f>
        <v>10068.799999999999</v>
      </c>
      <c r="S41" s="364"/>
    </row>
    <row r="42" spans="1:19" x14ac:dyDescent="0.25">
      <c r="A42" s="370"/>
      <c r="B42" s="372"/>
      <c r="C42" s="372"/>
      <c r="D42" s="372"/>
      <c r="E42" s="36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64"/>
    </row>
    <row r="43" spans="1:19" x14ac:dyDescent="0.25">
      <c r="A43" s="370">
        <f>A41+1</f>
        <v>17</v>
      </c>
      <c r="B43" s="372" t="s">
        <v>169</v>
      </c>
      <c r="C43" s="372"/>
      <c r="D43" s="372"/>
      <c r="E43" s="379">
        <v>-12</v>
      </c>
      <c r="F43" s="373">
        <v>-50</v>
      </c>
      <c r="G43" s="373">
        <v>-50</v>
      </c>
      <c r="H43" s="373">
        <v>-50</v>
      </c>
      <c r="I43" s="373">
        <v>-50</v>
      </c>
      <c r="J43" s="373">
        <v>-50</v>
      </c>
      <c r="K43" s="373">
        <v>-50</v>
      </c>
      <c r="L43" s="373">
        <v>0</v>
      </c>
      <c r="M43" s="373">
        <v>0</v>
      </c>
      <c r="N43" s="373">
        <v>0</v>
      </c>
      <c r="O43" s="373">
        <v>-50</v>
      </c>
      <c r="P43" s="373">
        <v>-50</v>
      </c>
      <c r="Q43" s="373">
        <v>-50</v>
      </c>
      <c r="R43" s="374">
        <f>SUM(F43:Q43)</f>
        <v>-450</v>
      </c>
      <c r="S43" s="364"/>
    </row>
    <row r="44" spans="1:19" x14ac:dyDescent="0.25">
      <c r="A44" s="370">
        <f>A43+1</f>
        <v>18</v>
      </c>
      <c r="B44" s="372" t="s">
        <v>170</v>
      </c>
      <c r="C44" s="372"/>
      <c r="D44" s="372"/>
      <c r="E44" s="384"/>
      <c r="F44" s="373">
        <v>-350</v>
      </c>
      <c r="G44" s="373">
        <v>-350</v>
      </c>
      <c r="H44" s="373">
        <v>-350</v>
      </c>
      <c r="I44" s="373">
        <v>-350</v>
      </c>
      <c r="J44" s="373">
        <v>-50</v>
      </c>
      <c r="K44" s="373">
        <v>0</v>
      </c>
      <c r="L44" s="373">
        <v>0</v>
      </c>
      <c r="M44" s="373">
        <v>0</v>
      </c>
      <c r="N44" s="373">
        <v>0</v>
      </c>
      <c r="O44" s="373">
        <v>-50</v>
      </c>
      <c r="P44" s="373">
        <v>-350</v>
      </c>
      <c r="Q44" s="373">
        <v>-350</v>
      </c>
      <c r="R44" s="374">
        <f>SUM(F44:Q44)</f>
        <v>-2200</v>
      </c>
      <c r="S44" s="364"/>
    </row>
    <row r="45" spans="1:19" x14ac:dyDescent="0.25">
      <c r="A45" s="370">
        <f>A44+1</f>
        <v>19</v>
      </c>
      <c r="B45" s="372" t="s">
        <v>171</v>
      </c>
      <c r="C45" s="372"/>
      <c r="D45" s="372"/>
      <c r="E45" s="384"/>
      <c r="F45" s="373">
        <v>-600</v>
      </c>
      <c r="G45" s="373">
        <v>-600</v>
      </c>
      <c r="H45" s="373">
        <v>-600</v>
      </c>
      <c r="I45" s="373">
        <v>-400</v>
      </c>
      <c r="J45" s="373">
        <v>0</v>
      </c>
      <c r="K45" s="373">
        <v>0</v>
      </c>
      <c r="L45" s="373">
        <v>0</v>
      </c>
      <c r="M45" s="373">
        <v>0</v>
      </c>
      <c r="N45" s="373">
        <v>0</v>
      </c>
      <c r="O45" s="373">
        <v>0</v>
      </c>
      <c r="P45" s="373">
        <v>-400</v>
      </c>
      <c r="Q45" s="373">
        <v>-600</v>
      </c>
      <c r="R45" s="374">
        <f>SUM(F45:Q45)</f>
        <v>-3200</v>
      </c>
      <c r="S45" s="364"/>
    </row>
    <row r="46" spans="1:19" x14ac:dyDescent="0.25">
      <c r="A46" s="370">
        <f>A45+1</f>
        <v>20</v>
      </c>
      <c r="B46" s="372" t="s">
        <v>172</v>
      </c>
      <c r="C46" s="372"/>
      <c r="D46" s="372"/>
      <c r="E46" s="384"/>
      <c r="F46" s="373">
        <v>-1622.8</v>
      </c>
      <c r="G46" s="373">
        <v>-1096</v>
      </c>
      <c r="H46" s="373">
        <v>-600</v>
      </c>
      <c r="I46" s="373">
        <v>0</v>
      </c>
      <c r="J46" s="373">
        <v>0</v>
      </c>
      <c r="K46" s="373">
        <v>0</v>
      </c>
      <c r="L46" s="373">
        <v>0</v>
      </c>
      <c r="M46" s="373">
        <v>0</v>
      </c>
      <c r="N46" s="373">
        <v>0</v>
      </c>
      <c r="O46" s="373">
        <v>0</v>
      </c>
      <c r="P46" s="373">
        <v>0</v>
      </c>
      <c r="Q46" s="373">
        <v>-900</v>
      </c>
      <c r="R46" s="374">
        <f>SUM(F46:Q46)</f>
        <v>-4218.8</v>
      </c>
      <c r="S46" s="364"/>
    </row>
    <row r="47" spans="1:19" x14ac:dyDescent="0.25">
      <c r="A47" s="370"/>
      <c r="B47" s="372"/>
      <c r="C47" s="372"/>
      <c r="D47" s="372"/>
      <c r="E47" s="384"/>
      <c r="F47" s="373"/>
      <c r="G47" s="373"/>
      <c r="H47" s="373"/>
      <c r="I47" s="373"/>
      <c r="J47" s="373"/>
      <c r="K47" s="373"/>
      <c r="L47" s="373"/>
      <c r="M47" s="373"/>
      <c r="N47" s="373"/>
      <c r="O47" s="373"/>
      <c r="P47" s="373"/>
      <c r="Q47" s="373"/>
      <c r="R47" s="373"/>
      <c r="S47" s="364"/>
    </row>
    <row r="48" spans="1:19" x14ac:dyDescent="0.25">
      <c r="A48" s="385">
        <f>A46+1</f>
        <v>21</v>
      </c>
      <c r="B48" s="371" t="s">
        <v>498</v>
      </c>
      <c r="C48" s="372"/>
      <c r="D48" s="372"/>
      <c r="E48" s="386"/>
      <c r="F48" s="373"/>
      <c r="G48" s="373"/>
      <c r="H48" s="373"/>
      <c r="I48" s="373"/>
      <c r="J48" s="373"/>
      <c r="K48" s="387"/>
      <c r="L48" s="387"/>
      <c r="M48" s="387"/>
      <c r="N48" s="387"/>
      <c r="O48" s="387"/>
      <c r="P48" s="387"/>
      <c r="Q48" s="387"/>
      <c r="R48" s="388"/>
      <c r="S48" s="388"/>
    </row>
    <row r="49" spans="1:19" x14ac:dyDescent="0.25">
      <c r="A49" s="385"/>
      <c r="B49" s="389"/>
      <c r="C49" s="389"/>
      <c r="D49" s="389"/>
      <c r="E49" s="390"/>
      <c r="F49" s="387"/>
      <c r="G49" s="387"/>
      <c r="H49" s="387"/>
      <c r="I49" s="387"/>
      <c r="J49" s="387"/>
      <c r="K49" s="387"/>
      <c r="L49" s="387"/>
      <c r="M49" s="387"/>
      <c r="N49" s="387"/>
      <c r="O49" s="387"/>
      <c r="P49" s="387"/>
      <c r="Q49" s="387"/>
      <c r="R49" s="388"/>
      <c r="S49" s="388"/>
    </row>
    <row r="50" spans="1:19" x14ac:dyDescent="0.25">
      <c r="A50" s="364">
        <f>A48+1</f>
        <v>22</v>
      </c>
      <c r="B50" s="375" t="s">
        <v>488</v>
      </c>
      <c r="C50" s="372" t="s">
        <v>489</v>
      </c>
      <c r="D50" s="389"/>
      <c r="E50" s="390"/>
      <c r="F50" s="387"/>
      <c r="G50" s="387"/>
      <c r="H50" s="387"/>
      <c r="I50" s="387"/>
      <c r="J50" s="387"/>
      <c r="K50" s="387"/>
      <c r="L50" s="387"/>
      <c r="M50" s="387"/>
      <c r="N50" s="387"/>
      <c r="O50" s="387"/>
      <c r="P50" s="387"/>
      <c r="Q50" s="387"/>
      <c r="R50" s="388"/>
      <c r="S50" s="388"/>
    </row>
    <row r="51" spans="1:19" x14ac:dyDescent="0.25">
      <c r="A51" s="364">
        <f>A50+1</f>
        <v>23</v>
      </c>
      <c r="B51" s="378" t="s">
        <v>167</v>
      </c>
      <c r="C51" s="372"/>
      <c r="D51" s="389"/>
      <c r="E51" s="390"/>
      <c r="F51" s="373">
        <v>395112</v>
      </c>
      <c r="G51" s="373">
        <v>383376</v>
      </c>
      <c r="H51" s="373">
        <v>383376</v>
      </c>
      <c r="I51" s="373">
        <v>383376</v>
      </c>
      <c r="J51" s="373">
        <v>383376</v>
      </c>
      <c r="K51" s="373">
        <v>383376</v>
      </c>
      <c r="L51" s="373">
        <v>383376</v>
      </c>
      <c r="M51" s="373">
        <v>383376</v>
      </c>
      <c r="N51" s="373">
        <v>383376</v>
      </c>
      <c r="O51" s="373">
        <v>383376</v>
      </c>
      <c r="P51" s="373">
        <v>383376</v>
      </c>
      <c r="Q51" s="373">
        <v>395112</v>
      </c>
      <c r="R51" s="374">
        <f>SUM(F51:Q51)</f>
        <v>4623984</v>
      </c>
      <c r="S51" s="388"/>
    </row>
    <row r="52" spans="1:19" x14ac:dyDescent="0.25">
      <c r="A52" s="364"/>
      <c r="B52" s="372"/>
      <c r="C52" s="372"/>
      <c r="D52" s="389"/>
      <c r="E52" s="390"/>
      <c r="F52" s="387"/>
      <c r="G52" s="387"/>
      <c r="H52" s="387"/>
      <c r="I52" s="387"/>
      <c r="J52" s="387"/>
      <c r="K52" s="387"/>
      <c r="L52" s="387"/>
      <c r="M52" s="387"/>
      <c r="N52" s="387"/>
      <c r="O52" s="387"/>
      <c r="P52" s="387"/>
      <c r="Q52" s="387"/>
      <c r="R52" s="388"/>
      <c r="S52" s="388"/>
    </row>
    <row r="53" spans="1:19" x14ac:dyDescent="0.25">
      <c r="A53" s="364">
        <f>A51+1</f>
        <v>24</v>
      </c>
      <c r="B53" s="372" t="s">
        <v>493</v>
      </c>
      <c r="C53" s="372"/>
      <c r="D53" s="389"/>
      <c r="E53" s="390"/>
      <c r="F53" s="387">
        <v>0</v>
      </c>
      <c r="G53" s="387">
        <v>0</v>
      </c>
      <c r="H53" s="387">
        <v>-10000</v>
      </c>
      <c r="I53" s="387">
        <v>-10000</v>
      </c>
      <c r="J53" s="387">
        <v>-20000</v>
      </c>
      <c r="K53" s="387">
        <v>-20000</v>
      </c>
      <c r="L53" s="387">
        <v>-20000</v>
      </c>
      <c r="M53" s="387">
        <v>-20000</v>
      </c>
      <c r="N53" s="387">
        <v>-20000</v>
      </c>
      <c r="O53" s="387">
        <v>-20000</v>
      </c>
      <c r="P53" s="387">
        <v>-10000</v>
      </c>
      <c r="Q53" s="387">
        <v>0</v>
      </c>
      <c r="R53" s="374"/>
      <c r="S53" s="388"/>
    </row>
    <row r="54" spans="1:19" x14ac:dyDescent="0.25">
      <c r="A54" s="364">
        <f>A53+1</f>
        <v>25</v>
      </c>
      <c r="B54" s="372" t="s">
        <v>494</v>
      </c>
      <c r="C54" s="372"/>
      <c r="D54" s="389"/>
      <c r="E54" s="390"/>
      <c r="F54" s="387">
        <v>-225112</v>
      </c>
      <c r="G54" s="387">
        <v>-213376</v>
      </c>
      <c r="H54" s="387">
        <v>-233376</v>
      </c>
      <c r="I54" s="387">
        <v>-233376</v>
      </c>
      <c r="J54" s="387">
        <v>-233376</v>
      </c>
      <c r="K54" s="387">
        <v>-233376</v>
      </c>
      <c r="L54" s="387">
        <v>-233376</v>
      </c>
      <c r="M54" s="387">
        <v>-233376</v>
      </c>
      <c r="N54" s="387">
        <v>-233376</v>
      </c>
      <c r="O54" s="387">
        <v>-233376</v>
      </c>
      <c r="P54" s="387">
        <v>-233376</v>
      </c>
      <c r="Q54" s="387">
        <v>-225112</v>
      </c>
      <c r="R54" s="374"/>
      <c r="S54" s="388"/>
    </row>
    <row r="55" spans="1:19" x14ac:dyDescent="0.25">
      <c r="A55" s="385"/>
      <c r="B55" s="389"/>
      <c r="C55" s="389"/>
      <c r="D55" s="389"/>
      <c r="E55" s="390"/>
      <c r="R55" s="374"/>
      <c r="S55" s="388"/>
    </row>
    <row r="56" spans="1:19" x14ac:dyDescent="0.25">
      <c r="A56" s="370">
        <f>A54+1</f>
        <v>26</v>
      </c>
      <c r="B56" s="375" t="s">
        <v>495</v>
      </c>
      <c r="C56" s="372" t="s">
        <v>168</v>
      </c>
      <c r="D56" s="376"/>
      <c r="E56" s="382"/>
      <c r="F56" s="374"/>
      <c r="G56" s="374"/>
      <c r="H56" s="374"/>
      <c r="I56" s="374"/>
      <c r="J56" s="374"/>
      <c r="K56" s="374"/>
      <c r="L56" s="374"/>
      <c r="M56" s="374"/>
      <c r="N56" s="374"/>
      <c r="O56" s="374"/>
      <c r="P56" s="374"/>
      <c r="Q56" s="374"/>
      <c r="R56" s="374"/>
    </row>
    <row r="57" spans="1:19" x14ac:dyDescent="0.25">
      <c r="A57" s="370">
        <f>A56+1</f>
        <v>27</v>
      </c>
      <c r="B57" s="378" t="s">
        <v>167</v>
      </c>
      <c r="C57" s="372"/>
      <c r="D57" s="372"/>
      <c r="E57" s="364"/>
      <c r="F57" s="373">
        <v>70000</v>
      </c>
      <c r="G57" s="373">
        <v>70000</v>
      </c>
      <c r="H57" s="373">
        <v>65000</v>
      </c>
      <c r="I57" s="373">
        <v>60000</v>
      </c>
      <c r="J57" s="373">
        <v>55000</v>
      </c>
      <c r="K57" s="373">
        <v>55000</v>
      </c>
      <c r="L57" s="373">
        <v>55000</v>
      </c>
      <c r="M57" s="373">
        <v>56000</v>
      </c>
      <c r="N57" s="373">
        <v>59000</v>
      </c>
      <c r="O57" s="373">
        <v>65000</v>
      </c>
      <c r="P57" s="373">
        <v>65000</v>
      </c>
      <c r="Q57" s="373">
        <v>70000</v>
      </c>
      <c r="R57" s="374">
        <f>SUM(F57:Q57)</f>
        <v>745000</v>
      </c>
    </row>
    <row r="58" spans="1:19" x14ac:dyDescent="0.25">
      <c r="A58" s="370"/>
      <c r="B58" s="372"/>
      <c r="C58" s="372"/>
      <c r="D58" s="372"/>
      <c r="E58" s="364"/>
      <c r="F58" s="374"/>
      <c r="G58" s="374"/>
      <c r="H58" s="374"/>
      <c r="I58" s="374"/>
      <c r="J58" s="374"/>
      <c r="K58" s="374"/>
      <c r="L58" s="374"/>
      <c r="M58" s="374"/>
      <c r="N58" s="374"/>
      <c r="O58" s="374"/>
      <c r="P58" s="374"/>
      <c r="Q58" s="374"/>
      <c r="R58" s="374"/>
    </row>
    <row r="59" spans="1:19" x14ac:dyDescent="0.25">
      <c r="A59" s="370">
        <f>A57+1</f>
        <v>28</v>
      </c>
      <c r="B59" s="372" t="s">
        <v>496</v>
      </c>
      <c r="C59" s="372"/>
      <c r="D59" s="372"/>
      <c r="E59" s="379"/>
      <c r="F59" s="373">
        <v>-10000</v>
      </c>
      <c r="G59" s="373">
        <v>-10000</v>
      </c>
      <c r="H59" s="373">
        <v>-10000</v>
      </c>
      <c r="I59" s="373">
        <v>-10000</v>
      </c>
      <c r="J59" s="373">
        <v>-10000</v>
      </c>
      <c r="K59" s="373">
        <v>-10000</v>
      </c>
      <c r="L59" s="373">
        <v>-10000</v>
      </c>
      <c r="M59" s="373">
        <v>-10000</v>
      </c>
      <c r="N59" s="373">
        <v>-10000</v>
      </c>
      <c r="O59" s="373">
        <v>-10000</v>
      </c>
      <c r="P59" s="373">
        <v>-10000</v>
      </c>
      <c r="Q59" s="373">
        <v>-10000</v>
      </c>
      <c r="R59" s="374">
        <f>SUM(F59:Q59)</f>
        <v>-120000</v>
      </c>
    </row>
    <row r="60" spans="1:19" x14ac:dyDescent="0.25">
      <c r="A60" s="370">
        <f>A59+1</f>
        <v>29</v>
      </c>
      <c r="B60" s="372" t="s">
        <v>497</v>
      </c>
      <c r="C60" s="372"/>
      <c r="D60" s="372"/>
      <c r="E60" s="384"/>
      <c r="F60" s="373">
        <v>0</v>
      </c>
      <c r="G60" s="373">
        <v>0</v>
      </c>
      <c r="H60" s="373">
        <v>0</v>
      </c>
      <c r="I60" s="373">
        <v>0</v>
      </c>
      <c r="J60" s="373">
        <v>0</v>
      </c>
      <c r="K60" s="373">
        <v>0</v>
      </c>
      <c r="L60" s="373">
        <v>0</v>
      </c>
      <c r="M60" s="373">
        <v>0</v>
      </c>
      <c r="N60" s="373">
        <v>0</v>
      </c>
      <c r="O60" s="373">
        <v>0</v>
      </c>
      <c r="P60" s="373">
        <v>0</v>
      </c>
      <c r="Q60" s="373">
        <v>0</v>
      </c>
      <c r="R60" s="374">
        <f>SUM(F60:Q60)</f>
        <v>0</v>
      </c>
    </row>
    <row r="61" spans="1:19" x14ac:dyDescent="0.25">
      <c r="B61" s="391"/>
      <c r="C61" s="389"/>
      <c r="F61" s="388"/>
      <c r="G61" s="388"/>
      <c r="H61" s="388"/>
      <c r="I61" s="388"/>
      <c r="J61" s="388"/>
      <c r="K61" s="388"/>
      <c r="L61" s="388"/>
      <c r="M61" s="388"/>
      <c r="N61" s="388"/>
      <c r="O61" s="388"/>
      <c r="P61" s="388"/>
      <c r="Q61" s="388"/>
      <c r="R61" s="388"/>
    </row>
    <row r="63" spans="1:19" x14ac:dyDescent="0.25">
      <c r="B63" s="392"/>
      <c r="C63" s="389"/>
      <c r="D63" s="393"/>
      <c r="F63" s="387"/>
      <c r="G63" s="387"/>
      <c r="H63" s="387"/>
      <c r="I63" s="387"/>
      <c r="J63" s="387"/>
      <c r="K63" s="387"/>
      <c r="L63" s="387"/>
      <c r="M63" s="387"/>
      <c r="N63" s="387"/>
      <c r="O63" s="387"/>
      <c r="P63" s="387"/>
      <c r="Q63" s="387"/>
      <c r="R63" s="388"/>
    </row>
    <row r="64" spans="1:19" ht="15" x14ac:dyDescent="0.25">
      <c r="B64" s="389"/>
      <c r="C64" s="389"/>
      <c r="D64" s="389"/>
      <c r="E64" s="390"/>
      <c r="F64" s="312"/>
      <c r="G64" s="312"/>
      <c r="H64" s="312"/>
      <c r="I64" s="312"/>
      <c r="J64" s="312"/>
      <c r="K64" s="312"/>
      <c r="L64" s="312"/>
      <c r="M64" s="312"/>
      <c r="N64" s="312"/>
      <c r="O64" s="312"/>
      <c r="P64" s="312"/>
      <c r="Q64" s="312"/>
      <c r="R64" s="388"/>
      <c r="S64" s="388"/>
    </row>
    <row r="65" spans="2:19" ht="15" x14ac:dyDescent="0.25">
      <c r="B65" s="389"/>
      <c r="C65" s="389"/>
      <c r="D65" s="389"/>
      <c r="F65" s="338"/>
      <c r="G65" s="338"/>
      <c r="H65" s="338"/>
      <c r="I65" s="338"/>
      <c r="J65" s="338"/>
      <c r="K65" s="338"/>
      <c r="L65" s="338"/>
      <c r="M65" s="338"/>
      <c r="N65" s="338"/>
      <c r="O65" s="338"/>
      <c r="P65" s="338"/>
      <c r="Q65" s="338"/>
      <c r="R65" s="388"/>
      <c r="S65" s="388"/>
    </row>
    <row r="66" spans="2:19" x14ac:dyDescent="0.25">
      <c r="B66" s="389"/>
      <c r="C66" s="389"/>
      <c r="D66" s="389"/>
      <c r="E66" s="390"/>
      <c r="F66" s="387"/>
      <c r="G66" s="387"/>
      <c r="H66" s="387"/>
      <c r="I66" s="387"/>
      <c r="J66" s="387"/>
      <c r="K66" s="387"/>
      <c r="L66" s="387"/>
      <c r="M66" s="387"/>
      <c r="N66" s="387"/>
      <c r="O66" s="387"/>
      <c r="P66" s="387"/>
      <c r="Q66" s="387"/>
      <c r="R66" s="388"/>
      <c r="S66" s="388"/>
    </row>
    <row r="67" spans="2:19" x14ac:dyDescent="0.25">
      <c r="B67" s="389"/>
      <c r="C67" s="389"/>
      <c r="D67" s="389"/>
      <c r="E67" s="390"/>
      <c r="F67" s="387"/>
      <c r="G67" s="387"/>
      <c r="H67" s="387"/>
      <c r="I67" s="387"/>
      <c r="J67" s="387"/>
      <c r="K67" s="387"/>
      <c r="L67" s="387"/>
      <c r="M67" s="387"/>
      <c r="N67" s="387"/>
      <c r="O67" s="387"/>
      <c r="P67" s="387"/>
      <c r="Q67" s="387"/>
      <c r="R67" s="388"/>
      <c r="S67" s="388"/>
    </row>
    <row r="68" spans="2:19" x14ac:dyDescent="0.25">
      <c r="B68" s="389"/>
      <c r="C68" s="389"/>
      <c r="D68" s="389"/>
      <c r="E68" s="390"/>
      <c r="F68" s="387"/>
      <c r="G68" s="387"/>
      <c r="H68" s="387"/>
      <c r="I68" s="387"/>
      <c r="J68" s="387"/>
      <c r="K68" s="387"/>
      <c r="L68" s="387"/>
      <c r="M68" s="387"/>
      <c r="N68" s="387"/>
      <c r="O68" s="387"/>
      <c r="P68" s="387"/>
      <c r="Q68" s="387"/>
      <c r="R68" s="388"/>
      <c r="S68" s="388"/>
    </row>
    <row r="69" spans="2:19" x14ac:dyDescent="0.25">
      <c r="B69" s="389"/>
      <c r="C69" s="389"/>
      <c r="D69" s="389"/>
      <c r="E69" s="390"/>
      <c r="F69" s="387"/>
      <c r="G69" s="387"/>
      <c r="H69" s="387"/>
      <c r="I69" s="387"/>
      <c r="J69" s="387"/>
      <c r="K69" s="387"/>
      <c r="L69" s="387"/>
      <c r="M69" s="387"/>
      <c r="N69" s="387"/>
      <c r="O69" s="387"/>
      <c r="P69" s="387"/>
      <c r="Q69" s="387"/>
      <c r="R69" s="388"/>
      <c r="S69" s="388"/>
    </row>
    <row r="70" spans="2:19" x14ac:dyDescent="0.25">
      <c r="B70" s="389"/>
      <c r="C70" s="389"/>
      <c r="D70" s="389"/>
      <c r="E70" s="390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7"/>
      <c r="R70" s="388"/>
    </row>
    <row r="71" spans="2:19" x14ac:dyDescent="0.25">
      <c r="B71" s="392"/>
      <c r="C71" s="389"/>
      <c r="D71" s="393"/>
      <c r="F71" s="387"/>
      <c r="G71" s="387"/>
      <c r="H71" s="387"/>
      <c r="I71" s="387"/>
      <c r="J71" s="387"/>
      <c r="K71" s="387"/>
      <c r="L71" s="387"/>
      <c r="M71" s="387"/>
      <c r="N71" s="387"/>
      <c r="O71" s="387"/>
      <c r="P71" s="387"/>
      <c r="Q71" s="387"/>
      <c r="R71" s="388"/>
    </row>
    <row r="72" spans="2:19" x14ac:dyDescent="0.25">
      <c r="B72" s="389"/>
      <c r="C72" s="389"/>
      <c r="D72" s="389"/>
      <c r="E72" s="390"/>
      <c r="F72" s="387"/>
      <c r="G72" s="387"/>
      <c r="H72" s="387"/>
      <c r="I72" s="387"/>
      <c r="J72" s="387"/>
      <c r="K72" s="387"/>
      <c r="L72" s="387"/>
      <c r="M72" s="387"/>
      <c r="N72" s="387"/>
      <c r="O72" s="387"/>
      <c r="P72" s="387"/>
      <c r="Q72" s="387"/>
      <c r="R72" s="388"/>
      <c r="S72" s="388"/>
    </row>
    <row r="73" spans="2:19" x14ac:dyDescent="0.25">
      <c r="B73" s="389"/>
      <c r="C73" s="389"/>
      <c r="D73" s="389"/>
      <c r="F73" s="388"/>
      <c r="G73" s="388"/>
      <c r="H73" s="388"/>
      <c r="I73" s="388"/>
      <c r="J73" s="388"/>
      <c r="K73" s="388"/>
      <c r="L73" s="388"/>
      <c r="M73" s="388"/>
      <c r="N73" s="388"/>
      <c r="O73" s="388"/>
      <c r="P73" s="388"/>
      <c r="Q73" s="388"/>
      <c r="R73" s="388"/>
      <c r="S73" s="388"/>
    </row>
    <row r="74" spans="2:19" x14ac:dyDescent="0.25">
      <c r="B74" s="389"/>
      <c r="C74" s="389"/>
      <c r="D74" s="389"/>
      <c r="E74" s="390"/>
      <c r="F74" s="387"/>
      <c r="G74" s="387"/>
      <c r="H74" s="387"/>
      <c r="I74" s="387"/>
      <c r="J74" s="387"/>
      <c r="K74" s="387"/>
      <c r="L74" s="387"/>
      <c r="M74" s="387"/>
      <c r="N74" s="387"/>
      <c r="O74" s="387"/>
      <c r="P74" s="387"/>
      <c r="Q74" s="387"/>
      <c r="R74" s="388"/>
      <c r="S74" s="388"/>
    </row>
    <row r="75" spans="2:19" x14ac:dyDescent="0.25">
      <c r="B75" s="389"/>
      <c r="C75" s="389"/>
      <c r="D75" s="389"/>
      <c r="E75" s="390"/>
      <c r="F75" s="387"/>
      <c r="G75" s="387"/>
      <c r="H75" s="387"/>
      <c r="I75" s="387"/>
      <c r="J75" s="387"/>
      <c r="K75" s="387"/>
      <c r="L75" s="387"/>
      <c r="M75" s="387"/>
      <c r="N75" s="387"/>
      <c r="O75" s="387"/>
      <c r="P75" s="387"/>
      <c r="Q75" s="387"/>
      <c r="R75" s="388"/>
      <c r="S75" s="388"/>
    </row>
    <row r="76" spans="2:19" x14ac:dyDescent="0.25">
      <c r="B76" s="389"/>
      <c r="C76" s="389"/>
      <c r="D76" s="389"/>
      <c r="E76" s="390"/>
      <c r="F76" s="387"/>
      <c r="G76" s="387"/>
      <c r="H76" s="387"/>
      <c r="I76" s="387"/>
      <c r="J76" s="387"/>
      <c r="K76" s="387"/>
      <c r="L76" s="387"/>
      <c r="M76" s="387"/>
      <c r="N76" s="387"/>
      <c r="O76" s="387"/>
      <c r="P76" s="387"/>
      <c r="Q76" s="387"/>
      <c r="R76" s="388"/>
      <c r="S76" s="388"/>
    </row>
    <row r="77" spans="2:19" x14ac:dyDescent="0.25">
      <c r="B77" s="389"/>
      <c r="C77" s="389"/>
      <c r="D77" s="389"/>
      <c r="E77" s="390"/>
      <c r="F77" s="387"/>
      <c r="G77" s="387"/>
      <c r="H77" s="387"/>
      <c r="I77" s="387"/>
      <c r="J77" s="387"/>
      <c r="K77" s="387"/>
      <c r="L77" s="387"/>
      <c r="M77" s="387"/>
      <c r="N77" s="387"/>
      <c r="O77" s="387"/>
      <c r="P77" s="387"/>
      <c r="Q77" s="387"/>
      <c r="R77" s="388"/>
      <c r="S77" s="388"/>
    </row>
    <row r="78" spans="2:19" x14ac:dyDescent="0.25">
      <c r="B78" s="389"/>
      <c r="C78" s="389"/>
      <c r="D78" s="389"/>
      <c r="E78" s="390"/>
      <c r="F78" s="387"/>
      <c r="G78" s="387"/>
      <c r="H78" s="387"/>
      <c r="I78" s="387"/>
      <c r="J78" s="387"/>
      <c r="K78" s="387"/>
      <c r="L78" s="387"/>
      <c r="M78" s="387"/>
      <c r="N78" s="387"/>
      <c r="O78" s="387"/>
      <c r="P78" s="387"/>
      <c r="Q78" s="387"/>
      <c r="R78" s="388"/>
      <c r="S78" s="388"/>
    </row>
    <row r="79" spans="2:19" x14ac:dyDescent="0.25">
      <c r="B79" s="392"/>
      <c r="C79" s="389"/>
      <c r="D79" s="393"/>
      <c r="F79" s="387"/>
      <c r="G79" s="387"/>
      <c r="H79" s="387"/>
      <c r="I79" s="387"/>
      <c r="J79" s="387"/>
      <c r="K79" s="387"/>
      <c r="L79" s="387"/>
      <c r="M79" s="387"/>
      <c r="N79" s="387"/>
      <c r="O79" s="387"/>
      <c r="P79" s="387"/>
      <c r="Q79" s="387"/>
      <c r="R79" s="388"/>
    </row>
    <row r="80" spans="2:19" x14ac:dyDescent="0.25">
      <c r="B80" s="389"/>
      <c r="C80" s="389"/>
      <c r="D80" s="389"/>
      <c r="E80" s="390"/>
      <c r="F80" s="387"/>
      <c r="G80" s="387"/>
      <c r="H80" s="387"/>
      <c r="I80" s="387"/>
      <c r="J80" s="387"/>
      <c r="K80" s="387"/>
      <c r="L80" s="387"/>
      <c r="M80" s="387"/>
      <c r="N80" s="387"/>
      <c r="O80" s="387"/>
      <c r="P80" s="387"/>
      <c r="Q80" s="387"/>
      <c r="R80" s="388"/>
      <c r="S80" s="388"/>
    </row>
    <row r="81" spans="2:19" x14ac:dyDescent="0.25">
      <c r="B81" s="389"/>
      <c r="C81" s="389"/>
      <c r="D81" s="389"/>
      <c r="F81" s="388"/>
      <c r="G81" s="388"/>
      <c r="H81" s="388"/>
      <c r="I81" s="388"/>
      <c r="J81" s="388"/>
      <c r="K81" s="388"/>
      <c r="L81" s="388"/>
      <c r="M81" s="388"/>
      <c r="N81" s="388"/>
      <c r="O81" s="388"/>
      <c r="P81" s="388"/>
      <c r="Q81" s="388"/>
      <c r="R81" s="388"/>
      <c r="S81" s="388"/>
    </row>
    <row r="82" spans="2:19" x14ac:dyDescent="0.25">
      <c r="B82" s="389"/>
      <c r="C82" s="389"/>
      <c r="D82" s="389"/>
      <c r="E82" s="389"/>
      <c r="F82" s="387"/>
      <c r="G82" s="387"/>
      <c r="H82" s="387"/>
      <c r="I82" s="387"/>
      <c r="J82" s="387"/>
      <c r="K82" s="387"/>
      <c r="L82" s="387"/>
      <c r="M82" s="387"/>
      <c r="N82" s="387"/>
      <c r="O82" s="387"/>
      <c r="P82" s="387"/>
      <c r="Q82" s="387"/>
      <c r="R82" s="388"/>
      <c r="S82" s="388"/>
    </row>
    <row r="83" spans="2:19" x14ac:dyDescent="0.25">
      <c r="B83" s="389"/>
      <c r="C83" s="389"/>
      <c r="D83" s="389"/>
      <c r="E83" s="389"/>
      <c r="F83" s="387"/>
      <c r="G83" s="387"/>
      <c r="H83" s="387"/>
      <c r="I83" s="387"/>
      <c r="J83" s="387"/>
      <c r="K83" s="387"/>
      <c r="L83" s="387"/>
      <c r="M83" s="387"/>
      <c r="N83" s="387"/>
      <c r="O83" s="387"/>
      <c r="P83" s="387"/>
      <c r="Q83" s="387"/>
      <c r="R83" s="388"/>
      <c r="S83" s="388"/>
    </row>
    <row r="84" spans="2:19" x14ac:dyDescent="0.25">
      <c r="B84" s="389"/>
      <c r="C84" s="389"/>
      <c r="D84" s="389"/>
      <c r="E84" s="389"/>
      <c r="F84" s="387"/>
      <c r="G84" s="387"/>
      <c r="H84" s="387"/>
      <c r="I84" s="387"/>
      <c r="J84" s="387"/>
      <c r="K84" s="387"/>
      <c r="L84" s="387"/>
      <c r="M84" s="387"/>
      <c r="N84" s="387"/>
      <c r="O84" s="387"/>
      <c r="P84" s="387"/>
      <c r="Q84" s="387"/>
      <c r="R84" s="388"/>
    </row>
    <row r="85" spans="2:19" x14ac:dyDescent="0.25">
      <c r="B85" s="389"/>
      <c r="C85" s="389"/>
      <c r="D85" s="389"/>
      <c r="E85" s="389"/>
      <c r="F85" s="387"/>
      <c r="G85" s="387"/>
      <c r="H85" s="387"/>
      <c r="I85" s="387"/>
      <c r="J85" s="387"/>
      <c r="K85" s="387"/>
      <c r="L85" s="387"/>
      <c r="M85" s="387"/>
      <c r="N85" s="387"/>
      <c r="O85" s="387"/>
      <c r="P85" s="387"/>
      <c r="Q85" s="387"/>
      <c r="R85" s="388"/>
    </row>
    <row r="86" spans="2:19" x14ac:dyDescent="0.25">
      <c r="B86" s="389"/>
      <c r="C86" s="389"/>
      <c r="D86" s="389"/>
      <c r="E86" s="389"/>
      <c r="F86" s="387"/>
      <c r="G86" s="387"/>
      <c r="H86" s="387"/>
      <c r="I86" s="387"/>
      <c r="J86" s="387"/>
      <c r="K86" s="387"/>
      <c r="L86" s="387"/>
      <c r="M86" s="387"/>
      <c r="N86" s="387"/>
      <c r="O86" s="387"/>
      <c r="P86" s="387"/>
      <c r="Q86" s="387"/>
      <c r="R86" s="388"/>
    </row>
    <row r="89" spans="2:19" x14ac:dyDescent="0.25">
      <c r="B89" s="392"/>
      <c r="C89" s="389"/>
      <c r="D89" s="393"/>
      <c r="F89" s="387"/>
      <c r="G89" s="387"/>
      <c r="H89" s="387"/>
      <c r="I89" s="387"/>
      <c r="J89" s="387"/>
      <c r="K89" s="387"/>
      <c r="L89" s="387"/>
      <c r="M89" s="387"/>
      <c r="N89" s="387"/>
      <c r="O89" s="387"/>
      <c r="P89" s="387"/>
      <c r="Q89" s="387"/>
      <c r="R89" s="388"/>
    </row>
    <row r="90" spans="2:19" x14ac:dyDescent="0.25">
      <c r="B90" s="389"/>
      <c r="C90" s="389"/>
      <c r="D90" s="389"/>
      <c r="E90" s="390"/>
      <c r="F90" s="387"/>
      <c r="G90" s="387"/>
      <c r="H90" s="387"/>
      <c r="I90" s="387"/>
      <c r="J90" s="387"/>
      <c r="K90" s="387"/>
      <c r="L90" s="387"/>
      <c r="M90" s="387"/>
      <c r="N90" s="387"/>
      <c r="O90" s="387"/>
      <c r="P90" s="387"/>
      <c r="Q90" s="387"/>
      <c r="R90" s="388"/>
      <c r="S90" s="388"/>
    </row>
    <row r="91" spans="2:19" x14ac:dyDescent="0.25">
      <c r="B91" s="389"/>
      <c r="C91" s="389"/>
      <c r="D91" s="389"/>
      <c r="F91" s="388"/>
      <c r="G91" s="388"/>
      <c r="H91" s="388"/>
      <c r="I91" s="388"/>
      <c r="J91" s="388"/>
      <c r="K91" s="388"/>
      <c r="L91" s="388"/>
      <c r="M91" s="388"/>
      <c r="N91" s="388"/>
      <c r="O91" s="388"/>
      <c r="P91" s="388"/>
      <c r="Q91" s="388"/>
      <c r="R91" s="388"/>
      <c r="S91" s="388"/>
    </row>
    <row r="92" spans="2:19" x14ac:dyDescent="0.25">
      <c r="B92" s="389"/>
      <c r="C92" s="389"/>
      <c r="D92" s="389"/>
      <c r="E92" s="390"/>
      <c r="F92" s="387"/>
      <c r="G92" s="387"/>
      <c r="H92" s="387"/>
      <c r="I92" s="387"/>
      <c r="J92" s="387"/>
      <c r="K92" s="387"/>
      <c r="L92" s="387"/>
      <c r="M92" s="387"/>
      <c r="N92" s="387"/>
      <c r="O92" s="387"/>
      <c r="P92" s="387"/>
      <c r="Q92" s="387"/>
      <c r="R92" s="388"/>
      <c r="S92" s="388"/>
    </row>
    <row r="93" spans="2:19" x14ac:dyDescent="0.25">
      <c r="B93" s="389"/>
      <c r="C93" s="389"/>
      <c r="D93" s="389"/>
      <c r="E93" s="390"/>
      <c r="F93" s="387"/>
      <c r="G93" s="387"/>
      <c r="H93" s="387"/>
      <c r="I93" s="387"/>
      <c r="J93" s="387"/>
      <c r="K93" s="387"/>
      <c r="L93" s="387"/>
      <c r="M93" s="387"/>
      <c r="N93" s="387"/>
      <c r="O93" s="387"/>
      <c r="P93" s="387"/>
      <c r="Q93" s="387"/>
      <c r="R93" s="388"/>
      <c r="S93" s="388"/>
    </row>
    <row r="94" spans="2:19" x14ac:dyDescent="0.25">
      <c r="B94" s="389"/>
      <c r="C94" s="389"/>
      <c r="D94" s="389"/>
      <c r="E94" s="390"/>
      <c r="F94" s="387"/>
      <c r="G94" s="387"/>
      <c r="H94" s="387"/>
      <c r="I94" s="387"/>
      <c r="J94" s="387"/>
      <c r="K94" s="387"/>
      <c r="L94" s="387"/>
      <c r="M94" s="387"/>
      <c r="N94" s="387"/>
      <c r="O94" s="387"/>
      <c r="P94" s="387"/>
      <c r="Q94" s="387"/>
      <c r="R94" s="388"/>
      <c r="S94" s="388"/>
    </row>
    <row r="95" spans="2:19" x14ac:dyDescent="0.25">
      <c r="B95" s="389"/>
      <c r="C95" s="389"/>
      <c r="D95" s="389"/>
      <c r="E95" s="390"/>
      <c r="F95" s="387"/>
      <c r="G95" s="387"/>
      <c r="H95" s="387"/>
      <c r="I95" s="387"/>
      <c r="J95" s="387"/>
      <c r="K95" s="387"/>
      <c r="L95" s="387"/>
      <c r="M95" s="387"/>
      <c r="N95" s="387"/>
      <c r="O95" s="387"/>
      <c r="P95" s="387"/>
      <c r="Q95" s="387"/>
      <c r="R95" s="388"/>
    </row>
    <row r="96" spans="2:19" x14ac:dyDescent="0.25">
      <c r="B96" s="389"/>
      <c r="C96" s="389"/>
      <c r="D96" s="389"/>
      <c r="E96" s="390"/>
      <c r="F96" s="387"/>
      <c r="G96" s="387"/>
      <c r="H96" s="387"/>
      <c r="I96" s="387"/>
      <c r="J96" s="387"/>
      <c r="K96" s="387"/>
      <c r="L96" s="387"/>
      <c r="M96" s="387"/>
      <c r="N96" s="387"/>
      <c r="O96" s="387"/>
      <c r="P96" s="387"/>
      <c r="Q96" s="387"/>
      <c r="R96" s="388"/>
      <c r="S96" s="388"/>
    </row>
    <row r="97" spans="1:19" x14ac:dyDescent="0.25">
      <c r="B97" s="389"/>
      <c r="C97" s="389"/>
      <c r="D97" s="389"/>
      <c r="E97" s="390"/>
      <c r="F97" s="387"/>
      <c r="G97" s="387"/>
      <c r="H97" s="387"/>
      <c r="I97" s="387"/>
      <c r="J97" s="387"/>
      <c r="K97" s="387"/>
      <c r="L97" s="387"/>
      <c r="M97" s="387"/>
      <c r="N97" s="387"/>
      <c r="O97" s="387"/>
      <c r="P97" s="387"/>
      <c r="Q97" s="387"/>
      <c r="R97" s="388"/>
      <c r="S97" s="388"/>
    </row>
    <row r="98" spans="1:19" x14ac:dyDescent="0.25">
      <c r="B98" s="389"/>
      <c r="C98" s="389"/>
      <c r="D98" s="389"/>
      <c r="E98" s="390"/>
      <c r="F98" s="387"/>
      <c r="G98" s="387"/>
      <c r="H98" s="387"/>
      <c r="I98" s="387"/>
      <c r="J98" s="387"/>
      <c r="K98" s="387"/>
      <c r="L98" s="387"/>
      <c r="M98" s="387"/>
      <c r="N98" s="387"/>
      <c r="O98" s="387"/>
      <c r="P98" s="387"/>
      <c r="Q98" s="387"/>
      <c r="R98" s="388"/>
    </row>
    <row r="99" spans="1:19" x14ac:dyDescent="0.25">
      <c r="B99" s="389"/>
      <c r="C99" s="389"/>
      <c r="D99" s="389"/>
      <c r="E99" s="390"/>
      <c r="F99" s="387"/>
      <c r="G99" s="387"/>
      <c r="H99" s="387"/>
      <c r="I99" s="387"/>
      <c r="J99" s="387"/>
      <c r="K99" s="387"/>
      <c r="L99" s="387"/>
      <c r="M99" s="387"/>
      <c r="N99" s="387"/>
      <c r="O99" s="387"/>
      <c r="P99" s="387"/>
      <c r="Q99" s="387"/>
      <c r="R99" s="388"/>
    </row>
    <row r="100" spans="1:19" x14ac:dyDescent="0.25">
      <c r="B100" s="389"/>
      <c r="C100" s="389"/>
      <c r="D100" s="389"/>
      <c r="E100" s="390"/>
      <c r="F100" s="387"/>
      <c r="G100" s="387"/>
      <c r="H100" s="387"/>
      <c r="I100" s="387"/>
      <c r="J100" s="387"/>
      <c r="K100" s="387"/>
      <c r="L100" s="387"/>
      <c r="M100" s="387"/>
      <c r="N100" s="387"/>
      <c r="O100" s="387"/>
      <c r="P100" s="387"/>
      <c r="Q100" s="387"/>
      <c r="R100" s="388"/>
    </row>
    <row r="101" spans="1:19" x14ac:dyDescent="0.25">
      <c r="B101" s="389"/>
      <c r="C101" s="389"/>
      <c r="D101" s="389"/>
      <c r="E101" s="390"/>
      <c r="F101" s="387"/>
      <c r="G101" s="387"/>
      <c r="H101" s="387"/>
      <c r="I101" s="387"/>
      <c r="J101" s="387"/>
      <c r="K101" s="387"/>
      <c r="L101" s="387"/>
      <c r="M101" s="387"/>
      <c r="N101" s="387"/>
      <c r="O101" s="387"/>
      <c r="P101" s="387"/>
      <c r="Q101" s="387"/>
      <c r="R101" s="388"/>
    </row>
    <row r="102" spans="1:19" x14ac:dyDescent="0.25">
      <c r="B102" s="389"/>
      <c r="C102" s="389"/>
      <c r="D102" s="389"/>
      <c r="E102" s="390"/>
      <c r="F102" s="387"/>
      <c r="G102" s="387"/>
      <c r="H102" s="387"/>
      <c r="I102" s="387"/>
      <c r="J102" s="387"/>
      <c r="K102" s="387"/>
      <c r="L102" s="387"/>
      <c r="M102" s="387"/>
      <c r="N102" s="387"/>
      <c r="O102" s="387"/>
      <c r="P102" s="387"/>
      <c r="Q102" s="387"/>
      <c r="R102" s="388"/>
    </row>
    <row r="103" spans="1:19" x14ac:dyDescent="0.25">
      <c r="B103" s="389"/>
      <c r="C103" s="389"/>
      <c r="D103" s="389"/>
      <c r="E103" s="390"/>
      <c r="F103" s="387"/>
      <c r="G103" s="387"/>
      <c r="H103" s="387"/>
      <c r="I103" s="387"/>
      <c r="J103" s="387"/>
      <c r="K103" s="387"/>
      <c r="L103" s="387"/>
      <c r="M103" s="387"/>
      <c r="N103" s="387"/>
      <c r="O103" s="387"/>
      <c r="P103" s="388"/>
      <c r="Q103" s="388"/>
      <c r="R103" s="388"/>
    </row>
    <row r="104" spans="1:19" x14ac:dyDescent="0.25">
      <c r="F104" s="388"/>
      <c r="G104" s="394"/>
      <c r="H104" s="388"/>
      <c r="I104" s="388"/>
      <c r="J104" s="388"/>
      <c r="K104" s="388"/>
      <c r="L104" s="388"/>
      <c r="M104" s="388"/>
      <c r="N104" s="388"/>
      <c r="O104" s="388"/>
      <c r="P104" s="388"/>
      <c r="Q104" s="388"/>
      <c r="R104" s="388"/>
    </row>
    <row r="105" spans="1:19" x14ac:dyDescent="0.25">
      <c r="E105" s="395"/>
      <c r="F105" s="388"/>
      <c r="G105" s="388"/>
      <c r="H105" s="388"/>
      <c r="I105" s="388"/>
      <c r="J105" s="388"/>
      <c r="K105" s="388"/>
      <c r="L105" s="388"/>
      <c r="M105" s="388"/>
      <c r="N105" s="388"/>
      <c r="O105" s="388"/>
      <c r="P105" s="396"/>
      <c r="Q105" s="396"/>
      <c r="R105" s="388"/>
    </row>
    <row r="106" spans="1:19" x14ac:dyDescent="0.25">
      <c r="F106" s="394"/>
      <c r="G106" s="388"/>
      <c r="H106" s="388"/>
      <c r="I106" s="388"/>
      <c r="J106" s="388"/>
      <c r="K106" s="388"/>
      <c r="L106" s="388"/>
      <c r="M106" s="388"/>
      <c r="N106" s="388"/>
      <c r="O106" s="388"/>
      <c r="P106" s="388"/>
      <c r="Q106" s="388"/>
      <c r="R106" s="388"/>
    </row>
    <row r="107" spans="1:19" x14ac:dyDescent="0.25">
      <c r="A107" s="395"/>
      <c r="B107" s="395"/>
      <c r="C107" s="395"/>
      <c r="D107" s="395"/>
      <c r="E107" s="395"/>
      <c r="F107" s="394"/>
      <c r="G107" s="394"/>
      <c r="H107" s="394"/>
      <c r="I107" s="394"/>
      <c r="J107" s="394"/>
      <c r="K107" s="394"/>
      <c r="L107" s="394"/>
      <c r="M107" s="394"/>
      <c r="N107" s="394"/>
      <c r="O107" s="394"/>
      <c r="P107" s="394"/>
      <c r="Q107" s="394"/>
      <c r="R107" s="388"/>
    </row>
    <row r="108" spans="1:19" x14ac:dyDescent="0.25">
      <c r="A108" s="395"/>
      <c r="B108" s="395"/>
      <c r="C108" s="395"/>
      <c r="D108" s="360"/>
      <c r="E108" s="395"/>
      <c r="F108" s="388"/>
      <c r="G108" s="388"/>
      <c r="H108" s="388"/>
      <c r="I108" s="388"/>
      <c r="J108" s="388"/>
      <c r="K108" s="388"/>
      <c r="L108" s="388"/>
      <c r="M108" s="388"/>
      <c r="N108" s="388"/>
      <c r="O108" s="388"/>
      <c r="P108" s="388"/>
      <c r="Q108" s="388"/>
      <c r="R108" s="388"/>
    </row>
    <row r="109" spans="1:19" x14ac:dyDescent="0.25">
      <c r="A109" s="395"/>
      <c r="B109" s="395"/>
      <c r="C109" s="395"/>
      <c r="D109" s="360"/>
      <c r="E109" s="395"/>
      <c r="F109" s="388"/>
      <c r="G109" s="388"/>
      <c r="H109" s="388"/>
      <c r="I109" s="388"/>
      <c r="J109" s="388"/>
      <c r="K109" s="388"/>
      <c r="L109" s="388"/>
      <c r="M109" s="388"/>
      <c r="N109" s="388"/>
      <c r="O109" s="388"/>
      <c r="P109" s="388"/>
      <c r="Q109" s="388"/>
      <c r="R109" s="388"/>
    </row>
    <row r="110" spans="1:19" x14ac:dyDescent="0.25">
      <c r="A110" s="360"/>
      <c r="B110" s="395"/>
      <c r="C110" s="360"/>
      <c r="D110" s="360"/>
      <c r="E110" s="397"/>
      <c r="F110" s="388"/>
      <c r="G110" s="388"/>
      <c r="H110" s="388"/>
      <c r="I110" s="388"/>
      <c r="J110" s="388"/>
      <c r="K110" s="388"/>
      <c r="L110" s="388"/>
      <c r="M110" s="388"/>
      <c r="N110" s="388"/>
      <c r="O110" s="388"/>
      <c r="P110" s="388"/>
      <c r="Q110" s="388"/>
      <c r="R110" s="388"/>
    </row>
    <row r="111" spans="1:19" x14ac:dyDescent="0.25">
      <c r="A111" s="398"/>
      <c r="B111" s="398"/>
      <c r="C111" s="398"/>
      <c r="D111" s="398"/>
      <c r="E111" s="398"/>
      <c r="F111" s="399"/>
      <c r="G111" s="399"/>
      <c r="H111" s="399"/>
      <c r="I111" s="399"/>
      <c r="J111" s="399"/>
      <c r="K111" s="399"/>
      <c r="L111" s="399"/>
      <c r="M111" s="399"/>
      <c r="N111" s="399"/>
      <c r="O111" s="399"/>
      <c r="P111" s="399"/>
      <c r="Q111" s="399"/>
      <c r="R111" s="399"/>
    </row>
    <row r="112" spans="1:19" x14ac:dyDescent="0.25">
      <c r="A112" s="395"/>
      <c r="B112" s="395"/>
      <c r="C112" s="395"/>
      <c r="D112" s="395"/>
      <c r="E112" s="395"/>
      <c r="F112" s="400"/>
      <c r="G112" s="400"/>
      <c r="H112" s="400"/>
      <c r="I112" s="400"/>
      <c r="J112" s="400"/>
      <c r="K112" s="400"/>
      <c r="L112" s="400"/>
      <c r="M112" s="400"/>
      <c r="N112" s="400"/>
      <c r="O112" s="400"/>
      <c r="P112" s="400"/>
      <c r="Q112" s="400"/>
      <c r="R112" s="400"/>
    </row>
    <row r="113" spans="2:19" x14ac:dyDescent="0.25">
      <c r="F113" s="388"/>
      <c r="G113" s="388"/>
      <c r="H113" s="388"/>
      <c r="I113" s="388"/>
      <c r="J113" s="388"/>
      <c r="K113" s="388"/>
      <c r="L113" s="388"/>
      <c r="M113" s="388"/>
      <c r="N113" s="388"/>
      <c r="O113" s="388"/>
      <c r="P113" s="388"/>
      <c r="Q113" s="388"/>
      <c r="R113" s="388"/>
    </row>
    <row r="114" spans="2:19" x14ac:dyDescent="0.25">
      <c r="B114" s="391"/>
      <c r="C114" s="389"/>
      <c r="F114" s="388"/>
      <c r="G114" s="388"/>
      <c r="H114" s="388"/>
      <c r="I114" s="388"/>
      <c r="J114" s="388"/>
      <c r="K114" s="388"/>
      <c r="L114" s="388"/>
      <c r="M114" s="388"/>
      <c r="N114" s="388"/>
      <c r="O114" s="388"/>
      <c r="P114" s="388"/>
      <c r="Q114" s="388"/>
      <c r="R114" s="388"/>
    </row>
    <row r="115" spans="2:19" x14ac:dyDescent="0.25">
      <c r="B115" s="389"/>
      <c r="C115" s="389"/>
      <c r="D115" s="389"/>
      <c r="E115" s="390"/>
      <c r="F115" s="387"/>
      <c r="G115" s="387"/>
      <c r="H115" s="387"/>
      <c r="I115" s="387"/>
      <c r="J115" s="387"/>
      <c r="K115" s="387"/>
      <c r="L115" s="387"/>
      <c r="M115" s="387"/>
      <c r="N115" s="387"/>
      <c r="O115" s="387"/>
      <c r="P115" s="387"/>
      <c r="Q115" s="387"/>
      <c r="R115" s="388"/>
    </row>
    <row r="116" spans="2:19" x14ac:dyDescent="0.25">
      <c r="B116" s="392"/>
      <c r="C116" s="389"/>
      <c r="D116" s="393"/>
      <c r="F116" s="387"/>
      <c r="G116" s="387"/>
      <c r="H116" s="387"/>
      <c r="I116" s="387"/>
      <c r="J116" s="387"/>
      <c r="K116" s="387"/>
      <c r="L116" s="387"/>
      <c r="M116" s="387"/>
      <c r="N116" s="387"/>
      <c r="O116" s="387"/>
      <c r="P116" s="387"/>
      <c r="Q116" s="387"/>
      <c r="R116" s="388"/>
    </row>
    <row r="117" spans="2:19" x14ac:dyDescent="0.25">
      <c r="B117" s="389"/>
      <c r="C117" s="389"/>
      <c r="D117" s="389"/>
      <c r="E117" s="390"/>
      <c r="F117" s="387"/>
      <c r="G117" s="387"/>
      <c r="H117" s="387"/>
      <c r="I117" s="387"/>
      <c r="J117" s="387"/>
      <c r="K117" s="387"/>
      <c r="L117" s="387"/>
      <c r="M117" s="387"/>
      <c r="N117" s="387"/>
      <c r="O117" s="387"/>
      <c r="P117" s="387"/>
      <c r="Q117" s="387"/>
      <c r="R117" s="388"/>
      <c r="S117" s="388"/>
    </row>
    <row r="118" spans="2:19" x14ac:dyDescent="0.25">
      <c r="B118" s="389"/>
      <c r="C118" s="389"/>
      <c r="D118" s="389"/>
      <c r="F118" s="388"/>
      <c r="G118" s="388"/>
      <c r="H118" s="388"/>
      <c r="I118" s="388"/>
      <c r="J118" s="388"/>
      <c r="K118" s="388"/>
      <c r="L118" s="388"/>
      <c r="M118" s="388"/>
      <c r="N118" s="388"/>
      <c r="O118" s="388"/>
      <c r="P118" s="388"/>
      <c r="Q118" s="388"/>
      <c r="R118" s="388"/>
      <c r="S118" s="388"/>
    </row>
    <row r="119" spans="2:19" x14ac:dyDescent="0.25">
      <c r="B119" s="389"/>
      <c r="C119" s="389"/>
      <c r="D119" s="389"/>
      <c r="E119" s="389"/>
      <c r="F119" s="387"/>
      <c r="G119" s="387"/>
      <c r="H119" s="387"/>
      <c r="I119" s="387"/>
      <c r="J119" s="387"/>
      <c r="K119" s="387"/>
      <c r="L119" s="387"/>
      <c r="M119" s="387"/>
      <c r="N119" s="387"/>
      <c r="O119" s="387"/>
      <c r="P119" s="387"/>
      <c r="Q119" s="387"/>
      <c r="R119" s="388"/>
      <c r="S119" s="388"/>
    </row>
    <row r="120" spans="2:19" x14ac:dyDescent="0.25">
      <c r="B120" s="389"/>
      <c r="C120" s="389"/>
      <c r="D120" s="389"/>
      <c r="E120" s="389"/>
      <c r="F120" s="387"/>
      <c r="G120" s="387"/>
      <c r="H120" s="387"/>
      <c r="I120" s="387"/>
      <c r="J120" s="387"/>
      <c r="K120" s="387"/>
      <c r="L120" s="387"/>
      <c r="M120" s="387"/>
      <c r="N120" s="387"/>
      <c r="O120" s="387"/>
      <c r="P120" s="387"/>
      <c r="Q120" s="387"/>
      <c r="R120" s="388"/>
      <c r="S120" s="388"/>
    </row>
    <row r="121" spans="2:19" x14ac:dyDescent="0.25">
      <c r="B121" s="389"/>
      <c r="C121" s="389"/>
      <c r="D121" s="389"/>
      <c r="E121" s="389"/>
      <c r="F121" s="387"/>
      <c r="G121" s="387"/>
      <c r="H121" s="387"/>
      <c r="I121" s="387"/>
      <c r="J121" s="387"/>
      <c r="K121" s="387"/>
      <c r="L121" s="387"/>
      <c r="M121" s="387"/>
      <c r="N121" s="387"/>
      <c r="O121" s="387"/>
      <c r="P121" s="387"/>
      <c r="Q121" s="387"/>
      <c r="R121" s="388"/>
    </row>
    <row r="122" spans="2:19" x14ac:dyDescent="0.25">
      <c r="B122" s="389"/>
      <c r="C122" s="389"/>
      <c r="D122" s="389"/>
      <c r="E122" s="389"/>
      <c r="F122" s="387"/>
      <c r="G122" s="387"/>
      <c r="H122" s="387"/>
      <c r="I122" s="387"/>
      <c r="J122" s="387"/>
      <c r="K122" s="387"/>
      <c r="L122" s="387"/>
      <c r="M122" s="387"/>
      <c r="N122" s="387"/>
      <c r="O122" s="387"/>
      <c r="P122" s="387"/>
      <c r="Q122" s="387"/>
      <c r="R122" s="388"/>
    </row>
    <row r="123" spans="2:19" x14ac:dyDescent="0.25">
      <c r="B123" s="389"/>
      <c r="C123" s="389"/>
      <c r="D123" s="389"/>
      <c r="E123" s="389"/>
      <c r="F123" s="387"/>
      <c r="G123" s="387"/>
      <c r="H123" s="387"/>
      <c r="I123" s="387"/>
      <c r="J123" s="387"/>
      <c r="K123" s="387"/>
      <c r="L123" s="387"/>
      <c r="M123" s="387"/>
      <c r="N123" s="387"/>
      <c r="O123" s="387"/>
      <c r="P123" s="387"/>
      <c r="Q123" s="387"/>
      <c r="R123" s="388"/>
    </row>
    <row r="126" spans="2:19" x14ac:dyDescent="0.25">
      <c r="B126" s="392"/>
      <c r="C126" s="389"/>
      <c r="D126" s="393"/>
      <c r="F126" s="387"/>
      <c r="G126" s="387"/>
      <c r="H126" s="387"/>
      <c r="I126" s="387"/>
      <c r="J126" s="387"/>
      <c r="K126" s="387"/>
      <c r="L126" s="387"/>
      <c r="M126" s="387"/>
      <c r="N126" s="387"/>
      <c r="O126" s="387"/>
      <c r="P126" s="387"/>
      <c r="Q126" s="387"/>
      <c r="R126" s="388"/>
    </row>
    <row r="127" spans="2:19" x14ac:dyDescent="0.25">
      <c r="B127" s="389"/>
      <c r="C127" s="389"/>
      <c r="D127" s="389"/>
      <c r="E127" s="390"/>
      <c r="F127" s="387"/>
      <c r="G127" s="387"/>
      <c r="H127" s="387"/>
      <c r="I127" s="387"/>
      <c r="J127" s="387"/>
      <c r="K127" s="387"/>
      <c r="L127" s="387"/>
      <c r="M127" s="387"/>
      <c r="N127" s="387"/>
      <c r="O127" s="387"/>
      <c r="P127" s="387"/>
      <c r="Q127" s="387"/>
      <c r="R127" s="388"/>
      <c r="S127" s="388"/>
    </row>
    <row r="128" spans="2:19" x14ac:dyDescent="0.25">
      <c r="B128" s="389"/>
      <c r="C128" s="389"/>
      <c r="D128" s="389"/>
      <c r="F128" s="388"/>
      <c r="G128" s="388"/>
      <c r="H128" s="388"/>
      <c r="I128" s="388"/>
      <c r="J128" s="388"/>
      <c r="K128" s="388"/>
      <c r="L128" s="388"/>
      <c r="M128" s="388"/>
      <c r="N128" s="388"/>
      <c r="O128" s="388"/>
      <c r="P128" s="388"/>
      <c r="Q128" s="388"/>
      <c r="R128" s="388"/>
      <c r="S128" s="388"/>
    </row>
    <row r="129" spans="2:19" x14ac:dyDescent="0.25">
      <c r="B129" s="389"/>
      <c r="C129" s="389"/>
      <c r="D129" s="389"/>
      <c r="E129" s="390"/>
      <c r="F129" s="387"/>
      <c r="G129" s="387"/>
      <c r="H129" s="387"/>
      <c r="I129" s="387"/>
      <c r="J129" s="387"/>
      <c r="K129" s="387"/>
      <c r="L129" s="387"/>
      <c r="M129" s="387"/>
      <c r="N129" s="387"/>
      <c r="O129" s="387"/>
      <c r="P129" s="387"/>
      <c r="Q129" s="387"/>
      <c r="R129" s="388"/>
      <c r="S129" s="388"/>
    </row>
    <row r="130" spans="2:19" x14ac:dyDescent="0.25">
      <c r="B130" s="389"/>
      <c r="C130" s="389"/>
      <c r="D130" s="389"/>
      <c r="E130" s="390"/>
      <c r="F130" s="387"/>
      <c r="G130" s="387"/>
      <c r="H130" s="387"/>
      <c r="I130" s="387"/>
      <c r="J130" s="387"/>
      <c r="K130" s="387"/>
      <c r="L130" s="387"/>
      <c r="M130" s="387"/>
      <c r="N130" s="387"/>
      <c r="O130" s="387"/>
      <c r="P130" s="387"/>
      <c r="Q130" s="387"/>
      <c r="R130" s="388"/>
      <c r="S130" s="388"/>
    </row>
    <row r="131" spans="2:19" x14ac:dyDescent="0.25">
      <c r="B131" s="389"/>
      <c r="C131" s="389"/>
      <c r="D131" s="389"/>
      <c r="E131" s="390"/>
      <c r="F131" s="387"/>
      <c r="G131" s="387"/>
      <c r="H131" s="387"/>
      <c r="I131" s="387"/>
      <c r="J131" s="387"/>
      <c r="K131" s="387"/>
      <c r="L131" s="387"/>
      <c r="M131" s="387"/>
      <c r="N131" s="387"/>
      <c r="O131" s="387"/>
      <c r="P131" s="387"/>
      <c r="Q131" s="387"/>
      <c r="R131" s="388"/>
      <c r="S131" s="388"/>
    </row>
    <row r="132" spans="2:19" x14ac:dyDescent="0.25">
      <c r="B132" s="389"/>
      <c r="C132" s="389"/>
      <c r="D132" s="389"/>
      <c r="E132" s="390"/>
      <c r="F132" s="387"/>
      <c r="G132" s="387"/>
      <c r="H132" s="387"/>
      <c r="I132" s="387"/>
      <c r="J132" s="387"/>
      <c r="K132" s="387"/>
      <c r="L132" s="387"/>
      <c r="M132" s="387"/>
      <c r="N132" s="387"/>
      <c r="O132" s="387"/>
      <c r="P132" s="387"/>
      <c r="Q132" s="387"/>
      <c r="R132" s="388"/>
    </row>
    <row r="133" spans="2:19" x14ac:dyDescent="0.25">
      <c r="B133" s="389"/>
      <c r="C133" s="389"/>
      <c r="D133" s="389"/>
      <c r="E133" s="390"/>
      <c r="F133" s="387"/>
      <c r="G133" s="387"/>
      <c r="H133" s="387"/>
      <c r="I133" s="387"/>
      <c r="J133" s="387"/>
      <c r="K133" s="387"/>
      <c r="L133" s="387"/>
      <c r="M133" s="387"/>
      <c r="N133" s="387"/>
      <c r="O133" s="387"/>
      <c r="P133" s="387"/>
      <c r="Q133" s="387"/>
      <c r="R133" s="388"/>
    </row>
    <row r="134" spans="2:19" x14ac:dyDescent="0.25">
      <c r="B134" s="392"/>
      <c r="C134" s="389"/>
      <c r="D134" s="393"/>
      <c r="F134" s="387"/>
      <c r="G134" s="387"/>
      <c r="H134" s="387"/>
      <c r="I134" s="387"/>
      <c r="J134" s="387"/>
      <c r="K134" s="387"/>
      <c r="L134" s="387"/>
      <c r="M134" s="387"/>
      <c r="N134" s="387"/>
      <c r="O134" s="387"/>
      <c r="P134" s="387"/>
      <c r="Q134" s="387"/>
      <c r="R134" s="388"/>
    </row>
    <row r="135" spans="2:19" x14ac:dyDescent="0.25">
      <c r="B135" s="389"/>
      <c r="C135" s="389"/>
      <c r="D135" s="389"/>
      <c r="E135" s="390"/>
      <c r="F135" s="387"/>
      <c r="G135" s="387"/>
      <c r="H135" s="387"/>
      <c r="I135" s="387"/>
      <c r="J135" s="387"/>
      <c r="K135" s="387"/>
      <c r="L135" s="387"/>
      <c r="M135" s="387"/>
      <c r="N135" s="387"/>
      <c r="O135" s="387"/>
      <c r="P135" s="387"/>
      <c r="Q135" s="387"/>
      <c r="R135" s="388"/>
      <c r="S135" s="388"/>
    </row>
    <row r="136" spans="2:19" x14ac:dyDescent="0.25">
      <c r="B136" s="389"/>
      <c r="C136" s="389"/>
      <c r="D136" s="389"/>
      <c r="F136" s="388"/>
      <c r="G136" s="388"/>
      <c r="H136" s="388"/>
      <c r="I136" s="388"/>
      <c r="J136" s="388"/>
      <c r="K136" s="388"/>
      <c r="L136" s="388"/>
      <c r="M136" s="388"/>
      <c r="N136" s="388"/>
      <c r="O136" s="388"/>
      <c r="P136" s="388"/>
      <c r="Q136" s="388"/>
      <c r="R136" s="388"/>
      <c r="S136" s="388"/>
    </row>
    <row r="137" spans="2:19" x14ac:dyDescent="0.25">
      <c r="B137" s="389"/>
      <c r="C137" s="389"/>
      <c r="D137" s="389"/>
      <c r="E137" s="389"/>
      <c r="F137" s="387"/>
      <c r="G137" s="387"/>
      <c r="H137" s="387"/>
      <c r="I137" s="387"/>
      <c r="J137" s="387"/>
      <c r="K137" s="387"/>
      <c r="L137" s="387"/>
      <c r="M137" s="387"/>
      <c r="N137" s="387"/>
      <c r="O137" s="387"/>
      <c r="P137" s="387"/>
      <c r="Q137" s="387"/>
      <c r="R137" s="388"/>
      <c r="S137" s="388"/>
    </row>
    <row r="138" spans="2:19" x14ac:dyDescent="0.25">
      <c r="B138" s="389"/>
      <c r="C138" s="389"/>
      <c r="D138" s="389"/>
      <c r="E138" s="389"/>
      <c r="F138" s="387"/>
      <c r="G138" s="387"/>
      <c r="H138" s="387"/>
      <c r="I138" s="387"/>
      <c r="J138" s="387"/>
      <c r="K138" s="387"/>
      <c r="L138" s="387"/>
      <c r="M138" s="387"/>
      <c r="N138" s="387"/>
      <c r="O138" s="387"/>
      <c r="P138" s="387"/>
      <c r="Q138" s="387"/>
      <c r="R138" s="388"/>
      <c r="S138" s="388"/>
    </row>
    <row r="139" spans="2:19" x14ac:dyDescent="0.25">
      <c r="B139" s="389"/>
      <c r="C139" s="389"/>
      <c r="D139" s="389"/>
      <c r="E139" s="389"/>
      <c r="F139" s="387"/>
      <c r="G139" s="387"/>
      <c r="H139" s="387"/>
      <c r="I139" s="387"/>
      <c r="J139" s="387"/>
      <c r="K139" s="387"/>
      <c r="L139" s="387"/>
      <c r="M139" s="387"/>
      <c r="N139" s="387"/>
      <c r="O139" s="387"/>
      <c r="P139" s="387"/>
      <c r="Q139" s="387"/>
      <c r="R139" s="388"/>
    </row>
    <row r="140" spans="2:19" x14ac:dyDescent="0.25">
      <c r="B140" s="389"/>
      <c r="C140" s="389"/>
      <c r="D140" s="389"/>
      <c r="E140" s="389"/>
      <c r="F140" s="387"/>
      <c r="G140" s="387"/>
      <c r="H140" s="387"/>
      <c r="I140" s="387"/>
      <c r="J140" s="387"/>
      <c r="K140" s="387"/>
      <c r="L140" s="387"/>
      <c r="M140" s="387"/>
      <c r="N140" s="387"/>
      <c r="O140" s="387"/>
      <c r="P140" s="387"/>
      <c r="Q140" s="387"/>
      <c r="R140" s="388"/>
    </row>
    <row r="141" spans="2:19" x14ac:dyDescent="0.25">
      <c r="B141" s="389"/>
      <c r="C141" s="389"/>
      <c r="D141" s="389"/>
      <c r="E141" s="389"/>
      <c r="F141" s="387"/>
      <c r="G141" s="387"/>
      <c r="H141" s="387"/>
      <c r="I141" s="387"/>
      <c r="J141" s="387"/>
      <c r="K141" s="387"/>
      <c r="L141" s="387"/>
      <c r="M141" s="387"/>
      <c r="N141" s="387"/>
      <c r="O141" s="387"/>
      <c r="P141" s="387"/>
      <c r="Q141" s="387"/>
      <c r="R141" s="388"/>
    </row>
    <row r="144" spans="2:19" x14ac:dyDescent="0.25">
      <c r="B144" s="392"/>
      <c r="C144" s="389"/>
      <c r="D144" s="393"/>
      <c r="F144" s="387"/>
      <c r="G144" s="387"/>
      <c r="H144" s="387"/>
      <c r="I144" s="387"/>
      <c r="J144" s="387"/>
      <c r="K144" s="387"/>
      <c r="L144" s="387"/>
      <c r="M144" s="387"/>
      <c r="N144" s="387"/>
      <c r="O144" s="387"/>
      <c r="P144" s="387"/>
      <c r="Q144" s="387"/>
      <c r="R144" s="388"/>
    </row>
    <row r="145" spans="2:19" x14ac:dyDescent="0.25">
      <c r="B145" s="389"/>
      <c r="C145" s="389"/>
      <c r="D145" s="389"/>
      <c r="E145" s="390"/>
      <c r="F145" s="387"/>
      <c r="G145" s="387"/>
      <c r="H145" s="387"/>
      <c r="I145" s="387"/>
      <c r="J145" s="387"/>
      <c r="K145" s="387"/>
      <c r="L145" s="387"/>
      <c r="M145" s="387"/>
      <c r="N145" s="387"/>
      <c r="O145" s="387"/>
      <c r="P145" s="387"/>
      <c r="Q145" s="387"/>
      <c r="R145" s="388"/>
      <c r="S145" s="388"/>
    </row>
    <row r="146" spans="2:19" x14ac:dyDescent="0.25">
      <c r="B146" s="389"/>
      <c r="C146" s="389"/>
      <c r="D146" s="389"/>
      <c r="F146" s="388"/>
      <c r="G146" s="388"/>
      <c r="H146" s="388"/>
      <c r="I146" s="388"/>
      <c r="J146" s="388"/>
      <c r="K146" s="388"/>
      <c r="L146" s="388"/>
      <c r="M146" s="388"/>
      <c r="N146" s="388"/>
      <c r="O146" s="388"/>
      <c r="P146" s="388"/>
      <c r="Q146" s="388"/>
      <c r="R146" s="388"/>
      <c r="S146" s="388"/>
    </row>
    <row r="147" spans="2:19" x14ac:dyDescent="0.25">
      <c r="B147" s="389"/>
      <c r="C147" s="389"/>
      <c r="D147" s="389"/>
      <c r="E147" s="390"/>
      <c r="F147" s="387"/>
      <c r="G147" s="387"/>
      <c r="H147" s="387"/>
      <c r="I147" s="387"/>
      <c r="J147" s="387"/>
      <c r="K147" s="387"/>
      <c r="L147" s="387"/>
      <c r="M147" s="387"/>
      <c r="N147" s="387"/>
      <c r="O147" s="387"/>
      <c r="P147" s="387"/>
      <c r="Q147" s="387"/>
      <c r="R147" s="388"/>
      <c r="S147" s="388"/>
    </row>
    <row r="148" spans="2:19" x14ac:dyDescent="0.25">
      <c r="B148" s="389"/>
      <c r="C148" s="389"/>
      <c r="D148" s="389"/>
      <c r="E148" s="390"/>
      <c r="F148" s="387"/>
      <c r="G148" s="387"/>
      <c r="H148" s="387"/>
      <c r="I148" s="387"/>
      <c r="J148" s="387"/>
      <c r="K148" s="387"/>
      <c r="L148" s="387"/>
      <c r="M148" s="387"/>
      <c r="N148" s="387"/>
      <c r="O148" s="387"/>
      <c r="P148" s="387"/>
      <c r="Q148" s="387"/>
      <c r="R148" s="388"/>
      <c r="S148" s="388"/>
    </row>
    <row r="149" spans="2:19" x14ac:dyDescent="0.25">
      <c r="B149" s="389"/>
      <c r="C149" s="389"/>
      <c r="D149" s="389"/>
      <c r="E149" s="390"/>
      <c r="F149" s="387"/>
      <c r="G149" s="387"/>
      <c r="H149" s="387"/>
      <c r="I149" s="387"/>
      <c r="J149" s="387"/>
      <c r="K149" s="387"/>
      <c r="L149" s="387"/>
      <c r="M149" s="387"/>
      <c r="N149" s="387"/>
      <c r="O149" s="387"/>
      <c r="P149" s="387"/>
      <c r="Q149" s="387"/>
      <c r="R149" s="388"/>
      <c r="S149" s="388"/>
    </row>
    <row r="150" spans="2:19" x14ac:dyDescent="0.25">
      <c r="B150" s="389"/>
      <c r="C150" s="389"/>
      <c r="D150" s="389"/>
      <c r="E150" s="390"/>
      <c r="F150" s="387"/>
      <c r="G150" s="387"/>
      <c r="H150" s="387"/>
      <c r="I150" s="387"/>
      <c r="J150" s="387"/>
      <c r="K150" s="387"/>
      <c r="L150" s="387"/>
      <c r="M150" s="387"/>
      <c r="N150" s="387"/>
      <c r="O150" s="387"/>
      <c r="P150" s="387"/>
      <c r="Q150" s="387"/>
      <c r="R150" s="388"/>
    </row>
    <row r="151" spans="2:19" x14ac:dyDescent="0.25">
      <c r="B151" s="389"/>
      <c r="C151" s="389"/>
      <c r="D151" s="389"/>
      <c r="E151" s="390"/>
      <c r="F151" s="387"/>
      <c r="G151" s="387"/>
      <c r="H151" s="387"/>
      <c r="I151" s="387"/>
      <c r="J151" s="387"/>
      <c r="K151" s="387"/>
      <c r="L151" s="387"/>
      <c r="M151" s="387"/>
      <c r="N151" s="387"/>
      <c r="O151" s="387"/>
      <c r="P151" s="387"/>
      <c r="Q151" s="387"/>
      <c r="R151" s="388"/>
    </row>
    <row r="152" spans="2:19" x14ac:dyDescent="0.25">
      <c r="C152" s="389"/>
      <c r="F152" s="388"/>
      <c r="G152" s="388"/>
      <c r="H152" s="388"/>
      <c r="I152" s="388"/>
      <c r="J152" s="388"/>
      <c r="K152" s="388"/>
      <c r="L152" s="388"/>
      <c r="M152" s="388"/>
      <c r="N152" s="388"/>
      <c r="O152" s="388"/>
      <c r="P152" s="388"/>
      <c r="Q152" s="388"/>
      <c r="R152" s="388"/>
    </row>
    <row r="153" spans="2:19" x14ac:dyDescent="0.25">
      <c r="B153" s="389"/>
      <c r="C153" s="389"/>
      <c r="D153" s="389"/>
      <c r="E153" s="390"/>
      <c r="F153" s="387"/>
      <c r="G153" s="387"/>
      <c r="H153" s="387"/>
      <c r="I153" s="387"/>
      <c r="J153" s="387"/>
      <c r="K153" s="387"/>
      <c r="L153" s="387"/>
      <c r="M153" s="387"/>
      <c r="N153" s="387"/>
      <c r="O153" s="387"/>
      <c r="P153" s="387"/>
      <c r="Q153" s="387"/>
      <c r="R153" s="388"/>
    </row>
    <row r="154" spans="2:19" x14ac:dyDescent="0.25">
      <c r="B154" s="389"/>
      <c r="C154" s="389"/>
      <c r="D154" s="389"/>
      <c r="E154" s="390"/>
      <c r="F154" s="387"/>
      <c r="G154" s="387"/>
      <c r="H154" s="387"/>
      <c r="I154" s="387"/>
      <c r="J154" s="387"/>
      <c r="K154" s="387"/>
      <c r="L154" s="387"/>
      <c r="M154" s="387"/>
      <c r="N154" s="387"/>
      <c r="O154" s="387"/>
      <c r="P154" s="387"/>
      <c r="Q154" s="387"/>
      <c r="R154" s="388"/>
    </row>
    <row r="155" spans="2:19" x14ac:dyDescent="0.25">
      <c r="B155" s="389"/>
      <c r="C155" s="389"/>
      <c r="D155" s="389"/>
      <c r="E155" s="390"/>
      <c r="F155" s="387"/>
      <c r="G155" s="387"/>
      <c r="H155" s="387"/>
      <c r="I155" s="387"/>
      <c r="J155" s="387"/>
      <c r="K155" s="387"/>
      <c r="L155" s="387"/>
      <c r="M155" s="387"/>
      <c r="N155" s="387"/>
      <c r="O155" s="387"/>
      <c r="P155" s="387"/>
      <c r="Q155" s="387"/>
      <c r="R155" s="388"/>
    </row>
    <row r="156" spans="2:19" x14ac:dyDescent="0.25">
      <c r="B156" s="389"/>
      <c r="C156" s="389"/>
      <c r="D156" s="389"/>
      <c r="E156" s="390"/>
      <c r="F156" s="387"/>
      <c r="G156" s="387"/>
      <c r="H156" s="387"/>
      <c r="I156" s="387"/>
      <c r="J156" s="387"/>
      <c r="K156" s="387"/>
      <c r="L156" s="387"/>
      <c r="M156" s="387"/>
      <c r="N156" s="387"/>
      <c r="O156" s="387"/>
      <c r="P156" s="387"/>
      <c r="Q156" s="387"/>
      <c r="R156" s="388"/>
    </row>
    <row r="157" spans="2:19" x14ac:dyDescent="0.25">
      <c r="B157" s="389"/>
      <c r="C157" s="389"/>
      <c r="D157" s="389"/>
      <c r="E157" s="390"/>
      <c r="F157" s="387"/>
      <c r="G157" s="387"/>
      <c r="H157" s="387"/>
      <c r="I157" s="387"/>
      <c r="J157" s="387"/>
      <c r="K157" s="387"/>
      <c r="L157" s="387"/>
      <c r="M157" s="387"/>
      <c r="N157" s="387"/>
      <c r="O157" s="387"/>
      <c r="P157" s="387"/>
      <c r="Q157" s="387"/>
      <c r="R157" s="388"/>
    </row>
    <row r="158" spans="2:19" x14ac:dyDescent="0.25">
      <c r="B158" s="389"/>
      <c r="C158" s="389"/>
      <c r="D158" s="389"/>
      <c r="E158" s="390"/>
      <c r="F158" s="387"/>
      <c r="G158" s="387"/>
      <c r="H158" s="387"/>
      <c r="I158" s="387"/>
      <c r="J158" s="387"/>
      <c r="K158" s="387"/>
      <c r="L158" s="387"/>
      <c r="M158" s="387"/>
      <c r="N158" s="387"/>
      <c r="O158" s="387"/>
      <c r="P158" s="387"/>
      <c r="Q158" s="387"/>
      <c r="R158" s="388"/>
    </row>
    <row r="159" spans="2:19" x14ac:dyDescent="0.25">
      <c r="B159" s="389"/>
      <c r="C159" s="389"/>
      <c r="D159" s="389"/>
      <c r="E159" s="390"/>
      <c r="F159" s="387"/>
      <c r="G159" s="387"/>
      <c r="H159" s="387"/>
      <c r="I159" s="387"/>
      <c r="J159" s="387"/>
      <c r="K159" s="387"/>
      <c r="L159" s="387"/>
      <c r="M159" s="387"/>
      <c r="N159" s="387"/>
      <c r="O159" s="387"/>
      <c r="P159" s="387"/>
      <c r="Q159" s="387"/>
      <c r="R159" s="388"/>
    </row>
    <row r="160" spans="2:19" x14ac:dyDescent="0.25">
      <c r="B160" s="389"/>
      <c r="C160" s="389"/>
      <c r="D160" s="389"/>
      <c r="E160" s="390"/>
      <c r="F160" s="387"/>
      <c r="G160" s="387"/>
      <c r="H160" s="387"/>
      <c r="I160" s="387"/>
      <c r="J160" s="387"/>
      <c r="K160" s="387"/>
      <c r="L160" s="387"/>
      <c r="M160" s="387"/>
      <c r="N160" s="387"/>
      <c r="O160" s="387"/>
      <c r="P160" s="387"/>
      <c r="Q160" s="387"/>
      <c r="R160" s="388"/>
    </row>
    <row r="161" spans="2:18" x14ac:dyDescent="0.25">
      <c r="B161" s="389"/>
      <c r="C161" s="389"/>
      <c r="D161" s="389"/>
      <c r="E161" s="390"/>
      <c r="F161" s="387"/>
      <c r="G161" s="387"/>
      <c r="H161" s="387"/>
      <c r="I161" s="387"/>
      <c r="J161" s="387"/>
      <c r="K161" s="387"/>
      <c r="L161" s="387"/>
      <c r="M161" s="387"/>
      <c r="N161" s="387"/>
      <c r="O161" s="387"/>
      <c r="P161" s="387"/>
      <c r="Q161" s="387"/>
      <c r="R161" s="388"/>
    </row>
    <row r="162" spans="2:18" x14ac:dyDescent="0.25">
      <c r="B162" s="389"/>
      <c r="C162" s="389"/>
      <c r="D162" s="389"/>
      <c r="E162" s="390"/>
      <c r="F162" s="387"/>
      <c r="G162" s="387"/>
      <c r="H162" s="387"/>
      <c r="I162" s="387"/>
      <c r="J162" s="387"/>
      <c r="K162" s="387"/>
      <c r="L162" s="387"/>
      <c r="M162" s="387"/>
      <c r="N162" s="387"/>
      <c r="O162" s="387"/>
      <c r="P162" s="387"/>
      <c r="Q162" s="387"/>
      <c r="R162" s="388"/>
    </row>
    <row r="163" spans="2:18" x14ac:dyDescent="0.25">
      <c r="B163" s="389"/>
      <c r="C163" s="389"/>
      <c r="D163" s="389"/>
      <c r="E163" s="390"/>
      <c r="F163" s="387"/>
      <c r="G163" s="387"/>
      <c r="H163" s="387"/>
      <c r="I163" s="387"/>
      <c r="J163" s="387"/>
      <c r="K163" s="387"/>
      <c r="L163" s="387"/>
      <c r="M163" s="387"/>
      <c r="N163" s="387"/>
      <c r="O163" s="387"/>
      <c r="P163" s="387"/>
      <c r="Q163" s="387"/>
      <c r="R163" s="388"/>
    </row>
    <row r="164" spans="2:18" x14ac:dyDescent="0.25">
      <c r="B164" s="389"/>
      <c r="C164" s="389"/>
      <c r="D164" s="389"/>
      <c r="E164" s="390"/>
      <c r="F164" s="387"/>
      <c r="G164" s="387"/>
      <c r="H164" s="387"/>
      <c r="I164" s="387"/>
      <c r="J164" s="387"/>
      <c r="K164" s="387"/>
      <c r="L164" s="387"/>
      <c r="M164" s="387"/>
      <c r="N164" s="387"/>
      <c r="O164" s="387"/>
      <c r="P164" s="387"/>
      <c r="Q164" s="387"/>
      <c r="R164" s="388"/>
    </row>
    <row r="165" spans="2:18" x14ac:dyDescent="0.25">
      <c r="B165" s="389"/>
      <c r="C165" s="389"/>
      <c r="D165" s="389"/>
      <c r="E165" s="390"/>
      <c r="F165" s="387"/>
      <c r="G165" s="387"/>
      <c r="H165" s="387"/>
      <c r="I165" s="387"/>
      <c r="J165" s="387"/>
      <c r="K165" s="387"/>
      <c r="L165" s="387"/>
      <c r="M165" s="387"/>
      <c r="N165" s="387"/>
      <c r="O165" s="387"/>
      <c r="P165" s="387"/>
      <c r="Q165" s="387"/>
      <c r="R165" s="388"/>
    </row>
    <row r="166" spans="2:18" x14ac:dyDescent="0.25">
      <c r="B166" s="389"/>
      <c r="C166" s="389"/>
      <c r="D166" s="389"/>
      <c r="E166" s="390"/>
      <c r="F166" s="387"/>
      <c r="G166" s="387"/>
      <c r="H166" s="387"/>
      <c r="I166" s="387"/>
      <c r="J166" s="387"/>
      <c r="K166" s="387"/>
      <c r="L166" s="387"/>
      <c r="M166" s="387"/>
      <c r="N166" s="387"/>
      <c r="O166" s="387"/>
      <c r="P166" s="387"/>
      <c r="Q166" s="387"/>
      <c r="R166" s="388"/>
    </row>
    <row r="167" spans="2:18" x14ac:dyDescent="0.25">
      <c r="B167" s="389"/>
      <c r="C167" s="389"/>
      <c r="D167" s="389"/>
      <c r="E167" s="390"/>
      <c r="F167" s="387"/>
      <c r="G167" s="387"/>
      <c r="H167" s="387"/>
      <c r="I167" s="387"/>
      <c r="J167" s="387"/>
      <c r="K167" s="387"/>
      <c r="L167" s="387"/>
      <c r="M167" s="387"/>
      <c r="N167" s="387"/>
      <c r="O167" s="387"/>
      <c r="P167" s="387"/>
      <c r="Q167" s="387"/>
      <c r="R167" s="388"/>
    </row>
    <row r="168" spans="2:18" x14ac:dyDescent="0.25">
      <c r="B168" s="389"/>
      <c r="C168" s="389"/>
      <c r="D168" s="389"/>
      <c r="E168" s="390"/>
      <c r="F168" s="387"/>
      <c r="G168" s="387"/>
      <c r="H168" s="387"/>
      <c r="I168" s="387"/>
      <c r="J168" s="387"/>
      <c r="K168" s="387"/>
      <c r="L168" s="387"/>
      <c r="M168" s="387"/>
      <c r="N168" s="387"/>
      <c r="O168" s="387"/>
      <c r="P168" s="387"/>
      <c r="Q168" s="387"/>
      <c r="R168" s="388"/>
    </row>
    <row r="169" spans="2:18" x14ac:dyDescent="0.25">
      <c r="B169" s="389"/>
      <c r="C169" s="389"/>
      <c r="D169" s="389"/>
      <c r="E169" s="390"/>
      <c r="F169" s="387"/>
      <c r="G169" s="387"/>
      <c r="H169" s="387"/>
      <c r="I169" s="387"/>
      <c r="J169" s="387"/>
      <c r="K169" s="387"/>
      <c r="L169" s="387"/>
      <c r="M169" s="387"/>
      <c r="N169" s="387"/>
      <c r="O169" s="387"/>
      <c r="P169" s="387"/>
      <c r="Q169" s="387"/>
      <c r="R169" s="388"/>
    </row>
    <row r="170" spans="2:18" x14ac:dyDescent="0.25">
      <c r="B170" s="389"/>
      <c r="C170" s="389"/>
      <c r="D170" s="389"/>
      <c r="E170" s="390"/>
      <c r="F170" s="387"/>
      <c r="G170" s="387"/>
      <c r="H170" s="387"/>
      <c r="I170" s="387"/>
      <c r="J170" s="387"/>
      <c r="K170" s="387"/>
      <c r="L170" s="387"/>
      <c r="M170" s="387"/>
      <c r="N170" s="387"/>
      <c r="O170" s="387"/>
      <c r="P170" s="387"/>
      <c r="Q170" s="387"/>
      <c r="R170" s="388"/>
    </row>
    <row r="171" spans="2:18" x14ac:dyDescent="0.25">
      <c r="B171" s="389"/>
      <c r="C171" s="389"/>
      <c r="D171" s="389"/>
      <c r="E171" s="390"/>
      <c r="F171" s="387"/>
      <c r="G171" s="387"/>
      <c r="H171" s="387"/>
      <c r="I171" s="387"/>
      <c r="J171" s="387"/>
      <c r="K171" s="387"/>
      <c r="L171" s="387"/>
      <c r="M171" s="387"/>
      <c r="N171" s="387"/>
      <c r="O171" s="387"/>
      <c r="P171" s="387"/>
      <c r="Q171" s="387"/>
      <c r="R171" s="388"/>
    </row>
    <row r="172" spans="2:18" x14ac:dyDescent="0.25">
      <c r="B172" s="389"/>
      <c r="C172" s="389"/>
      <c r="D172" s="389"/>
      <c r="E172" s="390"/>
      <c r="F172" s="387"/>
      <c r="G172" s="387"/>
      <c r="H172" s="387"/>
      <c r="I172" s="387"/>
      <c r="J172" s="387"/>
      <c r="K172" s="387"/>
      <c r="L172" s="387"/>
      <c r="M172" s="387"/>
      <c r="N172" s="387"/>
      <c r="O172" s="387"/>
      <c r="P172" s="387"/>
      <c r="Q172" s="387"/>
      <c r="R172" s="388"/>
    </row>
    <row r="173" spans="2:18" x14ac:dyDescent="0.25">
      <c r="B173" s="389"/>
      <c r="C173" s="389"/>
      <c r="D173" s="389"/>
      <c r="E173" s="390"/>
      <c r="F173" s="387"/>
      <c r="G173" s="387"/>
      <c r="H173" s="387"/>
      <c r="I173" s="387"/>
      <c r="J173" s="387"/>
      <c r="K173" s="387"/>
      <c r="L173" s="387"/>
      <c r="M173" s="387"/>
      <c r="N173" s="387"/>
      <c r="O173" s="387"/>
      <c r="P173" s="387"/>
      <c r="Q173" s="387"/>
      <c r="R173" s="388"/>
    </row>
    <row r="174" spans="2:18" x14ac:dyDescent="0.25">
      <c r="B174" s="389"/>
      <c r="C174" s="389"/>
      <c r="D174" s="389"/>
      <c r="E174" s="390"/>
      <c r="F174" s="387"/>
      <c r="G174" s="387"/>
      <c r="H174" s="387"/>
      <c r="I174" s="387"/>
      <c r="J174" s="387"/>
      <c r="K174" s="387"/>
      <c r="L174" s="387"/>
      <c r="M174" s="387"/>
      <c r="N174" s="387"/>
      <c r="O174" s="387"/>
      <c r="P174" s="387"/>
      <c r="Q174" s="387"/>
      <c r="R174" s="388"/>
    </row>
    <row r="175" spans="2:18" x14ac:dyDescent="0.25">
      <c r="B175" s="389"/>
      <c r="C175" s="389"/>
      <c r="D175" s="389"/>
      <c r="E175" s="390"/>
      <c r="F175" s="387"/>
      <c r="G175" s="387"/>
      <c r="H175" s="387"/>
      <c r="I175" s="387"/>
      <c r="J175" s="387"/>
      <c r="K175" s="387"/>
      <c r="L175" s="387"/>
      <c r="M175" s="387"/>
      <c r="N175" s="387"/>
      <c r="O175" s="387"/>
      <c r="P175" s="387"/>
      <c r="Q175" s="387"/>
      <c r="R175" s="388"/>
    </row>
    <row r="176" spans="2:18" x14ac:dyDescent="0.25">
      <c r="B176" s="389"/>
      <c r="C176" s="389"/>
      <c r="D176" s="389"/>
      <c r="E176" s="390"/>
      <c r="F176" s="387"/>
      <c r="G176" s="387"/>
      <c r="H176" s="387"/>
      <c r="I176" s="387"/>
      <c r="J176" s="387"/>
      <c r="K176" s="387"/>
      <c r="L176" s="387"/>
      <c r="M176" s="387"/>
      <c r="N176" s="387"/>
      <c r="O176" s="387"/>
      <c r="P176" s="387"/>
      <c r="Q176" s="387"/>
      <c r="R176" s="388"/>
    </row>
    <row r="177" spans="2:18" x14ac:dyDescent="0.25">
      <c r="B177" s="389"/>
      <c r="C177" s="389"/>
      <c r="D177" s="389"/>
      <c r="E177" s="390"/>
      <c r="F177" s="387"/>
      <c r="G177" s="387"/>
      <c r="H177" s="387"/>
      <c r="I177" s="387"/>
      <c r="J177" s="387"/>
      <c r="K177" s="387"/>
      <c r="L177" s="387"/>
      <c r="M177" s="387"/>
      <c r="N177" s="387"/>
      <c r="O177" s="387"/>
      <c r="P177" s="387"/>
      <c r="Q177" s="387"/>
      <c r="R177" s="388"/>
    </row>
    <row r="178" spans="2:18" x14ac:dyDescent="0.25">
      <c r="B178" s="389"/>
      <c r="C178" s="389"/>
      <c r="D178" s="389"/>
      <c r="E178" s="390"/>
      <c r="F178" s="387"/>
      <c r="G178" s="387"/>
      <c r="H178" s="387"/>
      <c r="I178" s="387"/>
      <c r="J178" s="387"/>
      <c r="K178" s="387"/>
      <c r="L178" s="387"/>
      <c r="M178" s="387"/>
      <c r="N178" s="387"/>
      <c r="O178" s="387"/>
      <c r="P178" s="387"/>
      <c r="Q178" s="387"/>
      <c r="R178" s="388"/>
    </row>
    <row r="179" spans="2:18" x14ac:dyDescent="0.25">
      <c r="B179" s="389"/>
      <c r="C179" s="389"/>
      <c r="D179" s="389"/>
      <c r="E179" s="390"/>
      <c r="F179" s="387"/>
      <c r="G179" s="387"/>
      <c r="H179" s="387"/>
      <c r="I179" s="387"/>
      <c r="J179" s="387"/>
      <c r="K179" s="387"/>
      <c r="L179" s="387"/>
      <c r="M179" s="387"/>
      <c r="N179" s="387"/>
      <c r="O179" s="387"/>
      <c r="P179" s="387"/>
      <c r="Q179" s="387"/>
      <c r="R179" s="388"/>
    </row>
    <row r="180" spans="2:18" x14ac:dyDescent="0.25">
      <c r="B180" s="389"/>
      <c r="C180" s="389"/>
      <c r="D180" s="389"/>
      <c r="E180" s="390"/>
      <c r="F180" s="387"/>
      <c r="G180" s="387"/>
      <c r="H180" s="387"/>
      <c r="I180" s="387"/>
      <c r="J180" s="387"/>
      <c r="K180" s="387"/>
      <c r="L180" s="387"/>
      <c r="M180" s="387"/>
      <c r="N180" s="387"/>
      <c r="O180" s="387"/>
      <c r="P180" s="387"/>
      <c r="Q180" s="387"/>
      <c r="R180" s="388"/>
    </row>
    <row r="181" spans="2:18" x14ac:dyDescent="0.25">
      <c r="B181" s="389"/>
      <c r="C181" s="389"/>
      <c r="D181" s="389"/>
      <c r="E181" s="390"/>
      <c r="F181" s="387"/>
      <c r="G181" s="387"/>
      <c r="H181" s="387"/>
      <c r="I181" s="387"/>
      <c r="J181" s="387"/>
      <c r="K181" s="387"/>
      <c r="L181" s="387"/>
      <c r="M181" s="387"/>
      <c r="N181" s="387"/>
      <c r="O181" s="387"/>
      <c r="P181" s="387"/>
      <c r="Q181" s="387"/>
      <c r="R181" s="388"/>
    </row>
    <row r="182" spans="2:18" x14ac:dyDescent="0.25">
      <c r="B182" s="389"/>
      <c r="C182" s="389"/>
      <c r="D182" s="389"/>
      <c r="E182" s="390"/>
      <c r="F182" s="387"/>
      <c r="G182" s="387"/>
      <c r="H182" s="387"/>
      <c r="I182" s="387"/>
      <c r="J182" s="387"/>
      <c r="K182" s="387"/>
      <c r="L182" s="387"/>
      <c r="M182" s="387"/>
      <c r="N182" s="387"/>
      <c r="O182" s="387"/>
      <c r="P182" s="387"/>
      <c r="Q182" s="387"/>
      <c r="R182" s="388"/>
    </row>
    <row r="183" spans="2:18" x14ac:dyDescent="0.25">
      <c r="B183" s="389"/>
      <c r="C183" s="389"/>
      <c r="D183" s="389"/>
      <c r="E183" s="390"/>
      <c r="F183" s="387"/>
      <c r="G183" s="387"/>
      <c r="H183" s="387"/>
      <c r="I183" s="387"/>
      <c r="J183" s="387"/>
      <c r="K183" s="387"/>
      <c r="L183" s="387"/>
      <c r="M183" s="387"/>
      <c r="N183" s="387"/>
      <c r="O183" s="387"/>
      <c r="P183" s="387"/>
      <c r="Q183" s="387"/>
      <c r="R183" s="388"/>
    </row>
    <row r="184" spans="2:18" x14ac:dyDescent="0.25">
      <c r="B184" s="389"/>
      <c r="C184" s="389"/>
      <c r="D184" s="389"/>
      <c r="E184" s="390"/>
      <c r="F184" s="387"/>
      <c r="G184" s="387"/>
      <c r="H184" s="387"/>
      <c r="I184" s="387"/>
      <c r="J184" s="387"/>
      <c r="K184" s="387"/>
      <c r="L184" s="387"/>
      <c r="M184" s="387"/>
      <c r="N184" s="387"/>
      <c r="O184" s="387"/>
      <c r="P184" s="387"/>
      <c r="Q184" s="387"/>
      <c r="R184" s="388"/>
    </row>
    <row r="185" spans="2:18" x14ac:dyDescent="0.25">
      <c r="B185" s="389"/>
      <c r="C185" s="389"/>
      <c r="D185" s="389"/>
      <c r="E185" s="390"/>
      <c r="F185" s="387"/>
      <c r="G185" s="387"/>
      <c r="H185" s="387"/>
      <c r="I185" s="387"/>
      <c r="J185" s="387"/>
      <c r="K185" s="387"/>
      <c r="L185" s="387"/>
      <c r="M185" s="387"/>
      <c r="N185" s="387"/>
      <c r="O185" s="387"/>
      <c r="P185" s="387"/>
      <c r="Q185" s="387"/>
      <c r="R185" s="388"/>
    </row>
    <row r="186" spans="2:18" x14ac:dyDescent="0.25">
      <c r="B186" s="389"/>
      <c r="C186" s="389"/>
      <c r="D186" s="389"/>
      <c r="E186" s="390"/>
      <c r="F186" s="387"/>
      <c r="G186" s="387"/>
      <c r="H186" s="387"/>
      <c r="I186" s="387"/>
      <c r="J186" s="387"/>
      <c r="K186" s="387"/>
      <c r="L186" s="387"/>
      <c r="M186" s="387"/>
      <c r="N186" s="387"/>
      <c r="O186" s="387"/>
      <c r="P186" s="387"/>
      <c r="Q186" s="387"/>
      <c r="R186" s="388"/>
    </row>
    <row r="187" spans="2:18" x14ac:dyDescent="0.25">
      <c r="B187" s="389"/>
      <c r="C187" s="389"/>
      <c r="D187" s="389"/>
      <c r="E187" s="390"/>
      <c r="F187" s="387"/>
      <c r="G187" s="387"/>
      <c r="H187" s="387"/>
      <c r="I187" s="387"/>
      <c r="J187" s="387"/>
      <c r="K187" s="387"/>
      <c r="L187" s="387"/>
      <c r="M187" s="387"/>
      <c r="N187" s="387"/>
      <c r="O187" s="387"/>
      <c r="P187" s="387"/>
      <c r="Q187" s="387"/>
      <c r="R187" s="388"/>
    </row>
    <row r="188" spans="2:18" x14ac:dyDescent="0.25">
      <c r="B188" s="389"/>
      <c r="C188" s="389"/>
      <c r="D188" s="389"/>
      <c r="E188" s="390"/>
      <c r="F188" s="387"/>
      <c r="G188" s="387"/>
      <c r="H188" s="387"/>
      <c r="I188" s="387"/>
      <c r="J188" s="387"/>
      <c r="K188" s="387"/>
      <c r="L188" s="387"/>
      <c r="M188" s="387"/>
      <c r="N188" s="387"/>
      <c r="O188" s="387"/>
      <c r="P188" s="387"/>
      <c r="Q188" s="387"/>
      <c r="R188" s="388"/>
    </row>
    <row r="189" spans="2:18" x14ac:dyDescent="0.25">
      <c r="B189" s="389"/>
      <c r="C189" s="389"/>
      <c r="D189" s="389"/>
      <c r="E189" s="390"/>
      <c r="F189" s="387"/>
      <c r="G189" s="387"/>
      <c r="H189" s="387"/>
      <c r="I189" s="387"/>
      <c r="J189" s="387"/>
      <c r="K189" s="387"/>
      <c r="L189" s="387"/>
      <c r="M189" s="387"/>
      <c r="N189" s="387"/>
      <c r="O189" s="387"/>
      <c r="P189" s="387"/>
      <c r="Q189" s="387"/>
      <c r="R189" s="388"/>
    </row>
    <row r="190" spans="2:18" x14ac:dyDescent="0.25">
      <c r="B190" s="389"/>
      <c r="C190" s="389"/>
      <c r="D190" s="389"/>
      <c r="E190" s="390"/>
      <c r="F190" s="387"/>
      <c r="G190" s="387"/>
      <c r="H190" s="387"/>
      <c r="I190" s="387"/>
      <c r="J190" s="387"/>
      <c r="K190" s="387"/>
      <c r="L190" s="387"/>
      <c r="M190" s="387"/>
      <c r="N190" s="387"/>
      <c r="O190" s="387"/>
      <c r="P190" s="387"/>
      <c r="Q190" s="387"/>
      <c r="R190" s="388"/>
    </row>
    <row r="191" spans="2:18" x14ac:dyDescent="0.25">
      <c r="B191" s="389"/>
      <c r="C191" s="389"/>
      <c r="D191" s="389"/>
      <c r="E191" s="390"/>
      <c r="F191" s="387"/>
      <c r="G191" s="387"/>
      <c r="H191" s="387"/>
      <c r="I191" s="387"/>
      <c r="J191" s="387"/>
      <c r="K191" s="387"/>
      <c r="L191" s="387"/>
      <c r="M191" s="387"/>
      <c r="N191" s="387"/>
      <c r="O191" s="387"/>
      <c r="P191" s="387"/>
      <c r="Q191" s="387"/>
      <c r="R191" s="388"/>
    </row>
    <row r="192" spans="2:18" x14ac:dyDescent="0.25">
      <c r="B192" s="389"/>
      <c r="C192" s="389"/>
      <c r="D192" s="389"/>
      <c r="E192" s="390"/>
      <c r="F192" s="387"/>
      <c r="G192" s="387"/>
      <c r="H192" s="387"/>
      <c r="I192" s="387"/>
      <c r="J192" s="387"/>
      <c r="K192" s="387"/>
      <c r="L192" s="387"/>
      <c r="M192" s="387"/>
      <c r="N192" s="387"/>
      <c r="O192" s="387"/>
      <c r="P192" s="387"/>
      <c r="Q192" s="387"/>
      <c r="R192" s="388"/>
    </row>
    <row r="193" spans="2:18" x14ac:dyDescent="0.25">
      <c r="B193" s="389"/>
      <c r="C193" s="389"/>
      <c r="D193" s="389"/>
      <c r="E193" s="390"/>
      <c r="F193" s="387"/>
      <c r="G193" s="387"/>
      <c r="H193" s="387"/>
      <c r="I193" s="387"/>
      <c r="J193" s="387"/>
      <c r="K193" s="387"/>
      <c r="L193" s="387"/>
      <c r="M193" s="387"/>
      <c r="N193" s="387"/>
      <c r="O193" s="387"/>
      <c r="P193" s="387"/>
      <c r="Q193" s="387"/>
      <c r="R193" s="388"/>
    </row>
    <row r="194" spans="2:18" x14ac:dyDescent="0.25">
      <c r="B194" s="389"/>
      <c r="C194" s="389"/>
      <c r="D194" s="389"/>
      <c r="E194" s="390"/>
      <c r="F194" s="387"/>
      <c r="G194" s="387"/>
      <c r="H194" s="387"/>
      <c r="I194" s="387"/>
      <c r="J194" s="387"/>
      <c r="K194" s="387"/>
      <c r="L194" s="387"/>
      <c r="M194" s="387"/>
      <c r="N194" s="387"/>
      <c r="O194" s="387"/>
      <c r="P194" s="387"/>
      <c r="Q194" s="387"/>
      <c r="R194" s="388"/>
    </row>
    <row r="195" spans="2:18" x14ac:dyDescent="0.25">
      <c r="B195" s="389"/>
      <c r="C195" s="389"/>
      <c r="D195" s="389"/>
      <c r="E195" s="390"/>
      <c r="F195" s="387"/>
      <c r="G195" s="387"/>
      <c r="H195" s="387"/>
      <c r="I195" s="387"/>
      <c r="J195" s="387"/>
      <c r="K195" s="387"/>
      <c r="L195" s="387"/>
      <c r="M195" s="387"/>
      <c r="N195" s="387"/>
      <c r="O195" s="387"/>
      <c r="P195" s="387"/>
      <c r="Q195" s="387"/>
      <c r="R195" s="388"/>
    </row>
    <row r="196" spans="2:18" x14ac:dyDescent="0.25">
      <c r="B196" s="389"/>
      <c r="C196" s="389"/>
      <c r="D196" s="389"/>
      <c r="E196" s="390"/>
      <c r="F196" s="387"/>
      <c r="G196" s="387"/>
      <c r="H196" s="387"/>
      <c r="I196" s="387"/>
      <c r="J196" s="387"/>
      <c r="K196" s="387"/>
      <c r="L196" s="387"/>
      <c r="M196" s="387"/>
      <c r="N196" s="387"/>
      <c r="O196" s="387"/>
      <c r="P196" s="387"/>
      <c r="Q196" s="387"/>
      <c r="R196" s="388"/>
    </row>
    <row r="197" spans="2:18" x14ac:dyDescent="0.25">
      <c r="B197" s="389"/>
      <c r="C197" s="389"/>
      <c r="D197" s="389"/>
      <c r="E197" s="390"/>
      <c r="F197" s="387"/>
      <c r="G197" s="387"/>
      <c r="H197" s="387"/>
      <c r="I197" s="387"/>
      <c r="J197" s="387"/>
      <c r="K197" s="387"/>
      <c r="L197" s="387"/>
      <c r="M197" s="387"/>
      <c r="N197" s="387"/>
      <c r="O197" s="387"/>
      <c r="P197" s="387"/>
      <c r="Q197" s="387"/>
      <c r="R197" s="388"/>
    </row>
    <row r="198" spans="2:18" x14ac:dyDescent="0.25">
      <c r="B198" s="389"/>
      <c r="C198" s="389"/>
      <c r="D198" s="389"/>
      <c r="E198" s="390"/>
      <c r="F198" s="387"/>
      <c r="G198" s="387"/>
      <c r="H198" s="387"/>
      <c r="I198" s="387"/>
      <c r="J198" s="387"/>
      <c r="K198" s="387"/>
      <c r="L198" s="387"/>
      <c r="M198" s="387"/>
      <c r="N198" s="387"/>
      <c r="O198" s="387"/>
      <c r="P198" s="387"/>
      <c r="Q198" s="387"/>
      <c r="R198" s="388"/>
    </row>
    <row r="199" spans="2:18" x14ac:dyDescent="0.25">
      <c r="B199" s="389"/>
      <c r="C199" s="389"/>
      <c r="D199" s="389"/>
      <c r="E199" s="390"/>
      <c r="F199" s="387"/>
      <c r="G199" s="387"/>
      <c r="H199" s="387"/>
      <c r="I199" s="387"/>
      <c r="J199" s="387"/>
      <c r="K199" s="387"/>
      <c r="L199" s="387"/>
      <c r="M199" s="387"/>
      <c r="N199" s="387"/>
      <c r="O199" s="387"/>
      <c r="P199" s="387"/>
      <c r="Q199" s="387"/>
      <c r="R199" s="388"/>
    </row>
    <row r="200" spans="2:18" x14ac:dyDescent="0.25">
      <c r="B200" s="389"/>
      <c r="C200" s="389"/>
      <c r="D200" s="389"/>
      <c r="E200" s="390"/>
      <c r="F200" s="387"/>
      <c r="G200" s="387"/>
      <c r="H200" s="387"/>
      <c r="I200" s="387"/>
      <c r="J200" s="387"/>
      <c r="K200" s="387"/>
      <c r="L200" s="387"/>
      <c r="M200" s="387"/>
      <c r="N200" s="387"/>
      <c r="O200" s="387"/>
      <c r="P200" s="387"/>
      <c r="Q200" s="387"/>
      <c r="R200" s="388"/>
    </row>
    <row r="201" spans="2:18" x14ac:dyDescent="0.25">
      <c r="B201" s="389"/>
      <c r="C201" s="389"/>
      <c r="D201" s="389"/>
      <c r="E201" s="390"/>
      <c r="F201" s="387"/>
      <c r="G201" s="387"/>
      <c r="H201" s="387"/>
      <c r="I201" s="387"/>
      <c r="J201" s="387"/>
      <c r="K201" s="387"/>
      <c r="L201" s="387"/>
      <c r="M201" s="387"/>
      <c r="N201" s="387"/>
      <c r="O201" s="387"/>
      <c r="P201" s="387"/>
      <c r="Q201" s="387"/>
      <c r="R201" s="388"/>
    </row>
    <row r="202" spans="2:18" x14ac:dyDescent="0.25">
      <c r="B202" s="389"/>
      <c r="C202" s="389"/>
      <c r="D202" s="389"/>
      <c r="E202" s="390"/>
      <c r="F202" s="387"/>
      <c r="G202" s="387"/>
      <c r="H202" s="387"/>
      <c r="I202" s="387"/>
      <c r="J202" s="387"/>
      <c r="K202" s="387"/>
      <c r="L202" s="387"/>
      <c r="M202" s="387"/>
      <c r="N202" s="387"/>
      <c r="O202" s="387"/>
      <c r="P202" s="387"/>
      <c r="Q202" s="387"/>
      <c r="R202" s="388"/>
    </row>
    <row r="203" spans="2:18" x14ac:dyDescent="0.25">
      <c r="B203" s="389"/>
      <c r="C203" s="389"/>
      <c r="D203" s="389"/>
      <c r="E203" s="390"/>
      <c r="F203" s="387"/>
      <c r="G203" s="387"/>
      <c r="H203" s="387"/>
      <c r="I203" s="387"/>
      <c r="J203" s="387"/>
      <c r="K203" s="387"/>
      <c r="L203" s="387"/>
      <c r="M203" s="387"/>
      <c r="N203" s="387"/>
      <c r="O203" s="387"/>
      <c r="P203" s="387"/>
      <c r="Q203" s="387"/>
      <c r="R203" s="388"/>
    </row>
    <row r="204" spans="2:18" x14ac:dyDescent="0.25">
      <c r="B204" s="389"/>
      <c r="C204" s="389"/>
      <c r="D204" s="389"/>
      <c r="E204" s="390"/>
      <c r="F204" s="387"/>
      <c r="G204" s="387"/>
      <c r="H204" s="387"/>
      <c r="I204" s="387"/>
      <c r="J204" s="387"/>
      <c r="K204" s="387"/>
      <c r="L204" s="387"/>
      <c r="M204" s="387"/>
      <c r="N204" s="387"/>
      <c r="O204" s="387"/>
      <c r="P204" s="387"/>
      <c r="Q204" s="387"/>
      <c r="R204" s="388"/>
    </row>
    <row r="205" spans="2:18" x14ac:dyDescent="0.25">
      <c r="B205" s="389"/>
      <c r="C205" s="389"/>
      <c r="D205" s="389"/>
      <c r="E205" s="390"/>
      <c r="F205" s="387"/>
      <c r="G205" s="387"/>
      <c r="H205" s="387"/>
      <c r="I205" s="387"/>
      <c r="J205" s="387"/>
      <c r="K205" s="387"/>
      <c r="L205" s="387"/>
      <c r="M205" s="387"/>
      <c r="N205" s="387"/>
      <c r="O205" s="387"/>
      <c r="P205" s="387"/>
      <c r="Q205" s="387"/>
      <c r="R205" s="388"/>
    </row>
    <row r="206" spans="2:18" x14ac:dyDescent="0.25">
      <c r="B206" s="389"/>
      <c r="C206" s="389"/>
      <c r="D206" s="389"/>
      <c r="E206" s="390"/>
      <c r="F206" s="387"/>
      <c r="G206" s="387"/>
      <c r="H206" s="387"/>
      <c r="I206" s="387"/>
      <c r="J206" s="387"/>
      <c r="K206" s="387"/>
      <c r="L206" s="387"/>
      <c r="M206" s="387"/>
      <c r="N206" s="387"/>
      <c r="O206" s="387"/>
      <c r="P206" s="387"/>
      <c r="Q206" s="387"/>
      <c r="R206" s="388"/>
    </row>
    <row r="207" spans="2:18" x14ac:dyDescent="0.25">
      <c r="B207" s="389"/>
      <c r="C207" s="389"/>
      <c r="D207" s="389"/>
      <c r="E207" s="390"/>
      <c r="F207" s="387"/>
      <c r="G207" s="387"/>
      <c r="H207" s="387"/>
      <c r="I207" s="387"/>
      <c r="J207" s="387"/>
      <c r="K207" s="387"/>
      <c r="L207" s="387"/>
      <c r="M207" s="387"/>
      <c r="N207" s="387"/>
      <c r="O207" s="387"/>
      <c r="P207" s="387"/>
      <c r="Q207" s="387"/>
      <c r="R207" s="388"/>
    </row>
    <row r="208" spans="2:18" x14ac:dyDescent="0.25">
      <c r="B208" s="389"/>
      <c r="C208" s="389"/>
      <c r="D208" s="389"/>
      <c r="E208" s="390"/>
      <c r="F208" s="387"/>
      <c r="G208" s="387"/>
      <c r="H208" s="387"/>
      <c r="I208" s="387"/>
      <c r="J208" s="387"/>
      <c r="K208" s="387"/>
      <c r="L208" s="387"/>
      <c r="M208" s="387"/>
      <c r="N208" s="387"/>
      <c r="O208" s="387"/>
      <c r="P208" s="387"/>
      <c r="Q208" s="387"/>
      <c r="R208" s="388"/>
    </row>
    <row r="209" spans="2:19" x14ac:dyDescent="0.25">
      <c r="B209" s="389"/>
      <c r="C209" s="389"/>
      <c r="D209" s="389"/>
      <c r="E209" s="390"/>
      <c r="F209" s="387"/>
      <c r="G209" s="387"/>
      <c r="H209" s="387"/>
      <c r="I209" s="387"/>
      <c r="J209" s="387"/>
      <c r="K209" s="387"/>
      <c r="L209" s="387"/>
      <c r="M209" s="387"/>
      <c r="N209" s="387"/>
      <c r="O209" s="387"/>
      <c r="P209" s="387"/>
      <c r="Q209" s="387"/>
      <c r="R209" s="388"/>
    </row>
    <row r="210" spans="2:19" x14ac:dyDescent="0.25">
      <c r="B210" s="389"/>
      <c r="C210" s="389"/>
      <c r="D210" s="389"/>
      <c r="E210" s="390"/>
      <c r="F210" s="387"/>
      <c r="G210" s="387"/>
      <c r="H210" s="387"/>
      <c r="I210" s="387"/>
      <c r="J210" s="387"/>
      <c r="K210" s="387"/>
      <c r="L210" s="387"/>
      <c r="M210" s="387"/>
      <c r="N210" s="387"/>
      <c r="O210" s="387"/>
      <c r="P210" s="387"/>
      <c r="Q210" s="387"/>
      <c r="R210" s="388"/>
    </row>
    <row r="211" spans="2:19" x14ac:dyDescent="0.25">
      <c r="B211" s="389"/>
      <c r="C211" s="389"/>
      <c r="D211" s="389"/>
      <c r="E211" s="390"/>
      <c r="F211" s="387"/>
      <c r="G211" s="387"/>
      <c r="H211" s="387"/>
      <c r="I211" s="387"/>
      <c r="J211" s="387"/>
      <c r="K211" s="387"/>
      <c r="L211" s="387"/>
      <c r="M211" s="387"/>
      <c r="N211" s="387"/>
      <c r="O211" s="387"/>
      <c r="P211" s="387"/>
      <c r="Q211" s="387"/>
      <c r="R211" s="388"/>
      <c r="S211" s="388"/>
    </row>
    <row r="212" spans="2:19" x14ac:dyDescent="0.25">
      <c r="B212" s="389"/>
      <c r="C212" s="389"/>
      <c r="D212" s="389"/>
      <c r="E212" s="390"/>
      <c r="F212" s="387"/>
      <c r="G212" s="387"/>
      <c r="H212" s="387"/>
      <c r="I212" s="387"/>
      <c r="J212" s="387"/>
      <c r="K212" s="387"/>
      <c r="L212" s="387"/>
      <c r="M212" s="387"/>
      <c r="N212" s="387"/>
      <c r="O212" s="387"/>
      <c r="P212" s="387"/>
      <c r="Q212" s="387"/>
      <c r="R212" s="388"/>
      <c r="S212" s="388"/>
    </row>
    <row r="213" spans="2:19" x14ac:dyDescent="0.25">
      <c r="B213" s="389"/>
      <c r="C213" s="389"/>
      <c r="D213" s="389"/>
      <c r="E213" s="390"/>
      <c r="F213" s="387"/>
      <c r="G213" s="387"/>
      <c r="H213" s="387"/>
      <c r="I213" s="387"/>
      <c r="J213" s="387"/>
      <c r="K213" s="387"/>
      <c r="L213" s="387"/>
      <c r="M213" s="387"/>
      <c r="N213" s="387"/>
      <c r="O213" s="387"/>
      <c r="P213" s="387"/>
      <c r="Q213" s="387"/>
      <c r="R213" s="388"/>
      <c r="S213" s="388"/>
    </row>
    <row r="214" spans="2:19" x14ac:dyDescent="0.25">
      <c r="B214" s="389"/>
      <c r="C214" s="389"/>
      <c r="D214" s="389"/>
      <c r="E214" s="390"/>
      <c r="F214" s="387"/>
      <c r="G214" s="387"/>
      <c r="H214" s="387"/>
      <c r="I214" s="387"/>
      <c r="J214" s="387"/>
      <c r="K214" s="387"/>
      <c r="L214" s="387"/>
      <c r="M214" s="387"/>
      <c r="N214" s="387"/>
      <c r="O214" s="387"/>
      <c r="P214" s="387"/>
      <c r="Q214" s="387"/>
      <c r="R214" s="388"/>
      <c r="S214" s="388"/>
    </row>
    <row r="215" spans="2:19" ht="12" customHeight="1" x14ac:dyDescent="0.25">
      <c r="B215" s="389"/>
      <c r="C215" s="389"/>
      <c r="D215" s="389"/>
      <c r="E215" s="390"/>
      <c r="F215" s="387"/>
      <c r="G215" s="387"/>
      <c r="H215" s="387"/>
      <c r="I215" s="387"/>
      <c r="J215" s="387"/>
      <c r="K215" s="387"/>
      <c r="L215" s="387"/>
      <c r="M215" s="387"/>
      <c r="N215" s="387"/>
      <c r="O215" s="387"/>
      <c r="P215" s="387"/>
      <c r="Q215" s="387"/>
      <c r="R215" s="388"/>
      <c r="S215" s="388"/>
    </row>
    <row r="216" spans="2:19" x14ac:dyDescent="0.25">
      <c r="B216" s="389"/>
      <c r="C216" s="389"/>
      <c r="D216" s="389"/>
      <c r="E216" s="390"/>
      <c r="F216" s="387"/>
      <c r="G216" s="387"/>
      <c r="H216" s="387"/>
      <c r="I216" s="387"/>
      <c r="J216" s="387"/>
      <c r="K216" s="387"/>
      <c r="L216" s="387"/>
      <c r="M216" s="387"/>
      <c r="N216" s="387"/>
      <c r="O216" s="387"/>
      <c r="P216" s="387"/>
      <c r="Q216" s="387"/>
      <c r="R216" s="388"/>
    </row>
    <row r="225" spans="6:18" x14ac:dyDescent="0.25">
      <c r="F225" s="401"/>
      <c r="G225" s="401"/>
      <c r="H225" s="401"/>
      <c r="I225" s="401"/>
      <c r="J225" s="401"/>
      <c r="K225" s="401"/>
      <c r="L225" s="401"/>
      <c r="M225" s="401"/>
      <c r="N225" s="401"/>
      <c r="O225" s="401"/>
      <c r="P225" s="401"/>
      <c r="Q225" s="401"/>
      <c r="R225" s="401"/>
    </row>
    <row r="226" spans="6:18" x14ac:dyDescent="0.25">
      <c r="F226" s="401"/>
      <c r="G226" s="401"/>
      <c r="H226" s="401"/>
      <c r="I226" s="401"/>
      <c r="J226" s="401"/>
      <c r="K226" s="401"/>
      <c r="L226" s="401"/>
      <c r="M226" s="401"/>
      <c r="N226" s="401"/>
      <c r="O226" s="401"/>
      <c r="P226" s="401"/>
      <c r="Q226" s="401"/>
      <c r="R226" s="401"/>
    </row>
    <row r="227" spans="6:18" x14ac:dyDescent="0.25">
      <c r="F227" s="402"/>
      <c r="G227" s="402"/>
      <c r="H227" s="402"/>
      <c r="I227" s="402"/>
      <c r="J227" s="402"/>
      <c r="K227" s="402"/>
      <c r="L227" s="402"/>
      <c r="M227" s="402"/>
      <c r="N227" s="402"/>
      <c r="O227" s="402"/>
      <c r="P227" s="402"/>
      <c r="Q227" s="402"/>
    </row>
    <row r="228" spans="6:18" x14ac:dyDescent="0.25">
      <c r="F228" s="403"/>
      <c r="G228" s="403"/>
      <c r="H228" s="403"/>
      <c r="I228" s="403"/>
      <c r="J228" s="403"/>
      <c r="K228" s="403"/>
      <c r="L228" s="403"/>
      <c r="M228" s="403"/>
      <c r="N228" s="403"/>
      <c r="O228" s="403"/>
      <c r="P228" s="403"/>
      <c r="Q228" s="403"/>
    </row>
    <row r="229" spans="6:18" x14ac:dyDescent="0.25">
      <c r="F229" s="402"/>
      <c r="G229" s="402"/>
      <c r="H229" s="402"/>
      <c r="I229" s="402"/>
      <c r="J229" s="402"/>
      <c r="K229" s="402"/>
      <c r="L229" s="402"/>
      <c r="M229" s="402"/>
      <c r="N229" s="402"/>
      <c r="O229" s="402"/>
      <c r="P229" s="402"/>
      <c r="Q229" s="402"/>
    </row>
    <row r="231" spans="6:18" x14ac:dyDescent="0.25">
      <c r="F231" s="401"/>
      <c r="G231" s="401"/>
      <c r="H231" s="401"/>
      <c r="I231" s="401"/>
      <c r="J231" s="401"/>
      <c r="K231" s="401"/>
      <c r="L231" s="401"/>
      <c r="M231" s="401"/>
      <c r="N231" s="401"/>
      <c r="O231" s="401"/>
      <c r="P231" s="401"/>
      <c r="Q231" s="401"/>
    </row>
    <row r="232" spans="6:18" x14ac:dyDescent="0.25">
      <c r="F232" s="403"/>
      <c r="G232" s="403"/>
      <c r="H232" s="403"/>
      <c r="I232" s="403"/>
      <c r="J232" s="403"/>
      <c r="K232" s="403"/>
      <c r="L232" s="403"/>
      <c r="M232" s="403"/>
      <c r="N232" s="403"/>
      <c r="O232" s="403"/>
      <c r="P232" s="403"/>
      <c r="Q232" s="403"/>
    </row>
    <row r="233" spans="6:18" x14ac:dyDescent="0.25">
      <c r="F233" s="402"/>
      <c r="G233" s="402"/>
      <c r="H233" s="402"/>
      <c r="I233" s="402"/>
      <c r="J233" s="402"/>
      <c r="K233" s="402"/>
      <c r="L233" s="402"/>
      <c r="M233" s="402"/>
      <c r="N233" s="402"/>
      <c r="O233" s="402"/>
      <c r="P233" s="402"/>
      <c r="Q233" s="402"/>
    </row>
    <row r="235" spans="6:18" x14ac:dyDescent="0.25">
      <c r="F235" s="404"/>
      <c r="G235" s="404"/>
      <c r="H235" s="404"/>
      <c r="I235" s="404"/>
      <c r="J235" s="404"/>
      <c r="K235" s="404"/>
      <c r="L235" s="404"/>
      <c r="M235" s="404"/>
      <c r="N235" s="404"/>
      <c r="O235" s="404"/>
      <c r="P235" s="404"/>
      <c r="Q235" s="404"/>
    </row>
    <row r="237" spans="6:18" x14ac:dyDescent="0.25">
      <c r="F237" s="401"/>
      <c r="G237" s="401"/>
      <c r="H237" s="401"/>
      <c r="I237" s="401"/>
      <c r="J237" s="401"/>
      <c r="K237" s="401"/>
      <c r="L237" s="401"/>
      <c r="M237" s="401"/>
      <c r="N237" s="401"/>
      <c r="O237" s="401"/>
      <c r="P237" s="401"/>
      <c r="Q237" s="401"/>
      <c r="R237" s="402"/>
    </row>
    <row r="238" spans="6:18" x14ac:dyDescent="0.25">
      <c r="F238" s="401"/>
      <c r="G238" s="401"/>
      <c r="H238" s="401"/>
      <c r="I238" s="401"/>
      <c r="J238" s="401"/>
      <c r="K238" s="401"/>
      <c r="L238" s="401"/>
      <c r="M238" s="401"/>
      <c r="N238" s="401"/>
      <c r="O238" s="401"/>
      <c r="P238" s="401"/>
      <c r="Q238" s="401"/>
      <c r="R238" s="401"/>
    </row>
    <row r="239" spans="6:18" x14ac:dyDescent="0.25">
      <c r="F239" s="402"/>
      <c r="G239" s="402"/>
      <c r="H239" s="402"/>
      <c r="I239" s="402"/>
      <c r="J239" s="402"/>
      <c r="K239" s="402"/>
      <c r="L239" s="402"/>
      <c r="M239" s="402"/>
      <c r="N239" s="402"/>
      <c r="O239" s="402"/>
      <c r="P239" s="402"/>
      <c r="Q239" s="402"/>
    </row>
    <row r="240" spans="6:18" x14ac:dyDescent="0.25">
      <c r="F240" s="403"/>
      <c r="G240" s="403"/>
      <c r="H240" s="403"/>
      <c r="I240" s="403"/>
      <c r="J240" s="403"/>
      <c r="K240" s="403"/>
      <c r="L240" s="403"/>
      <c r="M240" s="403"/>
      <c r="N240" s="403"/>
      <c r="O240" s="403"/>
      <c r="P240" s="403"/>
      <c r="Q240" s="403"/>
    </row>
    <row r="241" spans="6:18" x14ac:dyDescent="0.25">
      <c r="F241" s="402"/>
      <c r="G241" s="402"/>
      <c r="H241" s="402"/>
      <c r="I241" s="402"/>
      <c r="J241" s="402"/>
      <c r="K241" s="402"/>
      <c r="L241" s="402"/>
      <c r="M241" s="402"/>
      <c r="N241" s="402"/>
      <c r="O241" s="402"/>
      <c r="P241" s="402"/>
      <c r="Q241" s="402"/>
      <c r="R241" s="402"/>
    </row>
    <row r="243" spans="6:18" x14ac:dyDescent="0.25">
      <c r="F243" s="402"/>
      <c r="G243" s="402"/>
      <c r="H243" s="402"/>
      <c r="I243" s="402"/>
      <c r="J243" s="402"/>
      <c r="K243" s="402"/>
      <c r="L243" s="402"/>
      <c r="M243" s="402"/>
      <c r="N243" s="402"/>
      <c r="O243" s="402"/>
      <c r="P243" s="402"/>
      <c r="Q243" s="402"/>
      <c r="R243" s="402"/>
    </row>
  </sheetData>
  <mergeCells count="3">
    <mergeCell ref="A3:R3"/>
    <mergeCell ref="A2:R2"/>
    <mergeCell ref="A1:R1"/>
  </mergeCells>
  <phoneticPr fontId="0" type="noConversion"/>
  <printOptions horizontalCentered="1"/>
  <pageMargins left="0.5" right="0.25" top="0.5" bottom="0.25" header="0.25" footer="0.5"/>
  <pageSetup scale="68" orientation="landscape" r:id="rId1"/>
  <headerFooter alignWithMargins="0">
    <oddHeader>&amp;RKY PSC Case No. 2016-00162
Attachment B to PSC 2-65</oddHeader>
  </headerFooter>
  <rowBreaks count="1" manualBreakCount="1">
    <brk id="594" max="6553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7"/>
  <dimension ref="A1:R104"/>
  <sheetViews>
    <sheetView zoomScale="69" zoomScaleNormal="69" zoomScaleSheetLayoutView="70" workbookViewId="0">
      <selection activeCell="C18" sqref="C18"/>
    </sheetView>
  </sheetViews>
  <sheetFormatPr defaultColWidth="10" defaultRowHeight="15" x14ac:dyDescent="0.25"/>
  <cols>
    <col min="1" max="1" width="9" style="46" customWidth="1"/>
    <col min="2" max="2" width="52.33203125" style="46" customWidth="1"/>
    <col min="3" max="4" width="23.83203125" style="46" bestFit="1" customWidth="1"/>
    <col min="5" max="14" width="21.83203125" style="46" customWidth="1"/>
    <col min="15" max="15" width="24" style="46" customWidth="1"/>
    <col min="16" max="16" width="22.1640625" style="46" bestFit="1" customWidth="1"/>
    <col min="17" max="17" width="24.83203125" style="46" bestFit="1" customWidth="1"/>
    <col min="18" max="18" width="15.6640625" style="46" customWidth="1"/>
    <col min="19" max="16384" width="10" style="46"/>
  </cols>
  <sheetData>
    <row r="1" spans="1:16" ht="15.6" x14ac:dyDescent="0.3">
      <c r="A1" s="881" t="s">
        <v>36</v>
      </c>
      <c r="B1" s="881"/>
      <c r="C1" s="881"/>
      <c r="D1" s="881"/>
      <c r="E1" s="881"/>
      <c r="F1" s="881"/>
      <c r="G1" s="881"/>
      <c r="H1" s="881"/>
      <c r="I1" s="881"/>
      <c r="J1" s="881"/>
      <c r="K1" s="881"/>
      <c r="L1" s="881"/>
      <c r="M1" s="881"/>
      <c r="N1" s="881"/>
      <c r="O1" s="881"/>
    </row>
    <row r="2" spans="1:16" ht="15.6" x14ac:dyDescent="0.3">
      <c r="A2" s="881" t="str">
        <f>'Sch M 2.1'!A2:J2</f>
        <v>Case No. 2016-00162</v>
      </c>
      <c r="B2" s="881"/>
      <c r="C2" s="881"/>
      <c r="D2" s="881"/>
      <c r="E2" s="881"/>
      <c r="F2" s="881"/>
      <c r="G2" s="881"/>
      <c r="H2" s="881"/>
      <c r="I2" s="881"/>
      <c r="J2" s="881"/>
      <c r="K2" s="881"/>
      <c r="L2" s="881"/>
      <c r="M2" s="881"/>
      <c r="N2" s="881"/>
      <c r="O2" s="881"/>
    </row>
    <row r="3" spans="1:16" ht="15.6" x14ac:dyDescent="0.3">
      <c r="A3" s="881" t="s">
        <v>201</v>
      </c>
      <c r="B3" s="881"/>
      <c r="C3" s="881"/>
      <c r="D3" s="881"/>
      <c r="E3" s="881"/>
      <c r="F3" s="881"/>
      <c r="G3" s="881"/>
      <c r="H3" s="881"/>
      <c r="I3" s="881"/>
      <c r="J3" s="881"/>
      <c r="K3" s="881"/>
      <c r="L3" s="881"/>
      <c r="M3" s="881"/>
      <c r="N3" s="881"/>
      <c r="O3" s="881"/>
    </row>
    <row r="4" spans="1:16" ht="15.6" x14ac:dyDescent="0.3">
      <c r="A4" s="881" t="s">
        <v>416</v>
      </c>
      <c r="B4" s="881"/>
      <c r="C4" s="881"/>
      <c r="D4" s="881"/>
      <c r="E4" s="881"/>
      <c r="F4" s="881"/>
      <c r="G4" s="881"/>
      <c r="H4" s="881"/>
      <c r="I4" s="881"/>
      <c r="J4" s="881"/>
      <c r="K4" s="881"/>
      <c r="L4" s="881"/>
      <c r="M4" s="881"/>
      <c r="N4" s="881"/>
      <c r="O4" s="881"/>
    </row>
    <row r="5" spans="1:16" ht="15.6" x14ac:dyDescent="0.3">
      <c r="A5" s="884" t="s">
        <v>39</v>
      </c>
      <c r="B5" s="884"/>
      <c r="C5" s="884"/>
      <c r="D5" s="884"/>
      <c r="E5" s="884"/>
      <c r="F5" s="884"/>
      <c r="G5" s="884"/>
      <c r="H5" s="884"/>
      <c r="I5" s="884"/>
      <c r="J5" s="884"/>
      <c r="K5" s="884"/>
      <c r="L5" s="884"/>
      <c r="M5" s="884"/>
      <c r="N5" s="884"/>
      <c r="O5" s="884"/>
    </row>
    <row r="6" spans="1:16" ht="15.6" x14ac:dyDescent="0.3">
      <c r="A6" s="49" t="s">
        <v>332</v>
      </c>
    </row>
    <row r="7" spans="1:16" ht="15.6" x14ac:dyDescent="0.3">
      <c r="A7" s="49" t="s">
        <v>223</v>
      </c>
      <c r="O7" s="51" t="s">
        <v>37</v>
      </c>
    </row>
    <row r="8" spans="1:16" ht="15.6" x14ac:dyDescent="0.3">
      <c r="A8" s="52" t="s">
        <v>63</v>
      </c>
      <c r="O8" s="51" t="s">
        <v>334</v>
      </c>
    </row>
    <row r="9" spans="1:16" ht="15.6" x14ac:dyDescent="0.3">
      <c r="A9" s="210" t="s">
        <v>303</v>
      </c>
      <c r="O9" s="309" t="s">
        <v>432</v>
      </c>
    </row>
    <row r="10" spans="1:16" ht="15.6" x14ac:dyDescent="0.3">
      <c r="A10" s="52"/>
      <c r="O10" s="51"/>
    </row>
    <row r="11" spans="1:16" ht="15.6" x14ac:dyDescent="0.3">
      <c r="A11" s="883" t="s">
        <v>194</v>
      </c>
      <c r="B11" s="883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53"/>
    </row>
    <row r="12" spans="1:16" ht="15.6" x14ac:dyDescent="0.3">
      <c r="A12" s="52"/>
      <c r="B12" s="53"/>
      <c r="C12" s="53"/>
      <c r="D12" s="52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</row>
    <row r="13" spans="1:16" ht="15.6" x14ac:dyDescent="0.3">
      <c r="A13" s="47" t="s">
        <v>1</v>
      </c>
      <c r="B13" s="99"/>
      <c r="C13" s="47"/>
      <c r="D13" s="47"/>
    </row>
    <row r="14" spans="1:16" ht="15.6" x14ac:dyDescent="0.3">
      <c r="A14" s="57" t="s">
        <v>3</v>
      </c>
      <c r="B14" s="57" t="s">
        <v>4</v>
      </c>
      <c r="C14" s="161" t="str">
        <f>B!$D$11</f>
        <v>Jan-17</v>
      </c>
      <c r="D14" s="161" t="str">
        <f>B!$E$11</f>
        <v>Feb-17</v>
      </c>
      <c r="E14" s="161" t="str">
        <f>B!$F$11</f>
        <v>Mar-17</v>
      </c>
      <c r="F14" s="161" t="str">
        <f>B!$G$11</f>
        <v>Apr-17</v>
      </c>
      <c r="G14" s="161" t="str">
        <f>B!$H$11</f>
        <v>May-17</v>
      </c>
      <c r="H14" s="161" t="str">
        <f>B!$I$11</f>
        <v>Jun-17</v>
      </c>
      <c r="I14" s="161" t="str">
        <f>B!$J$11</f>
        <v>Jul-17</v>
      </c>
      <c r="J14" s="161" t="str">
        <f>B!$K$11</f>
        <v>Aug-17</v>
      </c>
      <c r="K14" s="161" t="str">
        <f>B!$L$11</f>
        <v>Sep-17</v>
      </c>
      <c r="L14" s="161" t="str">
        <f>B!$M$11</f>
        <v>Oct-17</v>
      </c>
      <c r="M14" s="161" t="str">
        <f>B!$N$11</f>
        <v>Nov-17</v>
      </c>
      <c r="N14" s="161" t="str">
        <f>B!$O$11</f>
        <v>Dec-17</v>
      </c>
      <c r="O14" s="58" t="s">
        <v>9</v>
      </c>
    </row>
    <row r="15" spans="1:16" ht="15.6" x14ac:dyDescent="0.3">
      <c r="A15" s="47"/>
      <c r="B15" s="4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spans="1:16" ht="15.6" x14ac:dyDescent="0.3">
      <c r="A16" s="76">
        <v>1</v>
      </c>
      <c r="B16" s="158" t="s">
        <v>411</v>
      </c>
      <c r="C16" s="109"/>
      <c r="D16" s="109"/>
      <c r="E16" s="109"/>
      <c r="F16" s="109"/>
      <c r="G16" s="109"/>
      <c r="H16" s="77"/>
      <c r="I16" s="77"/>
      <c r="J16" s="77"/>
      <c r="K16" s="77"/>
      <c r="L16" s="77"/>
      <c r="M16" s="77"/>
      <c r="N16" s="77"/>
      <c r="O16" s="77"/>
    </row>
    <row r="17" spans="1:18" ht="15.6" x14ac:dyDescent="0.3">
      <c r="A17" s="76"/>
      <c r="B17" s="158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spans="1:18" x14ac:dyDescent="0.25">
      <c r="A18" s="76">
        <f>A16+1</f>
        <v>2</v>
      </c>
      <c r="B18" s="166" t="s">
        <v>306</v>
      </c>
      <c r="C18" s="805">
        <f>'Sch M 2.2'!E70+'Sch M 2.2'!E84+'Sch M 2.2'!E91+'Sch M 2.2'!E98+'Sch M 2.2'!E105+'Sch M 2.2'!E134+'Sch M 2.2'!E148+'Sch M 2.2'!E155</f>
        <v>7846190.4999999991</v>
      </c>
      <c r="D18" s="178">
        <f>'Sch M 2.2'!F70+'Sch M 2.2'!F84+'Sch M 2.2'!F91+'Sch M 2.2'!F98+'Sch M 2.2'!F105+'Sch M 2.2'!F134+'Sch M 2.2'!F148+'Sch M 2.2'!F155</f>
        <v>7663359.7999999998</v>
      </c>
      <c r="E18" s="178">
        <f>'Sch M 2.2'!G70+'Sch M 2.2'!G84+'Sch M 2.2'!G91+'Sch M 2.2'!G98+'Sch M 2.2'!G105+'Sch M 2.2'!G134+'Sch M 2.2'!G148+'Sch M 2.2'!G155</f>
        <v>6195223.9099999992</v>
      </c>
      <c r="F18" s="178">
        <f>'Sch M 2.2'!H70+'Sch M 2.2'!H84+'Sch M 2.2'!H91+'Sch M 2.2'!H98+'Sch M 2.2'!H105+'Sch M 2.2'!H134+'Sch M 2.2'!H148+'Sch M 2.2'!H155</f>
        <v>4301603.3199999994</v>
      </c>
      <c r="G18" s="178">
        <f>'Sch M 2.2'!I70+'Sch M 2.2'!I84+'Sch M 2.2'!I91+'Sch M 2.2'!I98+'Sch M 2.2'!I105+'Sch M 2.2'!I134+'Sch M 2.2'!I148+'Sch M 2.2'!I155</f>
        <v>2959875.2399999998</v>
      </c>
      <c r="H18" s="178">
        <f>'Sch M 2.2'!J70+'Sch M 2.2'!J84+'Sch M 2.2'!J91+'Sch M 2.2'!J98+'Sch M 2.2'!J105+'Sch M 2.2'!J134+'Sch M 2.2'!J148+'Sch M 2.2'!J155</f>
        <v>2324247.2000000002</v>
      </c>
      <c r="I18" s="178">
        <f>'Sch M 2.2'!K70+'Sch M 2.2'!K84+'Sch M 2.2'!K91+'Sch M 2.2'!K98+'Sch M 2.2'!K105+'Sch M 2.2'!K134+'Sch M 2.2'!K148+'Sch M 2.2'!K155</f>
        <v>2149642.4700000002</v>
      </c>
      <c r="J18" s="178">
        <f>'Sch M 2.2'!L70+'Sch M 2.2'!L84+'Sch M 2.2'!L91+'Sch M 2.2'!L98+'Sch M 2.2'!L105+'Sch M 2.2'!L134+'Sch M 2.2'!L148+'Sch M 2.2'!L155</f>
        <v>2142831.4700000002</v>
      </c>
      <c r="K18" s="178">
        <f>'Sch M 2.2'!M70+'Sch M 2.2'!M84+'Sch M 2.2'!M91+'Sch M 2.2'!M98+'Sch M 2.2'!M105+'Sch M 2.2'!M134+'Sch M 2.2'!M148+'Sch M 2.2'!M155</f>
        <v>2144969.4600000004</v>
      </c>
      <c r="L18" s="178">
        <f>'Sch M 2.2'!N70+'Sch M 2.2'!N84+'Sch M 2.2'!N91+'Sch M 2.2'!N98+'Sch M 2.2'!N105+'Sch M 2.2'!N134+'Sch M 2.2'!N148+'Sch M 2.2'!N155</f>
        <v>2385375.4</v>
      </c>
      <c r="M18" s="178">
        <f>'Sch M 2.2'!O70+'Sch M 2.2'!O84+'Sch M 2.2'!O91+'Sch M 2.2'!O98+'Sch M 2.2'!O105+'Sch M 2.2'!O134+'Sch M 2.2'!O148+'Sch M 2.2'!O155</f>
        <v>3618616.0900000008</v>
      </c>
      <c r="N18" s="178">
        <f>'Sch M 2.2'!P70+'Sch M 2.2'!P84+'Sch M 2.2'!P91+'Sch M 2.2'!P98+'Sch M 2.2'!P105+'Sch M 2.2'!P134+'Sch M 2.2'!P148+'Sch M 2.2'!P155</f>
        <v>5901645.4300000006</v>
      </c>
      <c r="O18" s="179">
        <f>SUM(C18:N18)</f>
        <v>49633580.289999999</v>
      </c>
    </row>
    <row r="19" spans="1:18" x14ac:dyDescent="0.25">
      <c r="A19" s="76">
        <f>A18+1</f>
        <v>3</v>
      </c>
      <c r="B19" s="158" t="s">
        <v>307</v>
      </c>
      <c r="C19" s="180">
        <f>'Sch M 2.2'!E77+'Sch M 2.2'!E141+'Sch M 2.2'!E162</f>
        <v>3217802.55</v>
      </c>
      <c r="D19" s="180">
        <f>'Sch M 2.2'!F77+'Sch M 2.2'!F141+'Sch M 2.2'!F162</f>
        <v>3205817.64</v>
      </c>
      <c r="E19" s="180">
        <f>'Sch M 2.2'!G77+'Sch M 2.2'!G141+'Sch M 2.2'!G162</f>
        <v>2387480.5</v>
      </c>
      <c r="F19" s="180">
        <f>'Sch M 2.2'!H77+'Sch M 2.2'!H141+'Sch M 2.2'!H162</f>
        <v>1633593.31</v>
      </c>
      <c r="G19" s="180">
        <f>'Sch M 2.2'!I77+'Sch M 2.2'!I141+'Sch M 2.2'!I162</f>
        <v>1023502.2000000001</v>
      </c>
      <c r="H19" s="180">
        <f>'Sch M 2.2'!J77+'Sch M 2.2'!J141+'Sch M 2.2'!J162</f>
        <v>791304.52999999991</v>
      </c>
      <c r="I19" s="180">
        <f>'Sch M 2.2'!K77+'Sch M 2.2'!K141+'Sch M 2.2'!K162</f>
        <v>690861.47000000009</v>
      </c>
      <c r="J19" s="180">
        <f>'Sch M 2.2'!L77+'Sch M 2.2'!L141+'Sch M 2.2'!L162</f>
        <v>673449.84</v>
      </c>
      <c r="K19" s="180">
        <f>'Sch M 2.2'!M77+'Sch M 2.2'!M141+'Sch M 2.2'!M162</f>
        <v>668132.54999999993</v>
      </c>
      <c r="L19" s="180">
        <f>'Sch M 2.2'!N77+'Sch M 2.2'!N141+'Sch M 2.2'!N162</f>
        <v>777295.27000000014</v>
      </c>
      <c r="M19" s="180">
        <f>'Sch M 2.2'!O77+'Sch M 2.2'!O141+'Sch M 2.2'!O162</f>
        <v>1180863.24</v>
      </c>
      <c r="N19" s="180">
        <f>'Sch M 2.2'!P77+'Sch M 2.2'!P141+'Sch M 2.2'!P162</f>
        <v>2239232.23</v>
      </c>
      <c r="O19" s="179">
        <f>SUM(C19:N19)</f>
        <v>18489335.329999998</v>
      </c>
    </row>
    <row r="20" spans="1:18" x14ac:dyDescent="0.25">
      <c r="A20" s="76">
        <f>A19+1</f>
        <v>4</v>
      </c>
      <c r="B20" s="158" t="s">
        <v>308</v>
      </c>
      <c r="C20" s="185">
        <f>'Sch M 2.2'!E190+'Sch M 2.2'!E197</f>
        <v>129149.99</v>
      </c>
      <c r="D20" s="185">
        <f>'Sch M 2.2'!F190+'Sch M 2.2'!F197</f>
        <v>125132.98999999999</v>
      </c>
      <c r="E20" s="185">
        <f>'Sch M 2.2'!G190+'Sch M 2.2'!G197</f>
        <v>121088.68</v>
      </c>
      <c r="F20" s="185">
        <f>'Sch M 2.2'!H190+'Sch M 2.2'!H197</f>
        <v>116752.69000000002</v>
      </c>
      <c r="G20" s="185">
        <f>'Sch M 2.2'!I190+'Sch M 2.2'!I197</f>
        <v>112364.84999999999</v>
      </c>
      <c r="H20" s="185">
        <f>'Sch M 2.2'!J190+'Sch M 2.2'!J197</f>
        <v>108141.06</v>
      </c>
      <c r="I20" s="185">
        <f>'Sch M 2.2'!K190+'Sch M 2.2'!K197</f>
        <v>108140.14</v>
      </c>
      <c r="J20" s="185">
        <f>'Sch M 2.2'!L190+'Sch M 2.2'!L197</f>
        <v>112164.59</v>
      </c>
      <c r="K20" s="185">
        <f>'Sch M 2.2'!M190+'Sch M 2.2'!M197</f>
        <v>112114.09</v>
      </c>
      <c r="L20" s="185">
        <f>'Sch M 2.2'!N190+'Sch M 2.2'!N197</f>
        <v>120237.79999999999</v>
      </c>
      <c r="M20" s="185">
        <f>'Sch M 2.2'!O190+'Sch M 2.2'!O197</f>
        <v>120706.85999999999</v>
      </c>
      <c r="N20" s="185">
        <f>'Sch M 2.2'!P190+'Sch M 2.2'!P197</f>
        <v>121305.35</v>
      </c>
      <c r="O20" s="179">
        <f>SUM(C20:N20)</f>
        <v>1407299.0899999999</v>
      </c>
    </row>
    <row r="21" spans="1:18" x14ac:dyDescent="0.25">
      <c r="A21" s="76">
        <f>A20+1</f>
        <v>5</v>
      </c>
      <c r="B21" s="158" t="s">
        <v>309</v>
      </c>
      <c r="C21" s="65">
        <f>'Sch M 2.2'!E204</f>
        <v>10643.800000000001</v>
      </c>
      <c r="D21" s="65">
        <f>'Sch M 2.2'!F204</f>
        <v>8122.05</v>
      </c>
      <c r="E21" s="65">
        <f>'Sch M 2.2'!G204</f>
        <v>4447.7800000000007</v>
      </c>
      <c r="F21" s="65">
        <f>'Sch M 2.2'!H204</f>
        <v>3058.7599999999998</v>
      </c>
      <c r="G21" s="65">
        <f>'Sch M 2.2'!I204</f>
        <v>2211.17</v>
      </c>
      <c r="H21" s="65">
        <f>'Sch M 2.2'!J204</f>
        <v>1780.99</v>
      </c>
      <c r="I21" s="65">
        <f>'Sch M 2.2'!K204</f>
        <v>1852.7500000000002</v>
      </c>
      <c r="J21" s="65">
        <f>'Sch M 2.2'!L204</f>
        <v>1704.6900000000003</v>
      </c>
      <c r="K21" s="65">
        <f>'Sch M 2.2'!M204</f>
        <v>1705.6100000000001</v>
      </c>
      <c r="L21" s="65">
        <f>'Sch M 2.2'!N204</f>
        <v>3251.8</v>
      </c>
      <c r="M21" s="65">
        <f>'Sch M 2.2'!O204</f>
        <v>4191.49</v>
      </c>
      <c r="N21" s="65">
        <f>'Sch M 2.2'!P204</f>
        <v>4740.2300000000005</v>
      </c>
      <c r="O21" s="65">
        <f>SUM(C21:N21)</f>
        <v>47711.12000000001</v>
      </c>
      <c r="P21" s="216">
        <f>O22+O24-O28</f>
        <v>69909037.960000008</v>
      </c>
    </row>
    <row r="22" spans="1:18" x14ac:dyDescent="0.25">
      <c r="A22" s="76">
        <f>A21+1</f>
        <v>6</v>
      </c>
      <c r="B22" s="158" t="s">
        <v>310</v>
      </c>
      <c r="C22" s="50">
        <f t="shared" ref="C22:O22" si="0">SUM(C18:C21)</f>
        <v>11203786.84</v>
      </c>
      <c r="D22" s="50">
        <f t="shared" si="0"/>
        <v>11002432.48</v>
      </c>
      <c r="E22" s="50">
        <f t="shared" si="0"/>
        <v>8708240.8699999992</v>
      </c>
      <c r="F22" s="50">
        <f t="shared" si="0"/>
        <v>6055008.0799999991</v>
      </c>
      <c r="G22" s="50">
        <f t="shared" si="0"/>
        <v>4097953.46</v>
      </c>
      <c r="H22" s="50">
        <f t="shared" si="0"/>
        <v>3225473.7800000003</v>
      </c>
      <c r="I22" s="50">
        <f t="shared" si="0"/>
        <v>2950496.8300000005</v>
      </c>
      <c r="J22" s="50">
        <f t="shared" si="0"/>
        <v>2930150.59</v>
      </c>
      <c r="K22" s="50">
        <f t="shared" si="0"/>
        <v>2926921.71</v>
      </c>
      <c r="L22" s="50">
        <f t="shared" si="0"/>
        <v>3286160.2699999996</v>
      </c>
      <c r="M22" s="50">
        <f t="shared" si="0"/>
        <v>4924377.6800000016</v>
      </c>
      <c r="N22" s="50">
        <f>SUM(N18:N21)</f>
        <v>8266923.2400000002</v>
      </c>
      <c r="O22" s="183">
        <f t="shared" si="0"/>
        <v>69577925.830000013</v>
      </c>
    </row>
    <row r="23" spans="1:18" x14ac:dyDescent="0.25">
      <c r="A23" s="76"/>
      <c r="C23" s="184"/>
      <c r="D23" s="184"/>
      <c r="E23" s="184"/>
      <c r="F23" s="184"/>
      <c r="O23" s="64"/>
    </row>
    <row r="24" spans="1:18" x14ac:dyDescent="0.25">
      <c r="A24" s="76">
        <f>A22+1</f>
        <v>7</v>
      </c>
      <c r="B24" s="158" t="s">
        <v>311</v>
      </c>
      <c r="C24" s="185">
        <f>'Sch M 2.2'!E232+'Sch M 2.2'!E239+'Sch M 2.2'!E246+'Sch M 2.2'!E253+'Sch M 2.2'!E260+'Sch M 2.2'!E267+'Sch M 2.2'!E294+'Sch M 2.2'!E301+'Sch M 2.2'!E308+'Sch M 2.2'!E315+'Sch M 2.2'!E322+'Sch M 2.2'!E329+'Sch M 2.2'!E356+'Sch M 2.2'!E363</f>
        <v>2814022.9699999997</v>
      </c>
      <c r="D24" s="185">
        <f>'Sch M 2.2'!F232+'Sch M 2.2'!F239+'Sch M 2.2'!F246+'Sch M 2.2'!F253+'Sch M 2.2'!F260+'Sch M 2.2'!F267+'Sch M 2.2'!F294+'Sch M 2.2'!F301+'Sch M 2.2'!F308+'Sch M 2.2'!F315+'Sch M 2.2'!F322+'Sch M 2.2'!F329+'Sch M 2.2'!F356+'Sch M 2.2'!F363</f>
        <v>2709195.9899999998</v>
      </c>
      <c r="E24" s="185">
        <f>'Sch M 2.2'!G232+'Sch M 2.2'!G239+'Sch M 2.2'!G246+'Sch M 2.2'!G253+'Sch M 2.2'!G260+'Sch M 2.2'!G267+'Sch M 2.2'!G294+'Sch M 2.2'!G301+'Sch M 2.2'!G308+'Sch M 2.2'!G315+'Sch M 2.2'!G322+'Sch M 2.2'!G329+'Sch M 2.2'!G356+'Sch M 2.2'!G363</f>
        <v>2332595.14</v>
      </c>
      <c r="F24" s="185">
        <f>'Sch M 2.2'!H232+'Sch M 2.2'!H239+'Sch M 2.2'!H246+'Sch M 2.2'!H253+'Sch M 2.2'!H260+'Sch M 2.2'!H267+'Sch M 2.2'!H294+'Sch M 2.2'!H301+'Sch M 2.2'!H308+'Sch M 2.2'!H315+'Sch M 2.2'!H322+'Sch M 2.2'!H329+'Sch M 2.2'!H356+'Sch M 2.2'!H363</f>
        <v>1825719.6800000002</v>
      </c>
      <c r="G24" s="185">
        <f>'Sch M 2.2'!I232+'Sch M 2.2'!I239+'Sch M 2.2'!I246+'Sch M 2.2'!I253+'Sch M 2.2'!I260+'Sch M 2.2'!I267+'Sch M 2.2'!I294+'Sch M 2.2'!I301+'Sch M 2.2'!I308+'Sch M 2.2'!I315+'Sch M 2.2'!I322+'Sch M 2.2'!I329+'Sch M 2.2'!I356+'Sch M 2.2'!I363</f>
        <v>1478769.84</v>
      </c>
      <c r="H24" s="185">
        <f>'Sch M 2.2'!J232+'Sch M 2.2'!J239+'Sch M 2.2'!J246+'Sch M 2.2'!J253+'Sch M 2.2'!J260+'Sch M 2.2'!J267+'Sch M 2.2'!J294+'Sch M 2.2'!J301+'Sch M 2.2'!J308+'Sch M 2.2'!J315+'Sch M 2.2'!J322+'Sch M 2.2'!J329+'Sch M 2.2'!J356+'Sch M 2.2'!J363</f>
        <v>1307703.1000000001</v>
      </c>
      <c r="I24" s="185">
        <f>'Sch M 2.2'!K232+'Sch M 2.2'!K239+'Sch M 2.2'!K246+'Sch M 2.2'!K253+'Sch M 2.2'!K260+'Sch M 2.2'!K267+'Sch M 2.2'!K294+'Sch M 2.2'!K301+'Sch M 2.2'!K308+'Sch M 2.2'!K315+'Sch M 2.2'!K322+'Sch M 2.2'!K329+'Sch M 2.2'!K356+'Sch M 2.2'!K363</f>
        <v>1250556.7400000002</v>
      </c>
      <c r="J24" s="185">
        <f>'Sch M 2.2'!L232+'Sch M 2.2'!L239+'Sch M 2.2'!L246+'Sch M 2.2'!L253+'Sch M 2.2'!L260+'Sch M 2.2'!L267+'Sch M 2.2'!L294+'Sch M 2.2'!L301+'Sch M 2.2'!L308+'Sch M 2.2'!L315+'Sch M 2.2'!L322+'Sch M 2.2'!L329+'Sch M 2.2'!L356+'Sch M 2.2'!L363</f>
        <v>1259109.2899999998</v>
      </c>
      <c r="K24" s="185">
        <f>'Sch M 2.2'!M232+'Sch M 2.2'!M239+'Sch M 2.2'!M246+'Sch M 2.2'!M253+'Sch M 2.2'!M260+'Sch M 2.2'!M267+'Sch M 2.2'!M294+'Sch M 2.2'!M301+'Sch M 2.2'!M308+'Sch M 2.2'!M315+'Sch M 2.2'!M322+'Sch M 2.2'!M329+'Sch M 2.2'!M356+'Sch M 2.2'!M363</f>
        <v>1292094.2799999998</v>
      </c>
      <c r="L24" s="185">
        <f>'Sch M 2.2'!N232+'Sch M 2.2'!N239+'Sch M 2.2'!N246+'Sch M 2.2'!N253+'Sch M 2.2'!N260+'Sch M 2.2'!N267+'Sch M 2.2'!N294+'Sch M 2.2'!N301+'Sch M 2.2'!N308+'Sch M 2.2'!N315+'Sch M 2.2'!N322+'Sch M 2.2'!N329+'Sch M 2.2'!N356+'Sch M 2.2'!N363</f>
        <v>1426831.0699999998</v>
      </c>
      <c r="M24" s="185">
        <f>'Sch M 2.2'!O232+'Sch M 2.2'!O239+'Sch M 2.2'!O246+'Sch M 2.2'!O253+'Sch M 2.2'!O260+'Sch M 2.2'!O267+'Sch M 2.2'!O294+'Sch M 2.2'!O301+'Sch M 2.2'!O308+'Sch M 2.2'!O315+'Sch M 2.2'!O322+'Sch M 2.2'!O329+'Sch M 2.2'!O356+'Sch M 2.2'!O363</f>
        <v>1766736.0699999998</v>
      </c>
      <c r="N24" s="185">
        <f>'Sch M 2.2'!P232+'Sch M 2.2'!P239+'Sch M 2.2'!P246+'Sch M 2.2'!P253+'Sch M 2.2'!P260+'Sch M 2.2'!P267+'Sch M 2.2'!P294+'Sch M 2.2'!P301+'Sch M 2.2'!P308+'Sch M 2.2'!P315+'Sch M 2.2'!P322+'Sch M 2.2'!P329+'Sch M 2.2'!P356+'Sch M 2.2'!P363</f>
        <v>2343728.0700000008</v>
      </c>
      <c r="O24" s="181">
        <f>SUM(C24:N24)</f>
        <v>21807062.239999998</v>
      </c>
    </row>
    <row r="25" spans="1:18" x14ac:dyDescent="0.25">
      <c r="A25" s="76">
        <f>A24+1</f>
        <v>8</v>
      </c>
      <c r="B25" s="158" t="s">
        <v>312</v>
      </c>
      <c r="C25" s="65">
        <f>'Sch M 2.2'!E375</f>
        <v>136000</v>
      </c>
      <c r="D25" s="65">
        <f>'Sch M 2.2'!F375</f>
        <v>152000</v>
      </c>
      <c r="E25" s="65">
        <f>'Sch M 2.2'!G375</f>
        <v>156000</v>
      </c>
      <c r="F25" s="65">
        <f>'Sch M 2.2'!H375</f>
        <v>178000</v>
      </c>
      <c r="G25" s="65">
        <f>'Sch M 2.2'!I375</f>
        <v>80000</v>
      </c>
      <c r="H25" s="65">
        <f>'Sch M 2.2'!J375</f>
        <v>61000</v>
      </c>
      <c r="I25" s="65">
        <f>'Sch M 2.2'!K375</f>
        <v>51000</v>
      </c>
      <c r="J25" s="65">
        <f>'Sch M 2.2'!L375</f>
        <v>48000</v>
      </c>
      <c r="K25" s="65">
        <f>'Sch M 2.2'!M375</f>
        <v>53000</v>
      </c>
      <c r="L25" s="65">
        <f>'Sch M 2.2'!N375</f>
        <v>54000</v>
      </c>
      <c r="M25" s="65">
        <f>'Sch M 2.2'!O375</f>
        <v>69000</v>
      </c>
      <c r="N25" s="65">
        <f>'Sch M 2.2'!P375</f>
        <v>162000</v>
      </c>
      <c r="O25" s="405">
        <f>SUM(C25:N25)</f>
        <v>1200000</v>
      </c>
    </row>
    <row r="26" spans="1:18" x14ac:dyDescent="0.25">
      <c r="A26" s="76"/>
      <c r="O26" s="186"/>
      <c r="R26" s="116"/>
    </row>
    <row r="27" spans="1:18" x14ac:dyDescent="0.25">
      <c r="A27" s="76">
        <f>A25+1</f>
        <v>9</v>
      </c>
      <c r="B27" s="158" t="s">
        <v>313</v>
      </c>
      <c r="C27" s="50">
        <f t="shared" ref="C27:M27" si="1">C22+C24+C25</f>
        <v>14153809.809999999</v>
      </c>
      <c r="D27" s="50">
        <f t="shared" si="1"/>
        <v>13863628.470000001</v>
      </c>
      <c r="E27" s="50">
        <f t="shared" si="1"/>
        <v>11196836.01</v>
      </c>
      <c r="F27" s="50">
        <f t="shared" si="1"/>
        <v>8058727.7599999998</v>
      </c>
      <c r="G27" s="50">
        <f t="shared" si="1"/>
        <v>5656723.2999999998</v>
      </c>
      <c r="H27" s="50">
        <f t="shared" si="1"/>
        <v>4594176.8800000008</v>
      </c>
      <c r="I27" s="50">
        <f t="shared" si="1"/>
        <v>4252053.57</v>
      </c>
      <c r="J27" s="50">
        <f t="shared" si="1"/>
        <v>4237259.88</v>
      </c>
      <c r="K27" s="50">
        <f t="shared" si="1"/>
        <v>4272015.99</v>
      </c>
      <c r="L27" s="50">
        <f t="shared" si="1"/>
        <v>4766991.34</v>
      </c>
      <c r="M27" s="50">
        <f t="shared" si="1"/>
        <v>6760113.7500000019</v>
      </c>
      <c r="N27" s="50">
        <f>N22+N24+N25</f>
        <v>10772651.310000001</v>
      </c>
      <c r="O27" s="181">
        <f>SUM(C27:N27)</f>
        <v>92584988.070000008</v>
      </c>
      <c r="R27" s="116"/>
    </row>
    <row r="28" spans="1:18" ht="16.8" x14ac:dyDescent="0.4">
      <c r="A28" s="76">
        <f>A27+1</f>
        <v>10</v>
      </c>
      <c r="B28" s="158" t="s">
        <v>151</v>
      </c>
      <c r="C28" s="408">
        <f>'Sch M 2.2'!E69+'Sch M 2.2'!E76+'Sch M 2.2'!E83+'Sch M 2.2'!E90+'Sch M 2.2'!E97+'Sch M 2.2'!E104+'Sch M 2.2'!E133+'Sch M 2.2'!E140+'Sch M 2.2'!E147+'Sch M 2.2'!E154+'Sch M 2.2'!E161+'Sch M 2.2'!E189+'Sch M 2.2'!E196+'Sch M 2.2'!E203</f>
        <v>4483477.790000001</v>
      </c>
      <c r="D28" s="408">
        <f>'Sch M 2.2'!F69+'Sch M 2.2'!F76+'Sch M 2.2'!F83+'Sch M 2.2'!F90+'Sch M 2.2'!F97+'Sch M 2.2'!F104+'Sch M 2.2'!F133+'Sch M 2.2'!F140+'Sch M 2.2'!F147+'Sch M 2.2'!F154+'Sch M 2.2'!F161+'Sch M 2.2'!F189+'Sch M 2.2'!F196+'Sch M 2.2'!F203</f>
        <v>4376758.3900000006</v>
      </c>
      <c r="E28" s="408">
        <f>'Sch M 2.2'!G69+'Sch M 2.2'!G76+'Sch M 2.2'!G83+'Sch M 2.2'!G90+'Sch M 2.2'!G97+'Sch M 2.2'!G104+'Sch M 2.2'!G133+'Sch M 2.2'!G140+'Sch M 2.2'!G147+'Sch M 2.2'!G154+'Sch M 2.2'!G161+'Sch M 2.2'!G189+'Sch M 2.2'!G196+'Sch M 2.2'!G203</f>
        <v>3220650.43</v>
      </c>
      <c r="F28" s="408">
        <f>'Sch M 2.2'!H69+'Sch M 2.2'!H76+'Sch M 2.2'!H83+'Sch M 2.2'!H90+'Sch M 2.2'!H97+'Sch M 2.2'!H104+'Sch M 2.2'!H133+'Sch M 2.2'!H140+'Sch M 2.2'!H147+'Sch M 2.2'!H154+'Sch M 2.2'!H161+'Sch M 2.2'!H189+'Sch M 2.2'!H196+'Sch M 2.2'!H203</f>
        <v>1901250.88</v>
      </c>
      <c r="G28" s="408">
        <f>'Sch M 2.2'!I69+'Sch M 2.2'!I76+'Sch M 2.2'!I83+'Sch M 2.2'!I90+'Sch M 2.2'!I97+'Sch M 2.2'!I104+'Sch M 2.2'!I133+'Sch M 2.2'!I140+'Sch M 2.2'!I147+'Sch M 2.2'!I154+'Sch M 2.2'!I161+'Sch M 2.2'!I189+'Sch M 2.2'!I196+'Sch M 2.2'!I203</f>
        <v>935708.05000000016</v>
      </c>
      <c r="H28" s="408">
        <f>'Sch M 2.2'!J69+'Sch M 2.2'!J76+'Sch M 2.2'!J83+'Sch M 2.2'!J90+'Sch M 2.2'!J97+'Sch M 2.2'!J104+'Sch M 2.2'!J133+'Sch M 2.2'!J140+'Sch M 2.2'!J147+'Sch M 2.2'!J154+'Sch M 2.2'!J161+'Sch M 2.2'!J189+'Sch M 2.2'!J196+'Sch M 2.2'!J203</f>
        <v>513952.18000000005</v>
      </c>
      <c r="I28" s="408">
        <f>'Sch M 2.2'!K69+'Sch M 2.2'!K76+'Sch M 2.2'!K83+'Sch M 2.2'!K90+'Sch M 2.2'!K97+'Sch M 2.2'!K104+'Sch M 2.2'!K133+'Sch M 2.2'!K140+'Sch M 2.2'!K147+'Sch M 2.2'!K154+'Sch M 2.2'!K161+'Sch M 2.2'!K189+'Sch M 2.2'!K196+'Sch M 2.2'!K203</f>
        <v>383735.23999999993</v>
      </c>
      <c r="J28" s="408">
        <f>'Sch M 2.2'!L69+'Sch M 2.2'!L76+'Sch M 2.2'!L83+'Sch M 2.2'!L90+'Sch M 2.2'!L97+'Sch M 2.2'!L104+'Sch M 2.2'!L133+'Sch M 2.2'!L140+'Sch M 2.2'!L147+'Sch M 2.2'!L154+'Sch M 2.2'!L161+'Sch M 2.2'!L189+'Sch M 2.2'!L196+'Sch M 2.2'!L203</f>
        <v>370504.07000000007</v>
      </c>
      <c r="K28" s="408">
        <f>'Sch M 2.2'!M69+'Sch M 2.2'!M76+'Sch M 2.2'!M83+'Sch M 2.2'!M90+'Sch M 2.2'!M97+'Sch M 2.2'!M104+'Sch M 2.2'!M133+'Sch M 2.2'!M140+'Sch M 2.2'!M147+'Sch M 2.2'!M154+'Sch M 2.2'!M161+'Sch M 2.2'!M189+'Sch M 2.2'!M196+'Sch M 2.2'!M203</f>
        <v>374902.17</v>
      </c>
      <c r="L28" s="408">
        <f>'Sch M 2.2'!N69+'Sch M 2.2'!N76+'Sch M 2.2'!N83+'Sch M 2.2'!N90+'Sch M 2.2'!N97+'Sch M 2.2'!N104+'Sch M 2.2'!N133+'Sch M 2.2'!N140+'Sch M 2.2'!N147+'Sch M 2.2'!N154+'Sch M 2.2'!N161+'Sch M 2.2'!N189+'Sch M 2.2'!N196+'Sch M 2.2'!N203</f>
        <v>553542.36</v>
      </c>
      <c r="M28" s="408">
        <f>'Sch M 2.2'!O69+'Sch M 2.2'!O76+'Sch M 2.2'!O83+'Sch M 2.2'!O90+'Sch M 2.2'!O97+'Sch M 2.2'!O104+'Sch M 2.2'!O133+'Sch M 2.2'!O140+'Sch M 2.2'!O147+'Sch M 2.2'!O154+'Sch M 2.2'!O161+'Sch M 2.2'!O189+'Sch M 2.2'!O196+'Sch M 2.2'!O203</f>
        <v>1351384.0199999998</v>
      </c>
      <c r="N28" s="408">
        <f>'Sch M 2.2'!P69+'Sch M 2.2'!P76+'Sch M 2.2'!P83+'Sch M 2.2'!P90+'Sch M 2.2'!P97+'Sch M 2.2'!P104+'Sch M 2.2'!P133+'Sch M 2.2'!P140+'Sch M 2.2'!P147+'Sch M 2.2'!P154+'Sch M 2.2'!P161+'Sch M 2.2'!P189+'Sch M 2.2'!P196+'Sch M 2.2'!P203</f>
        <v>3010084.5300000003</v>
      </c>
      <c r="O28" s="407">
        <f>SUM(C28:N28)</f>
        <v>21475950.110000003</v>
      </c>
      <c r="R28" s="116"/>
    </row>
    <row r="29" spans="1:18" x14ac:dyDescent="0.25">
      <c r="A29" s="76"/>
      <c r="B29" s="158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61"/>
      <c r="R29" s="116"/>
    </row>
    <row r="30" spans="1:18" x14ac:dyDescent="0.25">
      <c r="A30" s="133">
        <f>A28+1</f>
        <v>11</v>
      </c>
      <c r="B30" s="139" t="s">
        <v>314</v>
      </c>
      <c r="C30" s="406">
        <f t="shared" ref="C30:O30" si="2">C27-C28</f>
        <v>9670332.0199999977</v>
      </c>
      <c r="D30" s="406">
        <f t="shared" si="2"/>
        <v>9486870.0800000001</v>
      </c>
      <c r="E30" s="406">
        <f t="shared" si="2"/>
        <v>7976185.5800000001</v>
      </c>
      <c r="F30" s="406">
        <f t="shared" si="2"/>
        <v>6157476.8799999999</v>
      </c>
      <c r="G30" s="406">
        <f t="shared" si="2"/>
        <v>4721015.25</v>
      </c>
      <c r="H30" s="406">
        <f t="shared" si="2"/>
        <v>4080224.7000000007</v>
      </c>
      <c r="I30" s="406">
        <f t="shared" si="2"/>
        <v>3868318.3300000005</v>
      </c>
      <c r="J30" s="406">
        <f t="shared" si="2"/>
        <v>3866755.8099999996</v>
      </c>
      <c r="K30" s="406">
        <f t="shared" si="2"/>
        <v>3897113.8200000003</v>
      </c>
      <c r="L30" s="406">
        <f t="shared" si="2"/>
        <v>4213448.9799999995</v>
      </c>
      <c r="M30" s="406">
        <f t="shared" si="2"/>
        <v>5408729.7300000023</v>
      </c>
      <c r="N30" s="406">
        <f t="shared" si="2"/>
        <v>7762566.7800000003</v>
      </c>
      <c r="O30" s="406">
        <f t="shared" si="2"/>
        <v>71109037.960000008</v>
      </c>
      <c r="Q30" s="216">
        <f>O30</f>
        <v>71109037.960000008</v>
      </c>
      <c r="R30" s="46" t="s">
        <v>382</v>
      </c>
    </row>
    <row r="31" spans="1:18" ht="16.8" x14ac:dyDescent="0.4">
      <c r="A31" s="76"/>
      <c r="B31" s="158"/>
      <c r="C31" s="189"/>
      <c r="D31" s="189"/>
      <c r="E31" s="189"/>
      <c r="F31" s="189"/>
      <c r="G31" s="190"/>
      <c r="H31" s="191"/>
      <c r="I31" s="189"/>
      <c r="J31" s="189"/>
      <c r="K31" s="189"/>
      <c r="L31" s="189"/>
      <c r="M31" s="189"/>
      <c r="N31" s="189"/>
      <c r="O31" s="71"/>
      <c r="Q31" s="220">
        <v>56507540</v>
      </c>
      <c r="R31" s="46" t="s">
        <v>381</v>
      </c>
    </row>
    <row r="32" spans="1:18" x14ac:dyDescent="0.25">
      <c r="A32" s="76"/>
      <c r="B32" s="158"/>
      <c r="C32" s="189"/>
      <c r="D32" s="189"/>
      <c r="E32" s="189"/>
      <c r="F32" s="189"/>
      <c r="G32" s="190"/>
      <c r="H32" s="191"/>
      <c r="I32" s="189"/>
      <c r="J32" s="189"/>
      <c r="K32" s="189"/>
      <c r="L32" s="189"/>
      <c r="M32" s="189"/>
      <c r="N32" s="189"/>
      <c r="O32" s="71"/>
      <c r="Q32" s="216">
        <f>Q30-Q31</f>
        <v>14601497.960000008</v>
      </c>
    </row>
    <row r="33" spans="1:18" ht="15.6" x14ac:dyDescent="0.3">
      <c r="A33" s="76">
        <f>A30+1</f>
        <v>12</v>
      </c>
      <c r="B33" s="158" t="s">
        <v>412</v>
      </c>
      <c r="C33" s="109"/>
      <c r="D33" s="109"/>
      <c r="E33" s="109"/>
      <c r="F33" s="109"/>
      <c r="G33" s="109"/>
      <c r="I33" s="192"/>
      <c r="J33" s="192"/>
      <c r="K33" s="192"/>
      <c r="L33" s="192"/>
      <c r="M33" s="192"/>
      <c r="N33" s="192"/>
      <c r="O33" s="168"/>
      <c r="P33" s="47"/>
      <c r="Q33" s="66">
        <v>884000</v>
      </c>
      <c r="R33" s="90" t="s">
        <v>383</v>
      </c>
    </row>
    <row r="34" spans="1:18" ht="15.6" x14ac:dyDescent="0.3">
      <c r="A34" s="76"/>
      <c r="B34" s="158"/>
      <c r="C34" s="192"/>
      <c r="D34" s="182"/>
      <c r="E34" s="192"/>
      <c r="F34" s="192"/>
      <c r="G34" s="184"/>
      <c r="H34" s="184"/>
      <c r="I34" s="192"/>
      <c r="J34" s="192"/>
      <c r="K34" s="192"/>
      <c r="L34" s="192"/>
      <c r="M34" s="192"/>
      <c r="N34" s="192"/>
      <c r="O34" s="168"/>
      <c r="P34" s="47"/>
      <c r="Q34" s="47"/>
      <c r="R34" s="47"/>
    </row>
    <row r="35" spans="1:18" ht="15.6" x14ac:dyDescent="0.3">
      <c r="A35" s="76">
        <f>A33+1</f>
        <v>13</v>
      </c>
      <c r="B35" s="166" t="s">
        <v>306</v>
      </c>
      <c r="C35" s="185">
        <f>'Sch M 2.2'!E67+'Sch M 2.2'!E81+'Sch M 2.2'!E88+'Sch M 2.2'!E95+'Sch M 2.2'!E102+'Sch M 2.2'!E131+'Sch M 2.2'!E145+'Sch M 2.2'!E152</f>
        <v>1333000.0000000002</v>
      </c>
      <c r="D35" s="185">
        <f>'Sch M 2.2'!F67+'Sch M 2.2'!F81+'Sch M 2.2'!F88+'Sch M 2.2'!F95+'Sch M 2.2'!F102+'Sch M 2.2'!F131+'Sch M 2.2'!F145+'Sch M 2.2'!F152</f>
        <v>1292000.0999999999</v>
      </c>
      <c r="E35" s="185">
        <f>'Sch M 2.2'!G67+'Sch M 2.2'!G81+'Sch M 2.2'!G88+'Sch M 2.2'!G95+'Sch M 2.2'!G102+'Sch M 2.2'!G131+'Sch M 2.2'!G145+'Sch M 2.2'!G152</f>
        <v>969000</v>
      </c>
      <c r="F35" s="185">
        <f>'Sch M 2.2'!H67+'Sch M 2.2'!H81+'Sch M 2.2'!H88+'Sch M 2.2'!H95+'Sch M 2.2'!H102+'Sch M 2.2'!H131+'Sch M 2.2'!H145+'Sch M 2.2'!H152</f>
        <v>552999.9</v>
      </c>
      <c r="G35" s="185">
        <f>'Sch M 2.2'!I67+'Sch M 2.2'!I81+'Sch M 2.2'!I88+'Sch M 2.2'!I95+'Sch M 2.2'!I102+'Sch M 2.2'!I131+'Sch M 2.2'!I145+'Sch M 2.2'!I152</f>
        <v>259999.90000000002</v>
      </c>
      <c r="H35" s="185">
        <f>'Sch M 2.2'!J67+'Sch M 2.2'!J81+'Sch M 2.2'!J88+'Sch M 2.2'!J95+'Sch M 2.2'!J102+'Sch M 2.2'!J131+'Sch M 2.2'!J145+'Sch M 2.2'!J152</f>
        <v>123999.99999999999</v>
      </c>
      <c r="I35" s="185">
        <f>'Sch M 2.2'!K67+'Sch M 2.2'!K81+'Sch M 2.2'!K88+'Sch M 2.2'!K95+'Sch M 2.2'!K102+'Sch M 2.2'!K131+'Sch M 2.2'!K145+'Sch M 2.2'!K152</f>
        <v>89000.1</v>
      </c>
      <c r="J35" s="185">
        <f>'Sch M 2.2'!L67+'Sch M 2.2'!L81+'Sch M 2.2'!L88+'Sch M 2.2'!L95+'Sch M 2.2'!L102+'Sch M 2.2'!L131+'Sch M 2.2'!L145+'Sch M 2.2'!L152</f>
        <v>86000</v>
      </c>
      <c r="K35" s="185">
        <f>'Sch M 2.2'!M67+'Sch M 2.2'!M81+'Sch M 2.2'!M88+'Sch M 2.2'!M95+'Sch M 2.2'!M102+'Sch M 2.2'!M131+'Sch M 2.2'!M145+'Sch M 2.2'!M152</f>
        <v>89000.099999999991</v>
      </c>
      <c r="L35" s="185">
        <f>'Sch M 2.2'!N67+'Sch M 2.2'!N81+'Sch M 2.2'!N88+'Sch M 2.2'!N95+'Sch M 2.2'!N102+'Sch M 2.2'!N131+'Sch M 2.2'!N145+'Sch M 2.2'!N152</f>
        <v>141999.99999999997</v>
      </c>
      <c r="M35" s="185">
        <f>'Sch M 2.2'!O67+'Sch M 2.2'!O81+'Sch M 2.2'!O88+'Sch M 2.2'!O95+'Sch M 2.2'!O102+'Sch M 2.2'!O131+'Sch M 2.2'!O145+'Sch M 2.2'!O152</f>
        <v>409000.00000000006</v>
      </c>
      <c r="N35" s="185">
        <f>'Sch M 2.2'!P67+'Sch M 2.2'!P81+'Sch M 2.2'!P88+'Sch M 2.2'!P95+'Sch M 2.2'!P102+'Sch M 2.2'!P131+'Sch M 2.2'!P145+'Sch M 2.2'!P152</f>
        <v>907000</v>
      </c>
      <c r="O35" s="180">
        <f>SUM(C35:N35)</f>
        <v>6253000.0999999996</v>
      </c>
      <c r="P35" s="57"/>
      <c r="Q35" s="57"/>
      <c r="R35" s="57"/>
    </row>
    <row r="36" spans="1:18" ht="15.6" x14ac:dyDescent="0.3">
      <c r="A36" s="76">
        <f>A35+1</f>
        <v>14</v>
      </c>
      <c r="B36" s="158" t="s">
        <v>307</v>
      </c>
      <c r="C36" s="185">
        <f>'Sch M 2.2'!E74+'Sch M 2.2'!E138+'Sch M 2.2'!E159</f>
        <v>661239</v>
      </c>
      <c r="D36" s="185">
        <f>'Sch M 2.2'!F74+'Sch M 2.2'!F138+'Sch M 2.2'!F159</f>
        <v>655603.4</v>
      </c>
      <c r="E36" s="185">
        <f>'Sch M 2.2'!G74+'Sch M 2.2'!G138+'Sch M 2.2'!G159</f>
        <v>457308.9</v>
      </c>
      <c r="F36" s="185">
        <f>'Sch M 2.2'!H74+'Sch M 2.2'!H138+'Sch M 2.2'!H159</f>
        <v>277529.19999999995</v>
      </c>
      <c r="G36" s="185">
        <f>'Sch M 2.2'!I74+'Sch M 2.2'!I138+'Sch M 2.2'!I159</f>
        <v>134569.29999999999</v>
      </c>
      <c r="H36" s="185">
        <f>'Sch M 2.2'!J74+'Sch M 2.2'!J138+'Sch M 2.2'!J159</f>
        <v>80743.899999999994</v>
      </c>
      <c r="I36" s="185">
        <f>'Sch M 2.2'!K74+'Sch M 2.2'!K138+'Sch M 2.2'!K159</f>
        <v>56765.5</v>
      </c>
      <c r="J36" s="185">
        <f>'Sch M 2.2'!L74+'Sch M 2.2'!L138+'Sch M 2.2'!L159</f>
        <v>52809.2</v>
      </c>
      <c r="K36" s="185">
        <f>'Sch M 2.2'!M74+'Sch M 2.2'!M138+'Sch M 2.2'!M159</f>
        <v>51816.6</v>
      </c>
      <c r="L36" s="185">
        <f>'Sch M 2.2'!N74+'Sch M 2.2'!N138+'Sch M 2.2'!N159</f>
        <v>77181.100000000006</v>
      </c>
      <c r="M36" s="185">
        <f>'Sch M 2.2'!O74+'Sch M 2.2'!O138+'Sch M 2.2'!O159</f>
        <v>171160.69999999998</v>
      </c>
      <c r="N36" s="185">
        <f>'Sch M 2.2'!P74+'Sch M 2.2'!P138+'Sch M 2.2'!P159</f>
        <v>423897</v>
      </c>
      <c r="O36" s="180">
        <f>SUM(C36:N36)</f>
        <v>3100623.8000000003</v>
      </c>
      <c r="P36" s="47"/>
      <c r="Q36" s="47"/>
      <c r="R36" s="47"/>
    </row>
    <row r="37" spans="1:18" x14ac:dyDescent="0.25">
      <c r="A37" s="76">
        <f>A36+1</f>
        <v>15</v>
      </c>
      <c r="B37" s="158" t="s">
        <v>308</v>
      </c>
      <c r="C37" s="185">
        <f>'Sch M 2.2'!E187+'Sch M 2.2'!E194</f>
        <v>33000.199999999997</v>
      </c>
      <c r="D37" s="185">
        <f>'Sch M 2.2'!F187+'Sch M 2.2'!F194</f>
        <v>31999.9</v>
      </c>
      <c r="E37" s="185">
        <f>'Sch M 2.2'!G187+'Sch M 2.2'!G194</f>
        <v>30900</v>
      </c>
      <c r="F37" s="185">
        <f>'Sch M 2.2'!H187+'Sch M 2.2'!H194</f>
        <v>29799.9</v>
      </c>
      <c r="G37" s="185">
        <f>'Sch M 2.2'!I187+'Sch M 2.2'!I194</f>
        <v>28800.3</v>
      </c>
      <c r="H37" s="185">
        <f>'Sch M 2.2'!J187+'Sch M 2.2'!J194</f>
        <v>27749.9</v>
      </c>
      <c r="I37" s="185">
        <f>'Sch M 2.2'!K187+'Sch M 2.2'!K194</f>
        <v>27749.9</v>
      </c>
      <c r="J37" s="185">
        <f>'Sch M 2.2'!L187+'Sch M 2.2'!L194</f>
        <v>28750.199999999997</v>
      </c>
      <c r="K37" s="185">
        <f>'Sch M 2.2'!M187+'Sch M 2.2'!M194</f>
        <v>28750.199999999997</v>
      </c>
      <c r="L37" s="185">
        <f>'Sch M 2.2'!N187+'Sch M 2.2'!N194</f>
        <v>30849.9</v>
      </c>
      <c r="M37" s="185">
        <f>'Sch M 2.2'!O187+'Sch M 2.2'!O194</f>
        <v>30900</v>
      </c>
      <c r="N37" s="185">
        <f>'Sch M 2.2'!P187+'Sch M 2.2'!P194</f>
        <v>31000.1</v>
      </c>
      <c r="O37" s="180">
        <f>SUM(C37:N37)</f>
        <v>360250.5</v>
      </c>
      <c r="P37" s="90"/>
    </row>
    <row r="38" spans="1:18" ht="15.6" x14ac:dyDescent="0.3">
      <c r="A38" s="76">
        <f>A37+1</f>
        <v>16</v>
      </c>
      <c r="B38" s="158" t="s">
        <v>309</v>
      </c>
      <c r="C38" s="193">
        <f>'Sch M 2.2'!E201</f>
        <v>3136.7</v>
      </c>
      <c r="D38" s="193">
        <f>'Sch M 2.2'!F201</f>
        <v>2307.1999999999998</v>
      </c>
      <c r="E38" s="193">
        <f>'Sch M 2.2'!G201</f>
        <v>1098.5999999999999</v>
      </c>
      <c r="F38" s="193">
        <f>'Sch M 2.2'!H201</f>
        <v>641.70000000000005</v>
      </c>
      <c r="G38" s="193">
        <f>'Sch M 2.2'!I201</f>
        <v>362.9</v>
      </c>
      <c r="H38" s="193">
        <f>'Sch M 2.2'!J201</f>
        <v>221.4</v>
      </c>
      <c r="I38" s="193">
        <f>'Sch M 2.2'!K201</f>
        <v>245</v>
      </c>
      <c r="J38" s="193">
        <f>'Sch M 2.2'!L201</f>
        <v>196.3</v>
      </c>
      <c r="K38" s="193">
        <f>'Sch M 2.2'!M201</f>
        <v>196.6</v>
      </c>
      <c r="L38" s="193">
        <f>'Sch M 2.2'!N201</f>
        <v>705.2</v>
      </c>
      <c r="M38" s="193">
        <f>'Sch M 2.2'!O201</f>
        <v>1014.3</v>
      </c>
      <c r="N38" s="193">
        <f>'Sch M 2.2'!P201</f>
        <v>1194.8</v>
      </c>
      <c r="O38" s="193">
        <f>SUM(C38:N38)</f>
        <v>11320.699999999999</v>
      </c>
      <c r="P38" s="117"/>
      <c r="Q38" s="117"/>
    </row>
    <row r="39" spans="1:18" x14ac:dyDescent="0.25">
      <c r="A39" s="76">
        <f>A38+1</f>
        <v>17</v>
      </c>
      <c r="B39" s="158" t="s">
        <v>310</v>
      </c>
      <c r="C39" s="185">
        <f t="shared" ref="C39:M39" si="3">SUM(C35:C38)</f>
        <v>2030375.9000000001</v>
      </c>
      <c r="D39" s="185">
        <f t="shared" si="3"/>
        <v>1981910.5999999999</v>
      </c>
      <c r="E39" s="185">
        <f t="shared" si="3"/>
        <v>1458307.5</v>
      </c>
      <c r="F39" s="185">
        <f t="shared" si="3"/>
        <v>860970.7</v>
      </c>
      <c r="G39" s="185">
        <f t="shared" si="3"/>
        <v>423732.4</v>
      </c>
      <c r="H39" s="185">
        <f t="shared" si="3"/>
        <v>232715.19999999995</v>
      </c>
      <c r="I39" s="185">
        <f t="shared" si="3"/>
        <v>173760.5</v>
      </c>
      <c r="J39" s="185">
        <f t="shared" si="3"/>
        <v>167755.70000000001</v>
      </c>
      <c r="K39" s="185">
        <f t="shared" si="3"/>
        <v>169763.49999999997</v>
      </c>
      <c r="L39" s="185">
        <f t="shared" si="3"/>
        <v>250736.19999999998</v>
      </c>
      <c r="M39" s="185">
        <f t="shared" si="3"/>
        <v>612075.00000000012</v>
      </c>
      <c r="N39" s="185">
        <f>SUM(N35:N38)</f>
        <v>1363091.9000000001</v>
      </c>
      <c r="O39" s="185">
        <f>SUM(O35:O38)</f>
        <v>9725195.0999999996</v>
      </c>
    </row>
    <row r="40" spans="1:18" x14ac:dyDescent="0.25">
      <c r="A40" s="76"/>
      <c r="B40" s="158"/>
      <c r="C40" s="182"/>
      <c r="D40" s="182"/>
      <c r="E40" s="182"/>
      <c r="F40" s="182"/>
      <c r="G40" s="184"/>
    </row>
    <row r="41" spans="1:18" x14ac:dyDescent="0.25">
      <c r="A41" s="76">
        <f>A39+1</f>
        <v>18</v>
      </c>
      <c r="B41" s="158" t="s">
        <v>311</v>
      </c>
      <c r="C41" s="185">
        <f>'Sch M 2.2'!E229+'Sch M 2.2'!E236+'Sch M 2.2'!E243+'Sch M 2.2'!E250+'Sch M 2.2'!E257+'Sch M 2.2'!E264+'Sch M 2.2'!E291+'Sch M 2.2'!E298+'Sch M 2.2'!E305+'Sch M 2.2'!E312+'Sch M 2.2'!E319+'Sch M 2.2'!E326+'Sch M 2.2'!E353+'Sch M 2.2'!E360</f>
        <v>2400888.5999999996</v>
      </c>
      <c r="D41" s="185">
        <f>'Sch M 2.2'!F229+'Sch M 2.2'!F236+'Sch M 2.2'!F243+'Sch M 2.2'!F250+'Sch M 2.2'!F257+'Sch M 2.2'!F264+'Sch M 2.2'!F291+'Sch M 2.2'!F298+'Sch M 2.2'!F305+'Sch M 2.2'!F312+'Sch M 2.2'!F319+'Sch M 2.2'!F326+'Sch M 2.2'!F353+'Sch M 2.2'!F360</f>
        <v>2222626.2000000002</v>
      </c>
      <c r="E41" s="185">
        <f>'Sch M 2.2'!G229+'Sch M 2.2'!G236+'Sch M 2.2'!G243+'Sch M 2.2'!G250+'Sch M 2.2'!G257+'Sch M 2.2'!G264+'Sch M 2.2'!G291+'Sch M 2.2'!G298+'Sch M 2.2'!G305+'Sch M 2.2'!G312+'Sch M 2.2'!G319+'Sch M 2.2'!G326+'Sch M 2.2'!G353+'Sch M 2.2'!G360</f>
        <v>1947625.2</v>
      </c>
      <c r="F41" s="185">
        <f>'Sch M 2.2'!H229+'Sch M 2.2'!H236+'Sch M 2.2'!H243+'Sch M 2.2'!H250+'Sch M 2.2'!H257+'Sch M 2.2'!H264+'Sch M 2.2'!H291+'Sch M 2.2'!H298+'Sch M 2.2'!H305+'Sch M 2.2'!H312+'Sch M 2.2'!H319+'Sch M 2.2'!H326+'Sch M 2.2'!H353+'Sch M 2.2'!H360</f>
        <v>1563627.7000000002</v>
      </c>
      <c r="G41" s="185">
        <f>'Sch M 2.2'!I229+'Sch M 2.2'!I236+'Sch M 2.2'!I243+'Sch M 2.2'!I250+'Sch M 2.2'!I257+'Sch M 2.2'!I264+'Sch M 2.2'!I291+'Sch M 2.2'!I298+'Sch M 2.2'!I305+'Sch M 2.2'!I312+'Sch M 2.2'!I319+'Sch M 2.2'!I326+'Sch M 2.2'!I353+'Sch M 2.2'!I360</f>
        <v>1330622.7000000002</v>
      </c>
      <c r="H41" s="185">
        <f>'Sch M 2.2'!J229+'Sch M 2.2'!J236+'Sch M 2.2'!J243+'Sch M 2.2'!J250+'Sch M 2.2'!J257+'Sch M 2.2'!J264+'Sch M 2.2'!J291+'Sch M 2.2'!J298+'Sch M 2.2'!J305+'Sch M 2.2'!J312+'Sch M 2.2'!J319+'Sch M 2.2'!J326+'Sch M 2.2'!J353+'Sch M 2.2'!J360</f>
        <v>1208623.7999999998</v>
      </c>
      <c r="I41" s="185">
        <f>'Sch M 2.2'!K229+'Sch M 2.2'!K236+'Sch M 2.2'!K243+'Sch M 2.2'!K250+'Sch M 2.2'!K257+'Sch M 2.2'!K264+'Sch M 2.2'!K291+'Sch M 2.2'!K298+'Sch M 2.2'!K305+'Sch M 2.2'!K312+'Sch M 2.2'!K319+'Sch M 2.2'!K326+'Sch M 2.2'!K353+'Sch M 2.2'!K360</f>
        <v>1155623</v>
      </c>
      <c r="J41" s="185">
        <f>'Sch M 2.2'!L229+'Sch M 2.2'!L236+'Sch M 2.2'!L243+'Sch M 2.2'!L250+'Sch M 2.2'!L257+'Sch M 2.2'!L264+'Sch M 2.2'!L291+'Sch M 2.2'!L298+'Sch M 2.2'!L305+'Sch M 2.2'!L312+'Sch M 2.2'!L319+'Sch M 2.2'!L326+'Sch M 2.2'!L353+'Sch M 2.2'!L360</f>
        <v>1197625.1000000001</v>
      </c>
      <c r="K41" s="185">
        <f>'Sch M 2.2'!M229+'Sch M 2.2'!M236+'Sch M 2.2'!M243+'Sch M 2.2'!M250+'Sch M 2.2'!M257+'Sch M 2.2'!M264+'Sch M 2.2'!M291+'Sch M 2.2'!M298+'Sch M 2.2'!M305+'Sch M 2.2'!M312+'Sch M 2.2'!M319+'Sch M 2.2'!M326+'Sch M 2.2'!M353+'Sch M 2.2'!M360</f>
        <v>1245622</v>
      </c>
      <c r="L41" s="185">
        <f>'Sch M 2.2'!N229+'Sch M 2.2'!N236+'Sch M 2.2'!N243+'Sch M 2.2'!N250+'Sch M 2.2'!N257+'Sch M 2.2'!N264+'Sch M 2.2'!N291+'Sch M 2.2'!N298+'Sch M 2.2'!N305+'Sch M 2.2'!N312+'Sch M 2.2'!N319+'Sch M 2.2'!N326+'Sch M 2.2'!N353+'Sch M 2.2'!N360</f>
        <v>1435618.7999999998</v>
      </c>
      <c r="M41" s="185">
        <f>'Sch M 2.2'!O229+'Sch M 2.2'!O236+'Sch M 2.2'!O243+'Sch M 2.2'!O250+'Sch M 2.2'!O257+'Sch M 2.2'!O264+'Sch M 2.2'!O291+'Sch M 2.2'!O298+'Sch M 2.2'!O305+'Sch M 2.2'!O312+'Sch M 2.2'!O319+'Sch M 2.2'!O326+'Sch M 2.2'!O353+'Sch M 2.2'!O360</f>
        <v>1711618.7</v>
      </c>
      <c r="N41" s="185">
        <f>'Sch M 2.2'!P229+'Sch M 2.2'!P236+'Sch M 2.2'!P243+'Sch M 2.2'!P250+'Sch M 2.2'!P257+'Sch M 2.2'!P264+'Sch M 2.2'!P291+'Sch M 2.2'!P298+'Sch M 2.2'!P305+'Sch M 2.2'!P312+'Sch M 2.2'!P319+'Sch M 2.2'!P326+'Sch M 2.2'!P353+'Sch M 2.2'!P360</f>
        <v>2041884.7000000002</v>
      </c>
      <c r="O41" s="180">
        <f>SUM(C41:N41)</f>
        <v>19462006.499999996</v>
      </c>
      <c r="P41" s="69"/>
    </row>
    <row r="42" spans="1:18" ht="15.6" x14ac:dyDescent="0.3">
      <c r="A42" s="76"/>
      <c r="B42" s="64"/>
      <c r="C42" s="182"/>
      <c r="D42" s="182"/>
      <c r="E42" s="182"/>
      <c r="F42" s="182"/>
      <c r="G42" s="192"/>
      <c r="H42" s="192"/>
      <c r="I42" s="192"/>
      <c r="J42" s="192"/>
      <c r="K42" s="192"/>
      <c r="L42" s="192"/>
      <c r="M42" s="192"/>
      <c r="N42" s="192"/>
      <c r="O42" s="192"/>
    </row>
    <row r="43" spans="1:18" ht="15.6" thickBot="1" x14ac:dyDescent="0.3">
      <c r="A43" s="76">
        <f>A41+1</f>
        <v>19</v>
      </c>
      <c r="B43" s="64" t="s">
        <v>315</v>
      </c>
      <c r="C43" s="194">
        <f t="shared" ref="C43:M43" si="4">C39+C41</f>
        <v>4431264.5</v>
      </c>
      <c r="D43" s="194">
        <f t="shared" si="4"/>
        <v>4204536.8</v>
      </c>
      <c r="E43" s="194">
        <f t="shared" si="4"/>
        <v>3405932.7</v>
      </c>
      <c r="F43" s="194">
        <f t="shared" si="4"/>
        <v>2424598.4000000004</v>
      </c>
      <c r="G43" s="194">
        <f t="shared" si="4"/>
        <v>1754355.1</v>
      </c>
      <c r="H43" s="194">
        <f t="shared" si="4"/>
        <v>1441338.9999999998</v>
      </c>
      <c r="I43" s="194">
        <f t="shared" si="4"/>
        <v>1329383.5</v>
      </c>
      <c r="J43" s="194">
        <f t="shared" si="4"/>
        <v>1365380.8</v>
      </c>
      <c r="K43" s="194">
        <f t="shared" si="4"/>
        <v>1415385.5</v>
      </c>
      <c r="L43" s="194">
        <f t="shared" si="4"/>
        <v>1686354.9999999998</v>
      </c>
      <c r="M43" s="194">
        <f t="shared" si="4"/>
        <v>2323693.7000000002</v>
      </c>
      <c r="N43" s="194">
        <f>N39+N41</f>
        <v>3404976.6000000006</v>
      </c>
      <c r="O43" s="194">
        <f>SUM(C43:N43)</f>
        <v>29187201.600000001</v>
      </c>
      <c r="P43" s="82"/>
      <c r="Q43" s="87"/>
      <c r="R43" s="82"/>
    </row>
    <row r="44" spans="1:18" ht="16.2" thickTop="1" x14ac:dyDescent="0.3">
      <c r="A44" s="76"/>
      <c r="C44" s="195"/>
      <c r="D44" s="182"/>
      <c r="E44" s="196"/>
      <c r="F44" s="196"/>
      <c r="G44" s="192"/>
      <c r="H44" s="185"/>
      <c r="I44" s="196"/>
      <c r="J44" s="196"/>
      <c r="K44" s="196"/>
      <c r="L44" s="196"/>
      <c r="M44" s="196"/>
      <c r="N44" s="196"/>
      <c r="O44" s="197"/>
      <c r="P44" s="95"/>
      <c r="Q44" s="119"/>
      <c r="R44" s="95"/>
    </row>
    <row r="45" spans="1:18" x14ac:dyDescent="0.25">
      <c r="A45" s="76"/>
      <c r="C45" s="198"/>
      <c r="D45" s="198"/>
      <c r="E45" s="198"/>
      <c r="F45" s="198"/>
      <c r="G45" s="182"/>
      <c r="I45" s="198"/>
      <c r="J45" s="198"/>
      <c r="K45" s="198"/>
      <c r="L45" s="198"/>
      <c r="M45" s="198"/>
      <c r="N45" s="198"/>
      <c r="O45" s="97"/>
      <c r="P45" s="82"/>
      <c r="Q45" s="87"/>
      <c r="R45" s="82"/>
    </row>
    <row r="46" spans="1:18" x14ac:dyDescent="0.25">
      <c r="A46" s="64"/>
      <c r="C46" s="64"/>
      <c r="D46" s="61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R46" s="157"/>
    </row>
    <row r="47" spans="1:18" x14ac:dyDescent="0.25">
      <c r="A47" s="64"/>
      <c r="C47" s="64"/>
      <c r="D47" s="61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Q47" s="82"/>
      <c r="R47" s="82"/>
    </row>
    <row r="48" spans="1:18" x14ac:dyDescent="0.25">
      <c r="A48" s="64"/>
      <c r="C48" s="64"/>
      <c r="D48" s="61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Q48" s="82"/>
      <c r="R48" s="82"/>
    </row>
    <row r="49" spans="1:16" ht="15.6" x14ac:dyDescent="0.3">
      <c r="A49" s="881" t="s">
        <v>36</v>
      </c>
      <c r="B49" s="881"/>
      <c r="C49" s="881"/>
      <c r="D49" s="881"/>
      <c r="E49" s="881"/>
      <c r="F49" s="881"/>
      <c r="G49" s="881"/>
      <c r="H49" s="881"/>
      <c r="I49" s="881"/>
      <c r="J49" s="881"/>
      <c r="K49" s="881"/>
      <c r="L49" s="881"/>
      <c r="M49" s="881"/>
      <c r="N49" s="881"/>
      <c r="O49" s="881"/>
    </row>
    <row r="50" spans="1:16" ht="15.6" x14ac:dyDescent="0.3">
      <c r="A50" s="881" t="str">
        <f>A2</f>
        <v>Case No. 2016-00162</v>
      </c>
      <c r="B50" s="881"/>
      <c r="C50" s="881"/>
      <c r="D50" s="881"/>
      <c r="E50" s="881"/>
      <c r="F50" s="881"/>
      <c r="G50" s="881"/>
      <c r="H50" s="881"/>
      <c r="I50" s="881"/>
      <c r="J50" s="881"/>
      <c r="K50" s="881"/>
      <c r="L50" s="881"/>
      <c r="M50" s="881"/>
      <c r="N50" s="881"/>
      <c r="O50" s="881"/>
    </row>
    <row r="51" spans="1:16" ht="15.6" x14ac:dyDescent="0.3">
      <c r="A51" s="881" t="s">
        <v>201</v>
      </c>
      <c r="B51" s="881"/>
      <c r="C51" s="881"/>
      <c r="D51" s="881"/>
      <c r="E51" s="881"/>
      <c r="F51" s="881"/>
      <c r="G51" s="881"/>
      <c r="H51" s="881"/>
      <c r="I51" s="881"/>
      <c r="J51" s="881"/>
      <c r="K51" s="881"/>
      <c r="L51" s="881"/>
      <c r="M51" s="881"/>
      <c r="N51" s="881"/>
      <c r="O51" s="881"/>
    </row>
    <row r="52" spans="1:16" ht="15.6" x14ac:dyDescent="0.3">
      <c r="A52" s="881" t="str">
        <f>A4</f>
        <v>For the 12 Months Ended December 31, 2017</v>
      </c>
      <c r="B52" s="881"/>
      <c r="C52" s="881"/>
      <c r="D52" s="881"/>
      <c r="E52" s="881"/>
      <c r="F52" s="881"/>
      <c r="G52" s="881"/>
      <c r="H52" s="881"/>
      <c r="I52" s="881"/>
      <c r="J52" s="881"/>
      <c r="K52" s="881"/>
      <c r="L52" s="881"/>
      <c r="M52" s="881"/>
      <c r="N52" s="881"/>
      <c r="O52" s="881"/>
    </row>
    <row r="53" spans="1:16" ht="15.6" x14ac:dyDescent="0.3">
      <c r="A53" s="884" t="s">
        <v>39</v>
      </c>
      <c r="B53" s="884"/>
      <c r="C53" s="884"/>
      <c r="D53" s="884"/>
      <c r="E53" s="884"/>
      <c r="F53" s="884"/>
      <c r="G53" s="884"/>
      <c r="H53" s="884"/>
      <c r="I53" s="884"/>
      <c r="J53" s="884"/>
      <c r="K53" s="884"/>
      <c r="L53" s="884"/>
      <c r="M53" s="884"/>
      <c r="N53" s="884"/>
      <c r="O53" s="884"/>
    </row>
    <row r="54" spans="1:16" ht="15.6" x14ac:dyDescent="0.3">
      <c r="A54" s="49" t="s">
        <v>332</v>
      </c>
    </row>
    <row r="55" spans="1:16" ht="15.6" x14ac:dyDescent="0.3">
      <c r="A55" s="49" t="s">
        <v>223</v>
      </c>
      <c r="O55" s="51" t="s">
        <v>37</v>
      </c>
    </row>
    <row r="56" spans="1:16" ht="15.6" x14ac:dyDescent="0.3">
      <c r="A56" s="52" t="s">
        <v>63</v>
      </c>
      <c r="O56" s="51" t="s">
        <v>333</v>
      </c>
    </row>
    <row r="57" spans="1:16" ht="15.6" x14ac:dyDescent="0.3">
      <c r="A57" s="210" t="s">
        <v>303</v>
      </c>
      <c r="O57" s="209" t="str">
        <f>O9</f>
        <v>Witness: M. J. Bell</v>
      </c>
    </row>
    <row r="58" spans="1:16" ht="15.6" x14ac:dyDescent="0.3">
      <c r="A58" s="52"/>
      <c r="O58" s="51"/>
    </row>
    <row r="59" spans="1:16" ht="15.6" x14ac:dyDescent="0.3">
      <c r="A59" s="883" t="s">
        <v>294</v>
      </c>
      <c r="B59" s="883"/>
      <c r="C59" s="883"/>
      <c r="D59" s="883"/>
      <c r="E59" s="883"/>
      <c r="F59" s="883"/>
      <c r="G59" s="883"/>
      <c r="H59" s="883"/>
      <c r="I59" s="883"/>
      <c r="J59" s="883"/>
      <c r="K59" s="883"/>
      <c r="L59" s="883"/>
      <c r="M59" s="883"/>
      <c r="N59" s="883"/>
      <c r="O59" s="883"/>
      <c r="P59" s="53"/>
    </row>
    <row r="60" spans="1:16" ht="15.6" x14ac:dyDescent="0.3">
      <c r="A60" s="52"/>
      <c r="B60" s="53"/>
      <c r="C60" s="53"/>
      <c r="D60" s="52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</row>
    <row r="61" spans="1:16" ht="15.6" x14ac:dyDescent="0.3">
      <c r="A61" s="47" t="s">
        <v>1</v>
      </c>
      <c r="B61" s="99"/>
      <c r="C61" s="47"/>
      <c r="D61" s="47"/>
    </row>
    <row r="62" spans="1:16" ht="15.6" x14ac:dyDescent="0.3">
      <c r="A62" s="47" t="s">
        <v>3</v>
      </c>
      <c r="B62" s="47" t="s">
        <v>4</v>
      </c>
      <c r="C62" s="161" t="str">
        <f>B!$D$11</f>
        <v>Jan-17</v>
      </c>
      <c r="D62" s="161" t="str">
        <f>B!$E$11</f>
        <v>Feb-17</v>
      </c>
      <c r="E62" s="161" t="str">
        <f>B!$F$11</f>
        <v>Mar-17</v>
      </c>
      <c r="F62" s="161" t="str">
        <f>B!$G$11</f>
        <v>Apr-17</v>
      </c>
      <c r="G62" s="161" t="str">
        <f>B!$H$11</f>
        <v>May-17</v>
      </c>
      <c r="H62" s="161" t="str">
        <f>B!$I$11</f>
        <v>Jun-17</v>
      </c>
      <c r="I62" s="161" t="str">
        <f>B!$J$11</f>
        <v>Jul-17</v>
      </c>
      <c r="J62" s="161" t="str">
        <f>B!$K$11</f>
        <v>Aug-17</v>
      </c>
      <c r="K62" s="161" t="str">
        <f>B!$L$11</f>
        <v>Sep-17</v>
      </c>
      <c r="L62" s="161" t="str">
        <f>B!$M$11</f>
        <v>Oct-17</v>
      </c>
      <c r="M62" s="161" t="str">
        <f>B!$N$11</f>
        <v>Nov-17</v>
      </c>
      <c r="N62" s="161" t="s">
        <v>428</v>
      </c>
      <c r="O62" s="58" t="s">
        <v>9</v>
      </c>
    </row>
    <row r="63" spans="1:16" ht="15.6" x14ac:dyDescent="0.3">
      <c r="A63" s="47"/>
      <c r="B63" s="47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</row>
    <row r="64" spans="1:16" ht="15.6" x14ac:dyDescent="0.3">
      <c r="A64" s="76">
        <v>1</v>
      </c>
      <c r="B64" s="158" t="s">
        <v>411</v>
      </c>
      <c r="C64" s="109"/>
      <c r="D64" s="109"/>
      <c r="E64" s="109"/>
      <c r="F64" s="109"/>
      <c r="G64" s="109"/>
      <c r="H64" s="77"/>
      <c r="I64" s="77"/>
      <c r="J64" s="77"/>
      <c r="K64" s="77"/>
      <c r="L64" s="77"/>
      <c r="M64" s="77"/>
      <c r="N64" s="77"/>
      <c r="O64" s="77"/>
    </row>
    <row r="65" spans="1:18" ht="15.6" x14ac:dyDescent="0.3">
      <c r="A65" s="76"/>
      <c r="B65" s="158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</row>
    <row r="66" spans="1:18" x14ac:dyDescent="0.25">
      <c r="A66" s="76">
        <f>A64+1</f>
        <v>2</v>
      </c>
      <c r="B66" s="166" t="s">
        <v>306</v>
      </c>
      <c r="C66" s="178">
        <f>'Sch M 2.3'!E69+'Sch M 2.3'!E83+'Sch M 2.3'!E90+'Sch M 2.3'!E97+'Sch M 2.3'!E104+'Sch M 2.3'!E131+'Sch M 2.3'!E145+'Sch M 2.3'!E152</f>
        <v>10239049.810000002</v>
      </c>
      <c r="D66" s="178">
        <f>'Sch M 2.3'!F69+'Sch M 2.3'!F83+'Sch M 2.3'!F90+'Sch M 2.3'!F97+'Sch M 2.3'!F104+'Sch M 2.3'!F131+'Sch M 2.3'!F145+'Sch M 2.3'!F152</f>
        <v>9991054.9300000016</v>
      </c>
      <c r="E66" s="178">
        <f>'Sch M 2.3'!G69+'Sch M 2.3'!G83+'Sch M 2.3'!G90+'Sch M 2.3'!G97+'Sch M 2.3'!G104+'Sch M 2.3'!G131+'Sch M 2.3'!G145+'Sch M 2.3'!G152</f>
        <v>8003401.4199999999</v>
      </c>
      <c r="F66" s="178">
        <f>'Sch M 2.3'!H69+'Sch M 2.3'!H83+'Sch M 2.3'!H90+'Sch M 2.3'!H97+'Sch M 2.3'!H104+'Sch M 2.3'!H131+'Sch M 2.3'!H145+'Sch M 2.3'!H152</f>
        <v>5440129.8099999996</v>
      </c>
      <c r="G66" s="178">
        <f>'Sch M 2.3'!I69+'Sch M 2.3'!I83+'Sch M 2.3'!I90+'Sch M 2.3'!I97+'Sch M 2.3'!I104+'Sch M 2.3'!I131+'Sch M 2.3'!I145+'Sch M 2.3'!I152</f>
        <v>3625767.1999999993</v>
      </c>
      <c r="H66" s="178">
        <f>'Sch M 2.3'!J69+'Sch M 2.3'!J83+'Sch M 2.3'!J90+'Sch M 2.3'!J97+'Sch M 2.3'!J104+'Sch M 2.3'!J131+'Sch M 2.3'!J145+'Sch M 2.3'!J152</f>
        <v>2769004.17</v>
      </c>
      <c r="I66" s="178">
        <f>'Sch M 2.3'!K69+'Sch M 2.3'!K83+'Sch M 2.3'!K90+'Sch M 2.3'!K97+'Sch M 2.3'!K104+'Sch M 2.3'!K131+'Sch M 2.3'!K145+'Sch M 2.3'!K152</f>
        <v>2535935.0500000003</v>
      </c>
      <c r="J66" s="178">
        <f>'Sch M 2.3'!L69+'Sch M 2.3'!L83+'Sch M 2.3'!L90+'Sch M 2.3'!L97+'Sch M 2.3'!L104+'Sch M 2.3'!L131+'Sch M 2.3'!L145+'Sch M 2.3'!L152</f>
        <v>2525255.6900000004</v>
      </c>
      <c r="K66" s="178">
        <f>'Sch M 2.3'!M69+'Sch M 2.3'!M83+'Sch M 2.3'!M90+'Sch M 2.3'!M97+'Sch M 2.3'!M104+'Sch M 2.3'!M131+'Sch M 2.3'!M145+'Sch M 2.3'!M152</f>
        <v>2530600.6100000003</v>
      </c>
      <c r="L66" s="178">
        <f>'Sch M 2.3'!N69+'Sch M 2.3'!N83+'Sch M 2.3'!N90+'Sch M 2.3'!N97+'Sch M 2.3'!N104+'Sch M 2.3'!N131+'Sch M 2.3'!N145+'Sch M 2.3'!N152</f>
        <v>2856063.98</v>
      </c>
      <c r="M66" s="178">
        <f>'Sch M 2.3'!O69+'Sch M 2.3'!O83+'Sch M 2.3'!O90+'Sch M 2.3'!O97+'Sch M 2.3'!O104+'Sch M 2.3'!O131+'Sch M 2.3'!O145+'Sch M 2.3'!O152</f>
        <v>4521428.5599999987</v>
      </c>
      <c r="N66" s="178">
        <f>'Sch M 2.3'!P69+'Sch M 2.3'!P83+'Sch M 2.3'!P90+'Sch M 2.3'!P97+'Sch M 2.3'!P104+'Sch M 2.3'!P131+'Sch M 2.3'!P145+'Sch M 2.3'!P152</f>
        <v>7608213.2700000005</v>
      </c>
      <c r="O66" s="179">
        <f>SUM(C66:N66)</f>
        <v>62645904.499999993</v>
      </c>
    </row>
    <row r="67" spans="1:18" x14ac:dyDescent="0.25">
      <c r="A67" s="76">
        <f>A66+1</f>
        <v>3</v>
      </c>
      <c r="B67" s="158" t="s">
        <v>307</v>
      </c>
      <c r="C67" s="180">
        <f>'Sch M 2.3'!E76+'Sch M 2.3'!E138+'Sch M 2.3'!E159</f>
        <v>3961465.2399999998</v>
      </c>
      <c r="D67" s="180">
        <f>'Sch M 2.3'!F76+'Sch M 2.3'!F138+'Sch M 2.3'!F159</f>
        <v>3948420.2</v>
      </c>
      <c r="E67" s="180">
        <f>'Sch M 2.3'!G76+'Sch M 2.3'!G138+'Sch M 2.3'!G159</f>
        <v>2931957.5000000005</v>
      </c>
      <c r="F67" s="180">
        <f>'Sch M 2.3'!H76+'Sch M 2.3'!H138+'Sch M 2.3'!H159</f>
        <v>1988972.79</v>
      </c>
      <c r="G67" s="180">
        <f>'Sch M 2.3'!I76+'Sch M 2.3'!I138+'Sch M 2.3'!I159</f>
        <v>1224595.06</v>
      </c>
      <c r="H67" s="180">
        <f>'Sch M 2.3'!J76+'Sch M 2.3'!J138+'Sch M 2.3'!J159</f>
        <v>934051.84000000008</v>
      </c>
      <c r="I67" s="180">
        <f>'Sch M 2.3'!K76+'Sch M 2.3'!K138+'Sch M 2.3'!K159</f>
        <v>808270.21</v>
      </c>
      <c r="J67" s="180">
        <f>'Sch M 2.3'!L76+'Sch M 2.3'!L138+'Sch M 2.3'!L159</f>
        <v>786529.91000000015</v>
      </c>
      <c r="K67" s="180">
        <f>'Sch M 2.3'!M76+'Sch M 2.3'!M138+'Sch M 2.3'!M159</f>
        <v>780139.30999999994</v>
      </c>
      <c r="L67" s="180">
        <f>'Sch M 2.3'!N76+'Sch M 2.3'!N138+'Sch M 2.3'!N159</f>
        <v>916956.38</v>
      </c>
      <c r="M67" s="180">
        <f>'Sch M 2.3'!O76+'Sch M 2.3'!O138+'Sch M 2.3'!O159</f>
        <v>1422106.1399999997</v>
      </c>
      <c r="N67" s="180">
        <f>'Sch M 2.3'!P76+'Sch M 2.3'!P138+'Sch M 2.3'!P159</f>
        <v>2743542.68</v>
      </c>
      <c r="O67" s="179">
        <f>SUM(C67:N67)</f>
        <v>22447007.259999998</v>
      </c>
    </row>
    <row r="68" spans="1:18" x14ac:dyDescent="0.25">
      <c r="A68" s="76">
        <f>A67+1</f>
        <v>4</v>
      </c>
      <c r="B68" s="158" t="s">
        <v>308</v>
      </c>
      <c r="C68" s="185">
        <f>'Sch M 2.3'!E186+'Sch M 2.3'!E193</f>
        <v>158291.24</v>
      </c>
      <c r="D68" s="185">
        <f>'Sch M 2.3'!F186+'Sch M 2.3'!F193</f>
        <v>153312.03999999998</v>
      </c>
      <c r="E68" s="185">
        <f>'Sch M 2.3'!G186+'Sch M 2.3'!G193</f>
        <v>148408.09</v>
      </c>
      <c r="F68" s="185">
        <f>'Sch M 2.3'!H186+'Sch M 2.3'!H193</f>
        <v>143057.5</v>
      </c>
      <c r="G68" s="185">
        <f>'Sch M 2.3'!I186+'Sch M 2.3'!I193</f>
        <v>137509.44</v>
      </c>
      <c r="H68" s="185">
        <f>'Sch M 2.3'!J186+'Sch M 2.3'!J193</f>
        <v>132253.63</v>
      </c>
      <c r="I68" s="185">
        <f>'Sch M 2.3'!K186+'Sch M 2.3'!K193</f>
        <v>132252.28000000003</v>
      </c>
      <c r="J68" s="185">
        <f>'Sch M 2.3'!L186+'Sch M 2.3'!L193</f>
        <v>137224.11000000002</v>
      </c>
      <c r="K68" s="185">
        <f>'Sch M 2.3'!M186+'Sch M 2.3'!M193</f>
        <v>137165.45000000001</v>
      </c>
      <c r="L68" s="185">
        <f>'Sch M 2.3'!N186+'Sch M 2.3'!N193</f>
        <v>147144.74000000002</v>
      </c>
      <c r="M68" s="185">
        <f>'Sch M 2.3'!O186+'Sch M 2.3'!O193</f>
        <v>147804.4</v>
      </c>
      <c r="N68" s="185">
        <f>'Sch M 2.3'!P186+'Sch M 2.3'!P193</f>
        <v>148603.68</v>
      </c>
      <c r="O68" s="179">
        <f>SUM(C68:N68)</f>
        <v>1723026.5999999999</v>
      </c>
    </row>
    <row r="69" spans="1:18" x14ac:dyDescent="0.25">
      <c r="A69" s="76">
        <f>A68+1</f>
        <v>5</v>
      </c>
      <c r="B69" s="158" t="s">
        <v>309</v>
      </c>
      <c r="C69" s="65">
        <f>'Sch M 2.3'!E200</f>
        <v>12479.07</v>
      </c>
      <c r="D69" s="65">
        <f>'Sch M 2.3'!F200</f>
        <v>9522.25</v>
      </c>
      <c r="E69" s="65">
        <f>'Sch M 2.3'!G200</f>
        <v>5214.0700000000006</v>
      </c>
      <c r="F69" s="65">
        <f>'Sch M 2.3'!H200</f>
        <v>3585.3999999999996</v>
      </c>
      <c r="G69" s="65">
        <f>'Sch M 2.3'!I200</f>
        <v>2591.6</v>
      </c>
      <c r="H69" s="65">
        <f>'Sch M 2.3'!J200</f>
        <v>2087.2000000000003</v>
      </c>
      <c r="I69" s="65">
        <f>'Sch M 2.3'!K200</f>
        <v>2171.33</v>
      </c>
      <c r="J69" s="65">
        <f>'Sch M 2.3'!L200</f>
        <v>1997.73</v>
      </c>
      <c r="K69" s="65">
        <f>'Sch M 2.3'!M200</f>
        <v>1998.8</v>
      </c>
      <c r="L69" s="65">
        <f>'Sch M 2.3'!N200</f>
        <v>3811.76</v>
      </c>
      <c r="M69" s="65">
        <f>'Sch M 2.3'!O200</f>
        <v>4913.5700000000006</v>
      </c>
      <c r="N69" s="65">
        <f>'Sch M 2.3'!P200</f>
        <v>5556.9800000000005</v>
      </c>
      <c r="O69" s="65">
        <f>SUM(C69:N69)</f>
        <v>55929.760000000009</v>
      </c>
    </row>
    <row r="70" spans="1:18" x14ac:dyDescent="0.25">
      <c r="A70" s="76">
        <f>A69+1</f>
        <v>6</v>
      </c>
      <c r="B70" s="158" t="s">
        <v>310</v>
      </c>
      <c r="C70" s="50">
        <f t="shared" ref="C70:M70" si="5">SUM(C66:C69)</f>
        <v>14371285.360000003</v>
      </c>
      <c r="D70" s="50">
        <f t="shared" si="5"/>
        <v>14102309.420000002</v>
      </c>
      <c r="E70" s="50">
        <f t="shared" si="5"/>
        <v>11088981.08</v>
      </c>
      <c r="F70" s="50">
        <f t="shared" si="5"/>
        <v>7575745.5</v>
      </c>
      <c r="G70" s="50">
        <f t="shared" si="5"/>
        <v>4990463.3</v>
      </c>
      <c r="H70" s="50">
        <f t="shared" si="5"/>
        <v>3837396.84</v>
      </c>
      <c r="I70" s="50">
        <f t="shared" si="5"/>
        <v>3478628.87</v>
      </c>
      <c r="J70" s="50">
        <f t="shared" si="5"/>
        <v>3451007.4400000004</v>
      </c>
      <c r="K70" s="50">
        <f t="shared" si="5"/>
        <v>3449904.1700000004</v>
      </c>
      <c r="L70" s="50">
        <f t="shared" si="5"/>
        <v>3923976.86</v>
      </c>
      <c r="M70" s="50">
        <f t="shared" si="5"/>
        <v>6096252.669999999</v>
      </c>
      <c r="N70" s="50">
        <f>SUM(N66:N69)</f>
        <v>10505916.610000001</v>
      </c>
      <c r="O70" s="183">
        <f>SUM(O66:O69)</f>
        <v>86871868.11999999</v>
      </c>
    </row>
    <row r="71" spans="1:18" x14ac:dyDescent="0.25">
      <c r="A71" s="76"/>
      <c r="C71" s="184"/>
      <c r="D71" s="184"/>
      <c r="E71" s="184"/>
      <c r="F71" s="184"/>
      <c r="O71" s="64"/>
    </row>
    <row r="72" spans="1:18" x14ac:dyDescent="0.25">
      <c r="A72" s="76">
        <f>A70+1</f>
        <v>7</v>
      </c>
      <c r="B72" s="158" t="s">
        <v>311</v>
      </c>
      <c r="C72" s="185">
        <f>'Sch M 2.3'!E227+'Sch M 2.3'!E234+'Sch M 2.3'!E241+'Sch M 2.3'!E248+'Sch M 2.3'!E255+'Sch M 2.3'!E262+'Sch M 2.3'!E290+'Sch M 2.3'!E297+'Sch M 2.3'!E304+'Sch M 2.3'!E311+'Sch M 2.3'!E318+'Sch M 2.3'!E325+'Sch M 2.3'!E352+'Sch M 2.3'!E359</f>
        <v>4096871.2300000009</v>
      </c>
      <c r="D72" s="185">
        <f>'Sch M 2.3'!F227+'Sch M 2.3'!F234+'Sch M 2.3'!F241+'Sch M 2.3'!F248+'Sch M 2.3'!F255+'Sch M 2.3'!F262+'Sch M 2.3'!F290+'Sch M 2.3'!F297+'Sch M 2.3'!F304+'Sch M 2.3'!F311+'Sch M 2.3'!F318+'Sch M 2.3'!F325+'Sch M 2.3'!F352+'Sch M 2.3'!F359</f>
        <v>3940460.6900000004</v>
      </c>
      <c r="E72" s="185">
        <f>'Sch M 2.3'!G227+'Sch M 2.3'!G234+'Sch M 2.3'!G241+'Sch M 2.3'!G248+'Sch M 2.3'!G255+'Sch M 2.3'!G262+'Sch M 2.3'!G290+'Sch M 2.3'!G297+'Sch M 2.3'!G304+'Sch M 2.3'!G311+'Sch M 2.3'!G318+'Sch M 2.3'!G325+'Sch M 2.3'!G352+'Sch M 2.3'!G359</f>
        <v>3325253.8600000003</v>
      </c>
      <c r="F72" s="185">
        <f>'Sch M 2.3'!H227+'Sch M 2.3'!H234+'Sch M 2.3'!H241+'Sch M 2.3'!H248+'Sch M 2.3'!H255+'Sch M 2.3'!H262+'Sch M 2.3'!H290+'Sch M 2.3'!H297+'Sch M 2.3'!H304+'Sch M 2.3'!H311+'Sch M 2.3'!H318+'Sch M 2.3'!H325+'Sch M 2.3'!H352+'Sch M 2.3'!H359</f>
        <v>2506516.3100000005</v>
      </c>
      <c r="G72" s="185">
        <f>'Sch M 2.3'!I227+'Sch M 2.3'!I234+'Sch M 2.3'!I241+'Sch M 2.3'!I248+'Sch M 2.3'!I255+'Sch M 2.3'!I262+'Sch M 2.3'!I290+'Sch M 2.3'!I297+'Sch M 2.3'!I304+'Sch M 2.3'!I311+'Sch M 2.3'!I318+'Sch M 2.3'!I325+'Sch M 2.3'!I352+'Sch M 2.3'!I359</f>
        <v>1947464.85</v>
      </c>
      <c r="H72" s="185">
        <f>'Sch M 2.3'!J227+'Sch M 2.3'!J234+'Sch M 2.3'!J241+'Sch M 2.3'!J248+'Sch M 2.3'!J255+'Sch M 2.3'!J262+'Sch M 2.3'!J290+'Sch M 2.3'!J297+'Sch M 2.3'!J304+'Sch M 2.3'!J311+'Sch M 2.3'!J318+'Sch M 2.3'!J325+'Sch M 2.3'!J352+'Sch M 2.3'!J359</f>
        <v>1672188.2899999998</v>
      </c>
      <c r="I72" s="185">
        <f>'Sch M 2.3'!K227+'Sch M 2.3'!K234+'Sch M 2.3'!K241+'Sch M 2.3'!K248+'Sch M 2.3'!K255+'Sch M 2.3'!K262+'Sch M 2.3'!K290+'Sch M 2.3'!K297+'Sch M 2.3'!K304+'Sch M 2.3'!K311+'Sch M 2.3'!K318+'Sch M 2.3'!K325+'Sch M 2.3'!K352+'Sch M 2.3'!K359</f>
        <v>1577618.4100000001</v>
      </c>
      <c r="J72" s="185">
        <f>'Sch M 2.3'!L227+'Sch M 2.3'!L234+'Sch M 2.3'!L241+'Sch M 2.3'!L248+'Sch M 2.3'!L255+'Sch M 2.3'!L262+'Sch M 2.3'!L290+'Sch M 2.3'!L297+'Sch M 2.3'!L304+'Sch M 2.3'!L311+'Sch M 2.3'!L318+'Sch M 2.3'!L325+'Sch M 2.3'!L352+'Sch M 2.3'!L359</f>
        <v>1595442.4900000002</v>
      </c>
      <c r="K72" s="185">
        <f>'Sch M 2.3'!M227+'Sch M 2.3'!M234+'Sch M 2.3'!M241+'Sch M 2.3'!M248+'Sch M 2.3'!M255+'Sch M 2.3'!M262+'Sch M 2.3'!M290+'Sch M 2.3'!M297+'Sch M 2.3'!M304+'Sch M 2.3'!M311+'Sch M 2.3'!M318+'Sch M 2.3'!M325+'Sch M 2.3'!M352+'Sch M 2.3'!M359</f>
        <v>1645640.3399999999</v>
      </c>
      <c r="L72" s="185">
        <f>'Sch M 2.3'!N227+'Sch M 2.3'!N234+'Sch M 2.3'!N241+'Sch M 2.3'!N248+'Sch M 2.3'!N255+'Sch M 2.3'!N262+'Sch M 2.3'!N290+'Sch M 2.3'!N297+'Sch M 2.3'!N304+'Sch M 2.3'!N311+'Sch M 2.3'!N318+'Sch M 2.3'!N325+'Sch M 2.3'!N352+'Sch M 2.3'!N359</f>
        <v>1859499.3399999999</v>
      </c>
      <c r="M72" s="185">
        <f>'Sch M 2.3'!O227+'Sch M 2.3'!O234+'Sch M 2.3'!O241+'Sch M 2.3'!O248+'Sch M 2.3'!O255+'Sch M 2.3'!O262+'Sch M 2.3'!O290+'Sch M 2.3'!O297+'Sch M 2.3'!O304+'Sch M 2.3'!O311+'Sch M 2.3'!O318+'Sch M 2.3'!O325+'Sch M 2.3'!O352+'Sch M 2.3'!O359</f>
        <v>2406818.5900000008</v>
      </c>
      <c r="N72" s="185">
        <f>'Sch M 2.3'!P227+'Sch M 2.3'!P234+'Sch M 2.3'!P241+'Sch M 2.3'!P248+'Sch M 2.3'!P255+'Sch M 2.3'!P262+'Sch M 2.3'!P290+'Sch M 2.3'!P297+'Sch M 2.3'!P304+'Sch M 2.3'!P311+'Sch M 2.3'!P318+'Sch M 2.3'!P325+'Sch M 2.3'!P352+'Sch M 2.3'!P359</f>
        <v>3312848.9000000008</v>
      </c>
      <c r="O72" s="181">
        <f>SUM(C72:N72)</f>
        <v>29886623.300000004</v>
      </c>
    </row>
    <row r="73" spans="1:18" x14ac:dyDescent="0.25">
      <c r="A73" s="76">
        <f>A72+1</f>
        <v>8</v>
      </c>
      <c r="B73" s="158" t="s">
        <v>312</v>
      </c>
      <c r="C73" s="50">
        <f>'Sch M 2.3'!E371</f>
        <v>147004</v>
      </c>
      <c r="D73" s="50">
        <f>'Sch M 2.3'!F371</f>
        <v>163004</v>
      </c>
      <c r="E73" s="50">
        <f>'Sch M 2.3'!G371</f>
        <v>167004</v>
      </c>
      <c r="F73" s="50">
        <f>'Sch M 2.3'!H371</f>
        <v>189004</v>
      </c>
      <c r="G73" s="50">
        <f>'Sch M 2.3'!I371</f>
        <v>91004</v>
      </c>
      <c r="H73" s="50">
        <f>'Sch M 2.3'!J371</f>
        <v>72004</v>
      </c>
      <c r="I73" s="50">
        <f>'Sch M 2.3'!K371</f>
        <v>62004</v>
      </c>
      <c r="J73" s="50">
        <f>'Sch M 2.3'!L371</f>
        <v>59004</v>
      </c>
      <c r="K73" s="50">
        <f>'Sch M 2.3'!M371</f>
        <v>64004</v>
      </c>
      <c r="L73" s="50">
        <f>'Sch M 2.3'!N371</f>
        <v>65004</v>
      </c>
      <c r="M73" s="50">
        <f>'Sch M 2.3'!O371</f>
        <v>80004</v>
      </c>
      <c r="N73" s="50">
        <f>'Sch M 2.3'!P371</f>
        <v>173004</v>
      </c>
      <c r="O73" s="181">
        <f>SUM(C73:N73)</f>
        <v>1332048</v>
      </c>
    </row>
    <row r="74" spans="1:18" x14ac:dyDescent="0.25">
      <c r="A74" s="76"/>
      <c r="O74" s="186"/>
      <c r="R74" s="116"/>
    </row>
    <row r="75" spans="1:18" x14ac:dyDescent="0.25">
      <c r="A75" s="76">
        <f>A73+1</f>
        <v>9</v>
      </c>
      <c r="B75" s="158" t="s">
        <v>313</v>
      </c>
      <c r="C75" s="50">
        <f t="shared" ref="C75:M75" si="6">C70+C72+C73</f>
        <v>18615160.590000004</v>
      </c>
      <c r="D75" s="50">
        <f t="shared" si="6"/>
        <v>18205774.110000003</v>
      </c>
      <c r="E75" s="50">
        <f t="shared" si="6"/>
        <v>14581238.940000001</v>
      </c>
      <c r="F75" s="50">
        <f t="shared" si="6"/>
        <v>10271265.810000001</v>
      </c>
      <c r="G75" s="50">
        <f t="shared" si="6"/>
        <v>7028932.1500000004</v>
      </c>
      <c r="H75" s="50">
        <f t="shared" si="6"/>
        <v>5581589.1299999999</v>
      </c>
      <c r="I75" s="50">
        <f t="shared" si="6"/>
        <v>5118251.28</v>
      </c>
      <c r="J75" s="50">
        <f t="shared" si="6"/>
        <v>5105453.9300000006</v>
      </c>
      <c r="K75" s="50">
        <f t="shared" si="6"/>
        <v>5159548.51</v>
      </c>
      <c r="L75" s="50">
        <f t="shared" si="6"/>
        <v>5848480.1999999993</v>
      </c>
      <c r="M75" s="50">
        <f t="shared" si="6"/>
        <v>8583075.2599999998</v>
      </c>
      <c r="N75" s="50">
        <f>N70+N72+N73</f>
        <v>13991769.510000002</v>
      </c>
      <c r="O75" s="181">
        <f>SUM(C75:N75)</f>
        <v>118090539.42000003</v>
      </c>
      <c r="R75" s="116"/>
    </row>
    <row r="76" spans="1:18" x14ac:dyDescent="0.25">
      <c r="A76" s="76">
        <f>A75+1</f>
        <v>10</v>
      </c>
      <c r="B76" s="158" t="s">
        <v>151</v>
      </c>
      <c r="C76" s="187">
        <f>'Sch M 2.3'!E68+'Sch M 2.3'!E75+'Sch M 2.3'!E82+'Sch M 2.3'!E89++'Sch M 2.3'!E96+'Sch M 2.3'!E103+'Sch M 2.3'!E130+'Sch M 2.3'!E137+'Sch M 2.3'!E144+'Sch M 2.3'!E151+'Sch M 2.3'!E158+'Sch M 2.3'!E185+'Sch M 2.3'!E192+'Sch M 2.3'!E199</f>
        <v>4483477.790000001</v>
      </c>
      <c r="D76" s="187">
        <f>'Sch M 2.3'!F68+'Sch M 2.3'!F75+'Sch M 2.3'!F82+'Sch M 2.3'!F89++'Sch M 2.3'!F96+'Sch M 2.3'!F103+'Sch M 2.3'!F130+'Sch M 2.3'!F137+'Sch M 2.3'!F144+'Sch M 2.3'!F151+'Sch M 2.3'!F158+'Sch M 2.3'!F185+'Sch M 2.3'!F192+'Sch M 2.3'!F199</f>
        <v>4376758.3900000006</v>
      </c>
      <c r="E76" s="187">
        <f>'Sch M 2.3'!G68+'Sch M 2.3'!G75+'Sch M 2.3'!G82+'Sch M 2.3'!G89++'Sch M 2.3'!G96+'Sch M 2.3'!G103+'Sch M 2.3'!G130+'Sch M 2.3'!G137+'Sch M 2.3'!G144+'Sch M 2.3'!G151+'Sch M 2.3'!G158+'Sch M 2.3'!G185+'Sch M 2.3'!G192+'Sch M 2.3'!G199</f>
        <v>3220650.43</v>
      </c>
      <c r="F76" s="187">
        <f>'Sch M 2.3'!H68+'Sch M 2.3'!H75+'Sch M 2.3'!H82+'Sch M 2.3'!H89++'Sch M 2.3'!H96+'Sch M 2.3'!H103+'Sch M 2.3'!H130+'Sch M 2.3'!H137+'Sch M 2.3'!H144+'Sch M 2.3'!H151+'Sch M 2.3'!H158+'Sch M 2.3'!H185+'Sch M 2.3'!H192+'Sch M 2.3'!H199</f>
        <v>1901250.88</v>
      </c>
      <c r="G76" s="187">
        <f>'Sch M 2.3'!I68+'Sch M 2.3'!I75+'Sch M 2.3'!I82+'Sch M 2.3'!I89++'Sch M 2.3'!I96+'Sch M 2.3'!I103+'Sch M 2.3'!I130+'Sch M 2.3'!I137+'Sch M 2.3'!I144+'Sch M 2.3'!I151+'Sch M 2.3'!I158+'Sch M 2.3'!I185+'Sch M 2.3'!I192+'Sch M 2.3'!I199</f>
        <v>935708.05000000016</v>
      </c>
      <c r="H76" s="187">
        <f>'Sch M 2.3'!J68+'Sch M 2.3'!J75+'Sch M 2.3'!J82+'Sch M 2.3'!J89++'Sch M 2.3'!J96+'Sch M 2.3'!J103+'Sch M 2.3'!J130+'Sch M 2.3'!J137+'Sch M 2.3'!J144+'Sch M 2.3'!J151+'Sch M 2.3'!J158+'Sch M 2.3'!J185+'Sch M 2.3'!J192+'Sch M 2.3'!J199</f>
        <v>513952.18000000005</v>
      </c>
      <c r="I76" s="187">
        <f>'Sch M 2.3'!K68+'Sch M 2.3'!K75+'Sch M 2.3'!K82+'Sch M 2.3'!K89++'Sch M 2.3'!K96+'Sch M 2.3'!K103+'Sch M 2.3'!K130+'Sch M 2.3'!K137+'Sch M 2.3'!K144+'Sch M 2.3'!K151+'Sch M 2.3'!K158+'Sch M 2.3'!K185+'Sch M 2.3'!K192+'Sch M 2.3'!K199</f>
        <v>383735.23999999993</v>
      </c>
      <c r="J76" s="187">
        <f>'Sch M 2.3'!L68+'Sch M 2.3'!L75+'Sch M 2.3'!L82+'Sch M 2.3'!L89++'Sch M 2.3'!L96+'Sch M 2.3'!L103+'Sch M 2.3'!L130+'Sch M 2.3'!L137+'Sch M 2.3'!L144+'Sch M 2.3'!L151+'Sch M 2.3'!L158+'Sch M 2.3'!L185+'Sch M 2.3'!L192+'Sch M 2.3'!L199</f>
        <v>370504.07000000007</v>
      </c>
      <c r="K76" s="187">
        <f>'Sch M 2.3'!M68+'Sch M 2.3'!M75+'Sch M 2.3'!M82+'Sch M 2.3'!M89++'Sch M 2.3'!M96+'Sch M 2.3'!M103+'Sch M 2.3'!M130+'Sch M 2.3'!M137+'Sch M 2.3'!M144+'Sch M 2.3'!M151+'Sch M 2.3'!M158+'Sch M 2.3'!M185+'Sch M 2.3'!M192+'Sch M 2.3'!M199</f>
        <v>374902.17</v>
      </c>
      <c r="L76" s="187">
        <f>'Sch M 2.3'!N68+'Sch M 2.3'!N75+'Sch M 2.3'!N82+'Sch M 2.3'!N89++'Sch M 2.3'!N96+'Sch M 2.3'!N103+'Sch M 2.3'!N130+'Sch M 2.3'!N137+'Sch M 2.3'!N144+'Sch M 2.3'!N151+'Sch M 2.3'!N158+'Sch M 2.3'!N185+'Sch M 2.3'!N192+'Sch M 2.3'!N199</f>
        <v>553542.36</v>
      </c>
      <c r="M76" s="187">
        <f>'Sch M 2.3'!O68+'Sch M 2.3'!O75+'Sch M 2.3'!O82+'Sch M 2.3'!O89++'Sch M 2.3'!O96+'Sch M 2.3'!O103+'Sch M 2.3'!O130+'Sch M 2.3'!O137+'Sch M 2.3'!O144+'Sch M 2.3'!O151+'Sch M 2.3'!O158+'Sch M 2.3'!O185+'Sch M 2.3'!O192+'Sch M 2.3'!O199</f>
        <v>1351384.0199999998</v>
      </c>
      <c r="N76" s="187">
        <f>'Sch M 2.3'!P68+'Sch M 2.3'!P75+'Sch M 2.3'!P82+'Sch M 2.3'!P89++'Sch M 2.3'!P96+'Sch M 2.3'!P103+'Sch M 2.3'!P130+'Sch M 2.3'!P137+'Sch M 2.3'!P144+'Sch M 2.3'!P151+'Sch M 2.3'!P158+'Sch M 2.3'!P185+'Sch M 2.3'!P192+'Sch M 2.3'!P199</f>
        <v>3010084.5300000003</v>
      </c>
      <c r="O76" s="181">
        <f>SUM(C76:N76)</f>
        <v>21475950.110000003</v>
      </c>
      <c r="R76" s="116"/>
    </row>
    <row r="77" spans="1:18" x14ac:dyDescent="0.25">
      <c r="A77" s="76"/>
      <c r="B77" s="158"/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61"/>
      <c r="R77" s="116"/>
    </row>
    <row r="78" spans="1:18" ht="15.6" thickBot="1" x14ac:dyDescent="0.3">
      <c r="A78" s="76">
        <f>A76+1</f>
        <v>11</v>
      </c>
      <c r="B78" s="158" t="s">
        <v>314</v>
      </c>
      <c r="C78" s="188">
        <f t="shared" ref="C78:M78" si="7">C75-C76</f>
        <v>14131682.800000003</v>
      </c>
      <c r="D78" s="188">
        <f t="shared" si="7"/>
        <v>13829015.720000003</v>
      </c>
      <c r="E78" s="188">
        <f t="shared" si="7"/>
        <v>11360588.510000002</v>
      </c>
      <c r="F78" s="188">
        <f t="shared" si="7"/>
        <v>8370014.9300000006</v>
      </c>
      <c r="G78" s="188">
        <f t="shared" si="7"/>
        <v>6093224.1000000006</v>
      </c>
      <c r="H78" s="188">
        <f t="shared" si="7"/>
        <v>5067636.95</v>
      </c>
      <c r="I78" s="188">
        <f t="shared" si="7"/>
        <v>4734516.04</v>
      </c>
      <c r="J78" s="188">
        <f t="shared" si="7"/>
        <v>4734949.8600000003</v>
      </c>
      <c r="K78" s="188">
        <f t="shared" si="7"/>
        <v>4784646.34</v>
      </c>
      <c r="L78" s="188">
        <f t="shared" si="7"/>
        <v>5294937.8399999989</v>
      </c>
      <c r="M78" s="188">
        <f t="shared" si="7"/>
        <v>7231691.2400000002</v>
      </c>
      <c r="N78" s="188">
        <f>N75-N76</f>
        <v>10981684.98</v>
      </c>
      <c r="O78" s="188">
        <f>O75-O76</f>
        <v>96614589.310000032</v>
      </c>
    </row>
    <row r="79" spans="1:18" ht="15.6" thickTop="1" x14ac:dyDescent="0.25">
      <c r="A79" s="76"/>
      <c r="B79" s="158"/>
      <c r="C79" s="189"/>
      <c r="D79" s="189"/>
      <c r="E79" s="189"/>
      <c r="F79" s="189"/>
      <c r="G79" s="190"/>
      <c r="H79" s="191"/>
      <c r="I79" s="189"/>
      <c r="J79" s="189"/>
      <c r="K79" s="189"/>
      <c r="L79" s="189"/>
      <c r="M79" s="189"/>
      <c r="N79" s="189"/>
      <c r="O79" s="71"/>
    </row>
    <row r="80" spans="1:18" x14ac:dyDescent="0.25">
      <c r="A80" s="76"/>
      <c r="B80" s="158"/>
      <c r="C80" s="189"/>
      <c r="D80" s="189"/>
      <c r="E80" s="189"/>
      <c r="F80" s="189"/>
      <c r="G80" s="190"/>
      <c r="H80" s="191"/>
      <c r="I80" s="189"/>
      <c r="J80" s="189"/>
      <c r="K80" s="189"/>
      <c r="L80" s="189"/>
      <c r="M80" s="189"/>
      <c r="N80" s="189"/>
      <c r="O80" s="71"/>
    </row>
    <row r="81" spans="1:18" ht="15.6" x14ac:dyDescent="0.3">
      <c r="A81" s="76">
        <f>A78+1</f>
        <v>12</v>
      </c>
      <c r="B81" s="158" t="s">
        <v>412</v>
      </c>
      <c r="C81" s="109"/>
      <c r="D81" s="109"/>
      <c r="E81" s="109"/>
      <c r="F81" s="109"/>
      <c r="G81" s="109"/>
      <c r="I81" s="192"/>
      <c r="J81" s="192"/>
      <c r="K81" s="192"/>
      <c r="L81" s="192"/>
      <c r="M81" s="192"/>
      <c r="N81" s="192"/>
      <c r="O81" s="168"/>
      <c r="P81" s="47"/>
      <c r="R81" s="47"/>
    </row>
    <row r="82" spans="1:18" ht="15.6" x14ac:dyDescent="0.3">
      <c r="A82" s="76"/>
      <c r="B82" s="158"/>
      <c r="C82" s="192"/>
      <c r="D82" s="182"/>
      <c r="E82" s="192"/>
      <c r="F82" s="192"/>
      <c r="G82" s="184"/>
      <c r="H82" s="184"/>
      <c r="I82" s="192"/>
      <c r="J82" s="192"/>
      <c r="K82" s="192"/>
      <c r="L82" s="192"/>
      <c r="M82" s="192"/>
      <c r="N82" s="192"/>
      <c r="O82" s="168"/>
      <c r="P82" s="47"/>
      <c r="Q82" s="47"/>
      <c r="R82" s="47"/>
    </row>
    <row r="83" spans="1:18" ht="15.6" x14ac:dyDescent="0.3">
      <c r="A83" s="76">
        <f>A81+1</f>
        <v>13</v>
      </c>
      <c r="B83" s="166" t="s">
        <v>306</v>
      </c>
      <c r="C83" s="185">
        <f>'Sch M 2.3'!E66+'Sch M 2.3'!E80+'Sch M 2.3'!E87+'Sch M 2.3'!E94+'Sch M 2.3'!E101+'Sch M 2.3'!E128+'Sch M 2.3'!E142+'Sch M 2.3'!E149</f>
        <v>1333000.0000000002</v>
      </c>
      <c r="D83" s="185">
        <f>'Sch M 2.3'!F66+'Sch M 2.3'!F80+'Sch M 2.3'!F87+'Sch M 2.3'!F94+'Sch M 2.3'!F101+'Sch M 2.3'!F128+'Sch M 2.3'!F142+'Sch M 2.3'!F149</f>
        <v>1292000.0999999999</v>
      </c>
      <c r="E83" s="185">
        <f>'Sch M 2.3'!G66+'Sch M 2.3'!G80+'Sch M 2.3'!G87+'Sch M 2.3'!G94+'Sch M 2.3'!G101+'Sch M 2.3'!G128+'Sch M 2.3'!G142+'Sch M 2.3'!G149</f>
        <v>969000</v>
      </c>
      <c r="F83" s="185">
        <f>'Sch M 2.3'!H66+'Sch M 2.3'!H80+'Sch M 2.3'!H87+'Sch M 2.3'!H94+'Sch M 2.3'!H101+'Sch M 2.3'!H128+'Sch M 2.3'!H142+'Sch M 2.3'!H149</f>
        <v>552999.9</v>
      </c>
      <c r="G83" s="185">
        <f>'Sch M 2.3'!I66+'Sch M 2.3'!I80+'Sch M 2.3'!I87+'Sch M 2.3'!I94+'Sch M 2.3'!I101+'Sch M 2.3'!I128+'Sch M 2.3'!I142+'Sch M 2.3'!I149</f>
        <v>259999.90000000002</v>
      </c>
      <c r="H83" s="185">
        <f>'Sch M 2.3'!J66+'Sch M 2.3'!J80+'Sch M 2.3'!J87+'Sch M 2.3'!J94+'Sch M 2.3'!J101+'Sch M 2.3'!J128+'Sch M 2.3'!J142+'Sch M 2.3'!J149</f>
        <v>123999.99999999999</v>
      </c>
      <c r="I83" s="185">
        <f>'Sch M 2.3'!K66+'Sch M 2.3'!K80+'Sch M 2.3'!K87+'Sch M 2.3'!K94+'Sch M 2.3'!K101+'Sch M 2.3'!K128+'Sch M 2.3'!K142+'Sch M 2.3'!K149</f>
        <v>89000.1</v>
      </c>
      <c r="J83" s="185">
        <f>'Sch M 2.3'!L66+'Sch M 2.3'!L80+'Sch M 2.3'!L87+'Sch M 2.3'!L94+'Sch M 2.3'!L101+'Sch M 2.3'!L128+'Sch M 2.3'!L142+'Sch M 2.3'!L149</f>
        <v>86000</v>
      </c>
      <c r="K83" s="185">
        <f>'Sch M 2.3'!M66+'Sch M 2.3'!M80+'Sch M 2.3'!M87+'Sch M 2.3'!M94+'Sch M 2.3'!M101+'Sch M 2.3'!M128+'Sch M 2.3'!M142+'Sch M 2.3'!M149</f>
        <v>89000.099999999991</v>
      </c>
      <c r="L83" s="185">
        <f>'Sch M 2.3'!N66+'Sch M 2.3'!N80+'Sch M 2.3'!N87+'Sch M 2.3'!N94+'Sch M 2.3'!N101+'Sch M 2.3'!N128+'Sch M 2.3'!N142+'Sch M 2.3'!N149</f>
        <v>141999.99999999997</v>
      </c>
      <c r="M83" s="185">
        <f>'Sch M 2.3'!O66+'Sch M 2.3'!O80+'Sch M 2.3'!O87+'Sch M 2.3'!O94+'Sch M 2.3'!O101+'Sch M 2.3'!O128+'Sch M 2.3'!O142+'Sch M 2.3'!O149</f>
        <v>409000.00000000006</v>
      </c>
      <c r="N83" s="185">
        <f>'Sch M 2.3'!P66+'Sch M 2.3'!P80+'Sch M 2.3'!P87+'Sch M 2.3'!P94+'Sch M 2.3'!P101+'Sch M 2.3'!P128+'Sch M 2.3'!P142+'Sch M 2.3'!P149</f>
        <v>907000</v>
      </c>
      <c r="O83" s="180">
        <f>SUM(C83:N83)</f>
        <v>6253000.0999999996</v>
      </c>
      <c r="P83" s="57"/>
      <c r="Q83" s="57"/>
      <c r="R83" s="57"/>
    </row>
    <row r="84" spans="1:18" ht="15.6" x14ac:dyDescent="0.3">
      <c r="A84" s="76">
        <f>A83+1</f>
        <v>14</v>
      </c>
      <c r="B84" s="158" t="s">
        <v>307</v>
      </c>
      <c r="C84" s="185">
        <f>'Sch M 2.3'!E73+'Sch M 2.3'!E135+'Sch M 2.3'!E156</f>
        <v>661239</v>
      </c>
      <c r="D84" s="185">
        <f>'Sch M 2.3'!F73+'Sch M 2.3'!F135+'Sch M 2.3'!F156</f>
        <v>655603.4</v>
      </c>
      <c r="E84" s="185">
        <f>'Sch M 2.3'!G73+'Sch M 2.3'!G135+'Sch M 2.3'!G156</f>
        <v>457308.9</v>
      </c>
      <c r="F84" s="185">
        <f>'Sch M 2.3'!H73+'Sch M 2.3'!H135+'Sch M 2.3'!H156</f>
        <v>277529.19999999995</v>
      </c>
      <c r="G84" s="185">
        <f>'Sch M 2.3'!I73+'Sch M 2.3'!I135+'Sch M 2.3'!I156</f>
        <v>134569.29999999999</v>
      </c>
      <c r="H84" s="185">
        <f>'Sch M 2.3'!J73+'Sch M 2.3'!J135+'Sch M 2.3'!J156</f>
        <v>80743.899999999994</v>
      </c>
      <c r="I84" s="185">
        <f>'Sch M 2.3'!K73+'Sch M 2.3'!K135+'Sch M 2.3'!K156</f>
        <v>56765.5</v>
      </c>
      <c r="J84" s="185">
        <f>'Sch M 2.3'!L73+'Sch M 2.3'!L135+'Sch M 2.3'!L156</f>
        <v>52809.2</v>
      </c>
      <c r="K84" s="185">
        <f>'Sch M 2.3'!M73+'Sch M 2.3'!M135+'Sch M 2.3'!M156</f>
        <v>51816.6</v>
      </c>
      <c r="L84" s="185">
        <f>'Sch M 2.3'!N73+'Sch M 2.3'!N135+'Sch M 2.3'!N156</f>
        <v>77181.100000000006</v>
      </c>
      <c r="M84" s="185">
        <f>'Sch M 2.3'!O73+'Sch M 2.3'!O135+'Sch M 2.3'!O156</f>
        <v>171160.69999999998</v>
      </c>
      <c r="N84" s="185">
        <f>'Sch M 2.3'!P73+'Sch M 2.3'!P135+'Sch M 2.3'!P156</f>
        <v>423897</v>
      </c>
      <c r="O84" s="180">
        <f>SUM(C84:N84)</f>
        <v>3100623.8000000003</v>
      </c>
      <c r="P84" s="47"/>
      <c r="Q84" s="47"/>
      <c r="R84" s="47"/>
    </row>
    <row r="85" spans="1:18" x14ac:dyDescent="0.25">
      <c r="A85" s="76">
        <f>A84+1</f>
        <v>15</v>
      </c>
      <c r="B85" s="158" t="s">
        <v>308</v>
      </c>
      <c r="C85" s="185">
        <f>'Sch M 2.3'!E183+'Sch M 2.3'!E190</f>
        <v>33000.199999999997</v>
      </c>
      <c r="D85" s="185">
        <f>'Sch M 2.3'!F183+'Sch M 2.3'!F190</f>
        <v>31999.9</v>
      </c>
      <c r="E85" s="185">
        <f>'Sch M 2.3'!G183+'Sch M 2.3'!G190</f>
        <v>30900</v>
      </c>
      <c r="F85" s="185">
        <f>'Sch M 2.3'!H183+'Sch M 2.3'!H190</f>
        <v>29799.9</v>
      </c>
      <c r="G85" s="185">
        <f>'Sch M 2.3'!I183+'Sch M 2.3'!I190</f>
        <v>28800.3</v>
      </c>
      <c r="H85" s="185">
        <f>'Sch M 2.3'!J183+'Sch M 2.3'!J190</f>
        <v>27749.9</v>
      </c>
      <c r="I85" s="185">
        <f>'Sch M 2.3'!K183+'Sch M 2.3'!K190</f>
        <v>27749.9</v>
      </c>
      <c r="J85" s="185">
        <f>'Sch M 2.3'!L183+'Sch M 2.3'!L190</f>
        <v>28750.199999999997</v>
      </c>
      <c r="K85" s="185">
        <f>'Sch M 2.3'!M183+'Sch M 2.3'!M190</f>
        <v>28750.199999999997</v>
      </c>
      <c r="L85" s="185">
        <f>'Sch M 2.3'!N183+'Sch M 2.3'!N190</f>
        <v>30849.9</v>
      </c>
      <c r="M85" s="185">
        <f>'Sch M 2.3'!O183+'Sch M 2.3'!O190</f>
        <v>30900</v>
      </c>
      <c r="N85" s="185">
        <f>'Sch M 2.3'!P183+'Sch M 2.3'!P190</f>
        <v>31000.1</v>
      </c>
      <c r="O85" s="180">
        <f>SUM(C85:N85)</f>
        <v>360250.5</v>
      </c>
      <c r="P85" s="90"/>
    </row>
    <row r="86" spans="1:18" ht="15.6" x14ac:dyDescent="0.3">
      <c r="A86" s="76">
        <f>A85+1</f>
        <v>16</v>
      </c>
      <c r="B86" s="158" t="s">
        <v>309</v>
      </c>
      <c r="C86" s="193">
        <f>'Sch M 2.3'!E197</f>
        <v>3136.7</v>
      </c>
      <c r="D86" s="193">
        <f>'Sch M 2.3'!F197</f>
        <v>2307.1999999999998</v>
      </c>
      <c r="E86" s="193">
        <f>'Sch M 2.3'!G197</f>
        <v>1098.5999999999999</v>
      </c>
      <c r="F86" s="193">
        <f>'Sch M 2.3'!H197</f>
        <v>641.70000000000005</v>
      </c>
      <c r="G86" s="193">
        <f>'Sch M 2.3'!I197</f>
        <v>362.9</v>
      </c>
      <c r="H86" s="193">
        <f>'Sch M 2.3'!J197</f>
        <v>221.4</v>
      </c>
      <c r="I86" s="193">
        <f>'Sch M 2.3'!K197</f>
        <v>245</v>
      </c>
      <c r="J86" s="193">
        <f>'Sch M 2.3'!L197</f>
        <v>196.3</v>
      </c>
      <c r="K86" s="193">
        <f>'Sch M 2.3'!M197</f>
        <v>196.6</v>
      </c>
      <c r="L86" s="193">
        <f>'Sch M 2.3'!N197</f>
        <v>705.2</v>
      </c>
      <c r="M86" s="193">
        <f>'Sch M 2.3'!O197</f>
        <v>1014.3</v>
      </c>
      <c r="N86" s="193">
        <f>'Sch M 2.3'!P197</f>
        <v>1194.8</v>
      </c>
      <c r="O86" s="193">
        <f>SUM(C86:N86)</f>
        <v>11320.699999999999</v>
      </c>
      <c r="P86" s="117"/>
      <c r="Q86" s="117"/>
    </row>
    <row r="87" spans="1:18" x14ac:dyDescent="0.25">
      <c r="A87" s="76">
        <f>A86+1</f>
        <v>17</v>
      </c>
      <c r="B87" s="158" t="s">
        <v>310</v>
      </c>
      <c r="C87" s="185">
        <f t="shared" ref="C87:M87" si="8">SUM(C83:C86)</f>
        <v>2030375.9000000001</v>
      </c>
      <c r="D87" s="185">
        <f t="shared" si="8"/>
        <v>1981910.5999999999</v>
      </c>
      <c r="E87" s="185">
        <f t="shared" si="8"/>
        <v>1458307.5</v>
      </c>
      <c r="F87" s="185">
        <f t="shared" si="8"/>
        <v>860970.7</v>
      </c>
      <c r="G87" s="185">
        <f t="shared" si="8"/>
        <v>423732.4</v>
      </c>
      <c r="H87" s="185">
        <f t="shared" si="8"/>
        <v>232715.19999999995</v>
      </c>
      <c r="I87" s="185">
        <f t="shared" si="8"/>
        <v>173760.5</v>
      </c>
      <c r="J87" s="185">
        <f t="shared" si="8"/>
        <v>167755.70000000001</v>
      </c>
      <c r="K87" s="185">
        <f t="shared" si="8"/>
        <v>169763.49999999997</v>
      </c>
      <c r="L87" s="185">
        <f t="shared" si="8"/>
        <v>250736.19999999998</v>
      </c>
      <c r="M87" s="185">
        <f t="shared" si="8"/>
        <v>612075.00000000012</v>
      </c>
      <c r="N87" s="185">
        <f>SUM(N83:N86)</f>
        <v>1363091.9000000001</v>
      </c>
      <c r="O87" s="185">
        <f>SUM(O83:O86)</f>
        <v>9725195.0999999996</v>
      </c>
    </row>
    <row r="88" spans="1:18" x14ac:dyDescent="0.25">
      <c r="A88" s="76"/>
      <c r="B88" s="158"/>
      <c r="C88" s="182"/>
      <c r="D88" s="182"/>
      <c r="E88" s="182"/>
      <c r="F88" s="182"/>
      <c r="G88" s="184"/>
    </row>
    <row r="89" spans="1:18" x14ac:dyDescent="0.25">
      <c r="A89" s="76">
        <f>A87+1</f>
        <v>18</v>
      </c>
      <c r="B89" s="158" t="s">
        <v>311</v>
      </c>
      <c r="C89" s="185">
        <f>'Sch M 2.3'!E224+'Sch M 2.3'!E231+'Sch M 2.3'!E238+'Sch M 2.3'!E245+'Sch M 2.3'!E252+'Sch M 2.3'!E259+'Sch M 2.3'!E287+'Sch M 2.3'!E294+'Sch M 2.3'!E301+'Sch M 2.3'!E308+'Sch M 2.3'!E315+'Sch M 2.3'!E322+'Sch M 2.3'!E349+'Sch M 2.3'!E356</f>
        <v>2400888.5999999996</v>
      </c>
      <c r="D89" s="185">
        <f>'Sch M 2.3'!F224+'Sch M 2.3'!F231+'Sch M 2.3'!F238+'Sch M 2.3'!F245+'Sch M 2.3'!F252+'Sch M 2.3'!F259+'Sch M 2.3'!F287+'Sch M 2.3'!F294+'Sch M 2.3'!F301+'Sch M 2.3'!F308+'Sch M 2.3'!F315+'Sch M 2.3'!F322+'Sch M 2.3'!F349+'Sch M 2.3'!F356</f>
        <v>2222626.2000000002</v>
      </c>
      <c r="E89" s="185">
        <f>'Sch M 2.3'!G224+'Sch M 2.3'!G231+'Sch M 2.3'!G238+'Sch M 2.3'!G245+'Sch M 2.3'!G252+'Sch M 2.3'!G259+'Sch M 2.3'!G287+'Sch M 2.3'!G294+'Sch M 2.3'!G301+'Sch M 2.3'!G308+'Sch M 2.3'!G315+'Sch M 2.3'!G322+'Sch M 2.3'!G349+'Sch M 2.3'!G356</f>
        <v>1947625.2</v>
      </c>
      <c r="F89" s="185">
        <f>'Sch M 2.3'!H224+'Sch M 2.3'!H231+'Sch M 2.3'!H238+'Sch M 2.3'!H245+'Sch M 2.3'!H252+'Sch M 2.3'!H259+'Sch M 2.3'!H287+'Sch M 2.3'!H294+'Sch M 2.3'!H301+'Sch M 2.3'!H308+'Sch M 2.3'!H315+'Sch M 2.3'!H322+'Sch M 2.3'!H349+'Sch M 2.3'!H356</f>
        <v>1563627.7000000002</v>
      </c>
      <c r="G89" s="185">
        <f>'Sch M 2.3'!I224+'Sch M 2.3'!I231+'Sch M 2.3'!I238+'Sch M 2.3'!I245+'Sch M 2.3'!I252+'Sch M 2.3'!I259+'Sch M 2.3'!I287+'Sch M 2.3'!I294+'Sch M 2.3'!I301+'Sch M 2.3'!I308+'Sch M 2.3'!I315+'Sch M 2.3'!I322+'Sch M 2.3'!I349+'Sch M 2.3'!I356</f>
        <v>1330622.7000000002</v>
      </c>
      <c r="H89" s="185">
        <f>'Sch M 2.3'!J224+'Sch M 2.3'!J231+'Sch M 2.3'!J238+'Sch M 2.3'!J245+'Sch M 2.3'!J252+'Sch M 2.3'!J259+'Sch M 2.3'!J287+'Sch M 2.3'!J294+'Sch M 2.3'!J301+'Sch M 2.3'!J308+'Sch M 2.3'!J315+'Sch M 2.3'!J322+'Sch M 2.3'!J349+'Sch M 2.3'!J356</f>
        <v>1208623.7999999998</v>
      </c>
      <c r="I89" s="185">
        <f>'Sch M 2.3'!K224+'Sch M 2.3'!K231+'Sch M 2.3'!K238+'Sch M 2.3'!K245+'Sch M 2.3'!K252+'Sch M 2.3'!K259+'Sch M 2.3'!K287+'Sch M 2.3'!K294+'Sch M 2.3'!K301+'Sch M 2.3'!K308+'Sch M 2.3'!K315+'Sch M 2.3'!K322+'Sch M 2.3'!K349+'Sch M 2.3'!K356</f>
        <v>1155623</v>
      </c>
      <c r="J89" s="185">
        <f>'Sch M 2.3'!L224+'Sch M 2.3'!L231+'Sch M 2.3'!L238+'Sch M 2.3'!L245+'Sch M 2.3'!L252+'Sch M 2.3'!L259+'Sch M 2.3'!L287+'Sch M 2.3'!L294+'Sch M 2.3'!L301+'Sch M 2.3'!L308+'Sch M 2.3'!L315+'Sch M 2.3'!L322+'Sch M 2.3'!L349+'Sch M 2.3'!L356</f>
        <v>1197625.1000000001</v>
      </c>
      <c r="K89" s="185">
        <f>'Sch M 2.3'!M224+'Sch M 2.3'!M231+'Sch M 2.3'!M238+'Sch M 2.3'!M245+'Sch M 2.3'!M252+'Sch M 2.3'!M259+'Sch M 2.3'!M287+'Sch M 2.3'!M294+'Sch M 2.3'!M301+'Sch M 2.3'!M308+'Sch M 2.3'!M315+'Sch M 2.3'!M322+'Sch M 2.3'!M349+'Sch M 2.3'!M356</f>
        <v>1245622</v>
      </c>
      <c r="L89" s="185">
        <f>'Sch M 2.3'!N224+'Sch M 2.3'!N231+'Sch M 2.3'!N238+'Sch M 2.3'!N245+'Sch M 2.3'!N252+'Sch M 2.3'!N259+'Sch M 2.3'!N287+'Sch M 2.3'!N294+'Sch M 2.3'!N301+'Sch M 2.3'!N308+'Sch M 2.3'!N315+'Sch M 2.3'!N322+'Sch M 2.3'!N349+'Sch M 2.3'!N356</f>
        <v>1435618.7999999998</v>
      </c>
      <c r="M89" s="185">
        <f>'Sch M 2.3'!O224+'Sch M 2.3'!O231+'Sch M 2.3'!O238+'Sch M 2.3'!O245+'Sch M 2.3'!O252+'Sch M 2.3'!O259+'Sch M 2.3'!O287+'Sch M 2.3'!O294+'Sch M 2.3'!O301+'Sch M 2.3'!O308+'Sch M 2.3'!O315+'Sch M 2.3'!O322+'Sch M 2.3'!O349+'Sch M 2.3'!O356</f>
        <v>1711618.7</v>
      </c>
      <c r="N89" s="185">
        <f>'Sch M 2.3'!P224+'Sch M 2.3'!P231+'Sch M 2.3'!P238+'Sch M 2.3'!P245+'Sch M 2.3'!P252+'Sch M 2.3'!P259+'Sch M 2.3'!P287+'Sch M 2.3'!P294+'Sch M 2.3'!P301+'Sch M 2.3'!P308+'Sch M 2.3'!P315+'Sch M 2.3'!P322+'Sch M 2.3'!P349+'Sch M 2.3'!P356</f>
        <v>2041884.7000000002</v>
      </c>
      <c r="O89" s="180">
        <f>SUM(C89:N89)</f>
        <v>19462006.499999996</v>
      </c>
    </row>
    <row r="90" spans="1:18" ht="15.6" x14ac:dyDescent="0.3">
      <c r="A90" s="76"/>
      <c r="B90" s="64"/>
      <c r="C90" s="182"/>
      <c r="D90" s="182"/>
      <c r="E90" s="182"/>
      <c r="F90" s="182"/>
      <c r="G90" s="192"/>
      <c r="H90" s="192"/>
      <c r="I90" s="192"/>
      <c r="J90" s="192"/>
      <c r="K90" s="192"/>
      <c r="L90" s="192"/>
      <c r="M90" s="192"/>
      <c r="N90" s="192"/>
      <c r="O90" s="192"/>
    </row>
    <row r="91" spans="1:18" ht="15.6" thickBot="1" x14ac:dyDescent="0.3">
      <c r="A91" s="76">
        <f>A89+1</f>
        <v>19</v>
      </c>
      <c r="B91" s="64" t="s">
        <v>315</v>
      </c>
      <c r="C91" s="194">
        <f t="shared" ref="C91:M91" si="9">C87+C89</f>
        <v>4431264.5</v>
      </c>
      <c r="D91" s="194">
        <f t="shared" si="9"/>
        <v>4204536.8</v>
      </c>
      <c r="E91" s="194">
        <f t="shared" si="9"/>
        <v>3405932.7</v>
      </c>
      <c r="F91" s="194">
        <f t="shared" si="9"/>
        <v>2424598.4000000004</v>
      </c>
      <c r="G91" s="194">
        <f t="shared" si="9"/>
        <v>1754355.1</v>
      </c>
      <c r="H91" s="194">
        <f t="shared" si="9"/>
        <v>1441338.9999999998</v>
      </c>
      <c r="I91" s="194">
        <f t="shared" si="9"/>
        <v>1329383.5</v>
      </c>
      <c r="J91" s="194">
        <f t="shared" si="9"/>
        <v>1365380.8</v>
      </c>
      <c r="K91" s="194">
        <f t="shared" si="9"/>
        <v>1415385.5</v>
      </c>
      <c r="L91" s="194">
        <f t="shared" si="9"/>
        <v>1686354.9999999998</v>
      </c>
      <c r="M91" s="194">
        <f t="shared" si="9"/>
        <v>2323693.7000000002</v>
      </c>
      <c r="N91" s="194">
        <f>N87+N89</f>
        <v>3404976.6000000006</v>
      </c>
      <c r="O91" s="194">
        <f>SUM(C91:N91)</f>
        <v>29187201.600000001</v>
      </c>
      <c r="P91" s="82"/>
      <c r="Q91" s="87"/>
      <c r="R91" s="82"/>
    </row>
    <row r="92" spans="1:18" ht="16.2" thickTop="1" x14ac:dyDescent="0.3">
      <c r="A92" s="76"/>
      <c r="C92" s="195"/>
      <c r="D92" s="182"/>
      <c r="E92" s="196"/>
      <c r="F92" s="196"/>
      <c r="G92" s="192"/>
      <c r="H92" s="185"/>
      <c r="I92" s="196"/>
      <c r="J92" s="196"/>
      <c r="K92" s="196"/>
      <c r="L92" s="196"/>
      <c r="M92" s="196"/>
      <c r="N92" s="196"/>
      <c r="O92" s="197"/>
      <c r="P92" s="95"/>
      <c r="Q92" s="119"/>
      <c r="R92" s="95"/>
    </row>
    <row r="93" spans="1:18" x14ac:dyDescent="0.25">
      <c r="A93" s="76"/>
      <c r="C93" s="198"/>
      <c r="D93" s="198"/>
      <c r="E93" s="198"/>
      <c r="F93" s="198"/>
      <c r="G93" s="182"/>
      <c r="I93" s="198"/>
      <c r="J93" s="198"/>
      <c r="K93" s="198"/>
      <c r="L93" s="198"/>
      <c r="M93" s="198"/>
      <c r="N93" s="198"/>
      <c r="O93" s="97"/>
      <c r="P93" s="82"/>
      <c r="Q93" s="87"/>
      <c r="R93" s="82"/>
    </row>
    <row r="94" spans="1:18" x14ac:dyDescent="0.25">
      <c r="A94" s="76"/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97"/>
      <c r="P94" s="82"/>
      <c r="Q94" s="87"/>
      <c r="R94" s="82"/>
    </row>
    <row r="95" spans="1:18" x14ac:dyDescent="0.25">
      <c r="A95" s="76"/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97"/>
      <c r="P95" s="82"/>
      <c r="Q95" s="87"/>
      <c r="R95" s="82"/>
    </row>
    <row r="96" spans="1:18" x14ac:dyDescent="0.25">
      <c r="A96" s="76"/>
      <c r="B96" s="158"/>
      <c r="C96" s="199"/>
      <c r="D96" s="61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82"/>
      <c r="Q96" s="95"/>
      <c r="R96" s="82"/>
    </row>
    <row r="97" spans="1:18" x14ac:dyDescent="0.25">
      <c r="A97" s="76"/>
      <c r="C97" s="199"/>
      <c r="D97" s="61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82"/>
      <c r="Q97" s="82"/>
      <c r="R97" s="82"/>
    </row>
    <row r="98" spans="1:18" x14ac:dyDescent="0.25">
      <c r="A98" s="76"/>
      <c r="B98" s="158"/>
      <c r="C98" s="199"/>
      <c r="D98" s="61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82"/>
      <c r="Q98" s="82"/>
      <c r="R98" s="82"/>
    </row>
    <row r="99" spans="1:18" x14ac:dyDescent="0.25">
      <c r="A99" s="76"/>
      <c r="C99" s="64"/>
      <c r="D99" s="61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Q99" s="82"/>
      <c r="R99" s="82"/>
    </row>
    <row r="100" spans="1:18" x14ac:dyDescent="0.25">
      <c r="A100" s="64"/>
      <c r="C100" s="64"/>
      <c r="D100" s="61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Q100" s="82"/>
      <c r="R100" s="82"/>
    </row>
    <row r="101" spans="1:18" x14ac:dyDescent="0.25">
      <c r="A101" s="64"/>
      <c r="B101" s="158"/>
      <c r="C101" s="64"/>
      <c r="D101" s="61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R101" s="116"/>
    </row>
    <row r="102" spans="1:18" x14ac:dyDescent="0.25">
      <c r="A102" s="64"/>
      <c r="C102" s="64"/>
      <c r="D102" s="61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R102" s="157"/>
    </row>
    <row r="103" spans="1:18" x14ac:dyDescent="0.25">
      <c r="A103" s="64"/>
      <c r="C103" s="64"/>
      <c r="D103" s="61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Q103" s="82"/>
      <c r="R103" s="82"/>
    </row>
    <row r="104" spans="1:18" x14ac:dyDescent="0.25">
      <c r="A104" s="64"/>
      <c r="C104" s="64"/>
      <c r="D104" s="61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Q104" s="82"/>
      <c r="R104" s="82"/>
    </row>
  </sheetData>
  <mergeCells count="12">
    <mergeCell ref="A59:O59"/>
    <mergeCell ref="A1:O1"/>
    <mergeCell ref="A2:O2"/>
    <mergeCell ref="A3:O3"/>
    <mergeCell ref="A4:O4"/>
    <mergeCell ref="A5:O5"/>
    <mergeCell ref="A11:O11"/>
    <mergeCell ref="A49:O49"/>
    <mergeCell ref="A50:O50"/>
    <mergeCell ref="A51:O51"/>
    <mergeCell ref="A52:O52"/>
    <mergeCell ref="A53:O53"/>
  </mergeCells>
  <printOptions horizontalCentered="1"/>
  <pageMargins left="0.5" right="0.25" top="0.5" bottom="0.25" header="0.25" footer="0.5"/>
  <pageSetup scale="68" orientation="landscape" r:id="rId1"/>
  <headerFooter alignWithMargins="0">
    <oddHeader>&amp;RKY PSC Case No. 2016-00162
Attachment B to PSC 2-65</oddHeader>
  </headerFooter>
  <rowBreaks count="1" manualBreakCount="1">
    <brk id="48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4"/>
  <dimension ref="A1:M64"/>
  <sheetViews>
    <sheetView topLeftCell="A19" zoomScaleNormal="100" zoomScaleSheetLayoutView="70" workbookViewId="0">
      <selection activeCell="C18" sqref="C18"/>
    </sheetView>
  </sheetViews>
  <sheetFormatPr defaultColWidth="10" defaultRowHeight="10.199999999999999" x14ac:dyDescent="0.2"/>
  <cols>
    <col min="1" max="1" width="5.1640625" style="221" customWidth="1"/>
    <col min="2" max="2" width="50.33203125" style="221" bestFit="1" customWidth="1"/>
    <col min="3" max="3" width="11.33203125" style="221" bestFit="1" customWidth="1"/>
    <col min="4" max="4" width="15" style="221" bestFit="1" customWidth="1"/>
    <col min="5" max="5" width="13.83203125" style="221" bestFit="1" customWidth="1"/>
    <col min="6" max="6" width="14.6640625" style="221" bestFit="1" customWidth="1"/>
    <col min="7" max="7" width="16.83203125" style="221" bestFit="1" customWidth="1"/>
    <col min="8" max="8" width="15" style="221" bestFit="1" customWidth="1"/>
    <col min="9" max="9" width="13.83203125" style="221" bestFit="1" customWidth="1"/>
    <col min="10" max="10" width="12.33203125" style="221" customWidth="1"/>
    <col min="11" max="11" width="16" style="221" customWidth="1"/>
    <col min="12" max="12" width="10" style="221" customWidth="1"/>
    <col min="13" max="13" width="15.6640625" style="221" customWidth="1"/>
    <col min="14" max="16384" width="10" style="221"/>
  </cols>
  <sheetData>
    <row r="1" spans="1:11" x14ac:dyDescent="0.2">
      <c r="A1" s="875" t="str">
        <f>CONAME</f>
        <v>Columbia Gas of Kentucky, Inc.</v>
      </c>
      <c r="B1" s="875"/>
      <c r="C1" s="875"/>
      <c r="D1" s="875"/>
      <c r="E1" s="875"/>
      <c r="F1" s="875"/>
      <c r="G1" s="875"/>
      <c r="H1" s="875"/>
      <c r="I1" s="875"/>
      <c r="J1" s="875"/>
    </row>
    <row r="2" spans="1:11" x14ac:dyDescent="0.2">
      <c r="A2" s="875" t="str">
        <f>case</f>
        <v>Case No. 2016-00162</v>
      </c>
      <c r="B2" s="875"/>
      <c r="C2" s="875"/>
      <c r="D2" s="875"/>
      <c r="E2" s="875"/>
      <c r="F2" s="875"/>
      <c r="G2" s="875"/>
      <c r="H2" s="875"/>
      <c r="I2" s="875"/>
      <c r="J2" s="875"/>
    </row>
    <row r="3" spans="1:11" x14ac:dyDescent="0.2">
      <c r="A3" s="875" t="s">
        <v>201</v>
      </c>
      <c r="B3" s="875"/>
      <c r="C3" s="875"/>
      <c r="D3" s="875"/>
      <c r="E3" s="875"/>
      <c r="F3" s="875"/>
      <c r="G3" s="875"/>
      <c r="H3" s="875"/>
      <c r="I3" s="875"/>
      <c r="J3" s="875"/>
    </row>
    <row r="4" spans="1:11" x14ac:dyDescent="0.2">
      <c r="A4" s="875" t="str">
        <f>TYDESC</f>
        <v>For the 12 Months Ended December 31, 2017</v>
      </c>
      <c r="B4" s="875"/>
      <c r="C4" s="875"/>
      <c r="D4" s="875"/>
      <c r="E4" s="875"/>
      <c r="F4" s="875"/>
      <c r="G4" s="875"/>
      <c r="H4" s="875"/>
      <c r="I4" s="875"/>
      <c r="J4" s="875"/>
    </row>
    <row r="5" spans="1:11" x14ac:dyDescent="0.2">
      <c r="A5" s="885" t="s">
        <v>39</v>
      </c>
      <c r="B5" s="885"/>
      <c r="C5" s="885"/>
      <c r="D5" s="885"/>
      <c r="E5" s="885"/>
      <c r="F5" s="885"/>
      <c r="G5" s="885"/>
      <c r="H5" s="885"/>
      <c r="I5" s="885"/>
      <c r="J5" s="885"/>
    </row>
    <row r="6" spans="1:11" x14ac:dyDescent="0.2">
      <c r="A6" s="801"/>
      <c r="B6" s="801"/>
      <c r="C6" s="801"/>
      <c r="D6" s="801"/>
      <c r="E6" s="801"/>
      <c r="F6" s="801"/>
      <c r="G6" s="801"/>
      <c r="H6" s="801"/>
      <c r="I6" s="801"/>
      <c r="J6" s="801"/>
    </row>
    <row r="7" spans="1:11" x14ac:dyDescent="0.2">
      <c r="A7" s="225" t="s">
        <v>570</v>
      </c>
    </row>
    <row r="8" spans="1:11" x14ac:dyDescent="0.2">
      <c r="A8" s="225" t="s">
        <v>537</v>
      </c>
      <c r="J8" s="420" t="s">
        <v>318</v>
      </c>
    </row>
    <row r="9" spans="1:11" x14ac:dyDescent="0.2">
      <c r="A9" s="501" t="s">
        <v>63</v>
      </c>
      <c r="J9" s="420" t="s">
        <v>399</v>
      </c>
    </row>
    <row r="10" spans="1:11" x14ac:dyDescent="0.2">
      <c r="A10" s="768" t="s">
        <v>303</v>
      </c>
      <c r="B10" s="769"/>
      <c r="C10" s="769"/>
      <c r="D10" s="769"/>
      <c r="E10" s="769"/>
      <c r="F10" s="769"/>
      <c r="G10" s="769"/>
      <c r="H10" s="770"/>
      <c r="I10" s="769"/>
      <c r="J10" s="771" t="str">
        <f>Witness</f>
        <v>Witness:  M. J. Bell</v>
      </c>
      <c r="K10" s="305"/>
    </row>
    <row r="11" spans="1:11" x14ac:dyDescent="0.2">
      <c r="A11" s="233"/>
      <c r="B11" s="754"/>
      <c r="C11" s="754"/>
      <c r="D11" s="754"/>
      <c r="E11" s="754" t="s">
        <v>67</v>
      </c>
      <c r="F11" s="754" t="s">
        <v>400</v>
      </c>
      <c r="G11" s="754"/>
      <c r="H11" s="754" t="s">
        <v>67</v>
      </c>
      <c r="I11" s="754"/>
      <c r="J11" s="755" t="s">
        <v>70</v>
      </c>
    </row>
    <row r="12" spans="1:11" x14ac:dyDescent="0.2">
      <c r="A12" s="754" t="s">
        <v>1</v>
      </c>
      <c r="B12" s="754" t="s">
        <v>0</v>
      </c>
      <c r="C12" s="753" t="s">
        <v>44</v>
      </c>
      <c r="D12" s="754"/>
      <c r="E12" s="754" t="s">
        <v>68</v>
      </c>
      <c r="F12" s="754" t="s">
        <v>404</v>
      </c>
      <c r="G12" s="754" t="s">
        <v>20</v>
      </c>
      <c r="H12" s="754" t="s">
        <v>30</v>
      </c>
      <c r="I12" s="754" t="s">
        <v>20</v>
      </c>
      <c r="J12" s="754" t="s">
        <v>20</v>
      </c>
    </row>
    <row r="13" spans="1:11" x14ac:dyDescent="0.2">
      <c r="A13" s="228" t="s">
        <v>3</v>
      </c>
      <c r="B13" s="228" t="s">
        <v>66</v>
      </c>
      <c r="C13" s="285" t="s">
        <v>293</v>
      </c>
      <c r="D13" s="285" t="s">
        <v>26</v>
      </c>
      <c r="E13" s="228" t="s">
        <v>48</v>
      </c>
      <c r="F13" s="228" t="s">
        <v>401</v>
      </c>
      <c r="G13" s="228" t="s">
        <v>5</v>
      </c>
      <c r="H13" s="228" t="s">
        <v>48</v>
      </c>
      <c r="I13" s="228" t="s">
        <v>69</v>
      </c>
      <c r="J13" s="228" t="s">
        <v>69</v>
      </c>
    </row>
    <row r="14" spans="1:11" x14ac:dyDescent="0.2">
      <c r="A14" s="754"/>
      <c r="B14" s="755" t="s">
        <v>42</v>
      </c>
      <c r="C14" s="755" t="s">
        <v>43</v>
      </c>
      <c r="D14" s="755" t="s">
        <v>45</v>
      </c>
      <c r="E14" s="755" t="s">
        <v>46</v>
      </c>
      <c r="F14" s="755" t="s">
        <v>49</v>
      </c>
      <c r="G14" s="755" t="s">
        <v>50</v>
      </c>
      <c r="H14" s="755" t="s">
        <v>51</v>
      </c>
      <c r="I14" s="755" t="s">
        <v>405</v>
      </c>
      <c r="J14" s="755" t="s">
        <v>406</v>
      </c>
    </row>
    <row r="15" spans="1:11" x14ac:dyDescent="0.2">
      <c r="E15" s="755" t="s">
        <v>60</v>
      </c>
      <c r="F15" s="755" t="s">
        <v>60</v>
      </c>
      <c r="G15" s="755" t="s">
        <v>60</v>
      </c>
      <c r="H15" s="755" t="s">
        <v>60</v>
      </c>
      <c r="I15" s="755" t="s">
        <v>60</v>
      </c>
      <c r="J15" s="755" t="s">
        <v>61</v>
      </c>
    </row>
    <row r="17" spans="1:13" x14ac:dyDescent="0.2">
      <c r="A17" s="221">
        <v>1</v>
      </c>
      <c r="B17" s="445" t="s">
        <v>94</v>
      </c>
      <c r="C17" s="445"/>
      <c r="D17" s="445"/>
      <c r="I17" s="224"/>
    </row>
    <row r="18" spans="1:13" x14ac:dyDescent="0.2">
      <c r="I18" s="224"/>
    </row>
    <row r="19" spans="1:13" x14ac:dyDescent="0.2">
      <c r="A19" s="221">
        <f>A17+1</f>
        <v>2</v>
      </c>
      <c r="B19" s="221" t="str">
        <f>Input!B19</f>
        <v>General Service - Residential</v>
      </c>
      <c r="C19" s="242">
        <f>'Sch M 2.2'!Q66</f>
        <v>1180666</v>
      </c>
      <c r="D19" s="484">
        <f>'Sch M 2.2'!Q67</f>
        <v>6248080.5000000009</v>
      </c>
      <c r="E19" s="434">
        <f>'Sch M 2.2'!Q70</f>
        <v>49618661.620000005</v>
      </c>
      <c r="F19" s="808">
        <f>ROUND('C'!P17*(Input!$AA$19-Input!$N$19),2)</f>
        <v>62480.81</v>
      </c>
      <c r="G19" s="238">
        <f>E19+F19</f>
        <v>49681142.430000007</v>
      </c>
      <c r="H19" s="434">
        <f>'Sch M 2.3'!Q69</f>
        <v>62630985.830000006</v>
      </c>
      <c r="I19" s="772">
        <f t="shared" ref="I19:I32" si="0">H19-G19</f>
        <v>12949843.399999999</v>
      </c>
      <c r="J19" s="294">
        <f t="shared" ref="J19:J32" si="1">IF(E19=0,0,ROUND(I19/E19,4)*100)</f>
        <v>26.1</v>
      </c>
    </row>
    <row r="20" spans="1:13" x14ac:dyDescent="0.2">
      <c r="A20" s="221">
        <f t="shared" ref="A20:A44" si="2">A19+1</f>
        <v>3</v>
      </c>
      <c r="B20" s="221" t="str">
        <f>Input!B20</f>
        <v>LG&amp;E Commercial</v>
      </c>
      <c r="C20" s="242">
        <f>'Sch M 2.2'!Q73</f>
        <v>41</v>
      </c>
      <c r="D20" s="484">
        <f>'Sch M 2.2'!Q74</f>
        <v>1697.8</v>
      </c>
      <c r="E20" s="242">
        <f>'Sch M 2.2'!Q77</f>
        <v>9744.43</v>
      </c>
      <c r="F20" s="773">
        <v>0</v>
      </c>
      <c r="G20" s="238">
        <f t="shared" ref="G20:G32" si="3">E20+F20</f>
        <v>9744.43</v>
      </c>
      <c r="H20" s="242">
        <f>'Sch M 2.3'!Q76</f>
        <v>9744.43</v>
      </c>
      <c r="I20" s="477">
        <f t="shared" si="0"/>
        <v>0</v>
      </c>
      <c r="J20" s="294">
        <f t="shared" si="1"/>
        <v>0</v>
      </c>
    </row>
    <row r="21" spans="1:13" x14ac:dyDescent="0.2">
      <c r="A21" s="221">
        <f t="shared" si="2"/>
        <v>4</v>
      </c>
      <c r="B21" s="221" t="str">
        <f>Input!B21</f>
        <v>LG&amp;E Residential</v>
      </c>
      <c r="C21" s="242">
        <f>'Sch M 2.2'!Q80</f>
        <v>192</v>
      </c>
      <c r="D21" s="484">
        <f>'Sch M 2.2'!Q81</f>
        <v>2018.8999999999999</v>
      </c>
      <c r="E21" s="242">
        <f>'Sch M 2.2'!Q84</f>
        <v>13751.73</v>
      </c>
      <c r="F21" s="773">
        <v>0</v>
      </c>
      <c r="G21" s="238">
        <f t="shared" si="3"/>
        <v>13751.73</v>
      </c>
      <c r="H21" s="242">
        <f>'Sch M 2.3'!Q83</f>
        <v>13751.73</v>
      </c>
      <c r="I21" s="477">
        <f t="shared" si="0"/>
        <v>0</v>
      </c>
      <c r="J21" s="294">
        <f t="shared" si="1"/>
        <v>0</v>
      </c>
      <c r="M21" s="774"/>
    </row>
    <row r="22" spans="1:13" x14ac:dyDescent="0.2">
      <c r="A22" s="221">
        <f t="shared" si="2"/>
        <v>5</v>
      </c>
      <c r="B22" s="221" t="str">
        <f>Input!B22</f>
        <v>Inland Gas General Service - Residential</v>
      </c>
      <c r="C22" s="242">
        <f>'Sch M 2.2'!Q87</f>
        <v>108</v>
      </c>
      <c r="D22" s="484">
        <f>'Sch M 2.2'!Q88</f>
        <v>990.2</v>
      </c>
      <c r="E22" s="242">
        <f>'Sch M 2.2'!Q91</f>
        <v>396.08</v>
      </c>
      <c r="F22" s="773">
        <v>0</v>
      </c>
      <c r="G22" s="238">
        <f t="shared" si="3"/>
        <v>396.08</v>
      </c>
      <c r="H22" s="242">
        <f>'Sch M 2.3'!Q90</f>
        <v>396.08</v>
      </c>
      <c r="I22" s="477">
        <f t="shared" si="0"/>
        <v>0</v>
      </c>
      <c r="J22" s="294">
        <f t="shared" si="1"/>
        <v>0</v>
      </c>
      <c r="M22" s="774"/>
    </row>
    <row r="23" spans="1:13" x14ac:dyDescent="0.2">
      <c r="A23" s="221">
        <f t="shared" si="2"/>
        <v>6</v>
      </c>
      <c r="B23" s="221" t="str">
        <f>Input!B24</f>
        <v>Inland Gas General Service - Residential</v>
      </c>
      <c r="C23" s="242">
        <f>'Sch M 2.2'!Q94</f>
        <v>0</v>
      </c>
      <c r="D23" s="484">
        <f>'Sch M 2.2'!Q95</f>
        <v>0</v>
      </c>
      <c r="E23" s="242">
        <f>'Sch M 2.2'!Q98</f>
        <v>0</v>
      </c>
      <c r="F23" s="773">
        <v>0</v>
      </c>
      <c r="G23" s="238">
        <f t="shared" si="3"/>
        <v>0</v>
      </c>
      <c r="H23" s="242">
        <f>'Sch M 2.3'!Q97</f>
        <v>0</v>
      </c>
      <c r="I23" s="434">
        <f t="shared" si="0"/>
        <v>0</v>
      </c>
      <c r="J23" s="294">
        <f t="shared" si="1"/>
        <v>0</v>
      </c>
    </row>
    <row r="24" spans="1:13" x14ac:dyDescent="0.2">
      <c r="A24" s="221">
        <f t="shared" si="2"/>
        <v>7</v>
      </c>
      <c r="B24" s="221" t="str">
        <f>Input!B25</f>
        <v>Inland Gas General Service - Residential</v>
      </c>
      <c r="C24" s="242">
        <f>'Sch M 2.2'!Q101</f>
        <v>36</v>
      </c>
      <c r="D24" s="484">
        <f>'Sch M 2.2'!Q102</f>
        <v>333.60000000000008</v>
      </c>
      <c r="E24" s="242">
        <f>'Sch M 2.2'!Q105</f>
        <v>200.16</v>
      </c>
      <c r="F24" s="773">
        <v>0</v>
      </c>
      <c r="G24" s="238">
        <f t="shared" si="3"/>
        <v>200.16</v>
      </c>
      <c r="H24" s="242">
        <f>'Sch M 2.3'!Q104</f>
        <v>200.16</v>
      </c>
      <c r="I24" s="434">
        <f t="shared" si="0"/>
        <v>0</v>
      </c>
      <c r="J24" s="294">
        <f t="shared" si="1"/>
        <v>0</v>
      </c>
      <c r="K24" s="754"/>
      <c r="M24" s="754"/>
    </row>
    <row r="25" spans="1:13" x14ac:dyDescent="0.2">
      <c r="A25" s="221">
        <f t="shared" si="2"/>
        <v>8</v>
      </c>
      <c r="B25" s="221" t="str">
        <f>Input!B26</f>
        <v xml:space="preserve">LG&amp;E Residential </v>
      </c>
      <c r="C25" s="242">
        <f>'Sch M 2.2'!Q130</f>
        <v>12</v>
      </c>
      <c r="D25" s="484">
        <f>'Sch M 2.2'!Q131</f>
        <v>605.19999999999993</v>
      </c>
      <c r="E25" s="242">
        <f>'Sch M 2.2'!Q134</f>
        <v>211.84000000000003</v>
      </c>
      <c r="F25" s="773">
        <v>0</v>
      </c>
      <c r="G25" s="238">
        <f t="shared" si="3"/>
        <v>211.84000000000003</v>
      </c>
      <c r="H25" s="242">
        <f>'Sch M 2.3'!Q131</f>
        <v>211.84000000000003</v>
      </c>
      <c r="I25" s="434">
        <f t="shared" si="0"/>
        <v>0</v>
      </c>
      <c r="J25" s="294">
        <f t="shared" si="1"/>
        <v>0</v>
      </c>
      <c r="K25" s="754"/>
      <c r="L25" s="754"/>
      <c r="M25" s="754"/>
    </row>
    <row r="26" spans="1:13" x14ac:dyDescent="0.2">
      <c r="A26" s="221">
        <f t="shared" si="2"/>
        <v>9</v>
      </c>
      <c r="B26" s="221" t="str">
        <f>Input!B27</f>
        <v>LG&amp;E Commercial</v>
      </c>
      <c r="C26" s="242">
        <f>'Sch M 2.2'!Q137</f>
        <v>12</v>
      </c>
      <c r="D26" s="484">
        <f>'Sch M 2.2'!Q138</f>
        <v>710.9</v>
      </c>
      <c r="E26" s="242">
        <f>'Sch M 2.2'!Q141</f>
        <v>248.84000000000003</v>
      </c>
      <c r="F26" s="773">
        <v>0</v>
      </c>
      <c r="G26" s="238">
        <f t="shared" si="3"/>
        <v>248.84000000000003</v>
      </c>
      <c r="H26" s="242">
        <f>'Sch M 2.3'!Q138</f>
        <v>248.84000000000003</v>
      </c>
      <c r="I26" s="434">
        <f t="shared" si="0"/>
        <v>0</v>
      </c>
      <c r="J26" s="294">
        <f t="shared" si="1"/>
        <v>0</v>
      </c>
      <c r="K26" s="228"/>
      <c r="L26" s="228"/>
      <c r="M26" s="228"/>
    </row>
    <row r="27" spans="1:13" x14ac:dyDescent="0.2">
      <c r="A27" s="221">
        <f t="shared" si="2"/>
        <v>10</v>
      </c>
      <c r="B27" s="221" t="str">
        <f>Input!B28</f>
        <v>LG&amp;E Residential</v>
      </c>
      <c r="C27" s="242">
        <f>'Sch M 2.2'!Q144</f>
        <v>12</v>
      </c>
      <c r="D27" s="484">
        <f>'Sch M 2.2'!Q145</f>
        <v>714.1</v>
      </c>
      <c r="E27" s="242">
        <f>'Sch M 2.2'!Q148</f>
        <v>255.82</v>
      </c>
      <c r="F27" s="773">
        <v>0</v>
      </c>
      <c r="G27" s="238">
        <f t="shared" si="3"/>
        <v>255.82</v>
      </c>
      <c r="H27" s="242">
        <f>'Sch M 2.3'!Q145</f>
        <v>255.82</v>
      </c>
      <c r="I27" s="434">
        <f t="shared" si="0"/>
        <v>0</v>
      </c>
      <c r="J27" s="294">
        <f t="shared" si="1"/>
        <v>0</v>
      </c>
      <c r="K27" s="754"/>
      <c r="L27" s="754"/>
      <c r="M27" s="754"/>
    </row>
    <row r="28" spans="1:13" x14ac:dyDescent="0.2">
      <c r="A28" s="221">
        <f t="shared" si="2"/>
        <v>11</v>
      </c>
      <c r="B28" s="221" t="str">
        <f>Input!B29</f>
        <v>LG&amp;E Residential</v>
      </c>
      <c r="C28" s="242">
        <f>'Sch M 2.2'!Q151</f>
        <v>12</v>
      </c>
      <c r="D28" s="484">
        <f>'Sch M 2.2'!Q152</f>
        <v>257.59999999999997</v>
      </c>
      <c r="E28" s="242">
        <f>'Sch M 2.2'!Q155</f>
        <v>103.04000000000002</v>
      </c>
      <c r="F28" s="773">
        <v>0</v>
      </c>
      <c r="G28" s="238">
        <f t="shared" si="3"/>
        <v>103.04000000000002</v>
      </c>
      <c r="H28" s="242">
        <f>'Sch M 2.3'!Q152</f>
        <v>103.04000000000002</v>
      </c>
      <c r="I28" s="434">
        <f t="shared" si="0"/>
        <v>0</v>
      </c>
      <c r="J28" s="294">
        <f t="shared" si="1"/>
        <v>0</v>
      </c>
      <c r="K28" s="233"/>
    </row>
    <row r="29" spans="1:13" x14ac:dyDescent="0.2">
      <c r="A29" s="221">
        <f t="shared" si="2"/>
        <v>12</v>
      </c>
      <c r="B29" s="221" t="str">
        <f>Input!B30</f>
        <v>General Service - Commercial</v>
      </c>
      <c r="C29" s="242">
        <f>'Sch M 2.2'!Q158</f>
        <v>119233</v>
      </c>
      <c r="D29" s="484">
        <f>'Sch M 2.2'!Q159</f>
        <v>3098215.1</v>
      </c>
      <c r="E29" s="242">
        <f>'Sch M 2.2'!Q162</f>
        <v>18479342.059999999</v>
      </c>
      <c r="F29" s="808">
        <f>ROUND(D29*(Input!$AA$19-Input!$N$19),2)</f>
        <v>30982.15</v>
      </c>
      <c r="G29" s="238">
        <f>E29+F29</f>
        <v>18510324.209999997</v>
      </c>
      <c r="H29" s="242">
        <f>'Sch M 2.3'!Q159</f>
        <v>22437013.989999998</v>
      </c>
      <c r="I29" s="775">
        <f t="shared" si="0"/>
        <v>3926689.7800000012</v>
      </c>
      <c r="J29" s="294">
        <f t="shared" si="1"/>
        <v>21.25</v>
      </c>
      <c r="K29" s="776"/>
      <c r="L29" s="776"/>
    </row>
    <row r="30" spans="1:13" x14ac:dyDescent="0.2">
      <c r="A30" s="221">
        <f t="shared" si="2"/>
        <v>13</v>
      </c>
      <c r="B30" s="221" t="str">
        <f>Input!B31</f>
        <v>General Service - Industrial</v>
      </c>
      <c r="C30" s="242">
        <f>'Sch M 2.2'!Q186</f>
        <v>524</v>
      </c>
      <c r="D30" s="484">
        <f>'Sch M 2.2'!Q187</f>
        <v>360250.5</v>
      </c>
      <c r="E30" s="242">
        <f>'Sch M 2.2'!Q190</f>
        <v>1407299.0899999999</v>
      </c>
      <c r="F30" s="808">
        <f>ROUND(D30*(Input!$AA$19-Input!$N$19),2)</f>
        <v>3602.51</v>
      </c>
      <c r="G30" s="238">
        <f t="shared" si="3"/>
        <v>1410901.5999999999</v>
      </c>
      <c r="H30" s="242">
        <f>'Sch M 2.3'!Q186</f>
        <v>1723026.5999999999</v>
      </c>
      <c r="I30" s="775">
        <f t="shared" si="0"/>
        <v>312125</v>
      </c>
      <c r="J30" s="294">
        <f t="shared" si="1"/>
        <v>22.18</v>
      </c>
    </row>
    <row r="31" spans="1:13" x14ac:dyDescent="0.2">
      <c r="A31" s="221">
        <f t="shared" si="2"/>
        <v>14</v>
      </c>
      <c r="B31" s="221" t="str">
        <f>Input!B36</f>
        <v>Interruptible Service - Industrial</v>
      </c>
      <c r="C31" s="242">
        <f>'Sch M 2.2'!Q193</f>
        <v>0</v>
      </c>
      <c r="D31" s="484">
        <f>'Sch M 2.2'!Q194</f>
        <v>0</v>
      </c>
      <c r="E31" s="242">
        <f>'Sch M 2.2'!Q197</f>
        <v>0</v>
      </c>
      <c r="F31" s="808">
        <f>ROUND(D31*(Input!$AA$19-Input!$N$19),2)</f>
        <v>0</v>
      </c>
      <c r="G31" s="238">
        <f t="shared" si="3"/>
        <v>0</v>
      </c>
      <c r="H31" s="242">
        <f>'Sch M 2.3'!Q193</f>
        <v>0</v>
      </c>
      <c r="I31" s="806">
        <f t="shared" si="0"/>
        <v>0</v>
      </c>
      <c r="J31" s="294">
        <f t="shared" si="1"/>
        <v>0</v>
      </c>
      <c r="K31" s="778"/>
      <c r="L31" s="779"/>
      <c r="M31" s="778"/>
    </row>
    <row r="32" spans="1:13" x14ac:dyDescent="0.2">
      <c r="A32" s="221">
        <f t="shared" si="2"/>
        <v>15</v>
      </c>
      <c r="B32" s="221" t="str">
        <f>Input!B37</f>
        <v>Intrastate Utility Service - Wholesale</v>
      </c>
      <c r="C32" s="242">
        <f>'Sch M 2.2'!Q200</f>
        <v>24</v>
      </c>
      <c r="D32" s="484">
        <f>'Sch M 2.2'!Q201</f>
        <v>11320.699999999999</v>
      </c>
      <c r="E32" s="242">
        <f>'Sch M 2.2'!Q204</f>
        <v>47711.12000000001</v>
      </c>
      <c r="F32" s="808">
        <f>ROUND(D32*(Input!$AA$19-Input!$N$19),2)</f>
        <v>113.21</v>
      </c>
      <c r="G32" s="238">
        <f t="shared" si="3"/>
        <v>47824.330000000009</v>
      </c>
      <c r="H32" s="242">
        <f>'Sch M 2.3'!Q200</f>
        <v>55929.760000000009</v>
      </c>
      <c r="I32" s="807">
        <f t="shared" si="0"/>
        <v>8105.43</v>
      </c>
      <c r="J32" s="294">
        <f t="shared" si="1"/>
        <v>16.989999999999998</v>
      </c>
      <c r="K32" s="780"/>
      <c r="L32" s="781"/>
      <c r="M32" s="780"/>
    </row>
    <row r="33" spans="1:13" x14ac:dyDescent="0.2">
      <c r="D33" s="484"/>
      <c r="E33" s="782"/>
      <c r="F33" s="782"/>
      <c r="G33" s="782"/>
      <c r="H33" s="777"/>
      <c r="I33" s="292"/>
      <c r="J33" s="777"/>
      <c r="K33" s="778"/>
      <c r="L33" s="779"/>
      <c r="M33" s="778"/>
    </row>
    <row r="34" spans="1:13" x14ac:dyDescent="0.2">
      <c r="A34" s="221">
        <f>A32+1</f>
        <v>16</v>
      </c>
      <c r="B34" s="445" t="s">
        <v>95</v>
      </c>
      <c r="C34" s="445"/>
      <c r="D34" s="484"/>
      <c r="E34" s="782"/>
      <c r="F34" s="782"/>
      <c r="G34" s="782"/>
      <c r="H34" s="777"/>
      <c r="I34" s="292"/>
      <c r="J34" s="777"/>
      <c r="K34" s="778"/>
      <c r="L34" s="779"/>
      <c r="M34" s="778"/>
    </row>
    <row r="35" spans="1:13" x14ac:dyDescent="0.2">
      <c r="D35" s="484"/>
      <c r="E35" s="782"/>
      <c r="F35" s="782"/>
      <c r="G35" s="782"/>
      <c r="H35" s="777"/>
      <c r="I35" s="292"/>
      <c r="J35" s="777"/>
      <c r="K35" s="778"/>
      <c r="L35" s="779"/>
      <c r="M35" s="778"/>
    </row>
    <row r="36" spans="1:13" x14ac:dyDescent="0.2">
      <c r="A36" s="221">
        <f>A34+1</f>
        <v>17</v>
      </c>
      <c r="B36" s="221" t="str">
        <f>Input!B41</f>
        <v xml:space="preserve">GTS Choice - Residential </v>
      </c>
      <c r="C36" s="242">
        <f>'Sch M 2.2'!Q228</f>
        <v>281946</v>
      </c>
      <c r="D36" s="484">
        <f>'Sch M 2.2'!Q229</f>
        <v>1707000</v>
      </c>
      <c r="E36" s="242">
        <f>'Sch M 2.2'!Q232</f>
        <v>9029105.3399999999</v>
      </c>
      <c r="F36" s="773">
        <v>0</v>
      </c>
      <c r="G36" s="238">
        <f t="shared" ref="G36:G49" si="4">E36+F36</f>
        <v>9029105.3399999999</v>
      </c>
      <c r="H36" s="242">
        <f>'Sch M 2.3'!Q227</f>
        <v>12465511.74</v>
      </c>
      <c r="I36" s="772">
        <f t="shared" ref="I36:I49" si="5">H36-G36</f>
        <v>3436406.4000000004</v>
      </c>
      <c r="J36" s="294">
        <f t="shared" ref="J36:J49" si="6">IF(E36=0,0,ROUND(I36/E36,4)*100)</f>
        <v>38.06</v>
      </c>
      <c r="K36" s="778"/>
      <c r="L36" s="780"/>
      <c r="M36" s="778"/>
    </row>
    <row r="37" spans="1:13" x14ac:dyDescent="0.2">
      <c r="A37" s="221">
        <f t="shared" si="2"/>
        <v>18</v>
      </c>
      <c r="B37" s="221" t="str">
        <f>Input!B42</f>
        <v>GTS Choice - Commercial</v>
      </c>
      <c r="C37" s="242">
        <f>'Sch M 2.2'!Q235</f>
        <v>47445</v>
      </c>
      <c r="D37" s="484">
        <f>'Sch M 2.2'!Q236</f>
        <v>1859990.8000000003</v>
      </c>
      <c r="E37" s="242">
        <f>'Sch M 2.2'!Q239</f>
        <v>5787037.3699999992</v>
      </c>
      <c r="F37" s="773">
        <v>0</v>
      </c>
      <c r="G37" s="238">
        <f t="shared" si="4"/>
        <v>5787037.3699999992</v>
      </c>
      <c r="H37" s="242">
        <f>'Sch M 2.3'!Q234</f>
        <v>7975145.7399999974</v>
      </c>
      <c r="I37" s="783">
        <f t="shared" si="5"/>
        <v>2188108.3699999982</v>
      </c>
      <c r="J37" s="294">
        <f t="shared" si="6"/>
        <v>37.81</v>
      </c>
      <c r="K37" s="778"/>
      <c r="L37" s="778"/>
      <c r="M37" s="778"/>
    </row>
    <row r="38" spans="1:13" x14ac:dyDescent="0.2">
      <c r="A38" s="221">
        <f t="shared" si="2"/>
        <v>19</v>
      </c>
      <c r="B38" s="221" t="str">
        <f>Input!B43</f>
        <v>GTS Choice - Industrial</v>
      </c>
      <c r="C38" s="242">
        <f>'Sch M 2.2'!Q242</f>
        <v>149</v>
      </c>
      <c r="D38" s="484">
        <f>'Sch M 2.2'!Q243</f>
        <v>71999.899999999994</v>
      </c>
      <c r="E38" s="242">
        <f>'Sch M 2.2'!Q246</f>
        <v>127654.24000000002</v>
      </c>
      <c r="F38" s="773">
        <v>0</v>
      </c>
      <c r="G38" s="238">
        <f t="shared" si="4"/>
        <v>127654.24000000002</v>
      </c>
      <c r="H38" s="242">
        <f>'Sch M 2.3'!Q241</f>
        <v>192716.81000000003</v>
      </c>
      <c r="I38" s="783">
        <f t="shared" si="5"/>
        <v>65062.570000000007</v>
      </c>
      <c r="J38" s="294">
        <f t="shared" si="6"/>
        <v>50.970000000000006</v>
      </c>
      <c r="K38" s="778"/>
      <c r="L38" s="778"/>
      <c r="M38" s="778"/>
    </row>
    <row r="39" spans="1:13" x14ac:dyDescent="0.2">
      <c r="A39" s="221">
        <f t="shared" si="2"/>
        <v>20</v>
      </c>
      <c r="B39" s="221" t="str">
        <f>Input!B44</f>
        <v>GTS Delivery Service - Commercial</v>
      </c>
      <c r="C39" s="242">
        <f>'Sch M 2.2'!Q249</f>
        <v>428</v>
      </c>
      <c r="D39" s="484">
        <f>'Sch M 2.2'!Q250</f>
        <v>1380569.9999999998</v>
      </c>
      <c r="E39" s="242">
        <f>'Sch M 2.2'!Q253</f>
        <v>1398811.3699999999</v>
      </c>
      <c r="F39" s="773">
        <v>0</v>
      </c>
      <c r="G39" s="238">
        <f t="shared" si="4"/>
        <v>1398811.3699999999</v>
      </c>
      <c r="H39" s="242">
        <f>'Sch M 2.3'!Q248</f>
        <v>1868525.0999999999</v>
      </c>
      <c r="I39" s="784">
        <f t="shared" si="5"/>
        <v>469713.73</v>
      </c>
      <c r="J39" s="294">
        <f t="shared" si="6"/>
        <v>33.58</v>
      </c>
      <c r="L39" s="778"/>
      <c r="M39" s="778"/>
    </row>
    <row r="40" spans="1:13" x14ac:dyDescent="0.2">
      <c r="A40" s="221">
        <f t="shared" si="2"/>
        <v>21</v>
      </c>
      <c r="B40" s="221" t="str">
        <f>Input!B45</f>
        <v>GTS Delivery Service - Industrial</v>
      </c>
      <c r="C40" s="242">
        <f>'Sch M 2.2'!Q256</f>
        <v>468</v>
      </c>
      <c r="D40" s="484">
        <f>'Sch M 2.2'!Q257</f>
        <v>5517297.4000000004</v>
      </c>
      <c r="E40" s="242">
        <f>'Sch M 2.2'!Q260</f>
        <v>3222464.1300000004</v>
      </c>
      <c r="F40" s="773">
        <v>0</v>
      </c>
      <c r="G40" s="238">
        <f t="shared" si="4"/>
        <v>3222464.1300000004</v>
      </c>
      <c r="H40" s="242">
        <f>'Sch M 2.3'!Q255</f>
        <v>4843276.4499999993</v>
      </c>
      <c r="I40" s="784">
        <f t="shared" si="5"/>
        <v>1620812.3199999989</v>
      </c>
      <c r="J40" s="294">
        <f t="shared" si="6"/>
        <v>50.3</v>
      </c>
      <c r="L40" s="778"/>
      <c r="M40" s="778"/>
    </row>
    <row r="41" spans="1:13" x14ac:dyDescent="0.2">
      <c r="A41" s="221">
        <f t="shared" si="2"/>
        <v>22</v>
      </c>
      <c r="B41" s="221" t="str">
        <f>Input!B46</f>
        <v>GTS Grandfathered Delivery Service - Commercial</v>
      </c>
      <c r="C41" s="242">
        <f>'Sch M 2.2'!Q263</f>
        <v>145</v>
      </c>
      <c r="D41" s="484">
        <f>'Sch M 2.2'!Q264</f>
        <v>203630.5</v>
      </c>
      <c r="E41" s="242">
        <f>'Sch M 2.2'!Q267</f>
        <v>351127.13</v>
      </c>
      <c r="F41" s="773">
        <v>0</v>
      </c>
      <c r="G41" s="238">
        <f t="shared" si="4"/>
        <v>351127.13</v>
      </c>
      <c r="H41" s="242">
        <f>'Sch M 2.3'!Q262</f>
        <v>522630.61</v>
      </c>
      <c r="I41" s="783">
        <f t="shared" si="5"/>
        <v>171503.47999999998</v>
      </c>
      <c r="J41" s="294">
        <f t="shared" si="6"/>
        <v>48.84</v>
      </c>
      <c r="M41" s="774"/>
    </row>
    <row r="42" spans="1:13" x14ac:dyDescent="0.2">
      <c r="A42" s="221">
        <f t="shared" si="2"/>
        <v>23</v>
      </c>
      <c r="B42" s="221" t="str">
        <f>Input!B47</f>
        <v>GTS Grandfathered Delivery Service - Industrial</v>
      </c>
      <c r="C42" s="242">
        <f>'Sch M 2.2'!Q290</f>
        <v>180</v>
      </c>
      <c r="D42" s="484">
        <f>'Sch M 2.2'!Q291</f>
        <v>154467.9</v>
      </c>
      <c r="E42" s="242">
        <f>'Sch M 2.2'!Q294</f>
        <v>276061.19</v>
      </c>
      <c r="F42" s="773">
        <v>0</v>
      </c>
      <c r="G42" s="238">
        <f t="shared" si="4"/>
        <v>276061.19</v>
      </c>
      <c r="H42" s="242">
        <f>'Sch M 2.3'!Q290</f>
        <v>404015.38</v>
      </c>
      <c r="I42" s="783">
        <f t="shared" si="5"/>
        <v>127954.19</v>
      </c>
      <c r="J42" s="294">
        <f t="shared" si="6"/>
        <v>46.35</v>
      </c>
      <c r="M42" s="785"/>
    </row>
    <row r="43" spans="1:13" x14ac:dyDescent="0.2">
      <c r="A43" s="221">
        <f t="shared" si="2"/>
        <v>24</v>
      </c>
      <c r="B43" s="221" t="str">
        <f>Input!B48</f>
        <v>GTS Main Line Service - Industrial</v>
      </c>
      <c r="C43" s="242">
        <f>'Sch M 2.2'!Q297</f>
        <v>36</v>
      </c>
      <c r="D43" s="484">
        <f>'Sch M 2.2'!Q298</f>
        <v>680981</v>
      </c>
      <c r="E43" s="242">
        <f>'Sch M 2.2'!Q301</f>
        <v>67640.579999999987</v>
      </c>
      <c r="F43" s="773">
        <v>0</v>
      </c>
      <c r="G43" s="238">
        <f t="shared" si="4"/>
        <v>67640.579999999987</v>
      </c>
      <c r="H43" s="242">
        <f>'Sch M 2.3'!Q297</f>
        <v>67640.579999999987</v>
      </c>
      <c r="I43" s="290">
        <f t="shared" si="5"/>
        <v>0</v>
      </c>
      <c r="J43" s="294">
        <f t="shared" si="6"/>
        <v>0</v>
      </c>
      <c r="L43" s="778"/>
      <c r="M43" s="778"/>
    </row>
    <row r="44" spans="1:13" x14ac:dyDescent="0.2">
      <c r="A44" s="221">
        <f t="shared" si="2"/>
        <v>25</v>
      </c>
      <c r="B44" s="221" t="str">
        <f>Input!B49</f>
        <v>GTS Flex Rate - Commercial</v>
      </c>
      <c r="C44" s="242">
        <f>'Sch M 2.2'!Q304</f>
        <v>12</v>
      </c>
      <c r="D44" s="484">
        <f>'Sch M 2.2'!Q305</f>
        <v>541812</v>
      </c>
      <c r="E44" s="242">
        <f>'Sch M 2.2'!Q308</f>
        <v>224062.07999999999</v>
      </c>
      <c r="F44" s="773">
        <v>0</v>
      </c>
      <c r="G44" s="238">
        <f t="shared" si="4"/>
        <v>224062.07999999999</v>
      </c>
      <c r="H44" s="242">
        <f>'Sch M 2.3'!Q304</f>
        <v>224062.07999999999</v>
      </c>
      <c r="I44" s="290">
        <f t="shared" si="5"/>
        <v>0</v>
      </c>
      <c r="J44" s="294">
        <f t="shared" si="6"/>
        <v>0</v>
      </c>
      <c r="L44" s="778"/>
      <c r="M44" s="778"/>
    </row>
    <row r="45" spans="1:13" x14ac:dyDescent="0.2">
      <c r="A45" s="221">
        <f>A44+1</f>
        <v>26</v>
      </c>
      <c r="B45" s="221" t="str">
        <f>Input!B50</f>
        <v>GTS Flex Rate - Commercial</v>
      </c>
      <c r="C45" s="242">
        <f>'Sch M 2.2'!Q311</f>
        <v>12</v>
      </c>
      <c r="D45" s="484">
        <f>'Sch M 2.2'!Q312</f>
        <v>533988</v>
      </c>
      <c r="E45" s="242">
        <f>'Sch M 2.2'!Q315</f>
        <v>221010.72000000003</v>
      </c>
      <c r="F45" s="773">
        <v>0</v>
      </c>
      <c r="G45" s="238">
        <f t="shared" si="4"/>
        <v>221010.72000000003</v>
      </c>
      <c r="H45" s="242">
        <f>'Sch M 2.3'!Q311</f>
        <v>221010.72000000003</v>
      </c>
      <c r="I45" s="290">
        <f t="shared" si="5"/>
        <v>0</v>
      </c>
      <c r="J45" s="294">
        <f t="shared" si="6"/>
        <v>0</v>
      </c>
      <c r="K45" s="754"/>
      <c r="L45" s="786"/>
      <c r="M45" s="786"/>
    </row>
    <row r="46" spans="1:13" x14ac:dyDescent="0.2">
      <c r="A46" s="221">
        <f>A45+1</f>
        <v>27</v>
      </c>
      <c r="B46" s="221" t="str">
        <f>Input!B51</f>
        <v>GTS Flex Rate - Industrial</v>
      </c>
      <c r="C46" s="242">
        <f>'Sch M 2.2'!Q318</f>
        <v>36</v>
      </c>
      <c r="D46" s="484">
        <f>'Sch M 2.2'!Q319</f>
        <v>4689510</v>
      </c>
      <c r="E46" s="242">
        <f>'Sch M 2.2'!Q322</f>
        <v>411572.36</v>
      </c>
      <c r="F46" s="773">
        <v>0</v>
      </c>
      <c r="G46" s="238">
        <f t="shared" si="4"/>
        <v>411572.36</v>
      </c>
      <c r="H46" s="242">
        <f>'Sch M 2.3'!Q318</f>
        <v>411572.36</v>
      </c>
      <c r="I46" s="290">
        <f t="shared" si="5"/>
        <v>0</v>
      </c>
      <c r="J46" s="294">
        <f t="shared" si="6"/>
        <v>0</v>
      </c>
      <c r="K46" s="233"/>
      <c r="L46" s="778"/>
      <c r="M46" s="778"/>
    </row>
    <row r="47" spans="1:13" x14ac:dyDescent="0.2">
      <c r="A47" s="221">
        <f>A46+1</f>
        <v>28</v>
      </c>
      <c r="B47" s="221" t="str">
        <f>Input!B52</f>
        <v>GTS Flex Rate - Industrial</v>
      </c>
      <c r="C47" s="242">
        <f>'Sch M 2.2'!Q325</f>
        <v>12</v>
      </c>
      <c r="D47" s="484">
        <f>'Sch M 2.2'!Q326</f>
        <v>410759</v>
      </c>
      <c r="E47" s="242">
        <f>'Sch M 2.2'!Q329</f>
        <v>189660.33</v>
      </c>
      <c r="F47" s="773">
        <v>0</v>
      </c>
      <c r="G47" s="238">
        <f t="shared" si="4"/>
        <v>189660.33</v>
      </c>
      <c r="H47" s="242">
        <f>'Sch M 2.3'!Q325</f>
        <v>189660.33</v>
      </c>
      <c r="I47" s="290">
        <f t="shared" si="5"/>
        <v>0</v>
      </c>
      <c r="J47" s="294">
        <f t="shared" si="6"/>
        <v>0</v>
      </c>
      <c r="L47" s="778"/>
      <c r="M47" s="778"/>
    </row>
    <row r="48" spans="1:13" x14ac:dyDescent="0.2">
      <c r="A48" s="221">
        <f>A47+1</f>
        <v>29</v>
      </c>
      <c r="B48" s="221" t="str">
        <f>Input!B53</f>
        <v>GTS Special Agency Service</v>
      </c>
      <c r="C48" s="242">
        <f>'Sch M 2.2'!Q352</f>
        <v>0</v>
      </c>
      <c r="D48" s="247">
        <f>'Sch M 2.2'!Q353</f>
        <v>0</v>
      </c>
      <c r="E48" s="242">
        <f>'Sch M 2.2'!Q356</f>
        <v>0</v>
      </c>
      <c r="F48" s="773">
        <v>0</v>
      </c>
      <c r="G48" s="238">
        <f t="shared" si="4"/>
        <v>0</v>
      </c>
      <c r="H48" s="242">
        <f>'Sch M 2.3'!Q352</f>
        <v>0</v>
      </c>
      <c r="I48" s="290">
        <f t="shared" si="5"/>
        <v>0</v>
      </c>
      <c r="J48" s="294">
        <f t="shared" si="6"/>
        <v>0</v>
      </c>
      <c r="K48" s="778"/>
      <c r="L48" s="778"/>
      <c r="M48" s="778"/>
    </row>
    <row r="49" spans="1:13" x14ac:dyDescent="0.2">
      <c r="A49" s="221">
        <f>A48+1</f>
        <v>30</v>
      </c>
      <c r="B49" s="221" t="str">
        <f>Input!B54</f>
        <v>GTS Special Rate - Industrial</v>
      </c>
      <c r="C49" s="438">
        <f>'Sch M 2.2'!Q359</f>
        <v>12</v>
      </c>
      <c r="D49" s="484">
        <f>'Sch M 2.2'!Q360</f>
        <v>1710000</v>
      </c>
      <c r="E49" s="438">
        <f>'Sch M 2.2'!Q363</f>
        <v>500855.40000000008</v>
      </c>
      <c r="F49" s="787">
        <v>0</v>
      </c>
      <c r="G49" s="438">
        <f t="shared" si="4"/>
        <v>500855.40000000008</v>
      </c>
      <c r="H49" s="438">
        <f>'Sch M 2.3'!Q359</f>
        <v>500855.40000000008</v>
      </c>
      <c r="I49" s="438">
        <f t="shared" si="5"/>
        <v>0</v>
      </c>
      <c r="J49" s="470">
        <f t="shared" si="6"/>
        <v>0</v>
      </c>
      <c r="K49" s="778"/>
      <c r="L49" s="778"/>
      <c r="M49" s="778"/>
    </row>
    <row r="50" spans="1:13" x14ac:dyDescent="0.2">
      <c r="D50" s="484"/>
      <c r="E50" s="778"/>
      <c r="F50" s="778"/>
      <c r="G50" s="778"/>
      <c r="H50" s="778"/>
      <c r="I50" s="242"/>
      <c r="J50" s="777"/>
      <c r="K50" s="778"/>
      <c r="L50" s="778"/>
      <c r="M50" s="778"/>
    </row>
    <row r="51" spans="1:13" x14ac:dyDescent="0.2">
      <c r="A51" s="221">
        <f>A49+1</f>
        <v>31</v>
      </c>
      <c r="B51" s="221" t="s">
        <v>106</v>
      </c>
      <c r="C51" s="778">
        <f t="shared" ref="C51:I51" si="7">SUM(C19:C49)</f>
        <v>1631753</v>
      </c>
      <c r="D51" s="788">
        <f>SUM(D19:D49)</f>
        <v>29187201.600000001</v>
      </c>
      <c r="E51" s="434">
        <f t="shared" si="7"/>
        <v>91384988.070000008</v>
      </c>
      <c r="F51" s="434">
        <f t="shared" si="7"/>
        <v>97178.68</v>
      </c>
      <c r="G51" s="434">
        <f t="shared" si="7"/>
        <v>91482166.749999985</v>
      </c>
      <c r="H51" s="434">
        <f t="shared" si="7"/>
        <v>116758491.41999999</v>
      </c>
      <c r="I51" s="434">
        <f t="shared" si="7"/>
        <v>25276324.669999998</v>
      </c>
      <c r="J51" s="294">
        <f>IF(E51=0,0,ROUND(I51/E51,4)*100)</f>
        <v>27.66</v>
      </c>
      <c r="K51" s="780"/>
      <c r="L51" s="780"/>
      <c r="M51" s="780"/>
    </row>
    <row r="52" spans="1:13" x14ac:dyDescent="0.2">
      <c r="E52" s="778"/>
      <c r="F52" s="778"/>
      <c r="G52" s="778"/>
      <c r="H52" s="778"/>
      <c r="J52" s="777"/>
      <c r="K52" s="778"/>
      <c r="L52" s="778"/>
      <c r="M52" s="778"/>
    </row>
    <row r="53" spans="1:13" x14ac:dyDescent="0.2">
      <c r="A53" s="221">
        <f>A51+1</f>
        <v>32</v>
      </c>
      <c r="B53" s="445" t="s">
        <v>102</v>
      </c>
      <c r="C53" s="445"/>
      <c r="D53" s="445"/>
      <c r="E53" s="778"/>
      <c r="F53" s="778"/>
      <c r="G53" s="778"/>
      <c r="H53" s="778"/>
      <c r="J53" s="777"/>
      <c r="K53" s="778"/>
      <c r="L53" s="778"/>
      <c r="M53" s="778"/>
    </row>
    <row r="54" spans="1:13" x14ac:dyDescent="0.2">
      <c r="E54" s="778"/>
      <c r="F54" s="778"/>
      <c r="G54" s="778"/>
      <c r="H54" s="778"/>
      <c r="J54" s="777"/>
      <c r="K54" s="778"/>
      <c r="L54" s="778"/>
      <c r="M54" s="778"/>
    </row>
    <row r="55" spans="1:13" x14ac:dyDescent="0.2">
      <c r="A55" s="221">
        <f>A53+1</f>
        <v>33</v>
      </c>
      <c r="B55" s="221" t="s">
        <v>180</v>
      </c>
      <c r="E55" s="434">
        <f>'Sch M 2.2'!Q369</f>
        <v>476000</v>
      </c>
      <c r="F55" s="517">
        <v>0</v>
      </c>
      <c r="G55" s="238">
        <f>E55+F55</f>
        <v>476000</v>
      </c>
      <c r="H55" s="778">
        <f>'Sch M 2.3'!Q29</f>
        <v>608048</v>
      </c>
      <c r="I55" s="434">
        <f>H55-G55</f>
        <v>132048</v>
      </c>
      <c r="J55" s="294">
        <f>IF(E55=0,0,ROUND(I55/E55,4)*100)</f>
        <v>27.74</v>
      </c>
      <c r="K55" s="778"/>
      <c r="L55" s="778"/>
      <c r="M55" s="778"/>
    </row>
    <row r="56" spans="1:13" x14ac:dyDescent="0.2">
      <c r="A56" s="221">
        <f>A55+1</f>
        <v>34</v>
      </c>
      <c r="B56" s="221" t="s">
        <v>103</v>
      </c>
      <c r="E56" s="778">
        <f>'Sch M 2.2'!Q370</f>
        <v>137000</v>
      </c>
      <c r="F56" s="789">
        <v>0</v>
      </c>
      <c r="G56" s="238">
        <f>E56+F56</f>
        <v>137000</v>
      </c>
      <c r="H56" s="778">
        <f>'Sch M 2.3'!Q30</f>
        <v>137000</v>
      </c>
      <c r="I56" s="290">
        <f>H56-G56</f>
        <v>0</v>
      </c>
      <c r="J56" s="294">
        <f>IF(E56=0,0,ROUND(I56/E56,4)*100)</f>
        <v>0</v>
      </c>
      <c r="K56" s="778"/>
      <c r="L56" s="778"/>
      <c r="M56" s="778"/>
    </row>
    <row r="57" spans="1:13" x14ac:dyDescent="0.2">
      <c r="A57" s="221">
        <f>A56+1</f>
        <v>35</v>
      </c>
      <c r="B57" s="221" t="s">
        <v>320</v>
      </c>
      <c r="E57" s="778">
        <f>'Sch M 2.2'!Q371</f>
        <v>72000</v>
      </c>
      <c r="F57" s="789">
        <v>0</v>
      </c>
      <c r="G57" s="238">
        <f>E57+F57</f>
        <v>72000</v>
      </c>
      <c r="H57" s="778">
        <f>'Sch M 2.3'!Q31</f>
        <v>72000</v>
      </c>
      <c r="I57" s="290">
        <f>H57-G57</f>
        <v>0</v>
      </c>
      <c r="J57" s="294">
        <f>IF(E57=0,0,ROUND(I57/E57,4)*100)</f>
        <v>0</v>
      </c>
      <c r="K57" s="778"/>
      <c r="L57" s="778"/>
      <c r="M57" s="778"/>
    </row>
    <row r="58" spans="1:13" x14ac:dyDescent="0.2">
      <c r="A58" s="221">
        <f>A57+1</f>
        <v>36</v>
      </c>
      <c r="B58" s="221" t="s">
        <v>104</v>
      </c>
      <c r="E58" s="778">
        <f>'Sch M 2.2'!Q372</f>
        <v>0</v>
      </c>
      <c r="F58" s="789">
        <v>0</v>
      </c>
      <c r="G58" s="238">
        <f>E58+F58</f>
        <v>0</v>
      </c>
      <c r="H58" s="778">
        <f>'Sch M 2.3'!Q32</f>
        <v>0</v>
      </c>
      <c r="I58" s="290">
        <f>H58-G58</f>
        <v>0</v>
      </c>
      <c r="J58" s="294">
        <f>IF(E58=0,0,ROUND(I58/E58,4)*100)</f>
        <v>0</v>
      </c>
      <c r="K58" s="778"/>
      <c r="L58" s="778"/>
      <c r="M58" s="778"/>
    </row>
    <row r="59" spans="1:13" x14ac:dyDescent="0.2">
      <c r="A59" s="221">
        <f>A58+1</f>
        <v>37</v>
      </c>
      <c r="B59" s="221" t="s">
        <v>105</v>
      </c>
      <c r="E59" s="780">
        <f>'Sch M 2.2'!Q373</f>
        <v>515000</v>
      </c>
      <c r="F59" s="790">
        <v>0</v>
      </c>
      <c r="G59" s="438">
        <f>E59+F59</f>
        <v>515000</v>
      </c>
      <c r="H59" s="780">
        <f>'Sch M 2.3'!Q33</f>
        <v>515000</v>
      </c>
      <c r="I59" s="438">
        <f>H59-G59</f>
        <v>0</v>
      </c>
      <c r="J59" s="470">
        <f>IF(E59=0,0,ROUND(I59/E59,4)*100)</f>
        <v>0</v>
      </c>
      <c r="K59" s="778"/>
      <c r="L59" s="778"/>
      <c r="M59" s="778"/>
    </row>
    <row r="60" spans="1:13" x14ac:dyDescent="0.2">
      <c r="E60" s="778"/>
      <c r="F60" s="778"/>
      <c r="G60" s="778"/>
      <c r="H60" s="778"/>
      <c r="I60" s="778"/>
      <c r="J60" s="777"/>
      <c r="K60" s="788"/>
      <c r="L60" s="788"/>
      <c r="M60" s="788"/>
    </row>
    <row r="61" spans="1:13" x14ac:dyDescent="0.2">
      <c r="A61" s="221">
        <f>A59+1</f>
        <v>38</v>
      </c>
      <c r="B61" s="221" t="s">
        <v>125</v>
      </c>
      <c r="E61" s="434">
        <f>SUM(E55:E59)</f>
        <v>1200000</v>
      </c>
      <c r="F61" s="434">
        <f>SUM(F55:F59)</f>
        <v>0</v>
      </c>
      <c r="G61" s="434">
        <f>SUM(G55:G59)</f>
        <v>1200000</v>
      </c>
      <c r="H61" s="434">
        <f>SUM(H55:H59)</f>
        <v>1332048</v>
      </c>
      <c r="I61" s="434">
        <f>SUM(I55:I59)</f>
        <v>132048</v>
      </c>
      <c r="J61" s="294">
        <f>IF(E61=0,0,ROUND(I61/E61,4)*100)</f>
        <v>11</v>
      </c>
      <c r="K61" s="788"/>
      <c r="L61" s="778"/>
      <c r="M61" s="778"/>
    </row>
    <row r="62" spans="1:13" x14ac:dyDescent="0.2">
      <c r="E62" s="791"/>
      <c r="F62" s="791"/>
      <c r="G62" s="791"/>
      <c r="H62" s="778"/>
      <c r="I62" s="778"/>
      <c r="J62" s="777"/>
      <c r="K62" s="788"/>
      <c r="L62" s="778"/>
      <c r="M62" s="778"/>
    </row>
    <row r="63" spans="1:13" x14ac:dyDescent="0.2">
      <c r="A63" s="221">
        <f>A61+1</f>
        <v>39</v>
      </c>
      <c r="B63" s="221" t="s">
        <v>108</v>
      </c>
      <c r="E63" s="434">
        <f>E61+E51</f>
        <v>92584988.070000008</v>
      </c>
      <c r="F63" s="434">
        <f>F61+F51</f>
        <v>97178.68</v>
      </c>
      <c r="G63" s="434">
        <f>G61+G51</f>
        <v>92682166.749999985</v>
      </c>
      <c r="H63" s="434">
        <f>H61+H51</f>
        <v>118090539.41999999</v>
      </c>
      <c r="I63" s="434">
        <f>I61+I51</f>
        <v>25408372.669999998</v>
      </c>
      <c r="J63" s="294">
        <f>IF(E63=0,0,ROUND(I63/E63,4)*100)</f>
        <v>27.439999999999998</v>
      </c>
      <c r="K63" s="788"/>
      <c r="L63" s="778"/>
      <c r="M63" s="778"/>
    </row>
    <row r="64" spans="1:13" x14ac:dyDescent="0.2">
      <c r="E64" s="788"/>
      <c r="F64" s="788"/>
      <c r="G64" s="788"/>
      <c r="H64" s="788"/>
      <c r="I64" s="788"/>
      <c r="J64" s="777"/>
      <c r="K64" s="788"/>
      <c r="L64" s="788"/>
      <c r="M64" s="788"/>
    </row>
  </sheetData>
  <mergeCells count="5">
    <mergeCell ref="A1:J1"/>
    <mergeCell ref="A2:J2"/>
    <mergeCell ref="A3:J3"/>
    <mergeCell ref="A4:J4"/>
    <mergeCell ref="A5:J5"/>
  </mergeCells>
  <phoneticPr fontId="0" type="noConversion"/>
  <printOptions horizontalCentered="1"/>
  <pageMargins left="0.5" right="0.25" top="0.5" bottom="0.25" header="0.25" footer="0.5"/>
  <pageSetup scale="68" orientation="landscape" r:id="rId1"/>
  <headerFooter alignWithMargins="0">
    <oddHeader>&amp;RKY PSC Case No. 2016-00162
Attachment B to PSC 2-65</oddHeader>
  </headerFooter>
  <rowBreaks count="1" manualBreakCount="1">
    <brk id="6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26</vt:i4>
      </vt:variant>
    </vt:vector>
  </HeadingPairs>
  <TitlesOfParts>
    <vt:vector size="41" baseType="lpstr">
      <vt:lpstr>INDEX M</vt:lpstr>
      <vt:lpstr>Input</vt:lpstr>
      <vt:lpstr>A</vt:lpstr>
      <vt:lpstr>B</vt:lpstr>
      <vt:lpstr>C</vt:lpstr>
      <vt:lpstr>D pg 1</vt:lpstr>
      <vt:lpstr>D pg 2</vt:lpstr>
      <vt:lpstr>Sch M</vt:lpstr>
      <vt:lpstr>Sch M 2.1</vt:lpstr>
      <vt:lpstr>Sch M 2.2</vt:lpstr>
      <vt:lpstr>Sch M 2.3</vt:lpstr>
      <vt:lpstr>Rate Design MPB-1</vt:lpstr>
      <vt:lpstr>Late Payment MPB-2</vt:lpstr>
      <vt:lpstr>MPB-3</vt:lpstr>
      <vt:lpstr>MPB-4</vt:lpstr>
      <vt:lpstr>case</vt:lpstr>
      <vt:lpstr>Commodity</vt:lpstr>
      <vt:lpstr>CONAME</vt:lpstr>
      <vt:lpstr>EGC</vt:lpstr>
      <vt:lpstr>EGCDATE</vt:lpstr>
      <vt:lpstr>firmcom</vt:lpstr>
      <vt:lpstr>firmdem</vt:lpstr>
      <vt:lpstr>HEAD</vt:lpstr>
      <vt:lpstr>A!Print_Area</vt:lpstr>
      <vt:lpstr>B!Print_Area</vt:lpstr>
      <vt:lpstr>'C'!Print_Area</vt:lpstr>
      <vt:lpstr>'D pg 1'!Print_Area</vt:lpstr>
      <vt:lpstr>'D pg 2'!Print_Area</vt:lpstr>
      <vt:lpstr>'INDEX M'!Print_Area</vt:lpstr>
      <vt:lpstr>Input!Print_Area</vt:lpstr>
      <vt:lpstr>'Late Payment MPB-2'!Print_Area</vt:lpstr>
      <vt:lpstr>'MPB-3'!Print_Area</vt:lpstr>
      <vt:lpstr>'MPB-4'!Print_Area</vt:lpstr>
      <vt:lpstr>'Rate Design MPB-1'!Print_Area</vt:lpstr>
      <vt:lpstr>'Sch M'!Print_Area</vt:lpstr>
      <vt:lpstr>'Sch M 2.1'!Print_Area</vt:lpstr>
      <vt:lpstr>'Sch M 2.2'!Print_Area</vt:lpstr>
      <vt:lpstr>'Sch M 2.3'!Print_Area</vt:lpstr>
      <vt:lpstr>Print_Area_MI</vt:lpstr>
      <vt:lpstr>TYDESC</vt:lpstr>
      <vt:lpstr>Witness</vt:lpstr>
    </vt:vector>
  </TitlesOfParts>
  <Company>Columbia Gas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Columbia Gas</dc:creator>
  <cp:lastModifiedBy>Bell \ Melissa \ J</cp:lastModifiedBy>
  <cp:lastPrinted>2016-07-13T13:32:30Z</cp:lastPrinted>
  <dcterms:created xsi:type="dcterms:W3CDTF">1997-11-13T15:08:18Z</dcterms:created>
  <dcterms:modified xsi:type="dcterms:W3CDTF">2016-07-13T13:41:08Z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4XLRetrievePerWS">
    <vt:lpwstr>Y</vt:lpwstr>
  </property>
  <property fmtid="{D5CDD505-2E9C-101B-9397-08002B2CF9AE}" pid="3" name="K4XLScatterRefresh">
    <vt:lpwstr>N</vt:lpwstr>
  </property>
  <property fmtid="{D5CDD505-2E9C-101B-9397-08002B2CF9AE}" pid="4" name="K4XLVersion">
    <vt:lpwstr>3.5.7.2796</vt:lpwstr>
  </property>
  <property fmtid="{D5CDD505-2E9C-101B-9397-08002B2CF9AE}" pid="5" name="K4XL KID">
    <vt:lpwstr/>
  </property>
  <property fmtid="{D5CDD505-2E9C-101B-9397-08002B2CF9AE}" pid="6" name="K4XL DBKID">
    <vt:lpwstr/>
  </property>
</Properties>
</file>